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 iterateDelta="1E-4"/>
</workbook>
</file>

<file path=xl/calcChain.xml><?xml version="1.0" encoding="utf-8"?>
<calcChain xmlns="http://schemas.openxmlformats.org/spreadsheetml/2006/main">
  <c r="B81" i="1"/>
  <c r="B94" l="1"/>
  <c r="E87"/>
  <c r="E86"/>
  <c r="E38"/>
  <c r="B56" l="1"/>
  <c r="B61" s="1"/>
  <c r="E37" l="1"/>
  <c r="B71"/>
  <c r="B70"/>
  <c r="E34"/>
  <c r="B34"/>
  <c r="E33"/>
  <c r="E30"/>
  <c r="E29"/>
  <c r="E27"/>
  <c r="E26"/>
  <c r="J10"/>
  <c r="J12" s="1"/>
  <c r="F10" l="1"/>
  <c r="B19"/>
  <c r="B16"/>
  <c r="B15"/>
  <c r="B10"/>
  <c r="B21" l="1"/>
</calcChain>
</file>

<file path=xl/comments1.xml><?xml version="1.0" encoding="utf-8"?>
<comments xmlns="http://schemas.openxmlformats.org/spreadsheetml/2006/main">
  <authors>
    <author>Автор</author>
  </authors>
  <commentList>
    <comment ref="A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Обороты вала двигателя</t>
        </r>
      </text>
    </comment>
    <comment ref="I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скорость штока ЭМП</t>
        </r>
      </text>
    </comment>
    <comment ref="A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суммарный момент на валу: Мстат + Мдин + Мтр</t>
        </r>
      </text>
    </comment>
    <comment ref="I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усилие на штоке</t>
        </r>
      </text>
    </comment>
    <comment ref="I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передатка РВП</t>
        </r>
      </text>
    </comment>
    <comment ref="A1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Механическая мощность на двигателе</t>
        </r>
      </text>
    </comment>
    <comment ref="B1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w*M/КПДрвп</t>
        </r>
      </text>
    </comment>
    <comment ref="I1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момент трения в подшипниках ЭМП 0.2 - 1.1 Нм</t>
        </r>
      </text>
    </comment>
    <comment ref="I1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мощность на участке равномерного движения</t>
        </r>
      </text>
    </comment>
    <comment ref="J1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F *[ k * 10^(-3) / 2pi*кпд + Мтр] * 60*v/k</t>
        </r>
      </text>
    </comment>
    <comment ref="A1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Механическая мощность на двигателе</t>
        </r>
      </text>
    </comment>
    <comment ref="A1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потери на инверторе</t>
        </r>
      </text>
    </comment>
    <comment ref="A1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потери на выпрямителе</t>
        </r>
      </text>
    </comment>
    <comment ref="A1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потребление контроллера</t>
        </r>
      </text>
    </comment>
    <comment ref="A1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КПД электродвигателя (0.8-0.9)</t>
        </r>
      </text>
    </comment>
    <comment ref="A2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Электрическая мощность на двигателе</t>
        </r>
      </text>
    </comment>
    <comment ref="B2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Pmech/КПДэд + потери на силовухе и контроллере</t>
        </r>
      </text>
    </comment>
    <comment ref="E2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об/мин / 9.55
[об/мин] /60 *2*pi = rad/s</t>
        </r>
      </text>
    </comment>
    <comment ref="E2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рад/с * 9.55
[rad/s] /(2*pi) * 60  = [rpm]</t>
        </r>
      </text>
    </comment>
    <comment ref="E2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v * 60 / k</t>
        </r>
      </text>
    </comment>
    <comment ref="E3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k * w / 60</t>
        </r>
      </text>
    </comment>
    <comment ref="E3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60 * v /k  /9.55</t>
        </r>
      </text>
    </comment>
    <comment ref="E3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k * w /60 * 9.55</t>
        </r>
      </text>
    </comment>
    <comment ref="D3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линейное ускорение</t>
        </r>
      </text>
    </comment>
    <comment ref="E3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e * k * 0.159</t>
        </r>
      </text>
    </comment>
    <comment ref="D3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угловое ускорение</t>
        </r>
      </text>
    </comment>
    <comment ref="E3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a / (k * 0.159)</t>
        </r>
      </text>
    </comment>
    <comment ref="A5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усилие на штоке</t>
        </r>
      </text>
    </comment>
    <comment ref="A5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момент трения в подшипниках ЭМП 0.2 - 1.1 Нм</t>
        </r>
      </text>
    </comment>
    <comment ref="A5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передатка РВП</t>
        </r>
      </text>
    </comment>
    <comment ref="B5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прямой КПД РВП</t>
        </r>
      </text>
    </comment>
    <comment ref="A6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Момент, приведенный к валу двигателя</t>
        </r>
      </text>
    </comment>
    <comment ref="B6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M = F * k *10E-3 / (2pi*КПД)</t>
        </r>
      </text>
    </comment>
    <comment ref="A6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2й закон Ньютона</t>
        </r>
      </text>
    </comment>
    <comment ref="A6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статический момент нагрузки на валу</t>
        </r>
      </text>
    </comment>
    <comment ref="A6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момент трения в подшипниках ЭМП 0.2 - 1.1 Нм</t>
        </r>
      </text>
    </comment>
    <comment ref="A6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Пиковый момент мотора из datasheet c учетом возможностей механики</t>
        </r>
      </text>
    </comment>
    <comment ref="A6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суммарный момент иннерции, приведенный к валу двигателя</t>
        </r>
      </text>
    </comment>
    <comment ref="B7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e_разг= [Mpeak-Mc-Mтр]/Jсумм</t>
        </r>
      </text>
    </comment>
    <comment ref="B7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e_торм= [Mpeak+Mc+Mтр]/Jсумм</t>
        </r>
      </text>
    </comment>
    <comment ref="A7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rated voltage</t>
        </r>
      </text>
    </comment>
    <comment ref="A8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no load speed</t>
        </r>
      </text>
    </comment>
    <comment ref="A8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EMF Constant</t>
        </r>
      </text>
    </comment>
    <comment ref="B8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U/no * 1000</t>
        </r>
      </text>
    </comment>
    <comment ref="A8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 back-EMF constant</t>
        </r>
      </text>
    </comment>
    <comment ref="C8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Часто дают в datasheet</t>
        </r>
      </text>
    </comment>
    <comment ref="D8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Motor speed const. (Kv)</t>
        </r>
      </text>
    </comment>
    <comment ref="E8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1/(Ke/1000 * 60/2pi)</t>
        </r>
      </text>
    </comment>
    <comment ref="F8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СИ</t>
        </r>
      </text>
    </comment>
    <comment ref="A8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Motor speed const.</t>
        </r>
      </text>
    </comment>
    <comment ref="C8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СИ</t>
        </r>
      </text>
    </comment>
    <comment ref="D8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Back EMF</t>
        </r>
      </text>
    </comment>
    <comment ref="E8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1000*2pi*1/Kv/60</t>
        </r>
      </text>
    </comment>
    <comment ref="F8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Часто дают в datasheet</t>
        </r>
      </text>
    </comment>
  </commentList>
</comments>
</file>

<file path=xl/sharedStrings.xml><?xml version="1.0" encoding="utf-8"?>
<sst xmlns="http://schemas.openxmlformats.org/spreadsheetml/2006/main" count="135" uniqueCount="60">
  <si>
    <t>Калькуляторы самых распространенных величин</t>
  </si>
  <si>
    <t>w=</t>
  </si>
  <si>
    <t>M=</t>
  </si>
  <si>
    <t>Pmech=</t>
  </si>
  <si>
    <t>1. Механическая мощность линейного ЭМП</t>
  </si>
  <si>
    <t>рад/сек</t>
  </si>
  <si>
    <t>Нм</t>
  </si>
  <si>
    <t>W</t>
  </si>
  <si>
    <t>об/мин</t>
  </si>
  <si>
    <t>КПДрвп=</t>
  </si>
  <si>
    <t>K=</t>
  </si>
  <si>
    <t>мм/оборот</t>
  </si>
  <si>
    <t>мм/сек</t>
  </si>
  <si>
    <t>2. Элекрическая мощность</t>
  </si>
  <si>
    <t>Pel=</t>
  </si>
  <si>
    <t>КПДэд=</t>
  </si>
  <si>
    <t>P_igbt.loses=</t>
  </si>
  <si>
    <t>P_rect.loses=</t>
  </si>
  <si>
    <t>P_cu.loses=</t>
  </si>
  <si>
    <t>F=</t>
  </si>
  <si>
    <t>N</t>
  </si>
  <si>
    <t>v=</t>
  </si>
  <si>
    <t>Mтр=</t>
  </si>
  <si>
    <t>Nm</t>
  </si>
  <si>
    <t>3. Еденицы измерения</t>
  </si>
  <si>
    <t>k=</t>
  </si>
  <si>
    <t>мм/об</t>
  </si>
  <si>
    <t>w</t>
  </si>
  <si>
    <t>рад/с</t>
  </si>
  <si>
    <t>ячейки для ввода</t>
  </si>
  <si>
    <t>4. Усилие - момент</t>
  </si>
  <si>
    <t>Мтр=</t>
  </si>
  <si>
    <t>5. Разгон-торможение</t>
  </si>
  <si>
    <t>Mст=</t>
  </si>
  <si>
    <t>Mpeak=</t>
  </si>
  <si>
    <t>e_разгон=</t>
  </si>
  <si>
    <t>e_тормож=</t>
  </si>
  <si>
    <t>Jсумм=</t>
  </si>
  <si>
    <t>кг*м^2</t>
  </si>
  <si>
    <t>рад/с2</t>
  </si>
  <si>
    <t>a =</t>
  </si>
  <si>
    <t>e =</t>
  </si>
  <si>
    <t>мм/сек2</t>
  </si>
  <si>
    <t>об/мин2</t>
  </si>
  <si>
    <t>Ke=</t>
  </si>
  <si>
    <t>V/1000rpm</t>
  </si>
  <si>
    <t>rad/(V*s)</t>
  </si>
  <si>
    <t>Kt=</t>
  </si>
  <si>
    <t>Nm/A</t>
  </si>
  <si>
    <t>Kv=</t>
  </si>
  <si>
    <t>7. Back EMF (Ke) vs Motor speed const. (Kv)</t>
  </si>
  <si>
    <t>8. Torq constant (Kt)</t>
  </si>
  <si>
    <t>Istall=</t>
  </si>
  <si>
    <t>Mstall=</t>
  </si>
  <si>
    <t>A</t>
  </si>
  <si>
    <t>U=</t>
  </si>
  <si>
    <t>Vrms</t>
  </si>
  <si>
    <t>rpm</t>
  </si>
  <si>
    <t>no=</t>
  </si>
  <si>
    <t>6. EMF Constant - Ke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</si>
</sst>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0" fontId="0" fillId="2" borderId="1" xfId="0" applyFill="1" applyBorder="1"/>
    <xf numFmtId="0" fontId="0" fillId="0" borderId="5" xfId="0" applyFill="1" applyBorder="1"/>
    <xf numFmtId="0" fontId="0" fillId="0" borderId="0" xfId="0" applyFill="1" applyBorder="1"/>
    <xf numFmtId="11" fontId="0" fillId="2" borderId="0" xfId="0" applyNumberFormat="1" applyFill="1" applyBorder="1"/>
    <xf numFmtId="0" fontId="0" fillId="0" borderId="1" xfId="0" applyFill="1" applyBorder="1" applyAlignment="1">
      <alignment wrapText="1"/>
    </xf>
    <xf numFmtId="0" fontId="3" fillId="0" borderId="0" xfId="0" applyFont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topLeftCell="A13" workbookViewId="0">
      <selection activeCell="I28" sqref="I28"/>
    </sheetView>
  </sheetViews>
  <sheetFormatPr defaultRowHeight="15"/>
  <cols>
    <col min="1" max="1" width="14.7109375" customWidth="1"/>
    <col min="3" max="3" width="12.85546875" customWidth="1"/>
    <col min="6" max="6" width="12.140625" customWidth="1"/>
    <col min="11" max="11" width="11.140625" customWidth="1"/>
  </cols>
  <sheetData>
    <row r="1" spans="1:11">
      <c r="A1" t="s">
        <v>0</v>
      </c>
      <c r="H1" s="11"/>
      <c r="I1" t="s">
        <v>29</v>
      </c>
    </row>
    <row r="4" spans="1:11">
      <c r="A4" t="s">
        <v>4</v>
      </c>
    </row>
    <row r="6" spans="1:11">
      <c r="A6" s="1" t="s">
        <v>1</v>
      </c>
      <c r="B6" s="12">
        <v>100</v>
      </c>
      <c r="C6" s="2" t="s">
        <v>5</v>
      </c>
      <c r="E6" s="1" t="s">
        <v>1</v>
      </c>
      <c r="F6" s="12">
        <v>3600</v>
      </c>
      <c r="G6" s="2" t="s">
        <v>8</v>
      </c>
      <c r="I6" s="1" t="s">
        <v>21</v>
      </c>
      <c r="J6" s="12">
        <v>51</v>
      </c>
      <c r="K6" s="2" t="s">
        <v>12</v>
      </c>
    </row>
    <row r="7" spans="1:11">
      <c r="A7" s="3" t="s">
        <v>2</v>
      </c>
      <c r="B7" s="13">
        <v>7</v>
      </c>
      <c r="C7" s="5" t="s">
        <v>6</v>
      </c>
      <c r="E7" s="3" t="s">
        <v>2</v>
      </c>
      <c r="F7" s="13">
        <v>8</v>
      </c>
      <c r="G7" s="5" t="s">
        <v>6</v>
      </c>
      <c r="I7" s="3" t="s">
        <v>19</v>
      </c>
      <c r="J7" s="13">
        <v>1500</v>
      </c>
      <c r="K7" s="5" t="s">
        <v>20</v>
      </c>
    </row>
    <row r="8" spans="1:11">
      <c r="A8" s="3" t="s">
        <v>9</v>
      </c>
      <c r="B8" s="13">
        <v>0.7</v>
      </c>
      <c r="C8" s="5"/>
      <c r="E8" s="3" t="s">
        <v>9</v>
      </c>
      <c r="F8" s="13">
        <v>0.85</v>
      </c>
      <c r="G8" s="5"/>
      <c r="I8" s="3" t="s">
        <v>9</v>
      </c>
      <c r="J8" s="13">
        <v>0.7</v>
      </c>
      <c r="K8" s="5"/>
    </row>
    <row r="9" spans="1:11">
      <c r="A9" s="3"/>
      <c r="B9" s="4"/>
      <c r="C9" s="5"/>
      <c r="E9" s="3"/>
      <c r="F9" s="4"/>
      <c r="G9" s="5"/>
      <c r="I9" s="3" t="s">
        <v>10</v>
      </c>
      <c r="J9" s="13">
        <v>5</v>
      </c>
      <c r="K9" s="5" t="s">
        <v>11</v>
      </c>
    </row>
    <row r="10" spans="1:11">
      <c r="A10" s="6" t="s">
        <v>3</v>
      </c>
      <c r="B10" s="7">
        <f>B6*B7/B8</f>
        <v>1000.0000000000001</v>
      </c>
      <c r="C10" s="8" t="s">
        <v>7</v>
      </c>
      <c r="E10" s="6" t="s">
        <v>3</v>
      </c>
      <c r="F10" s="7">
        <f>(F6/9.55)*F7/F8</f>
        <v>3547.8903603326148</v>
      </c>
      <c r="G10" s="8" t="s">
        <v>7</v>
      </c>
      <c r="I10" s="3" t="s">
        <v>22</v>
      </c>
      <c r="J10" s="13">
        <f>0.3</f>
        <v>0.3</v>
      </c>
      <c r="K10" s="5" t="s">
        <v>23</v>
      </c>
    </row>
    <row r="11" spans="1:11">
      <c r="I11" s="3"/>
      <c r="J11" s="4"/>
      <c r="K11" s="5"/>
    </row>
    <row r="12" spans="1:11">
      <c r="I12" s="6" t="s">
        <v>3</v>
      </c>
      <c r="J12" s="7">
        <f>(J7*J9*10^(-3)/(2*3.14*J8) + J10)   *    60*J6/J9</f>
        <v>1227.7310282074613</v>
      </c>
      <c r="K12" s="8" t="s">
        <v>7</v>
      </c>
    </row>
    <row r="13" spans="1:11">
      <c r="A13" t="s">
        <v>13</v>
      </c>
    </row>
    <row r="15" spans="1:11">
      <c r="A15" s="1" t="s">
        <v>3</v>
      </c>
      <c r="B15" s="12">
        <f>1000</f>
        <v>1000</v>
      </c>
      <c r="C15" s="2" t="s">
        <v>7</v>
      </c>
    </row>
    <row r="16" spans="1:11">
      <c r="A16" s="3" t="s">
        <v>16</v>
      </c>
      <c r="B16" s="13">
        <f>10</f>
        <v>10</v>
      </c>
      <c r="C16" s="5" t="s">
        <v>7</v>
      </c>
    </row>
    <row r="17" spans="1:7">
      <c r="A17" s="3" t="s">
        <v>17</v>
      </c>
      <c r="B17" s="13">
        <v>5</v>
      </c>
      <c r="C17" s="5" t="s">
        <v>7</v>
      </c>
    </row>
    <row r="18" spans="1:7">
      <c r="A18" s="3" t="s">
        <v>18</v>
      </c>
      <c r="B18" s="13">
        <v>30</v>
      </c>
      <c r="C18" s="5" t="s">
        <v>7</v>
      </c>
    </row>
    <row r="19" spans="1:7">
      <c r="A19" s="3" t="s">
        <v>15</v>
      </c>
      <c r="B19" s="13">
        <f>0.85</f>
        <v>0.85</v>
      </c>
      <c r="C19" s="5"/>
    </row>
    <row r="20" spans="1:7">
      <c r="A20" s="3"/>
      <c r="B20" s="4"/>
      <c r="C20" s="5"/>
    </row>
    <row r="21" spans="1:7">
      <c r="A21" s="6" t="s">
        <v>14</v>
      </c>
      <c r="B21" s="7">
        <f>B15/B19+B16+B17+B18</f>
        <v>1221.4705882352941</v>
      </c>
      <c r="C21" s="8" t="s">
        <v>7</v>
      </c>
    </row>
    <row r="24" spans="1:7">
      <c r="A24" s="19" t="s">
        <v>24</v>
      </c>
    </row>
    <row r="26" spans="1:7">
      <c r="A26" s="9" t="s">
        <v>1</v>
      </c>
      <c r="B26" s="14">
        <v>1200</v>
      </c>
      <c r="C26" s="9" t="s">
        <v>8</v>
      </c>
      <c r="D26" s="9" t="s">
        <v>1</v>
      </c>
      <c r="E26" s="9">
        <f>B26/9.55</f>
        <v>125.6544502617801</v>
      </c>
      <c r="F26" s="9" t="s">
        <v>5</v>
      </c>
      <c r="G26" s="4"/>
    </row>
    <row r="27" spans="1:7">
      <c r="A27" s="9" t="s">
        <v>1</v>
      </c>
      <c r="B27" s="14">
        <v>100</v>
      </c>
      <c r="C27" s="9" t="s">
        <v>5</v>
      </c>
      <c r="D27" s="9" t="s">
        <v>1</v>
      </c>
      <c r="E27" s="9">
        <f>B27*9.55</f>
        <v>955.00000000000011</v>
      </c>
      <c r="F27" s="9" t="s">
        <v>8</v>
      </c>
      <c r="G27" s="4"/>
    </row>
    <row r="28" spans="1:7">
      <c r="A28" s="4"/>
      <c r="B28" s="4"/>
      <c r="C28" s="4"/>
      <c r="D28" s="4"/>
      <c r="E28" s="4"/>
      <c r="F28" s="4"/>
      <c r="G28" s="4"/>
    </row>
    <row r="29" spans="1:7">
      <c r="A29" s="9" t="s">
        <v>21</v>
      </c>
      <c r="B29" s="14">
        <v>100</v>
      </c>
      <c r="C29" s="9" t="s">
        <v>12</v>
      </c>
      <c r="D29" s="9" t="s">
        <v>27</v>
      </c>
      <c r="E29" s="9">
        <f>B29*60/B31</f>
        <v>1200</v>
      </c>
      <c r="F29" s="9" t="s">
        <v>8</v>
      </c>
      <c r="G29" s="4"/>
    </row>
    <row r="30" spans="1:7">
      <c r="A30" s="9" t="s">
        <v>1</v>
      </c>
      <c r="B30" s="14">
        <v>1200</v>
      </c>
      <c r="C30" s="9" t="s">
        <v>8</v>
      </c>
      <c r="D30" s="9" t="s">
        <v>21</v>
      </c>
      <c r="E30" s="9">
        <f>B30*B31/60</f>
        <v>100</v>
      </c>
      <c r="F30" s="9" t="s">
        <v>12</v>
      </c>
      <c r="G30" s="4"/>
    </row>
    <row r="31" spans="1:7">
      <c r="A31" s="10" t="s">
        <v>25</v>
      </c>
      <c r="B31" s="14">
        <v>5</v>
      </c>
      <c r="C31" s="10" t="s">
        <v>26</v>
      </c>
      <c r="D31" s="4"/>
      <c r="E31" s="4"/>
      <c r="F31" s="4"/>
      <c r="G31" s="4"/>
    </row>
    <row r="33" spans="1:6">
      <c r="A33" s="9" t="s">
        <v>21</v>
      </c>
      <c r="B33" s="14">
        <v>100</v>
      </c>
      <c r="C33" s="9" t="s">
        <v>12</v>
      </c>
      <c r="D33" s="9" t="s">
        <v>1</v>
      </c>
      <c r="E33" s="9">
        <f>60 * B33 /B35  /9.55</f>
        <v>125.6544502617801</v>
      </c>
      <c r="F33" s="9" t="s">
        <v>28</v>
      </c>
    </row>
    <row r="34" spans="1:6">
      <c r="A34" s="9" t="s">
        <v>1</v>
      </c>
      <c r="B34" s="14">
        <f>125</f>
        <v>125</v>
      </c>
      <c r="C34" s="9" t="s">
        <v>28</v>
      </c>
      <c r="D34" s="9" t="s">
        <v>21</v>
      </c>
      <c r="E34" s="9">
        <f>B35*B34 /60 * 9.55</f>
        <v>99.479166666666671</v>
      </c>
      <c r="F34" s="9" t="s">
        <v>12</v>
      </c>
    </row>
    <row r="35" spans="1:6">
      <c r="A35" s="10" t="s">
        <v>25</v>
      </c>
      <c r="B35" s="14">
        <v>5</v>
      </c>
      <c r="C35" s="10" t="s">
        <v>26</v>
      </c>
    </row>
    <row r="36" spans="1:6">
      <c r="A36" s="16"/>
      <c r="B36" s="16"/>
      <c r="C36" s="16"/>
    </row>
    <row r="37" spans="1:6">
      <c r="A37" s="9" t="s">
        <v>41</v>
      </c>
      <c r="B37" s="14">
        <v>7800</v>
      </c>
      <c r="C37" s="9" t="s">
        <v>39</v>
      </c>
      <c r="D37" s="9" t="s">
        <v>40</v>
      </c>
      <c r="E37" s="9">
        <f>B37*B39*0.159</f>
        <v>6201</v>
      </c>
      <c r="F37" s="9" t="s">
        <v>42</v>
      </c>
    </row>
    <row r="38" spans="1:6">
      <c r="A38" s="9" t="s">
        <v>40</v>
      </c>
      <c r="B38" s="14">
        <v>4500</v>
      </c>
      <c r="C38" s="9" t="s">
        <v>42</v>
      </c>
      <c r="D38" s="9" t="s">
        <v>41</v>
      </c>
      <c r="E38" s="9">
        <f>B38/(B39*0.159)</f>
        <v>5660.3773584905657</v>
      </c>
      <c r="F38" s="9" t="s">
        <v>39</v>
      </c>
    </row>
    <row r="39" spans="1:6">
      <c r="A39" s="10" t="s">
        <v>25</v>
      </c>
      <c r="B39" s="14">
        <v>5</v>
      </c>
      <c r="C39" s="10" t="s">
        <v>26</v>
      </c>
    </row>
    <row r="40" spans="1:6">
      <c r="A40" s="16"/>
      <c r="B40" s="16"/>
      <c r="C40" s="16"/>
    </row>
    <row r="41" spans="1:6">
      <c r="A41" s="9" t="s">
        <v>41</v>
      </c>
      <c r="B41" s="14"/>
      <c r="C41" s="9" t="s">
        <v>39</v>
      </c>
      <c r="D41" s="9" t="s">
        <v>41</v>
      </c>
      <c r="E41" s="9"/>
      <c r="F41" s="9" t="s">
        <v>43</v>
      </c>
    </row>
    <row r="42" spans="1:6">
      <c r="A42" s="9" t="s">
        <v>41</v>
      </c>
      <c r="B42" s="14"/>
      <c r="C42" s="9" t="s">
        <v>43</v>
      </c>
      <c r="D42" s="9" t="s">
        <v>41</v>
      </c>
      <c r="E42" s="9"/>
      <c r="F42" s="9" t="s">
        <v>39</v>
      </c>
    </row>
    <row r="43" spans="1:6">
      <c r="A43" s="10" t="s">
        <v>25</v>
      </c>
      <c r="B43" s="14">
        <v>5</v>
      </c>
      <c r="C43" s="10" t="s">
        <v>26</v>
      </c>
    </row>
    <row r="44" spans="1:6">
      <c r="A44" s="16"/>
      <c r="B44" s="16"/>
      <c r="C44" s="16"/>
    </row>
    <row r="45" spans="1:6">
      <c r="A45" s="16"/>
      <c r="B45" s="16"/>
      <c r="C45" s="16"/>
    </row>
    <row r="51" spans="1:3">
      <c r="B51" s="16"/>
    </row>
    <row r="53" spans="1:3">
      <c r="A53" t="s">
        <v>30</v>
      </c>
    </row>
    <row r="55" spans="1:3">
      <c r="A55" s="1" t="s">
        <v>19</v>
      </c>
      <c r="B55" s="12">
        <v>3706</v>
      </c>
      <c r="C55" s="2" t="s">
        <v>20</v>
      </c>
    </row>
    <row r="56" spans="1:3">
      <c r="A56" s="15" t="s">
        <v>31</v>
      </c>
      <c r="B56" s="13">
        <f>0.3</f>
        <v>0.3</v>
      </c>
      <c r="C56" s="5" t="s">
        <v>23</v>
      </c>
    </row>
    <row r="57" spans="1:3">
      <c r="A57" s="15" t="s">
        <v>25</v>
      </c>
      <c r="B57" s="13">
        <v>12.5</v>
      </c>
      <c r="C57" s="5" t="s">
        <v>26</v>
      </c>
    </row>
    <row r="58" spans="1:3">
      <c r="A58" s="15" t="s">
        <v>9</v>
      </c>
      <c r="B58" s="13">
        <v>0.86</v>
      </c>
      <c r="C58" s="5"/>
    </row>
    <row r="59" spans="1:3">
      <c r="A59" s="3"/>
      <c r="B59" s="4"/>
      <c r="C59" s="5"/>
    </row>
    <row r="60" spans="1:3">
      <c r="A60" s="3"/>
      <c r="B60" s="4"/>
      <c r="C60" s="5"/>
    </row>
    <row r="61" spans="1:3">
      <c r="A61" s="6" t="s">
        <v>2</v>
      </c>
      <c r="B61" s="7">
        <f>B55*B57*10^(-3)/(2*3.14*B58) + B56</f>
        <v>8.8774329728929064</v>
      </c>
      <c r="C61" s="8" t="s">
        <v>23</v>
      </c>
    </row>
    <row r="63" spans="1:3">
      <c r="A63" t="s">
        <v>32</v>
      </c>
    </row>
    <row r="65" spans="1:3">
      <c r="A65" s="1" t="s">
        <v>33</v>
      </c>
      <c r="B65" s="12">
        <v>1.3</v>
      </c>
      <c r="C65" s="2" t="s">
        <v>20</v>
      </c>
    </row>
    <row r="66" spans="1:3">
      <c r="A66" s="15" t="s">
        <v>31</v>
      </c>
      <c r="B66" s="13">
        <v>0</v>
      </c>
      <c r="C66" s="5" t="s">
        <v>23</v>
      </c>
    </row>
    <row r="67" spans="1:3">
      <c r="A67" s="15" t="s">
        <v>34</v>
      </c>
      <c r="B67" s="13">
        <v>22.5</v>
      </c>
      <c r="C67" s="5" t="s">
        <v>23</v>
      </c>
    </row>
    <row r="68" spans="1:3">
      <c r="A68" s="15" t="s">
        <v>37</v>
      </c>
      <c r="B68" s="17">
        <v>1.475E-3</v>
      </c>
      <c r="C68" s="5" t="s">
        <v>38</v>
      </c>
    </row>
    <row r="69" spans="1:3">
      <c r="A69" s="3"/>
      <c r="B69" s="4"/>
      <c r="C69" s="5"/>
    </row>
    <row r="70" spans="1:3">
      <c r="A70" s="3" t="s">
        <v>35</v>
      </c>
      <c r="B70" s="4">
        <f>(B67-B66-B65)/B68</f>
        <v>14372.881355932202</v>
      </c>
      <c r="C70" s="5" t="s">
        <v>39</v>
      </c>
    </row>
    <row r="71" spans="1:3">
      <c r="A71" s="3" t="s">
        <v>36</v>
      </c>
      <c r="B71" s="4">
        <f>(B67+B66+B65)/B68</f>
        <v>16135.593220338984</v>
      </c>
      <c r="C71" s="5" t="s">
        <v>39</v>
      </c>
    </row>
    <row r="72" spans="1:3">
      <c r="A72" s="3"/>
      <c r="B72" s="4"/>
      <c r="C72" s="5"/>
    </row>
    <row r="73" spans="1:3">
      <c r="A73" s="6"/>
      <c r="B73" s="7"/>
      <c r="C73" s="8"/>
    </row>
    <row r="76" spans="1:3">
      <c r="A76" t="s">
        <v>59</v>
      </c>
    </row>
    <row r="79" spans="1:3">
      <c r="A79" s="9" t="s">
        <v>55</v>
      </c>
      <c r="B79" s="14">
        <v>380</v>
      </c>
      <c r="C79" s="9" t="s">
        <v>56</v>
      </c>
    </row>
    <row r="80" spans="1:3">
      <c r="A80" s="9" t="s">
        <v>58</v>
      </c>
      <c r="B80" s="14">
        <v>5060</v>
      </c>
      <c r="C80" s="9" t="s">
        <v>57</v>
      </c>
    </row>
    <row r="81" spans="1:6">
      <c r="A81" s="9" t="s">
        <v>44</v>
      </c>
      <c r="B81" s="20">
        <f>B79/B80*1000</f>
        <v>75.098814229249015</v>
      </c>
      <c r="C81" s="9" t="s">
        <v>45</v>
      </c>
    </row>
    <row r="84" spans="1:6">
      <c r="A84" s="16" t="s">
        <v>50</v>
      </c>
      <c r="B84" s="16"/>
      <c r="C84" s="16"/>
    </row>
    <row r="85" spans="1:6">
      <c r="A85" s="16"/>
      <c r="B85" s="16"/>
      <c r="C85" s="16"/>
    </row>
    <row r="86" spans="1:6">
      <c r="A86" s="10" t="s">
        <v>44</v>
      </c>
      <c r="B86" s="14">
        <v>75</v>
      </c>
      <c r="C86" s="18" t="s">
        <v>45</v>
      </c>
      <c r="D86" s="10" t="s">
        <v>49</v>
      </c>
      <c r="E86" s="14">
        <f>1/(B86/1000*60/(2*3.14))</f>
        <v>1.3955555555555557</v>
      </c>
      <c r="F86" s="10" t="s">
        <v>46</v>
      </c>
    </row>
    <row r="87" spans="1:6">
      <c r="A87" s="10" t="s">
        <v>49</v>
      </c>
      <c r="B87" s="14">
        <v>1.3955500000000001</v>
      </c>
      <c r="C87" s="10" t="s">
        <v>46</v>
      </c>
      <c r="D87" s="10" t="s">
        <v>44</v>
      </c>
      <c r="E87" s="14">
        <f>1000*2*3.14*1/B87/60</f>
        <v>75.000298568067549</v>
      </c>
      <c r="F87" s="18" t="s">
        <v>45</v>
      </c>
    </row>
    <row r="88" spans="1:6">
      <c r="A88" s="16"/>
      <c r="B88" s="16"/>
      <c r="C88" s="16"/>
    </row>
    <row r="89" spans="1:6">
      <c r="A89" s="16" t="s">
        <v>51</v>
      </c>
    </row>
    <row r="91" spans="1:6">
      <c r="A91" s="9" t="s">
        <v>52</v>
      </c>
      <c r="B91" s="14">
        <v>8.3000000000000007</v>
      </c>
      <c r="C91" s="9" t="s">
        <v>54</v>
      </c>
    </row>
    <row r="92" spans="1:6">
      <c r="A92" s="9" t="s">
        <v>53</v>
      </c>
      <c r="B92" s="14">
        <v>10.3</v>
      </c>
      <c r="C92" s="9" t="s">
        <v>23</v>
      </c>
    </row>
    <row r="93" spans="1:6">
      <c r="A93" s="3"/>
      <c r="B93" s="4"/>
      <c r="C93" s="5"/>
    </row>
    <row r="94" spans="1:6">
      <c r="A94" s="9" t="s">
        <v>47</v>
      </c>
      <c r="B94" s="9">
        <f>B92/B91</f>
        <v>1.2409638554216866</v>
      </c>
      <c r="C94" s="9" t="s">
        <v>48</v>
      </c>
    </row>
  </sheetData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2020-04-14T12:15:01Z</dcterms:modified>
</cp:coreProperties>
</file>