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Расчет нагрузки" sheetId="9" r:id="rId1"/>
    <sheet name="Расчет ускорения" sheetId="6" r:id="rId2"/>
  </sheets>
  <calcPr calcId="125725"/>
</workbook>
</file>

<file path=xl/calcChain.xml><?xml version="1.0" encoding="utf-8"?>
<calcChain xmlns="http://schemas.openxmlformats.org/spreadsheetml/2006/main">
  <c r="B32" i="9"/>
  <c r="B36"/>
  <c r="B16"/>
  <c r="B67" i="6"/>
  <c r="B77" s="1"/>
  <c r="H35"/>
  <c r="B42" i="9"/>
  <c r="B24"/>
  <c r="C5" i="6"/>
  <c r="C4"/>
  <c r="B8" i="9"/>
  <c r="B18"/>
  <c r="A54" i="6"/>
  <c r="B26" i="9"/>
  <c r="B15"/>
  <c r="B7"/>
  <c r="D6"/>
  <c r="B52" i="6"/>
  <c r="B53" s="1"/>
  <c r="D10" l="1"/>
  <c r="B17" i="9"/>
  <c r="B23" s="1"/>
  <c r="B33" l="1"/>
  <c r="B34"/>
  <c r="B41" s="1"/>
  <c r="E30" i="6"/>
  <c r="C8"/>
  <c r="E25" s="1"/>
  <c r="B40" i="9" l="1"/>
  <c r="B43"/>
  <c r="B45" i="6"/>
  <c r="A52" s="1"/>
  <c r="E52"/>
  <c r="D52" s="1"/>
  <c r="C52" s="1"/>
  <c r="E26"/>
  <c r="E31"/>
  <c r="B68" l="1"/>
  <c r="B47"/>
  <c r="B46"/>
  <c r="A53" s="1"/>
  <c r="D53" s="1"/>
  <c r="C53" s="1"/>
  <c r="E56"/>
  <c r="E54" l="1"/>
  <c r="E57" s="1"/>
  <c r="B69"/>
  <c r="B76" l="1"/>
  <c r="B71"/>
  <c r="D54"/>
  <c r="C54" s="1"/>
  <c r="E60" s="1"/>
  <c r="B83" l="1"/>
  <c r="B84" s="1"/>
  <c r="B78"/>
  <c r="B75"/>
  <c r="E59"/>
  <c r="E62" s="1"/>
  <c r="E63" s="1"/>
</calcChain>
</file>

<file path=xl/comments1.xml><?xml version="1.0" encoding="utf-8"?>
<comments xmlns="http://schemas.openxmlformats.org/spreadsheetml/2006/main">
  <authors>
    <author>Автор</author>
  </authors>
  <commentLis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На разгоне ты можешь развить момент машины равный пиковому при условии, что от источника ты можешь отнять такую мощность и что механика привода выдержит этот момент и ее не свернет. 
По ускорениям. Мс тут нужно понимать не просто как момент обусловленный действием нагрузки, а как суммарный момент от действия нагрузки и трения в системе. В таком случае, выражение e_разгон (max) = (Mpeak – Mc) / Jсумм верное. С торможением аналогично, тут трение суммируется.
Бормотов Артем</t>
        </r>
      </text>
    </comment>
  </commentList>
</comments>
</file>

<file path=xl/sharedStrings.xml><?xml version="1.0" encoding="utf-8"?>
<sst xmlns="http://schemas.openxmlformats.org/spreadsheetml/2006/main" count="177" uniqueCount="128">
  <si>
    <t>об/мин</t>
  </si>
  <si>
    <t>Нм</t>
  </si>
  <si>
    <t>данные для ввода</t>
  </si>
  <si>
    <t>кг*м2</t>
  </si>
  <si>
    <t>Jдв=</t>
  </si>
  <si>
    <t>Jмех.ср=</t>
  </si>
  <si>
    <t>приведенный к валу двиг. момент инерции нагрузки</t>
  </si>
  <si>
    <t>рад/с2</t>
  </si>
  <si>
    <t>1. Расчет максимального ускорения</t>
  </si>
  <si>
    <t>время, с</t>
  </si>
  <si>
    <t>скорость,
 об/мин</t>
  </si>
  <si>
    <t>Ускорение, об/мин2</t>
  </si>
  <si>
    <t>об/мин2</t>
  </si>
  <si>
    <t>об.</t>
  </si>
  <si>
    <t>сек</t>
  </si>
  <si>
    <t>2. Расчет максимального замедления</t>
  </si>
  <si>
    <t>mm</t>
  </si>
  <si>
    <t>J'мех.ср=Jмех.ср/i^2</t>
  </si>
  <si>
    <t>J'summ=J'мех.ср + Jдв</t>
  </si>
  <si>
    <t>Kadd=</t>
  </si>
  <si>
    <t>tacc=</t>
  </si>
  <si>
    <t>n1=</t>
  </si>
  <si>
    <t>n2=</t>
  </si>
  <si>
    <t>начальная скорость ЭД</t>
  </si>
  <si>
    <t>конечная скорость ЭД</t>
  </si>
  <si>
    <t>с</t>
  </si>
  <si>
    <t>tdec=</t>
  </si>
  <si>
    <t>c</t>
  </si>
  <si>
    <t>время торможения</t>
  </si>
  <si>
    <t>4. Расчет циклограммы</t>
  </si>
  <si>
    <t>tadd=</t>
  </si>
  <si>
    <t>ручная добавка к ускорению (для настройки)</t>
  </si>
  <si>
    <t>время разгона+tadd</t>
  </si>
  <si>
    <t>фи/i</t>
  </si>
  <si>
    <t>запас по моменту +25% (выбирается экспертно)</t>
  </si>
  <si>
    <t>Расчет ускорения двигателя</t>
  </si>
  <si>
    <t>суммарный средний J на валу двигателя</t>
  </si>
  <si>
    <t>Режим Полный ход</t>
  </si>
  <si>
    <t>Исходные данные</t>
  </si>
  <si>
    <t>F=</t>
  </si>
  <si>
    <t>Н</t>
  </si>
  <si>
    <t>кгс</t>
  </si>
  <si>
    <t>k=</t>
  </si>
  <si>
    <t>mm/оборот</t>
  </si>
  <si>
    <t>коэфф. РВП ЭМП</t>
  </si>
  <si>
    <t>KPD=</t>
  </si>
  <si>
    <t>прямое КПД ЭМП</t>
  </si>
  <si>
    <t>S=</t>
  </si>
  <si>
    <t>пройденный путь</t>
  </si>
  <si>
    <t>t=</t>
  </si>
  <si>
    <t>s</t>
  </si>
  <si>
    <t>v=</t>
  </si>
  <si>
    <t>mm/s</t>
  </si>
  <si>
    <t>линейная скорость штока ЭМП</t>
  </si>
  <si>
    <t>w=</t>
  </si>
  <si>
    <t>rad/s</t>
  </si>
  <si>
    <t>Km=</t>
  </si>
  <si>
    <t>коэфф запаса по мощности</t>
  </si>
  <si>
    <t>J=</t>
  </si>
  <si>
    <t>кг*м^2</t>
  </si>
  <si>
    <t>момент инерции ЭМ</t>
  </si>
  <si>
    <t>Динамика</t>
  </si>
  <si>
    <t>tраз=</t>
  </si>
  <si>
    <t>время разгона</t>
  </si>
  <si>
    <t>dw/dt=</t>
  </si>
  <si>
    <t>rad/s2</t>
  </si>
  <si>
    <t>ускорение</t>
  </si>
  <si>
    <t>KPD_mot</t>
  </si>
  <si>
    <t>КПД мотора</t>
  </si>
  <si>
    <t>Torq const</t>
  </si>
  <si>
    <t>Nm/A</t>
  </si>
  <si>
    <t>константа ЭД (из pdf двигателя)</t>
  </si>
  <si>
    <t>Mст=</t>
  </si>
  <si>
    <t>н*м</t>
  </si>
  <si>
    <t>статический момент нагрузки на валу ЭД</t>
  </si>
  <si>
    <t>Iдв=</t>
  </si>
  <si>
    <t>Мн=</t>
  </si>
  <si>
    <t>3. Требуемое число оборотов вала двигателя для полного хода штока =</t>
  </si>
  <si>
    <t>Проехали за =</t>
  </si>
  <si>
    <t>средняя скорость штока получилась=</t>
  </si>
  <si>
    <t>мм/сек</t>
  </si>
  <si>
    <t>Ход штока, мм</t>
  </si>
  <si>
    <t>средняя скорость вращения вала ЭД</t>
  </si>
  <si>
    <t>средняя скорость вращения  вала ЭД</t>
  </si>
  <si>
    <r>
      <t xml:space="preserve">Ускорение  превышает </t>
    </r>
    <r>
      <rPr>
        <sz val="11"/>
        <color theme="1"/>
        <rFont val="Calibri"/>
        <family val="2"/>
        <charset val="204"/>
      </rPr>
      <t>ε1?</t>
    </r>
  </si>
  <si>
    <r>
      <t xml:space="preserve">Ускорение  превышает </t>
    </r>
    <r>
      <rPr>
        <sz val="11"/>
        <color theme="1"/>
        <rFont val="Calibri"/>
        <family val="2"/>
        <charset val="204"/>
      </rPr>
      <t>ε2?</t>
    </r>
  </si>
  <si>
    <t>Предварительный расчет нагрузки</t>
  </si>
  <si>
    <t>усилие на штоке (из ТТ)</t>
  </si>
  <si>
    <t>средний приведенный момент инерции нагрузки (из графика, если известно)</t>
  </si>
  <si>
    <t>Число оборотов 
вала двигателя, об</t>
  </si>
  <si>
    <t>(предварительная оценка)</t>
  </si>
  <si>
    <t>номинальный момент двигателя (из pdf)</t>
  </si>
  <si>
    <t>M1=</t>
  </si>
  <si>
    <t>M2=</t>
  </si>
  <si>
    <t>момент на разгоне</t>
  </si>
  <si>
    <t>момент на торможении</t>
  </si>
  <si>
    <t>Mср=</t>
  </si>
  <si>
    <t>средний момент на всем пути</t>
  </si>
  <si>
    <t>время перемещения</t>
  </si>
  <si>
    <t>tравн=</t>
  </si>
  <si>
    <t>время равномерного движения</t>
  </si>
  <si>
    <t>Iразг=</t>
  </si>
  <si>
    <t>Iторм=</t>
  </si>
  <si>
    <t>Iравн=</t>
  </si>
  <si>
    <t>средний ток через обмотки на всем пути (rms)</t>
  </si>
  <si>
    <t>ток через обмотки на разгоне (rms)</t>
  </si>
  <si>
    <t>ток через обмотки на торможении (rms)</t>
  </si>
  <si>
    <t>Arms</t>
  </si>
  <si>
    <t>ток на равномерном участке движения</t>
  </si>
  <si>
    <t>Приведенный к валу ЭД статический момент (из листа "расчёт нагрузки")</t>
  </si>
  <si>
    <t>Успели за 1,5 сек?</t>
  </si>
  <si>
    <t>средняя скорость ЭД получилась=</t>
  </si>
  <si>
    <t>Уточненные Расчеты Моментов и токов</t>
  </si>
  <si>
    <t>tconst=</t>
  </si>
  <si>
    <t>время равномерного движ</t>
  </si>
  <si>
    <t>Предварительные Расчеты моментов и токов (уточненные на листе "Расчет ускорения")</t>
  </si>
  <si>
    <t>Мощности</t>
  </si>
  <si>
    <t>Pмех_равн=</t>
  </si>
  <si>
    <t>Вт</t>
  </si>
  <si>
    <t>Pэл_равн=</t>
  </si>
  <si>
    <t>электрическая мощность на участке равномерного движения</t>
  </si>
  <si>
    <t>мех. мощность на участке равномерного движения</t>
  </si>
  <si>
    <t>Мтр=</t>
  </si>
  <si>
    <t>момент трения механизма (подшипники)</t>
  </si>
  <si>
    <t>e_разг= [Mpeak-Mc-Mтр]/Jсумм</t>
  </si>
  <si>
    <t>e_разг= [Mpeak+Mc+Mтр]/Jсумм</t>
  </si>
  <si>
    <t>Мpeak=</t>
  </si>
  <si>
    <t>пиковый момент двигателя (из pdf)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</si>
</sst>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Fill="1"/>
    <xf numFmtId="1" fontId="0" fillId="0" borderId="1" xfId="0" applyNumberFormat="1" applyBorder="1"/>
    <xf numFmtId="0" fontId="3" fillId="0" borderId="0" xfId="0" applyFont="1"/>
    <xf numFmtId="0" fontId="0" fillId="3" borderId="0" xfId="0" applyFill="1"/>
  </cellXfs>
  <cellStyles count="1">
    <cellStyle name="Обычный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Циклограмма движения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'Расчет ускорения'!$A$51:$A$54</c:f>
              <c:numCache>
                <c:formatCode>General</c:formatCode>
                <c:ptCount val="4"/>
                <c:pt idx="0">
                  <c:v>0</c:v>
                </c:pt>
                <c:pt idx="1">
                  <c:v>0.24217651458489153</c:v>
                </c:pt>
                <c:pt idx="2">
                  <c:v>1.2578234854151085</c:v>
                </c:pt>
                <c:pt idx="3">
                  <c:v>1.57</c:v>
                </c:pt>
              </c:numCache>
            </c:numRef>
          </c:xVal>
          <c:yVal>
            <c:numRef>
              <c:f>'Расчет ускорения'!$B$51:$B$54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1700</c:v>
                </c:pt>
                <c:pt idx="2" formatCode="General">
                  <c:v>1700</c:v>
                </c:pt>
                <c:pt idx="3" formatCode="General">
                  <c:v>0</c:v>
                </c:pt>
              </c:numCache>
            </c:numRef>
          </c:yVal>
        </c:ser>
        <c:axId val="67601536"/>
        <c:axId val="67603456"/>
      </c:scatterChart>
      <c:valAx>
        <c:axId val="67601536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с</a:t>
                </a:r>
              </a:p>
            </c:rich>
          </c:tx>
          <c:layout/>
        </c:title>
        <c:numFmt formatCode="General" sourceLinked="1"/>
        <c:tickLblPos val="nextTo"/>
        <c:crossAx val="67603456"/>
        <c:crosses val="autoZero"/>
        <c:crossBetween val="midCat"/>
      </c:valAx>
      <c:valAx>
        <c:axId val="6760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Скорость АД, об/мин</a:t>
                </a:r>
              </a:p>
            </c:rich>
          </c:tx>
          <c:layout/>
        </c:title>
        <c:numFmt formatCode="General" sourceLinked="1"/>
        <c:tickLblPos val="nextTo"/>
        <c:crossAx val="67601536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561668</xdr:colOff>
      <xdr:row>0</xdr:row>
      <xdr:rowOff>184417</xdr:rowOff>
    </xdr:from>
    <xdr:to>
      <xdr:col>29</xdr:col>
      <xdr:colOff>561667</xdr:colOff>
      <xdr:row>15</xdr:row>
      <xdr:rowOff>124182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7492" y="184417"/>
          <a:ext cx="10286999" cy="2797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345701</xdr:colOff>
      <xdr:row>49</xdr:row>
      <xdr:rowOff>468124</xdr:rowOff>
    </xdr:from>
    <xdr:to>
      <xdr:col>28</xdr:col>
      <xdr:colOff>254933</xdr:colOff>
      <xdr:row>60</xdr:row>
      <xdr:rowOff>80122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96642" y="9612124"/>
          <a:ext cx="8985997" cy="24694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</xdr:colOff>
      <xdr:row>48</xdr:row>
      <xdr:rowOff>152401</xdr:rowOff>
    </xdr:from>
    <xdr:to>
      <xdr:col>5</xdr:col>
      <xdr:colOff>9526</xdr:colOff>
      <xdr:row>49</xdr:row>
      <xdr:rowOff>352425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9900" y="13868401"/>
          <a:ext cx="609600" cy="390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657225</xdr:colOff>
      <xdr:row>47</xdr:row>
      <xdr:rowOff>133350</xdr:rowOff>
    </xdr:from>
    <xdr:to>
      <xdr:col>4</xdr:col>
      <xdr:colOff>95249</xdr:colOff>
      <xdr:row>49</xdr:row>
      <xdr:rowOff>19050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293284" y="9086850"/>
          <a:ext cx="100684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515471</xdr:colOff>
      <xdr:row>46</xdr:row>
      <xdr:rowOff>134470</xdr:rowOff>
    </xdr:from>
    <xdr:to>
      <xdr:col>12</xdr:col>
      <xdr:colOff>398930</xdr:colOff>
      <xdr:row>56</xdr:row>
      <xdr:rowOff>28144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D11" sqref="D11"/>
    </sheetView>
  </sheetViews>
  <sheetFormatPr defaultRowHeight="15"/>
  <cols>
    <col min="1" max="1" width="16" customWidth="1"/>
  </cols>
  <sheetData>
    <row r="1" spans="1:7">
      <c r="A1" t="s">
        <v>86</v>
      </c>
      <c r="F1" s="4"/>
      <c r="G1" t="s">
        <v>2</v>
      </c>
    </row>
    <row r="4" spans="1:7">
      <c r="A4" s="5" t="s">
        <v>37</v>
      </c>
    </row>
    <row r="5" spans="1:7">
      <c r="A5" t="s">
        <v>38</v>
      </c>
    </row>
    <row r="6" spans="1:7">
      <c r="A6" t="s">
        <v>39</v>
      </c>
      <c r="B6" s="4">
        <v>13000</v>
      </c>
      <c r="C6" t="s">
        <v>40</v>
      </c>
      <c r="D6">
        <f>B6/9.8</f>
        <v>1326.5306122448978</v>
      </c>
      <c r="E6" t="s">
        <v>41</v>
      </c>
      <c r="F6" t="s">
        <v>87</v>
      </c>
    </row>
    <row r="7" spans="1:7">
      <c r="A7" t="s">
        <v>42</v>
      </c>
      <c r="B7" s="4">
        <f>2.5</f>
        <v>2.5</v>
      </c>
      <c r="C7" t="s">
        <v>43</v>
      </c>
      <c r="F7" t="s">
        <v>44</v>
      </c>
    </row>
    <row r="8" spans="1:7">
      <c r="A8" t="s">
        <v>45</v>
      </c>
      <c r="B8" s="4">
        <f>0.6</f>
        <v>0.6</v>
      </c>
      <c r="F8" t="s">
        <v>46</v>
      </c>
    </row>
    <row r="9" spans="1:7">
      <c r="A9" t="s">
        <v>76</v>
      </c>
      <c r="B9" s="4">
        <v>21</v>
      </c>
      <c r="C9" t="s">
        <v>1</v>
      </c>
      <c r="D9" t="s">
        <v>91</v>
      </c>
    </row>
    <row r="10" spans="1:7">
      <c r="A10" t="s">
        <v>126</v>
      </c>
      <c r="B10" s="4">
        <v>70</v>
      </c>
      <c r="C10" t="s">
        <v>1</v>
      </c>
      <c r="D10" t="s">
        <v>127</v>
      </c>
    </row>
    <row r="11" spans="1:7">
      <c r="A11" t="s">
        <v>122</v>
      </c>
      <c r="B11" s="4">
        <v>1</v>
      </c>
      <c r="C11" t="s">
        <v>1</v>
      </c>
      <c r="D11" t="s">
        <v>123</v>
      </c>
    </row>
    <row r="13" spans="1:7">
      <c r="A13" t="s">
        <v>47</v>
      </c>
      <c r="B13" s="4">
        <v>84.5</v>
      </c>
      <c r="C13" t="s">
        <v>16</v>
      </c>
      <c r="F13" t="s">
        <v>48</v>
      </c>
    </row>
    <row r="14" spans="1:7">
      <c r="A14" t="s">
        <v>49</v>
      </c>
      <c r="B14" s="4">
        <v>1.5</v>
      </c>
      <c r="C14" t="s">
        <v>50</v>
      </c>
      <c r="F14" t="s">
        <v>98</v>
      </c>
    </row>
    <row r="15" spans="1:7">
      <c r="A15" t="s">
        <v>51</v>
      </c>
      <c r="B15">
        <f>B13/B14</f>
        <v>56.333333333333336</v>
      </c>
      <c r="C15" t="s">
        <v>52</v>
      </c>
      <c r="F15" t="s">
        <v>53</v>
      </c>
    </row>
    <row r="16" spans="1:7">
      <c r="A16" t="s">
        <v>54</v>
      </c>
      <c r="B16">
        <f>(B15/B7)*60</f>
        <v>1352</v>
      </c>
      <c r="C16" t="s">
        <v>0</v>
      </c>
      <c r="F16" t="s">
        <v>82</v>
      </c>
    </row>
    <row r="17" spans="1:12">
      <c r="A17" t="s">
        <v>54</v>
      </c>
      <c r="B17">
        <f>B16/9.55</f>
        <v>141.57068062827224</v>
      </c>
      <c r="C17" t="s">
        <v>55</v>
      </c>
      <c r="F17" t="s">
        <v>83</v>
      </c>
    </row>
    <row r="18" spans="1:12">
      <c r="A18" t="s">
        <v>56</v>
      </c>
      <c r="B18" s="4">
        <f>1</f>
        <v>1</v>
      </c>
      <c r="F18" t="s">
        <v>57</v>
      </c>
    </row>
    <row r="19" spans="1:12">
      <c r="A19" t="s">
        <v>58</v>
      </c>
      <c r="B19" s="4">
        <v>7.3350000000000004E-3</v>
      </c>
      <c r="C19" t="s">
        <v>59</v>
      </c>
      <c r="F19" t="s">
        <v>60</v>
      </c>
      <c r="I19" s="7"/>
      <c r="J19" s="7"/>
      <c r="K19" s="7"/>
      <c r="L19" s="7"/>
    </row>
    <row r="21" spans="1:12">
      <c r="A21" t="s">
        <v>61</v>
      </c>
    </row>
    <row r="22" spans="1:12">
      <c r="A22" t="s">
        <v>62</v>
      </c>
      <c r="B22" s="4">
        <v>0.25</v>
      </c>
      <c r="C22" t="s">
        <v>25</v>
      </c>
      <c r="F22" t="s">
        <v>63</v>
      </c>
      <c r="H22" t="s">
        <v>90</v>
      </c>
      <c r="I22" s="7"/>
      <c r="J22" s="7"/>
    </row>
    <row r="23" spans="1:12">
      <c r="A23" t="s">
        <v>64</v>
      </c>
      <c r="B23">
        <f>B17/B22</f>
        <v>566.28272251308897</v>
      </c>
      <c r="C23" t="s">
        <v>65</v>
      </c>
      <c r="F23" t="s">
        <v>66</v>
      </c>
    </row>
    <row r="24" spans="1:12">
      <c r="A24" t="s">
        <v>99</v>
      </c>
      <c r="B24">
        <f>B14-B22*2</f>
        <v>1</v>
      </c>
      <c r="C24" t="s">
        <v>27</v>
      </c>
      <c r="F24" t="s">
        <v>100</v>
      </c>
    </row>
    <row r="26" spans="1:12">
      <c r="A26" t="s">
        <v>67</v>
      </c>
      <c r="B26" s="4">
        <f>0.85</f>
        <v>0.85</v>
      </c>
      <c r="F26" s="9" t="s">
        <v>68</v>
      </c>
    </row>
    <row r="27" spans="1:12">
      <c r="A27" t="s">
        <v>69</v>
      </c>
      <c r="B27" s="4">
        <v>2.2000000000000002</v>
      </c>
      <c r="C27" t="s">
        <v>70</v>
      </c>
      <c r="F27" t="s">
        <v>71</v>
      </c>
    </row>
    <row r="30" spans="1:12">
      <c r="A30" s="5" t="s">
        <v>115</v>
      </c>
    </row>
    <row r="32" spans="1:12">
      <c r="A32" t="s">
        <v>72</v>
      </c>
      <c r="B32">
        <f>B6*B7*10^(-3)/(2*3.14*B8)</f>
        <v>8.6252653927813174</v>
      </c>
      <c r="C32" t="s">
        <v>73</v>
      </c>
      <c r="D32" t="s">
        <v>74</v>
      </c>
    </row>
    <row r="33" spans="1:4">
      <c r="A33" t="s">
        <v>92</v>
      </c>
      <c r="B33">
        <f>ABS(B19*B23-B32)</f>
        <v>4.4715816231478094</v>
      </c>
      <c r="C33" t="s">
        <v>73</v>
      </c>
      <c r="D33" t="s">
        <v>94</v>
      </c>
    </row>
    <row r="34" spans="1:4">
      <c r="A34" t="s">
        <v>93</v>
      </c>
      <c r="B34">
        <f>B19*B23+B32</f>
        <v>12.778949162414825</v>
      </c>
      <c r="C34" t="s">
        <v>73</v>
      </c>
      <c r="D34" t="s">
        <v>95</v>
      </c>
    </row>
    <row r="36" spans="1:4">
      <c r="A36" s="5" t="s">
        <v>96</v>
      </c>
      <c r="B36" s="5">
        <f>SQRT(  (B33^2*B22+B34^2*B22+B32*B24)/(2*B22+B24)  )</f>
        <v>6.0249155662020284</v>
      </c>
      <c r="C36" s="5" t="s">
        <v>1</v>
      </c>
      <c r="D36" t="s">
        <v>97</v>
      </c>
    </row>
    <row r="37" spans="1:4">
      <c r="A37" s="5"/>
      <c r="B37" s="5"/>
    </row>
    <row r="40" spans="1:4">
      <c r="A40" t="s">
        <v>101</v>
      </c>
      <c r="B40">
        <f>B33/B27/B26</f>
        <v>2.3912201193303795</v>
      </c>
      <c r="C40" t="s">
        <v>107</v>
      </c>
      <c r="D40" t="s">
        <v>105</v>
      </c>
    </row>
    <row r="41" spans="1:4">
      <c r="A41" t="s">
        <v>102</v>
      </c>
      <c r="B41">
        <f>B34/B27/B26</f>
        <v>6.8336626536977665</v>
      </c>
      <c r="C41" t="s">
        <v>107</v>
      </c>
      <c r="D41" t="s">
        <v>106</v>
      </c>
    </row>
    <row r="42" spans="1:4">
      <c r="A42" t="s">
        <v>103</v>
      </c>
      <c r="B42">
        <f>B32/B27/B26</f>
        <v>4.6124413865140728</v>
      </c>
      <c r="C42" t="s">
        <v>107</v>
      </c>
      <c r="D42" t="s">
        <v>108</v>
      </c>
    </row>
    <row r="43" spans="1:4">
      <c r="A43" t="s">
        <v>75</v>
      </c>
      <c r="B43" s="10">
        <f>(B36/B26)/B27</f>
        <v>3.2218799819262185</v>
      </c>
      <c r="C43" t="s">
        <v>107</v>
      </c>
      <c r="D43" t="s">
        <v>104</v>
      </c>
    </row>
  </sheetData>
  <conditionalFormatting sqref="H27">
    <cfRule type="containsText" dxfId="1" priority="1" operator="containsText" text="ДА">
      <formula>NOT(ISERROR(SEARCH("ДА",H27)))</formula>
    </cfRule>
    <cfRule type="containsText" dxfId="0" priority="2" operator="containsText" text="НЕТ">
      <formula>NOT(ISERROR(SEARCH("НЕТ",H27)))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topLeftCell="A4" zoomScale="85" zoomScaleNormal="85" workbookViewId="0">
      <selection activeCell="J35" sqref="J35"/>
    </sheetView>
  </sheetViews>
  <sheetFormatPr defaultRowHeight="15"/>
  <cols>
    <col min="1" max="1" width="11.5703125" customWidth="1"/>
    <col min="2" max="2" width="14" customWidth="1"/>
    <col min="3" max="3" width="11.5703125" customWidth="1"/>
    <col min="4" max="4" width="12" bestFit="1" customWidth="1"/>
  </cols>
  <sheetData>
    <row r="1" spans="1:6">
      <c r="A1" t="s">
        <v>35</v>
      </c>
      <c r="D1" s="4"/>
      <c r="E1" t="s">
        <v>2</v>
      </c>
    </row>
    <row r="3" spans="1:6">
      <c r="A3" t="s">
        <v>5</v>
      </c>
      <c r="C3" s="4">
        <v>0</v>
      </c>
      <c r="D3" t="s">
        <v>3</v>
      </c>
      <c r="E3" t="s">
        <v>88</v>
      </c>
    </row>
    <row r="4" spans="1:6">
      <c r="A4" t="s">
        <v>17</v>
      </c>
      <c r="B4" s="7"/>
      <c r="C4" s="7">
        <f>C3/'Расчет нагрузки'!B7^2</f>
        <v>0</v>
      </c>
      <c r="D4" s="7" t="s">
        <v>3</v>
      </c>
      <c r="E4" s="7" t="s">
        <v>6</v>
      </c>
    </row>
    <row r="5" spans="1:6">
      <c r="A5" t="s">
        <v>4</v>
      </c>
      <c r="C5" s="7">
        <f>'Расчет нагрузки'!B19</f>
        <v>7.3350000000000004E-3</v>
      </c>
      <c r="D5" t="s">
        <v>3</v>
      </c>
    </row>
    <row r="6" spans="1:6">
      <c r="C6" s="7"/>
    </row>
    <row r="7" spans="1:6">
      <c r="B7" s="7"/>
      <c r="E7" s="7"/>
    </row>
    <row r="8" spans="1:6">
      <c r="A8" t="s">
        <v>18</v>
      </c>
      <c r="C8">
        <f>C4+C5</f>
        <v>7.3350000000000004E-3</v>
      </c>
      <c r="D8" t="s">
        <v>3</v>
      </c>
      <c r="E8" s="7" t="s">
        <v>36</v>
      </c>
    </row>
    <row r="9" spans="1:6">
      <c r="E9" s="7"/>
    </row>
    <row r="10" spans="1:6">
      <c r="A10" t="s">
        <v>72</v>
      </c>
      <c r="D10" s="7">
        <f>'Расчет нагрузки'!B32</f>
        <v>8.6252653927813174</v>
      </c>
      <c r="E10" t="s">
        <v>1</v>
      </c>
      <c r="F10" t="s">
        <v>109</v>
      </c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21" spans="1:11">
      <c r="A21" t="s">
        <v>19</v>
      </c>
      <c r="D21" s="4">
        <v>1</v>
      </c>
      <c r="F21" t="s">
        <v>34</v>
      </c>
    </row>
    <row r="23" spans="1:11">
      <c r="A23" t="s">
        <v>8</v>
      </c>
      <c r="E23" s="2"/>
    </row>
    <row r="25" spans="1:11">
      <c r="B25" t="s">
        <v>124</v>
      </c>
      <c r="E25">
        <f xml:space="preserve"> ('Расчет ускорения'!B9+'Расчет ускорения'!D10)/'Расчет ускорения'!C8</f>
        <v>1175.9053023560077</v>
      </c>
      <c r="F25" t="s">
        <v>7</v>
      </c>
      <c r="G25" s="3"/>
    </row>
    <row r="26" spans="1:11">
      <c r="E26">
        <f>E25*572.95</f>
        <v>673734.94298487471</v>
      </c>
      <c r="F26" t="s">
        <v>12</v>
      </c>
    </row>
    <row r="28" spans="1:11">
      <c r="A28" t="s">
        <v>15</v>
      </c>
    </row>
    <row r="30" spans="1:11">
      <c r="B30" t="s">
        <v>125</v>
      </c>
      <c r="E30">
        <f>ABS(('Расчет ускорения'!B9-'Расчет ускорения'!D10)/'Расчет ускорения'!C8)</f>
        <v>1175.9053023560077</v>
      </c>
      <c r="F30" t="s">
        <v>7</v>
      </c>
      <c r="G30" s="3"/>
    </row>
    <row r="31" spans="1:11">
      <c r="E31">
        <f>E30*572.95</f>
        <v>673734.94298487471</v>
      </c>
      <c r="F31" t="s">
        <v>12</v>
      </c>
    </row>
    <row r="35" spans="1:9">
      <c r="A35" t="s">
        <v>77</v>
      </c>
      <c r="H35">
        <f>'Расчет нагрузки'!B13/'Расчет нагрузки'!B7</f>
        <v>33.799999999999997</v>
      </c>
      <c r="I35" s="2" t="s">
        <v>13</v>
      </c>
    </row>
    <row r="36" spans="1:9">
      <c r="E36" s="7"/>
      <c r="F36" s="2"/>
    </row>
    <row r="38" spans="1:9">
      <c r="A38" t="s">
        <v>29</v>
      </c>
    </row>
    <row r="41" spans="1:9">
      <c r="A41" t="s">
        <v>21</v>
      </c>
      <c r="B41">
        <v>0</v>
      </c>
      <c r="C41" t="s">
        <v>0</v>
      </c>
      <c r="D41" t="s">
        <v>23</v>
      </c>
    </row>
    <row r="42" spans="1:9">
      <c r="A42" t="s">
        <v>22</v>
      </c>
      <c r="B42" s="4">
        <v>1700</v>
      </c>
      <c r="C42" t="s">
        <v>0</v>
      </c>
      <c r="D42" t="s">
        <v>24</v>
      </c>
    </row>
    <row r="43" spans="1:9">
      <c r="A43" t="s">
        <v>30</v>
      </c>
      <c r="B43">
        <v>0.18</v>
      </c>
      <c r="C43" t="s">
        <v>27</v>
      </c>
      <c r="D43" t="s">
        <v>31</v>
      </c>
    </row>
    <row r="45" spans="1:9">
      <c r="A45" t="s">
        <v>20</v>
      </c>
      <c r="B45">
        <f>C8*(B42-B41)/(('Расчет нагрузки'!B9)*9.55)+B43</f>
        <v>0.24217651458489153</v>
      </c>
      <c r="C45" t="s">
        <v>25</v>
      </c>
      <c r="D45" t="s">
        <v>32</v>
      </c>
    </row>
    <row r="46" spans="1:9">
      <c r="A46" t="s">
        <v>26</v>
      </c>
      <c r="B46">
        <f>B45</f>
        <v>0.24217651458489153</v>
      </c>
      <c r="C46" t="s">
        <v>27</v>
      </c>
      <c r="D46" t="s">
        <v>28</v>
      </c>
    </row>
    <row r="47" spans="1:9">
      <c r="A47" t="s">
        <v>113</v>
      </c>
      <c r="B47">
        <f>'Расчет нагрузки'!B14-('Расчет ускорения'!B45+'Расчет ускорения'!B46)</f>
        <v>1.0156469708302169</v>
      </c>
      <c r="C47" t="s">
        <v>25</v>
      </c>
      <c r="D47" t="s">
        <v>114</v>
      </c>
    </row>
    <row r="49" spans="1:6">
      <c r="C49" t="s">
        <v>33</v>
      </c>
    </row>
    <row r="50" spans="1:6" ht="75">
      <c r="A50" s="1" t="s">
        <v>9</v>
      </c>
      <c r="B50" s="6" t="s">
        <v>10</v>
      </c>
      <c r="C50" s="6" t="s">
        <v>81</v>
      </c>
      <c r="D50" s="6" t="s">
        <v>89</v>
      </c>
      <c r="E50" s="6" t="s">
        <v>11</v>
      </c>
    </row>
    <row r="51" spans="1:6">
      <c r="A51" s="1">
        <v>0</v>
      </c>
      <c r="B51" s="1">
        <v>0</v>
      </c>
      <c r="C51" s="1">
        <v>0</v>
      </c>
      <c r="D51" s="1">
        <v>0</v>
      </c>
      <c r="E51" s="1">
        <v>0</v>
      </c>
    </row>
    <row r="52" spans="1:6">
      <c r="A52" s="1">
        <f>B45</f>
        <v>0.24217651458489153</v>
      </c>
      <c r="B52" s="8">
        <f>B42</f>
        <v>1700</v>
      </c>
      <c r="C52" s="1">
        <f>D52*'Расчет нагрузки'!$B$7</f>
        <v>8.5770848915482407</v>
      </c>
      <c r="D52" s="1">
        <f>B51*A51/60+E52*(B45/60)^2/2</f>
        <v>3.4308339566192965</v>
      </c>
      <c r="E52" s="1">
        <f>(B52-B51)/(B45/60)</f>
        <v>421180.39470026875</v>
      </c>
    </row>
    <row r="53" spans="1:6">
      <c r="A53" s="1">
        <f>1.5-B46</f>
        <v>1.2578234854151085</v>
      </c>
      <c r="B53" s="1">
        <f>B52</f>
        <v>1700</v>
      </c>
      <c r="C53" s="1">
        <f>D53*'Расчет нагрузки'!$B$7</f>
        <v>80.518745325355283</v>
      </c>
      <c r="D53" s="1">
        <f>D52+B53*(A53-A52)/60</f>
        <v>32.207498130142113</v>
      </c>
      <c r="E53" s="1">
        <v>0</v>
      </c>
    </row>
    <row r="54" spans="1:6">
      <c r="A54" s="1">
        <f>1.57</f>
        <v>1.57</v>
      </c>
      <c r="B54" s="1">
        <v>0</v>
      </c>
      <c r="C54" s="1">
        <f>D54*'Расчет нагрузки'!$B$7</f>
        <v>89.095830216903522</v>
      </c>
      <c r="D54" s="1">
        <f>D53+B53*(B46)/60+E54*(B46/60)^2/2</f>
        <v>35.638332086761409</v>
      </c>
      <c r="E54" s="1">
        <f>(B54-B53)/((B46)/60)</f>
        <v>-421180.39470026875</v>
      </c>
    </row>
    <row r="56" spans="1:6">
      <c r="A56" t="s">
        <v>84</v>
      </c>
      <c r="E56" t="str">
        <f>IF(E52&gt;E26,"ДА","НЕТ")</f>
        <v>НЕТ</v>
      </c>
    </row>
    <row r="57" spans="1:6">
      <c r="A57" t="s">
        <v>85</v>
      </c>
      <c r="E57" t="str">
        <f>IF(ABS(E54)&gt;E31,"ДА","НЕТ")</f>
        <v>НЕТ</v>
      </c>
    </row>
    <row r="59" spans="1:6">
      <c r="A59" t="s">
        <v>111</v>
      </c>
      <c r="E59">
        <f>D54/(A54/60)</f>
        <v>1361.9744746533022</v>
      </c>
      <c r="F59" t="s">
        <v>0</v>
      </c>
    </row>
    <row r="60" spans="1:6">
      <c r="A60" t="s">
        <v>79</v>
      </c>
      <c r="E60">
        <f>C54/A54</f>
        <v>56.748936443887594</v>
      </c>
      <c r="F60" t="s">
        <v>80</v>
      </c>
    </row>
    <row r="62" spans="1:6">
      <c r="A62" t="s">
        <v>78</v>
      </c>
      <c r="E62">
        <f>H35/E59*60</f>
        <v>1.4890146898797334</v>
      </c>
      <c r="F62" t="s">
        <v>14</v>
      </c>
    </row>
    <row r="63" spans="1:6">
      <c r="A63" t="s">
        <v>110</v>
      </c>
      <c r="E63" t="str">
        <f>IF(E62&lt;1.5,"ДА","НЕТ")</f>
        <v>ДА</v>
      </c>
    </row>
    <row r="65" spans="1:4">
      <c r="A65" s="5" t="s">
        <v>112</v>
      </c>
    </row>
    <row r="67" spans="1:4">
      <c r="A67" t="s">
        <v>72</v>
      </c>
      <c r="B67">
        <f>'Расчет нагрузки'!B32</f>
        <v>8.6252653927813174</v>
      </c>
      <c r="C67" t="s">
        <v>73</v>
      </c>
      <c r="D67" t="s">
        <v>74</v>
      </c>
    </row>
    <row r="68" spans="1:4">
      <c r="A68" t="s">
        <v>92</v>
      </c>
      <c r="B68">
        <f>ABS(C8*B42/B45/9.55-B67)</f>
        <v>3.2337153140265693</v>
      </c>
      <c r="C68" t="s">
        <v>73</v>
      </c>
      <c r="D68" t="s">
        <v>94</v>
      </c>
    </row>
    <row r="69" spans="1:4">
      <c r="A69" t="s">
        <v>93</v>
      </c>
      <c r="B69">
        <f>C8*B42/B46/9.55+B67</f>
        <v>14.016815471536066</v>
      </c>
      <c r="C69" t="s">
        <v>73</v>
      </c>
      <c r="D69" t="s">
        <v>95</v>
      </c>
    </row>
    <row r="71" spans="1:4">
      <c r="A71" s="5" t="s">
        <v>96</v>
      </c>
      <c r="B71" s="5">
        <f>SQRT(  (B68^2*B45+B69^2*B46+B67^2*B47)/(B45+B46+B47)  )</f>
        <v>9.153227915599139</v>
      </c>
      <c r="C71" s="5" t="s">
        <v>1</v>
      </c>
      <c r="D71" t="s">
        <v>97</v>
      </c>
    </row>
    <row r="72" spans="1:4">
      <c r="A72" s="5"/>
      <c r="B72" s="5"/>
    </row>
    <row r="75" spans="1:4">
      <c r="A75" t="s">
        <v>101</v>
      </c>
      <c r="B75">
        <f>B71/'Расчет нагрузки'!B27/'Расчет нагрузки'!B26</f>
        <v>4.8947742864166512</v>
      </c>
      <c r="C75" t="s">
        <v>107</v>
      </c>
      <c r="D75" t="s">
        <v>105</v>
      </c>
    </row>
    <row r="76" spans="1:4">
      <c r="A76" t="s">
        <v>102</v>
      </c>
      <c r="B76">
        <f>B69/'Расчет нагрузки'!B27/'Расчет нагрузки'!B26</f>
        <v>7.4956232468107302</v>
      </c>
      <c r="C76" t="s">
        <v>107</v>
      </c>
      <c r="D76" t="s">
        <v>106</v>
      </c>
    </row>
    <row r="77" spans="1:4">
      <c r="A77" t="s">
        <v>103</v>
      </c>
      <c r="B77">
        <f>B67/'Расчет нагрузки'!B27/'Расчет нагрузки'!B26</f>
        <v>4.6124413865140728</v>
      </c>
      <c r="C77" t="s">
        <v>107</v>
      </c>
      <c r="D77" t="s">
        <v>108</v>
      </c>
    </row>
    <row r="78" spans="1:4">
      <c r="A78" t="s">
        <v>75</v>
      </c>
      <c r="B78" s="10">
        <f>B71/'Расчет нагрузки'!B27/'Расчет нагрузки'!B26</f>
        <v>4.8947742864166512</v>
      </c>
      <c r="C78" t="s">
        <v>107</v>
      </c>
      <c r="D78" t="s">
        <v>104</v>
      </c>
    </row>
    <row r="81" spans="1:4">
      <c r="A81" t="s">
        <v>116</v>
      </c>
    </row>
    <row r="83" spans="1:4">
      <c r="A83" t="s">
        <v>117</v>
      </c>
      <c r="B83">
        <f>B42/9.55*B71</f>
        <v>1629.3704142951344</v>
      </c>
      <c r="C83" t="s">
        <v>118</v>
      </c>
      <c r="D83" t="s">
        <v>121</v>
      </c>
    </row>
    <row r="84" spans="1:4">
      <c r="A84" t="s">
        <v>119</v>
      </c>
      <c r="B84">
        <f>B83/'Расчет нагрузки'!B26</f>
        <v>1916.9063697589818</v>
      </c>
      <c r="C84" t="s">
        <v>118</v>
      </c>
      <c r="D84" t="s">
        <v>120</v>
      </c>
    </row>
  </sheetData>
  <conditionalFormatting sqref="E56:E57">
    <cfRule type="containsText" dxfId="9" priority="13" operator="containsText" text="НЕТ">
      <formula>NOT(ISERROR(SEARCH("НЕТ",E56)))</formula>
    </cfRule>
    <cfRule type="containsText" dxfId="8" priority="14" operator="containsText" text="ДА">
      <formula>NOT(ISERROR(SEARCH("ДА",E56)))</formula>
    </cfRule>
  </conditionalFormatting>
  <conditionalFormatting sqref="E63">
    <cfRule type="containsText" dxfId="7" priority="11" operator="containsText" text="НЕТ">
      <formula>NOT(ISERROR(SEARCH("НЕТ",E63)))</formula>
    </cfRule>
    <cfRule type="containsText" dxfId="6" priority="12" operator="containsText" text="ДА">
      <formula>NOT(ISERROR(SEARCH("ДА",E63)))</formula>
    </cfRule>
  </conditionalFormatting>
  <conditionalFormatting sqref="E52">
    <cfRule type="cellIs" dxfId="5" priority="23" operator="greaterThan">
      <formula>$E$26</formula>
    </cfRule>
    <cfRule type="cellIs" dxfId="4" priority="24" operator="lessThan">
      <formula>$E$26</formula>
    </cfRule>
    <cfRule type="cellIs" dxfId="3" priority="25" operator="lessThan">
      <formula>456000</formula>
    </cfRule>
    <cfRule type="cellIs" dxfId="2" priority="26" operator="greaterThan">
      <formula>$E$26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нагрузки</vt:lpstr>
      <vt:lpstr>Расчет ускорения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Расчет характеристик синхронного двигателя</dc:title>
  <dc:creator/>
  <dc:description/>
  <cp:lastModifiedBy/>
  <dcterms:created xsi:type="dcterms:W3CDTF">2006-09-28T05:33:49Z</dcterms:created>
  <dcterms:modified xsi:type="dcterms:W3CDTF">2020-04-08T09:39:54Z</dcterms:modified>
</cp:coreProperties>
</file>