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188"/>
  </bookViews>
  <sheets>
    <sheet name="Main" sheetId="1" r:id="rId1"/>
    <sheet name="Variable Kt" sheetId="2" r:id="rId2"/>
  </sheets>
  <definedNames>
    <definedName name="_xlnm.Print_Area" localSheetId="0">Main!$A$1:$W$54</definedName>
  </definedNames>
  <calcPr calcId="125725"/>
</workbook>
</file>

<file path=xl/calcChain.xml><?xml version="1.0" encoding="utf-8"?>
<calcChain xmlns="http://schemas.openxmlformats.org/spreadsheetml/2006/main">
  <c r="L6" i="1"/>
  <c r="L7"/>
  <c r="L8"/>
  <c r="L9"/>
  <c r="L5"/>
  <c r="N18" l="1"/>
  <c r="N17"/>
  <c r="L23" l="1"/>
  <c r="C10" l="1"/>
  <c r="E10"/>
  <c r="F10"/>
  <c r="P10" s="1"/>
  <c r="C11"/>
  <c r="D11"/>
  <c r="F11" s="1"/>
  <c r="P11" s="1"/>
  <c r="I24"/>
  <c r="G10" l="1"/>
  <c r="H10" s="1"/>
  <c r="J10" s="1"/>
  <c r="E11"/>
  <c r="G11" s="1"/>
  <c r="H11" s="1"/>
  <c r="J11" s="1"/>
  <c r="D5"/>
  <c r="E5" s="1"/>
  <c r="B9"/>
  <c r="B8"/>
  <c r="D7"/>
  <c r="D8"/>
  <c r="B13"/>
  <c r="B12"/>
  <c r="D12"/>
  <c r="B7"/>
  <c r="C7" s="1"/>
  <c r="B6"/>
  <c r="C6" s="1"/>
  <c r="D6"/>
  <c r="E6" s="1"/>
  <c r="C9" i="2"/>
  <c r="D17" s="1"/>
  <c r="D15"/>
  <c r="B6"/>
  <c r="B9"/>
  <c r="F21" i="1" l="1"/>
  <c r="D16" i="2"/>
  <c r="B21" i="1"/>
  <c r="D18" i="2"/>
  <c r="F17" s="1"/>
  <c r="B22" i="1"/>
  <c r="D28"/>
  <c r="I21" l="1"/>
  <c r="I20"/>
  <c r="K25" s="1"/>
  <c r="E16" i="2"/>
  <c r="B23" i="1"/>
  <c r="C13"/>
  <c r="E13"/>
  <c r="E12"/>
  <c r="E8"/>
  <c r="E7"/>
  <c r="C12"/>
  <c r="C9"/>
  <c r="C8"/>
  <c r="D17"/>
  <c r="K26" l="1"/>
  <c r="L25"/>
  <c r="M25" s="1"/>
  <c r="L26" s="1"/>
  <c r="K10"/>
  <c r="M10" s="1"/>
  <c r="R10" s="1"/>
  <c r="K11"/>
  <c r="M11" s="1"/>
  <c r="R11" s="1"/>
  <c r="S11" s="1"/>
  <c r="K5"/>
  <c r="K6"/>
  <c r="K13"/>
  <c r="K12"/>
  <c r="K7"/>
  <c r="K8"/>
  <c r="K9"/>
  <c r="N14"/>
  <c r="F13"/>
  <c r="P13" s="1"/>
  <c r="G13"/>
  <c r="H13" s="1"/>
  <c r="J13" s="1"/>
  <c r="G12"/>
  <c r="F12"/>
  <c r="P12" s="1"/>
  <c r="F9"/>
  <c r="P9" s="1"/>
  <c r="E9"/>
  <c r="G9" s="1"/>
  <c r="G8"/>
  <c r="H8" s="1"/>
  <c r="J8" s="1"/>
  <c r="F8"/>
  <c r="P8" s="1"/>
  <c r="F7"/>
  <c r="P7" s="1"/>
  <c r="O6"/>
  <c r="O7" s="1"/>
  <c r="O8" s="1"/>
  <c r="F6"/>
  <c r="P6" s="1"/>
  <c r="F5"/>
  <c r="P5" s="1"/>
  <c r="C5"/>
  <c r="G5" s="1"/>
  <c r="H5" s="1"/>
  <c r="J5" s="1"/>
  <c r="V10" l="1"/>
  <c r="W10" s="1"/>
  <c r="R17"/>
  <c r="O9"/>
  <c r="O10" s="1"/>
  <c r="S10"/>
  <c r="T10" s="1"/>
  <c r="T11"/>
  <c r="M13"/>
  <c r="R13" s="1"/>
  <c r="S13" s="1"/>
  <c r="M8"/>
  <c r="R8" s="1"/>
  <c r="M5"/>
  <c r="R5" s="1"/>
  <c r="H12"/>
  <c r="J12" s="1"/>
  <c r="M12" s="1"/>
  <c r="R12" s="1"/>
  <c r="H9"/>
  <c r="J9" s="1"/>
  <c r="M18"/>
  <c r="M17"/>
  <c r="G6"/>
  <c r="H6" s="1"/>
  <c r="J6" s="1"/>
  <c r="M6" s="1"/>
  <c r="R6" s="1"/>
  <c r="G7"/>
  <c r="H7" s="1"/>
  <c r="J7" s="1"/>
  <c r="M7" s="1"/>
  <c r="R7" s="1"/>
  <c r="S7" s="1"/>
  <c r="P14"/>
  <c r="S8" l="1"/>
  <c r="V8"/>
  <c r="W8" s="1"/>
  <c r="S5"/>
  <c r="W5"/>
  <c r="W7"/>
  <c r="S12"/>
  <c r="T12" s="1"/>
  <c r="V12"/>
  <c r="W12" s="1"/>
  <c r="S6"/>
  <c r="T6" s="1"/>
  <c r="V6"/>
  <c r="W6" s="1"/>
  <c r="O11"/>
  <c r="O12" s="1"/>
  <c r="M9"/>
  <c r="R9" s="1"/>
  <c r="S9" s="1"/>
  <c r="T8"/>
  <c r="T13"/>
  <c r="T7"/>
  <c r="W9" l="1"/>
  <c r="O13"/>
  <c r="O14" s="1"/>
  <c r="W13" s="1"/>
  <c r="W11"/>
  <c r="T5"/>
  <c r="T9"/>
  <c r="W14" l="1"/>
  <c r="T14"/>
  <c r="F36" l="1"/>
  <c r="F37" l="1"/>
  <c r="F38"/>
</calcChain>
</file>

<file path=xl/comments1.xml><?xml version="1.0" encoding="utf-8"?>
<comments xmlns="http://schemas.openxmlformats.org/spreadsheetml/2006/main">
  <authors>
    <author>Автор</author>
  </authors>
  <commentList>
    <comment ref="I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Знак показывает направление действия усилия
"-" - векторы усилия и скорости штока сонаправлены
"+" - векторы усилия и скорости штока разнонаправлены
Данная схема принята из конструкторской реализации стенда.</t>
        </r>
      </text>
    </commen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Не использую трение
</t>
        </r>
      </text>
    </comment>
    <comment ref="B18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0,86 - для 12,5 мм/об
0,786 - для 5 мм/об</t>
        </r>
      </text>
    </comment>
    <comment ref="B19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0,837 - для 12,5 мм/об
0,728 - для 5 мм/об
</t>
        </r>
      </text>
    </comment>
    <comment ref="B2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0,525 - по результатам испытаний с постоянной скоростью вращения
0,739 - по результатам испытаний с мотором с одной фазой
0,633 - по результатам испытаний мотора на нагрузку 19,6 кН (ток 11А). Время нарастания тока сварки 40 мс, компенсация тока 22%
0,630 - по результатам измерения цикла 22 кН, 17 сварок, 13 А ток. Компенсация тока 20%, температура 115 град.
0,615 - по результатам измерения цикла 21 кН, 20 сварок, 12,05 А ток. Компенсация тока 22%, температура 115 град.
0,633 - по результатам Comau (12,5 мм/об), усилие 7900, ток сварки 10,5 А, температура корпуса 75 град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B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Максимальная допустимая температура мотора, обусловленная ТИ обмотки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Значения величин  момента, где определено падение Kt</t>
        </r>
      </text>
    </comment>
  </commentList>
</comments>
</file>

<file path=xl/sharedStrings.xml><?xml version="1.0" encoding="utf-8"?>
<sst xmlns="http://schemas.openxmlformats.org/spreadsheetml/2006/main" count="128" uniqueCount="94">
  <si>
    <t>№</t>
  </si>
  <si>
    <t>Начальная скорость</t>
  </si>
  <si>
    <t>Конечная скорость</t>
  </si>
  <si>
    <t>Ускорение/
Замедление</t>
  </si>
  <si>
    <t>Усилие</t>
  </si>
  <si>
    <t>Расстояние</t>
  </si>
  <si>
    <t>мм/с</t>
  </si>
  <si>
    <t>об/мин</t>
  </si>
  <si>
    <t>мм/с2</t>
  </si>
  <si>
    <t>(об/мин)/с</t>
  </si>
  <si>
    <t>Н</t>
  </si>
  <si>
    <t>с</t>
  </si>
  <si>
    <t>мм</t>
  </si>
  <si>
    <t>Подход</t>
  </si>
  <si>
    <t>Отход</t>
  </si>
  <si>
    <t>мм/об</t>
  </si>
  <si>
    <t>м/об</t>
  </si>
  <si>
    <t>η→</t>
  </si>
  <si>
    <t>η←</t>
  </si>
  <si>
    <t>Нм</t>
  </si>
  <si>
    <t>рад/с2</t>
  </si>
  <si>
    <t>Сумма данных</t>
  </si>
  <si>
    <r>
      <t>J</t>
    </r>
    <r>
      <rPr>
        <sz val="8"/>
        <color theme="1"/>
        <rFont val="Calibri"/>
        <family val="2"/>
        <charset val="204"/>
        <scheme val="minor"/>
      </rPr>
      <t>EMA</t>
    </r>
  </si>
  <si>
    <r>
      <t>Нм/А</t>
    </r>
    <r>
      <rPr>
        <sz val="8"/>
        <color theme="1"/>
        <rFont val="Calibri"/>
        <family val="2"/>
        <charset val="204"/>
        <scheme val="minor"/>
      </rPr>
      <t>rms</t>
    </r>
  </si>
  <si>
    <t>Момент статич.</t>
  </si>
  <si>
    <t>Момент динамич.</t>
  </si>
  <si>
    <t>Момент суммарн.</t>
  </si>
  <si>
    <t>Ток</t>
  </si>
  <si>
    <r>
      <t>K</t>
    </r>
    <r>
      <rPr>
        <sz val="8"/>
        <color theme="1"/>
        <rFont val="Calibri"/>
        <family val="2"/>
        <charset val="204"/>
        <scheme val="minor"/>
      </rPr>
      <t>t</t>
    </r>
  </si>
  <si>
    <r>
      <t>K</t>
    </r>
    <r>
      <rPr>
        <sz val="8"/>
        <color theme="1"/>
        <rFont val="Calibri"/>
        <family val="2"/>
        <charset val="204"/>
        <scheme val="minor"/>
      </rPr>
      <t>rvp</t>
    </r>
  </si>
  <si>
    <t>Ом</t>
  </si>
  <si>
    <r>
      <t>А</t>
    </r>
    <r>
      <rPr>
        <sz val="8"/>
        <color theme="1"/>
        <rFont val="Calibri"/>
        <family val="2"/>
        <charset val="204"/>
        <scheme val="minor"/>
      </rPr>
      <t>rms</t>
    </r>
  </si>
  <si>
    <t>Длительность</t>
  </si>
  <si>
    <t>Омические потери</t>
  </si>
  <si>
    <t>Вт</t>
  </si>
  <si>
    <r>
      <t>R</t>
    </r>
    <r>
      <rPr>
        <sz val="8"/>
        <color theme="1"/>
        <rFont val="Calibri"/>
        <family val="2"/>
        <charset val="204"/>
        <scheme val="minor"/>
      </rPr>
      <t>ф25</t>
    </r>
  </si>
  <si>
    <r>
      <t>R</t>
    </r>
    <r>
      <rPr>
        <sz val="8"/>
        <color theme="1"/>
        <rFont val="Calibri"/>
        <family val="2"/>
        <charset val="204"/>
        <scheme val="minor"/>
      </rPr>
      <t>фtemp</t>
    </r>
  </si>
  <si>
    <t>°C</t>
  </si>
  <si>
    <t>Время (шкала)</t>
  </si>
  <si>
    <r>
      <t>t</t>
    </r>
    <r>
      <rPr>
        <sz val="8"/>
        <color theme="1"/>
        <rFont val="Calibri"/>
        <family val="2"/>
        <charset val="204"/>
        <scheme val="minor"/>
      </rPr>
      <t>полн.цикл</t>
    </r>
  </si>
  <si>
    <t>Результаты</t>
  </si>
  <si>
    <t>Суммарная мощность потерь</t>
  </si>
  <si>
    <t>Входные параметры</t>
  </si>
  <si>
    <t>Примеч.</t>
  </si>
  <si>
    <r>
      <t>R</t>
    </r>
    <r>
      <rPr>
        <sz val="8"/>
        <color theme="1"/>
        <rFont val="Calibri"/>
        <family val="2"/>
        <charset val="204"/>
        <scheme val="minor"/>
      </rPr>
      <t>th</t>
    </r>
  </si>
  <si>
    <t>°С/Вт</t>
  </si>
  <si>
    <r>
      <t>temp</t>
    </r>
    <r>
      <rPr>
        <sz val="8"/>
        <color theme="1"/>
        <rFont val="Calibri"/>
        <family val="2"/>
        <charset val="204"/>
        <scheme val="minor"/>
      </rPr>
      <t>Ohm</t>
    </r>
  </si>
  <si>
    <r>
      <t>t</t>
    </r>
    <r>
      <rPr>
        <sz val="8"/>
        <color theme="1"/>
        <rFont val="Calibri"/>
        <family val="2"/>
        <charset val="204"/>
        <scheme val="minor"/>
      </rPr>
      <t>окр.ср.</t>
    </r>
  </si>
  <si>
    <t>Средняя омическая  мощность</t>
  </si>
  <si>
    <t>f</t>
  </si>
  <si>
    <t>Добав. потери</t>
  </si>
  <si>
    <t>Ср. мощн. доб. пот</t>
  </si>
  <si>
    <r>
      <t>B</t>
    </r>
    <r>
      <rPr>
        <sz val="8"/>
        <color theme="1"/>
        <rFont val="Calibri"/>
        <family val="2"/>
        <charset val="204"/>
        <scheme val="minor"/>
      </rPr>
      <t>m</t>
    </r>
  </si>
  <si>
    <r>
      <t>B</t>
    </r>
    <r>
      <rPr>
        <sz val="8"/>
        <color theme="1"/>
        <rFont val="Calibri"/>
        <family val="2"/>
        <charset val="204"/>
        <scheme val="minor"/>
      </rPr>
      <t>0</t>
    </r>
  </si>
  <si>
    <r>
      <t>B</t>
    </r>
    <r>
      <rPr>
        <sz val="8"/>
        <color theme="1"/>
        <rFont val="Calibri"/>
        <family val="2"/>
        <charset val="204"/>
        <scheme val="minor"/>
      </rPr>
      <t>п</t>
    </r>
  </si>
  <si>
    <r>
      <t>I</t>
    </r>
    <r>
      <rPr>
        <sz val="8"/>
        <color theme="1"/>
        <rFont val="Calibri"/>
        <family val="2"/>
        <charset val="204"/>
        <scheme val="minor"/>
      </rPr>
      <t>ном</t>
    </r>
  </si>
  <si>
    <r>
      <t>I</t>
    </r>
    <r>
      <rPr>
        <sz val="8"/>
        <color theme="1"/>
        <rFont val="Calibri"/>
        <family val="2"/>
        <charset val="204"/>
        <scheme val="minor"/>
      </rPr>
      <t>пик</t>
    </r>
  </si>
  <si>
    <r>
      <t>I</t>
    </r>
    <r>
      <rPr>
        <sz val="8"/>
        <color theme="1"/>
        <rFont val="Calibri"/>
        <family val="2"/>
        <charset val="204"/>
        <scheme val="minor"/>
      </rPr>
      <t>stall</t>
    </r>
  </si>
  <si>
    <r>
      <rPr>
        <sz val="11"/>
        <color theme="1"/>
        <rFont val="Calibri"/>
        <family val="2"/>
        <charset val="204"/>
      </rPr>
      <t>ω</t>
    </r>
    <r>
      <rPr>
        <sz val="8"/>
        <color theme="1"/>
        <rFont val="Calibri"/>
        <family val="2"/>
        <charset val="204"/>
        <scheme val="minor"/>
      </rPr>
      <t>ном</t>
    </r>
  </si>
  <si>
    <t>Тл</t>
  </si>
  <si>
    <t>Гц</t>
  </si>
  <si>
    <t>2p</t>
  </si>
  <si>
    <t>кг*м2</t>
  </si>
  <si>
    <r>
      <t>K</t>
    </r>
    <r>
      <rPr>
        <sz val="8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K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P</t>
    </r>
    <r>
      <rPr>
        <sz val="8"/>
        <color theme="1"/>
        <rFont val="Calibri"/>
        <family val="2"/>
        <charset val="204"/>
        <scheme val="minor"/>
      </rPr>
      <t>уд</t>
    </r>
    <r>
      <rPr>
        <sz val="11"/>
        <color theme="1"/>
        <rFont val="Calibri"/>
        <family val="2"/>
        <charset val="204"/>
        <scheme val="minor"/>
      </rPr>
      <t>m</t>
    </r>
  </si>
  <si>
    <t>ч/з интегр</t>
  </si>
  <si>
    <t>Ωmotor</t>
  </si>
  <si>
    <t>рад/с</t>
  </si>
  <si>
    <t>Входные параметры (доп пот)</t>
  </si>
  <si>
    <r>
      <t>N</t>
    </r>
    <r>
      <rPr>
        <sz val="8"/>
        <color theme="1"/>
        <rFont val="Calibri"/>
        <family val="2"/>
        <charset val="204"/>
      </rPr>
      <t>полн.цикла</t>
    </r>
  </si>
  <si>
    <t>раз</t>
  </si>
  <si>
    <t>Расстояние, мм</t>
  </si>
  <si>
    <t>Момент, Нм</t>
  </si>
  <si>
    <t>Зависимость Kt от температуры</t>
  </si>
  <si>
    <t>Зависимость Kt от тока</t>
  </si>
  <si>
    <r>
      <t>K</t>
    </r>
    <r>
      <rPr>
        <sz val="8"/>
        <color theme="1"/>
        <rFont val="Calibri"/>
        <family val="2"/>
        <charset val="204"/>
        <scheme val="minor"/>
      </rPr>
      <t>размагнич</t>
    </r>
  </si>
  <si>
    <r>
      <t>T</t>
    </r>
    <r>
      <rPr>
        <sz val="8"/>
        <color theme="1"/>
        <rFont val="Calibri"/>
        <family val="2"/>
        <charset val="204"/>
        <scheme val="minor"/>
      </rPr>
      <t>motor max</t>
    </r>
  </si>
  <si>
    <t>°С</t>
  </si>
  <si>
    <t>%/°С</t>
  </si>
  <si>
    <t>Выходные параметры</t>
  </si>
  <si>
    <t>Промежуточные вычисления</t>
  </si>
  <si>
    <t>Коэфф. наклона кривой</t>
  </si>
  <si>
    <t>Cнижениt Kt, %</t>
  </si>
  <si>
    <r>
      <t>V</t>
    </r>
    <r>
      <rPr>
        <sz val="8"/>
        <color theme="1"/>
        <rFont val="Calibri"/>
        <family val="2"/>
        <charset val="204"/>
      </rPr>
      <t>slow</t>
    </r>
    <r>
      <rPr>
        <sz val="11"/>
        <color theme="1"/>
        <rFont val="Calibri"/>
        <family val="2"/>
        <charset val="204"/>
      </rPr>
      <t>→</t>
    </r>
  </si>
  <si>
    <r>
      <t>V</t>
    </r>
    <r>
      <rPr>
        <sz val="8"/>
        <color theme="1"/>
        <rFont val="Calibri"/>
        <family val="2"/>
        <charset val="204"/>
      </rPr>
      <t>fast</t>
    </r>
    <r>
      <rPr>
        <sz val="11"/>
        <color theme="1"/>
        <rFont val="Calibri"/>
        <family val="2"/>
        <charset val="204"/>
      </rPr>
      <t>→</t>
    </r>
  </si>
  <si>
    <r>
      <t>V</t>
    </r>
    <r>
      <rPr>
        <sz val="8"/>
        <color theme="1"/>
        <rFont val="Calibri"/>
        <family val="2"/>
        <charset val="204"/>
      </rPr>
      <t>fast</t>
    </r>
    <r>
      <rPr>
        <sz val="11"/>
        <color theme="1"/>
        <rFont val="Calibri"/>
        <family val="2"/>
        <charset val="204"/>
      </rPr>
      <t>←</t>
    </r>
  </si>
  <si>
    <t>это температура обмотки</t>
  </si>
  <si>
    <t>% снижения тока из опытных данных</t>
  </si>
  <si>
    <t>Момент трения</t>
  </si>
  <si>
    <t>ABB Volvo Track</t>
  </si>
  <si>
    <t>Время, с</t>
  </si>
  <si>
    <t xml:space="preserve">Ток сварки (+10%), A </t>
  </si>
  <si>
    <t>Температура обмотки</t>
  </si>
  <si>
    <t>Температура корпуса (оценочно)</t>
  </si>
  <si>
    <t>∆TkTo</t>
  </si>
</sst>
</file>

<file path=xl/styles.xml><?xml version="1.0" encoding="utf-8"?>
<styleSheet xmlns="http://schemas.openxmlformats.org/spreadsheetml/2006/main">
  <numFmts count="5">
    <numFmt numFmtId="164" formatCode="0.0"/>
    <numFmt numFmtId="165" formatCode="0.0000"/>
    <numFmt numFmtId="166" formatCode="0.000"/>
    <numFmt numFmtId="167" formatCode="0.000E+00"/>
    <numFmt numFmtId="168" formatCode="0.000000"/>
  </numFmts>
  <fonts count="1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4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5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2" fontId="0" fillId="0" borderId="1" xfId="0" applyNumberFormat="1" applyBorder="1"/>
    <xf numFmtId="0" fontId="3" fillId="0" borderId="1" xfId="0" applyFont="1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4" fillId="0" borderId="0" xfId="0" applyFont="1"/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Fill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66" fontId="0" fillId="0" borderId="1" xfId="0" applyNumberForma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0" xfId="0" applyFont="1"/>
    <xf numFmtId="0" fontId="10" fillId="0" borderId="0" xfId="0" applyFont="1"/>
    <xf numFmtId="0" fontId="11" fillId="0" borderId="0" xfId="0" applyFont="1"/>
    <xf numFmtId="0" fontId="0" fillId="7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68" fontId="0" fillId="0" borderId="0" xfId="0" applyNumberFormat="1"/>
    <xf numFmtId="0" fontId="6" fillId="0" borderId="0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13" fillId="11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 wrapText="1"/>
    </xf>
    <xf numFmtId="168" fontId="0" fillId="0" borderId="8" xfId="0" applyNumberFormat="1" applyBorder="1" applyAlignment="1">
      <alignment horizontal="center" vertical="center" wrapText="1"/>
    </xf>
    <xf numFmtId="168" fontId="0" fillId="0" borderId="6" xfId="0" applyNumberFormat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1377395255785262"/>
          <c:y val="4.1985514023456683E-2"/>
          <c:w val="0.84987654183260242"/>
          <c:h val="0.8511607427704867"/>
        </c:manualLayout>
      </c:layout>
      <c:scatterChart>
        <c:scatterStyle val="lineMarker"/>
        <c:ser>
          <c:idx val="0"/>
          <c:order val="0"/>
          <c:tx>
            <c:v>Скорость</c:v>
          </c:tx>
          <c:xVal>
            <c:numRef>
              <c:f>Main!$O$5:$O$14</c:f>
              <c:numCache>
                <c:formatCode>General</c:formatCode>
                <c:ptCount val="10"/>
                <c:pt idx="0">
                  <c:v>0</c:v>
                </c:pt>
                <c:pt idx="1">
                  <c:v>0.03</c:v>
                </c:pt>
                <c:pt idx="2">
                  <c:v>8.1199999999999994E-2</c:v>
                </c:pt>
                <c:pt idx="3">
                  <c:v>0.11119999999999999</c:v>
                </c:pt>
                <c:pt idx="4">
                  <c:v>0.32119999999999999</c:v>
                </c:pt>
                <c:pt idx="5">
                  <c:v>0.32219999999999999</c:v>
                </c:pt>
                <c:pt idx="6">
                  <c:v>1.1521999999999999</c:v>
                </c:pt>
                <c:pt idx="7">
                  <c:v>1.2121999999999999</c:v>
                </c:pt>
                <c:pt idx="8">
                  <c:v>1.2671999999999999</c:v>
                </c:pt>
                <c:pt idx="9">
                  <c:v>1.2971999999999999</c:v>
                </c:pt>
              </c:numCache>
            </c:numRef>
          </c:xVal>
          <c:yVal>
            <c:numRef>
              <c:f>Main!$B$5:$B$14</c:f>
              <c:numCache>
                <c:formatCode>General</c:formatCode>
                <c:ptCount val="10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25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  <c:pt idx="7">
                  <c:v>-300</c:v>
                </c:pt>
                <c:pt idx="8">
                  <c:v>-300</c:v>
                </c:pt>
                <c:pt idx="9">
                  <c:v>0</c:v>
                </c:pt>
              </c:numCache>
            </c:numRef>
          </c:yVal>
        </c:ser>
        <c:axId val="83776256"/>
        <c:axId val="83777792"/>
      </c:scatterChart>
      <c:valAx>
        <c:axId val="83776256"/>
        <c:scaling>
          <c:orientation val="minMax"/>
        </c:scaling>
        <c:axPos val="b"/>
        <c:numFmt formatCode="General" sourceLinked="1"/>
        <c:tickLblPos val="nextTo"/>
        <c:crossAx val="83777792"/>
        <c:crosses val="autoZero"/>
        <c:crossBetween val="midCat"/>
      </c:valAx>
      <c:valAx>
        <c:axId val="83777792"/>
        <c:scaling>
          <c:orientation val="minMax"/>
        </c:scaling>
        <c:axPos val="l"/>
        <c:majorGridlines/>
        <c:numFmt formatCode="General" sourceLinked="1"/>
        <c:tickLblPos val="nextTo"/>
        <c:crossAx val="83776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8437347769014996"/>
          <c:y val="0.9137058111433155"/>
          <c:w val="0.20239493040603837"/>
          <c:h val="8.3637066851967645E-2"/>
        </c:manualLayout>
      </c:layout>
    </c:legend>
    <c:plotVisOnly val="1"/>
  </c:chart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43613651495238798"/>
          <c:y val="1.1965813576393239E-2"/>
        </c:manualLayout>
      </c:layout>
      <c:txPr>
        <a:bodyPr/>
        <a:lstStyle/>
        <a:p>
          <a:pPr>
            <a:defRPr sz="1400"/>
          </a:pPr>
          <a:endParaRPr lang="ru-RU"/>
        </a:p>
      </c:txPr>
    </c:title>
    <c:plotArea>
      <c:layout>
        <c:manualLayout>
          <c:layoutTarget val="inner"/>
          <c:xMode val="edge"/>
          <c:yMode val="edge"/>
          <c:x val="0.14515529308836525"/>
          <c:y val="0.13875868345900591"/>
          <c:w val="0.82132392825896749"/>
          <c:h val="0.65970168378783534"/>
        </c:manualLayout>
      </c:layout>
      <c:scatterChart>
        <c:scatterStyle val="lineMarker"/>
        <c:ser>
          <c:idx val="0"/>
          <c:order val="0"/>
          <c:tx>
            <c:v>Кт(М)</c:v>
          </c:tx>
          <c:xVal>
            <c:numRef>
              <c:f>'Variable Kt'!$B$16:$B$18</c:f>
              <c:numCache>
                <c:formatCode>General</c:formatCode>
                <c:ptCount val="3"/>
                <c:pt idx="0">
                  <c:v>0</c:v>
                </c:pt>
                <c:pt idx="1">
                  <c:v>22</c:v>
                </c:pt>
                <c:pt idx="2">
                  <c:v>31</c:v>
                </c:pt>
              </c:numCache>
            </c:numRef>
          </c:xVal>
          <c:yVal>
            <c:numRef>
              <c:f>'Variable Kt'!$D$16:$D$18</c:f>
              <c:numCache>
                <c:formatCode>0.000</c:formatCode>
                <c:ptCount val="3"/>
                <c:pt idx="0">
                  <c:v>1.4230480000000001</c:v>
                </c:pt>
                <c:pt idx="1">
                  <c:v>1.39458704</c:v>
                </c:pt>
                <c:pt idx="2">
                  <c:v>1.3518956</c:v>
                </c:pt>
              </c:numCache>
            </c:numRef>
          </c:yVal>
        </c:ser>
        <c:axId val="83803136"/>
        <c:axId val="85480960"/>
      </c:scatterChart>
      <c:valAx>
        <c:axId val="83803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Момент, Нм</a:t>
                </a:r>
              </a:p>
            </c:rich>
          </c:tx>
        </c:title>
        <c:numFmt formatCode="General" sourceLinked="1"/>
        <c:tickLblPos val="nextTo"/>
        <c:crossAx val="85480960"/>
        <c:crosses val="autoZero"/>
        <c:crossBetween val="midCat"/>
      </c:valAx>
      <c:valAx>
        <c:axId val="854809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Кт, Нм/А</a:t>
                </a:r>
              </a:p>
            </c:rich>
          </c:tx>
        </c:title>
        <c:numFmt formatCode="0.000" sourceLinked="1"/>
        <c:tickLblPos val="nextTo"/>
        <c:crossAx val="83803136"/>
        <c:crosses val="autoZero"/>
        <c:crossBetween val="midCat"/>
      </c:valAx>
    </c:plotArea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1641</xdr:colOff>
      <xdr:row>34</xdr:row>
      <xdr:rowOff>5952</xdr:rowOff>
    </xdr:from>
    <xdr:to>
      <xdr:col>18</xdr:col>
      <xdr:colOff>7327</xdr:colOff>
      <xdr:row>52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6</xdr:col>
      <xdr:colOff>5443</xdr:colOff>
      <xdr:row>31</xdr:row>
      <xdr:rowOff>27214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58"/>
  <sheetViews>
    <sheetView tabSelected="1" topLeftCell="A22" zoomScale="130" zoomScaleNormal="130" workbookViewId="0">
      <selection activeCell="B25" sqref="B25"/>
    </sheetView>
  </sheetViews>
  <sheetFormatPr defaultRowHeight="15"/>
  <cols>
    <col min="1" max="22" width="10.7109375" customWidth="1"/>
  </cols>
  <sheetData>
    <row r="1" spans="1:26" ht="21">
      <c r="A1" s="60" t="s">
        <v>88</v>
      </c>
    </row>
    <row r="2" spans="1:26" ht="15" customHeight="1">
      <c r="X2" s="78"/>
      <c r="Y2" s="78"/>
      <c r="Z2" s="78"/>
    </row>
    <row r="3" spans="1:26" ht="33.75" customHeight="1">
      <c r="A3" s="1" t="s">
        <v>0</v>
      </c>
      <c r="B3" s="83" t="s">
        <v>1</v>
      </c>
      <c r="C3" s="84"/>
      <c r="D3" s="83" t="s">
        <v>2</v>
      </c>
      <c r="E3" s="84"/>
      <c r="F3" s="83" t="s">
        <v>3</v>
      </c>
      <c r="G3" s="85"/>
      <c r="H3" s="84"/>
      <c r="I3" s="2" t="s">
        <v>4</v>
      </c>
      <c r="J3" s="2" t="s">
        <v>25</v>
      </c>
      <c r="K3" s="2" t="s">
        <v>24</v>
      </c>
      <c r="L3" s="74" t="s">
        <v>87</v>
      </c>
      <c r="M3" s="2" t="s">
        <v>26</v>
      </c>
      <c r="N3" s="76" t="s">
        <v>32</v>
      </c>
      <c r="O3" s="3" t="s">
        <v>38</v>
      </c>
      <c r="P3" s="1" t="s">
        <v>5</v>
      </c>
      <c r="Q3" s="72" t="s">
        <v>86</v>
      </c>
      <c r="R3" s="10" t="s">
        <v>27</v>
      </c>
      <c r="S3" s="10" t="s">
        <v>33</v>
      </c>
      <c r="T3" s="25" t="s">
        <v>48</v>
      </c>
      <c r="V3" s="26" t="s">
        <v>50</v>
      </c>
      <c r="W3" s="10" t="s">
        <v>51</v>
      </c>
      <c r="X3" s="78"/>
      <c r="Y3" s="78"/>
      <c r="Z3" s="78"/>
    </row>
    <row r="4" spans="1:26" ht="30">
      <c r="A4" s="1"/>
      <c r="B4" s="3" t="s">
        <v>6</v>
      </c>
      <c r="C4" s="3" t="s">
        <v>7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20</v>
      </c>
      <c r="I4" s="3" t="s">
        <v>10</v>
      </c>
      <c r="J4" s="3" t="s">
        <v>19</v>
      </c>
      <c r="K4" s="3" t="s">
        <v>19</v>
      </c>
      <c r="L4" s="75" t="s">
        <v>19</v>
      </c>
      <c r="M4" s="3" t="s">
        <v>19</v>
      </c>
      <c r="N4" s="76" t="s">
        <v>11</v>
      </c>
      <c r="O4" s="3" t="s">
        <v>11</v>
      </c>
      <c r="P4" s="1" t="s">
        <v>12</v>
      </c>
      <c r="R4" s="10" t="s">
        <v>31</v>
      </c>
      <c r="S4" s="10" t="s">
        <v>34</v>
      </c>
      <c r="T4" s="10" t="s">
        <v>34</v>
      </c>
      <c r="V4" s="26" t="s">
        <v>34</v>
      </c>
      <c r="W4" s="10" t="s">
        <v>34</v>
      </c>
      <c r="X4" s="78"/>
      <c r="Y4" s="78"/>
      <c r="Z4" s="78"/>
    </row>
    <row r="5" spans="1:26">
      <c r="A5" s="79">
        <v>1</v>
      </c>
      <c r="B5" s="1">
        <v>0</v>
      </c>
      <c r="C5" s="1">
        <f>B5*60/5</f>
        <v>0</v>
      </c>
      <c r="D5" s="55">
        <f>$B$30</f>
        <v>300</v>
      </c>
      <c r="E5" s="1">
        <f>D5*60/B17</f>
        <v>3600</v>
      </c>
      <c r="F5" s="5">
        <f t="shared" ref="F5:F13" si="0">(D5-B5)/N5</f>
        <v>10000</v>
      </c>
      <c r="G5" s="5">
        <f t="shared" ref="G5:G13" si="1">(E5-C5)/N5</f>
        <v>120000</v>
      </c>
      <c r="H5" s="5">
        <f>G5*PI()/30</f>
        <v>12566.370614359173</v>
      </c>
      <c r="I5" s="1">
        <v>1000</v>
      </c>
      <c r="J5" s="6">
        <f>B20*H5</f>
        <v>19.729201864543903</v>
      </c>
      <c r="K5" s="6">
        <f>I5*$D$17*$B$19/(2*PI())</f>
        <v>0.57932399285449898</v>
      </c>
      <c r="L5" s="42">
        <f>-0.147</f>
        <v>-0.14699999999999999</v>
      </c>
      <c r="M5" s="6">
        <f t="shared" ref="M5:M13" si="2">J5+K5</f>
        <v>20.308525857398401</v>
      </c>
      <c r="N5" s="64">
        <v>0.03</v>
      </c>
      <c r="O5" s="1">
        <v>0</v>
      </c>
      <c r="P5" s="6">
        <f>F5*(N5*N5)/2+B5*N5</f>
        <v>4.5</v>
      </c>
      <c r="R5" s="6">
        <f>IF(AND(ABS(M5)&gt;0,ABS(M5)&lt;='Variable Kt'!$B$17),
IF(M5&gt;0,M5/('Variable Kt'!$D$16+'Variable Kt'!$E$16*M5),M5/('Variable Kt'!$D$16-'Variable Kt'!$E$16*M5)),
IF(M5&gt;0,M5/('Variable Kt'!$D$17+'Variable Kt'!$F$17*(M5-'Variable Kt'!$B$17)),M5/('Variable Kt'!$D$17-'Variable Kt'!$F$17*(M5-'Variable Kt'!$B$17))))</f>
        <v>14.539580094118124</v>
      </c>
      <c r="S5" s="18">
        <f>3*R5*R5*B23</f>
        <v>665.96134898292632</v>
      </c>
      <c r="T5" s="6">
        <f t="shared" ref="T5:T13" si="3">S5*N5/$N$14</f>
        <v>15.401511308578316</v>
      </c>
      <c r="V5" s="32" t="s">
        <v>64</v>
      </c>
      <c r="W5" s="42">
        <f>IF(ABS(R5)&gt;$I$20,
$I$25*POWER($I$18+($I$19-$I$18)*(ABS(R5)-$I$20)/($I$22-$I$20),2)*3000/(2.3*((ABS(E5)-ABS(C5))/N5)*$I$24)*(POWER(ABS(ABS(C5)+((ABS(E5)-ABS(C5))/N5)*(O6-O5))*$I$24/3000, 2.3)-POWER(ABS(ABS(C5)+((ABS(E5)-ABS(C5))/N5)*(O6-O6))*$I$24/3000, 2.3)),
$I$25*POWER($I$17+($I$18-$I$17)*ABS(R5)/($I$20),2)*3000/(2.3*((ABS(E5)-ABS(C5))/N5)*$I$24)*(POWER(ABS(ABS(C5)+((ABS(E5)-ABS(C5))/N5)*(O6-O5))*$I$24/3000, 2.3)-POWER(ABS(ABS(C5)+((ABS(E5)-ABS(C5))/N5)*(O6-O6))*$I$24/3000, 2.3)))</f>
        <v>2.2480431566004504</v>
      </c>
      <c r="X5" s="78"/>
      <c r="Y5" s="78"/>
      <c r="Z5" s="78"/>
    </row>
    <row r="6" spans="1:26">
      <c r="A6" s="79">
        <v>2</v>
      </c>
      <c r="B6" s="55">
        <f>$B$30</f>
        <v>300</v>
      </c>
      <c r="C6" s="1">
        <f>B6*60/B17</f>
        <v>3600</v>
      </c>
      <c r="D6" s="55">
        <f>$B$30</f>
        <v>300</v>
      </c>
      <c r="E6" s="1">
        <f>D6*60/B17</f>
        <v>3600</v>
      </c>
      <c r="F6" s="5">
        <f t="shared" si="0"/>
        <v>0</v>
      </c>
      <c r="G6" s="5">
        <f t="shared" si="1"/>
        <v>0</v>
      </c>
      <c r="H6" s="5">
        <f t="shared" ref="H6:H13" si="4">G6*PI()/30</f>
        <v>0</v>
      </c>
      <c r="I6" s="79">
        <v>1000</v>
      </c>
      <c r="J6" s="6">
        <f>B20*H6</f>
        <v>0</v>
      </c>
      <c r="K6" s="6">
        <f>I6*$D$17*$B$19/(2*PI())</f>
        <v>0.57932399285449898</v>
      </c>
      <c r="L6" s="42">
        <f t="shared" ref="L6:L9" si="5">-0.147</f>
        <v>-0.14699999999999999</v>
      </c>
      <c r="M6" s="6">
        <f t="shared" si="2"/>
        <v>0.57932399285449898</v>
      </c>
      <c r="N6" s="64">
        <v>5.1200000000000002E-2</v>
      </c>
      <c r="O6" s="1">
        <f>N5</f>
        <v>0.03</v>
      </c>
      <c r="P6" s="6">
        <f t="shared" ref="P6:P13" si="6">F6*(N6*N6)/2+B6*N6</f>
        <v>15.360000000000001</v>
      </c>
      <c r="R6" s="6">
        <f>IF(AND(ABS(M6)&gt;0,ABS(M6)&lt;='Variable Kt'!$B$17),
IF(M6&gt;0,M6/('Variable Kt'!$D$16+'Variable Kt'!$E$16*M6),M6/('Variable Kt'!$D$16-'Variable Kt'!$E$16*M6)),
IF(M6&gt;0,M6/('Variable Kt'!$D$17+'Variable Kt'!$F$17*(M6-'Variable Kt'!$B$17)),M6/('Variable Kt'!$D$17-'Variable Kt'!$F$17*(M6-'Variable Kt'!$B$17))))</f>
        <v>0.40731532551438016</v>
      </c>
      <c r="S6" s="18">
        <f>3*R6*R6*B23</f>
        <v>0.52264499761163774</v>
      </c>
      <c r="T6" s="6">
        <f t="shared" si="3"/>
        <v>2.0628603050968128E-2</v>
      </c>
      <c r="V6" s="32">
        <f>IF(ABS(R6)&gt;$I$20,
$I$25*POWER($I$18+($I$19-$I$18)*(ABS(R6)-$I$20)/($I$22-$I$20),2)*POWER(ABS(E6*$I$24/(50*60)),1.3),
$I$25*POWER($I$17+($I$18-$I$17)*ABS(R6)/($I$20),2)*POWER(ABS(E6*$I$24/(50*60)),1.3))</f>
        <v>33.442226611149778</v>
      </c>
      <c r="W6" s="42">
        <f>V6*N6/$N$14</f>
        <v>1.3199522066688782</v>
      </c>
      <c r="X6" s="78"/>
      <c r="Y6" s="78"/>
      <c r="Z6" s="78"/>
    </row>
    <row r="7" spans="1:26">
      <c r="A7" s="79">
        <v>3</v>
      </c>
      <c r="B7" s="55">
        <f>$B$30</f>
        <v>300</v>
      </c>
      <c r="C7" s="1">
        <f>B7*60/B17</f>
        <v>3600</v>
      </c>
      <c r="D7" s="55">
        <f>$B$31</f>
        <v>25</v>
      </c>
      <c r="E7" s="1">
        <f>D7*60/B17</f>
        <v>300</v>
      </c>
      <c r="F7" s="5">
        <f t="shared" si="0"/>
        <v>-9166.6666666666679</v>
      </c>
      <c r="G7" s="5">
        <f t="shared" si="1"/>
        <v>-110000</v>
      </c>
      <c r="H7" s="5">
        <f t="shared" si="4"/>
        <v>-11519.173063162574</v>
      </c>
      <c r="I7" s="79">
        <v>1000</v>
      </c>
      <c r="J7" s="6">
        <f>B20*H7</f>
        <v>-18.08510170916524</v>
      </c>
      <c r="K7" s="6">
        <f>I7*$D$17*$B$19/(2*PI())</f>
        <v>0.57932399285449898</v>
      </c>
      <c r="L7" s="42">
        <f t="shared" si="5"/>
        <v>-0.14699999999999999</v>
      </c>
      <c r="M7" s="6">
        <f t="shared" si="2"/>
        <v>-17.505777716310742</v>
      </c>
      <c r="N7" s="64">
        <v>0.03</v>
      </c>
      <c r="O7" s="1">
        <f>O6+N6</f>
        <v>8.1199999999999994E-2</v>
      </c>
      <c r="P7" s="6">
        <f t="shared" si="6"/>
        <v>4.875</v>
      </c>
      <c r="R7" s="6">
        <f>IF(AND(ABS(M7)&gt;0,ABS(M7)&lt;='Variable Kt'!$B$17),
IF(M7&gt;0,M7/('Variable Kt'!$D$16+'Variable Kt'!$E$16*M7),M7/('Variable Kt'!$D$16-'Variable Kt'!$E$16*M7)),
IF(M7&gt;0,M7/('Variable Kt'!$D$17+'Variable Kt'!$F$17*(M7-'Variable Kt'!$B$17)),M7/('Variable Kt'!$D$17-'Variable Kt'!$F$17*(M7-'Variable Kt'!$B$17))))</f>
        <v>-12.50054530644635</v>
      </c>
      <c r="S7" s="18">
        <f>3*R7*R7*B23</f>
        <v>492.26982225483687</v>
      </c>
      <c r="T7" s="6">
        <f t="shared" si="3"/>
        <v>11.384593484154415</v>
      </c>
      <c r="V7" s="32" t="s">
        <v>64</v>
      </c>
      <c r="W7" s="42">
        <f>IF(ABS(R7)&gt;$I$20,
$I$25*POWER($I$18+($I$19-$I$18)*(ABS(R7)-$I$20)/($I$22-$I$20),2)*3000/(2.3*((ABS(E7)-ABS(C7))/N7)*$I$24)*(POWER(ABS(ABS(C7)+((ABS(E7)-ABS(C7))/N7)*(O8-O7))*$I$24/3000, 2.3)-POWER(ABS(ABS(C7)+((ABS(E7)-ABS(C7))/N7)*(O8-O8))*$I$24/3000, 2.3)),
$I$25*POWER($I$17+($I$18-$I$17)*ABS(R7)/($I$20),2)*3000/(2.3*((ABS(E7)-ABS(C7))/N7)*$I$24)*(POWER(ABS(ABS(C7)+((ABS(E7)-ABS(C7))/N7)*(O8-O7))*$I$24/3000, 2.3)-POWER(ABS(ABS(C7)+((ABS(E7)-ABS(C7))/N7)*(O8-O8))*$I$24/3000, 2.3)))</f>
        <v>2.2230315493840234</v>
      </c>
      <c r="X7" s="78"/>
      <c r="Y7" s="78"/>
      <c r="Z7" s="78"/>
    </row>
    <row r="8" spans="1:26">
      <c r="A8" s="79">
        <v>4</v>
      </c>
      <c r="B8" s="55">
        <f>$B$31</f>
        <v>25</v>
      </c>
      <c r="C8" s="1">
        <f>B8*60/B17</f>
        <v>300</v>
      </c>
      <c r="D8" s="55">
        <f>$B$31</f>
        <v>25</v>
      </c>
      <c r="E8" s="1">
        <f>D8*60/B17</f>
        <v>300</v>
      </c>
      <c r="F8" s="5">
        <f t="shared" si="0"/>
        <v>0</v>
      </c>
      <c r="G8" s="5">
        <f t="shared" si="1"/>
        <v>0</v>
      </c>
      <c r="H8" s="5">
        <f t="shared" si="4"/>
        <v>0</v>
      </c>
      <c r="I8" s="79">
        <v>1000</v>
      </c>
      <c r="J8" s="6">
        <f>B20*H8</f>
        <v>0</v>
      </c>
      <c r="K8" s="6">
        <f>I8*$D$17*$B$19/(2*PI())</f>
        <v>0.57932399285449898</v>
      </c>
      <c r="L8" s="42">
        <f t="shared" si="5"/>
        <v>-0.14699999999999999</v>
      </c>
      <c r="M8" s="6">
        <f t="shared" si="2"/>
        <v>0.57932399285449898</v>
      </c>
      <c r="N8" s="64">
        <v>0.21</v>
      </c>
      <c r="O8" s="1">
        <f>O7+N7</f>
        <v>0.11119999999999999</v>
      </c>
      <c r="P8" s="6">
        <f t="shared" si="6"/>
        <v>5.25</v>
      </c>
      <c r="R8" s="6">
        <f>IF(AND(ABS(M8)&gt;0,ABS(M8)&lt;='Variable Kt'!$B$17),
IF(M8&gt;0,M8/('Variable Kt'!$D$16+'Variable Kt'!$E$16*M8),M8/('Variable Kt'!$D$16-'Variable Kt'!$E$16*M8)),
IF(M8&gt;0,M8/('Variable Kt'!$D$17+'Variable Kt'!$F$17*(M8-'Variable Kt'!$B$17)),M8/('Variable Kt'!$D$17-'Variable Kt'!$F$17*(M8-'Variable Kt'!$B$17))))</f>
        <v>0.40731532551438016</v>
      </c>
      <c r="S8" s="18">
        <f>3*R8*R8*B23</f>
        <v>0.52264499761163774</v>
      </c>
      <c r="T8" s="6">
        <f t="shared" si="3"/>
        <v>8.4609504701236446E-2</v>
      </c>
      <c r="V8" s="32">
        <f>IF(ABS(R8)&gt;$I$20,
$I$25*POWER($I$18+($I$19-$I$18)*(ABS(R8)-$I$20)/($I$22-$I$20),2)*POWER(ABS(E8*$I$24/(50*60)),1.3),
$I$25*POWER($I$17+($I$18-$I$17)*ABS(R8)/($I$20),2)*POWER(ABS(E8*$I$24/(50*60)),1.3))</f>
        <v>1.3223900278355698</v>
      </c>
      <c r="W8" s="42">
        <f>V8*N8/$N$14</f>
        <v>0.21407794160150301</v>
      </c>
      <c r="X8" s="78"/>
      <c r="Y8" s="78"/>
      <c r="Z8" s="78"/>
    </row>
    <row r="9" spans="1:26">
      <c r="A9" s="79">
        <v>5</v>
      </c>
      <c r="B9" s="55">
        <f>$B$31</f>
        <v>25</v>
      </c>
      <c r="C9" s="1">
        <f>B9*60/B17</f>
        <v>300</v>
      </c>
      <c r="D9" s="1">
        <v>0</v>
      </c>
      <c r="E9" s="1">
        <f t="shared" ref="E9" si="7">D9*60/5</f>
        <v>0</v>
      </c>
      <c r="F9" s="5">
        <f t="shared" si="0"/>
        <v>-25000</v>
      </c>
      <c r="G9" s="5">
        <f t="shared" si="1"/>
        <v>-300000</v>
      </c>
      <c r="H9" s="5">
        <f t="shared" si="4"/>
        <v>-31415.926535897932</v>
      </c>
      <c r="I9" s="79">
        <v>1000</v>
      </c>
      <c r="J9" s="6">
        <f>B20*H9</f>
        <v>-49.323004661359754</v>
      </c>
      <c r="K9" s="6">
        <f>I9*$D$17/(2*PI()*$B$18)</f>
        <v>1.0124360247576039</v>
      </c>
      <c r="L9" s="42">
        <f t="shared" si="5"/>
        <v>-0.14699999999999999</v>
      </c>
      <c r="M9" s="6">
        <f>J9+K9+L9</f>
        <v>-48.457568636602147</v>
      </c>
      <c r="N9" s="64">
        <v>1E-3</v>
      </c>
      <c r="O9" s="1">
        <f>O8+N8</f>
        <v>0.32119999999999999</v>
      </c>
      <c r="P9" s="6">
        <f t="shared" si="6"/>
        <v>1.2500000000000002E-2</v>
      </c>
      <c r="R9" s="6">
        <f>IF(AND(ABS(M9)&gt;0,ABS(M9)&lt;='Variable Kt'!$B$17),
IF(M9&gt;0,M9/('Variable Kt'!$D$16+'Variable Kt'!$E$16*M9),M9/('Variable Kt'!$D$16-'Variable Kt'!$E$16*M9)),
IF(M9&gt;0,M9/('Variable Kt'!$D$17+'Variable Kt'!$F$17*(M9-'Variable Kt'!$B$17)),M9/('Variable Kt'!$D$17-'Variable Kt'!$F$17*(M9-'Variable Kt'!$B$17))))</f>
        <v>-45.698648336245149</v>
      </c>
      <c r="S9" s="18">
        <f>3*R9*R9*B23</f>
        <v>6578.8806165912338</v>
      </c>
      <c r="T9" s="6">
        <f t="shared" si="3"/>
        <v>5.0716008453524779</v>
      </c>
      <c r="V9" s="32" t="s">
        <v>64</v>
      </c>
      <c r="W9" s="42">
        <f>IF(ABS(R9)&gt;$I$20,
$I$25*POWER($I$18+($I$19-$I$18)*(ABS(R9)-$I$20)/($I$22-$I$20),2)*3000/(2.3*((ABS(E9)-ABS(C9))/N9)*$I$24)*(POWER(ABS(ABS(C9)+((ABS(E9)-ABS(C9))/N9)*(O10-O9))*$I$24/3000, 2.3)-POWER(ABS(ABS(C9)+((ABS(E9)-ABS(C9))/N9)*(O10-O10))*$I$24/3000, 2.3)),
$I$25*POWER($I$17+($I$18-$I$17)*ABS(R9)/($I$20),2)*3000/(2.3*((ABS(E9)-ABS(C9))/N9)*$I$24)*(POWER(ABS(ABS(C9)+((ABS(E9)-ABS(C9))/N9)*(O10-O9))*$I$24/3000, 2.3)-POWER(ABS(ABS(C9)+((ABS(E9)-ABS(C9))/N9)*(O10-O10))*$I$24/3000, 2.3)))</f>
        <v>8.6457509369265266E-3</v>
      </c>
      <c r="X9" s="78"/>
      <c r="Y9" s="78"/>
      <c r="Z9" s="78"/>
    </row>
    <row r="10" spans="1:26">
      <c r="A10" s="79">
        <v>6</v>
      </c>
      <c r="B10" s="1">
        <v>0</v>
      </c>
      <c r="C10" s="1">
        <f>B10*60/B17</f>
        <v>0</v>
      </c>
      <c r="D10" s="1">
        <v>0</v>
      </c>
      <c r="E10" s="1">
        <f>D10*60/B17</f>
        <v>0</v>
      </c>
      <c r="F10" s="5">
        <f t="shared" si="0"/>
        <v>0</v>
      </c>
      <c r="G10" s="5">
        <f t="shared" si="1"/>
        <v>0</v>
      </c>
      <c r="H10" s="5">
        <f t="shared" si="4"/>
        <v>0</v>
      </c>
      <c r="I10" s="71">
        <v>17800</v>
      </c>
      <c r="J10" s="6">
        <f>B20*H10</f>
        <v>0</v>
      </c>
      <c r="K10" s="6">
        <f t="shared" ref="K10" si="8">I10*$D$17/(2*PI()*$B$18)</f>
        <v>18.021361240685351</v>
      </c>
      <c r="L10" s="42">
        <v>0.67</v>
      </c>
      <c r="M10" s="6">
        <f>J10+K10+L10</f>
        <v>18.691361240685353</v>
      </c>
      <c r="N10" s="64">
        <v>0.83</v>
      </c>
      <c r="O10" s="1">
        <f>O9+N9</f>
        <v>0.32219999999999999</v>
      </c>
      <c r="P10" s="6">
        <f t="shared" si="6"/>
        <v>0</v>
      </c>
      <c r="Q10" s="54">
        <v>21.4</v>
      </c>
      <c r="R10" s="6">
        <f>IF(AND(ABS(M10)&gt;0,ABS(M10)&lt;='Variable Kt'!$B$17),
IF(M10&gt;0,((100-Q10)/100)*M10/('Variable Kt'!$D$16+'Variable Kt'!$E$16*M10),((100-Q10)/100)*M10/('Variable Kt'!$D$16-'Variable Kt'!$E$16*M10)),
IF(M10&gt;0,((100-Q10)/100)*M10/('Variable Kt'!$D$17+'Variable Kt'!$F$17*(M10-'Variable Kt'!$B$17)),((100-Q10)/100)*M10/('Variable Kt'!$D$17-'Variable Kt'!$F$17*(M10-'Variable Kt'!$B$17))))</f>
        <v>10.502360951064443</v>
      </c>
      <c r="S10" s="18">
        <f>3*$R$10*$R$10*B23</f>
        <v>347.47148996685388</v>
      </c>
      <c r="T10" s="6">
        <f t="shared" si="3"/>
        <v>222.32603813790374</v>
      </c>
      <c r="V10" s="32">
        <f>IF(ABS(R10)&gt;$I$20,
$I$25*POWER($I$18+($I$19-$I$18)*(ABS(R10)-$I$20)/($I$22-$I$20),2)*POWER(ABS(E10*$I$24/(50*60)),1.3),
$I$25*POWER($I$17+($I$18-$I$17)*ABS(R10)/($I$20),2)*POWER(ABS(E10*$I$24/(50*60)),1.3))</f>
        <v>0</v>
      </c>
      <c r="W10" s="42">
        <f>V10*N10/$N$14</f>
        <v>0</v>
      </c>
      <c r="X10" s="78"/>
      <c r="Y10" s="78"/>
      <c r="Z10" s="78"/>
    </row>
    <row r="11" spans="1:26">
      <c r="A11" s="79">
        <v>7</v>
      </c>
      <c r="B11" s="1">
        <v>0</v>
      </c>
      <c r="C11" s="1">
        <f>B11*60/B17</f>
        <v>0</v>
      </c>
      <c r="D11" s="1">
        <f>$B$32</f>
        <v>-300</v>
      </c>
      <c r="E11" s="1">
        <f>D11*60/B17</f>
        <v>-3600</v>
      </c>
      <c r="F11" s="5">
        <f t="shared" si="0"/>
        <v>-5000</v>
      </c>
      <c r="G11" s="5">
        <f t="shared" si="1"/>
        <v>-60000</v>
      </c>
      <c r="H11" s="5">
        <f t="shared" si="4"/>
        <v>-6283.1853071795867</v>
      </c>
      <c r="I11" s="1">
        <v>1000</v>
      </c>
      <c r="J11" s="6">
        <f>B20*H11</f>
        <v>-9.8646009322719515</v>
      </c>
      <c r="K11" s="6">
        <f>I11*$D$17/(2*PI()*$B$18)</f>
        <v>1.0124360247576039</v>
      </c>
      <c r="L11" s="42">
        <v>0.14699999999999999</v>
      </c>
      <c r="M11" s="6">
        <f t="shared" si="2"/>
        <v>-8.8521649075143483</v>
      </c>
      <c r="N11" s="64">
        <v>0.06</v>
      </c>
      <c r="O11" s="1">
        <f>+O10+N10</f>
        <v>1.1521999999999999</v>
      </c>
      <c r="P11" s="6">
        <f t="shared" si="6"/>
        <v>-9</v>
      </c>
      <c r="R11" s="6">
        <f>IF(AND(ABS(M11)&gt;0,ABS(M11)&lt;='Variable Kt'!$B$17),
IF(M11&gt;0,M11/('Variable Kt'!$D$16+'Variable Kt'!$E$16*M11),M11/('Variable Kt'!$D$16-'Variable Kt'!$E$16*M11)),
IF(M11&gt;0,M11/('Variable Kt'!$D$17+'Variable Kt'!$F$17*(M11-'Variable Kt'!$B$17)),M11/('Variable Kt'!$D$17-'Variable Kt'!$F$17*(M11-'Variable Kt'!$B$17))))</f>
        <v>-6.2710322812706076</v>
      </c>
      <c r="S11" s="18">
        <f>3*R11*R11*B23</f>
        <v>123.88632461228477</v>
      </c>
      <c r="T11" s="6">
        <f t="shared" si="3"/>
        <v>5.7301722762388883</v>
      </c>
      <c r="V11" s="32" t="s">
        <v>64</v>
      </c>
      <c r="W11" s="42">
        <f>IF(ABS(R11)&gt;$I$20,
$I$25*POWER($I$18+($I$19-$I$18)*(ABS(R11)-$I$20)/($I$22-$I$20),2)*3000/(2.3*((ABS(E11)-ABS(C11))/N11)*$I$24)*(POWER(ABS(ABS(C11)+((ABS(E11)-ABS(C11))/N11)*(O12-O11))*$I$24/3000, 2.3)-POWER(ABS(ABS(C11)+((ABS(E11)-ABS(C11))/N11)*(O12-O12))*$I$24/3000, 2.3)),
$I$25*POWER($I$17+($I$18-$I$17)*ABS(R11)/($I$20),2)*3000/(2.3*((ABS(E11)-ABS(C11))/N11)*$I$24)*(POWER(ABS(ABS(C11)+((ABS(E11)-ABS(C11))/N11)*(O12-O11))*$I$24/3000, 2.3)-POWER(ABS(ABS(C11)+((ABS(E11)-ABS(C11))/N11)*(O12-O12))*$I$24/3000, 2.3)))</f>
        <v>2.7238112958156857</v>
      </c>
      <c r="X11" s="78"/>
      <c r="Y11" s="78"/>
      <c r="Z11" s="78"/>
    </row>
    <row r="12" spans="1:26">
      <c r="A12" s="79">
        <v>8</v>
      </c>
      <c r="B12" s="55">
        <f>$B$32</f>
        <v>-300</v>
      </c>
      <c r="C12" s="1">
        <f>B12*60/B17</f>
        <v>-3600</v>
      </c>
      <c r="D12" s="55">
        <f>$B$32</f>
        <v>-300</v>
      </c>
      <c r="E12" s="1">
        <f>D12*60/B17</f>
        <v>-3600</v>
      </c>
      <c r="F12" s="5">
        <f t="shared" si="0"/>
        <v>0</v>
      </c>
      <c r="G12" s="5">
        <f t="shared" si="1"/>
        <v>0</v>
      </c>
      <c r="H12" s="5">
        <f t="shared" si="4"/>
        <v>0</v>
      </c>
      <c r="I12" s="77">
        <v>1000</v>
      </c>
      <c r="J12" s="6">
        <f>B20*H12</f>
        <v>0</v>
      </c>
      <c r="K12" s="6">
        <f>I12*$D$17/(2*PI()*$B$18)</f>
        <v>1.0124360247576039</v>
      </c>
      <c r="L12" s="42">
        <v>0.14699999999999999</v>
      </c>
      <c r="M12" s="6">
        <f t="shared" si="2"/>
        <v>1.0124360247576039</v>
      </c>
      <c r="N12" s="64">
        <v>5.5E-2</v>
      </c>
      <c r="O12" s="1">
        <f>O11+N11</f>
        <v>1.2121999999999999</v>
      </c>
      <c r="P12" s="6">
        <f t="shared" si="6"/>
        <v>-16.5</v>
      </c>
      <c r="R12" s="6">
        <f>IF(AND(ABS(M12)&gt;0,ABS(M12)&lt;='Variable Kt'!$B$17),
IF(M12&gt;0,M12/('Variable Kt'!$D$16+'Variable Kt'!$E$16*M12),M12/('Variable Kt'!$D$16-'Variable Kt'!$E$16*M12)),
IF(M12&gt;0,M12/('Variable Kt'!$D$17+'Variable Kt'!$F$17*(M12-'Variable Kt'!$B$17)),M12/('Variable Kt'!$D$17-'Variable Kt'!$F$17*(M12-'Variable Kt'!$B$17))))</f>
        <v>0.71211141554644786</v>
      </c>
      <c r="S12" s="18">
        <f>3*R12*R12*B23</f>
        <v>1.5975011945498063</v>
      </c>
      <c r="T12" s="6">
        <f t="shared" si="3"/>
        <v>6.7732474329509212E-2</v>
      </c>
      <c r="V12" s="32">
        <f>IF(ABS(R12)&gt;$I$20,
$I$25*POWER($I$18+($I$19-$I$18)*(ABS(R12)-$I$20)/($I$22-$I$20),2)*POWER(ABS(E12*$I$24/(50*60)),1.3),
$I$25*POWER($I$17+($I$18-$I$17)*ABS(R12)/($I$20),2)*POWER(ABS(E12*$I$24/(50*60)),1.3))</f>
        <v>36.161869661836448</v>
      </c>
      <c r="W12" s="42">
        <f>V12*N12/$N$14</f>
        <v>1.5332275912742868</v>
      </c>
      <c r="X12" s="78"/>
      <c r="Y12" s="78"/>
      <c r="Z12" s="78"/>
    </row>
    <row r="13" spans="1:26">
      <c r="A13" s="79">
        <v>9</v>
      </c>
      <c r="B13" s="55">
        <f>$B$32</f>
        <v>-300</v>
      </c>
      <c r="C13" s="1">
        <f>B13*60/B17</f>
        <v>-3600</v>
      </c>
      <c r="D13" s="1">
        <v>0</v>
      </c>
      <c r="E13" s="1">
        <f>D13*60/B17</f>
        <v>0</v>
      </c>
      <c r="F13" s="5">
        <f t="shared" si="0"/>
        <v>10000</v>
      </c>
      <c r="G13" s="5">
        <f t="shared" si="1"/>
        <v>120000</v>
      </c>
      <c r="H13" s="5">
        <f t="shared" si="4"/>
        <v>12566.370614359173</v>
      </c>
      <c r="I13" s="77">
        <v>1000</v>
      </c>
      <c r="J13" s="6">
        <f>B20*H13</f>
        <v>19.729201864543903</v>
      </c>
      <c r="K13" s="6">
        <f>I13*$D$17/(2*PI()*$B$18)</f>
        <v>1.0124360247576039</v>
      </c>
      <c r="L13" s="42">
        <v>0.14699999999999999</v>
      </c>
      <c r="M13" s="6">
        <f t="shared" si="2"/>
        <v>20.741637889301508</v>
      </c>
      <c r="N13" s="64">
        <v>0.03</v>
      </c>
      <c r="O13" s="1">
        <f>O12+N12</f>
        <v>1.2671999999999999</v>
      </c>
      <c r="P13" s="6">
        <f t="shared" si="6"/>
        <v>-4.5</v>
      </c>
      <c r="R13" s="6">
        <f>IF(AND(ABS(M13)&gt;0,ABS(M13)&lt;='Variable Kt'!$B$17),
IF(M13&gt;0,M13/('Variable Kt'!$D$16+'Variable Kt'!$E$16*M13),M13/('Variable Kt'!$D$16-'Variable Kt'!$E$16*M13)),
IF(M13&gt;0,M13/('Variable Kt'!$D$17+'Variable Kt'!$F$17*(M13-'Variable Kt'!$B$17)),M13/('Variable Kt'!$D$17-'Variable Kt'!$F$17*(M13-'Variable Kt'!$B$17))))</f>
        <v>14.855619309914221</v>
      </c>
      <c r="S13" s="18">
        <f>3*R13*R13*B23</f>
        <v>695.2273027405738</v>
      </c>
      <c r="T13" s="6">
        <f t="shared" si="3"/>
        <v>16.078337251169607</v>
      </c>
      <c r="V13" s="32" t="s">
        <v>64</v>
      </c>
      <c r="W13" s="42">
        <f>IF(ABS(R13)&gt;$I$20,
$I$25*POWER($I$18+($I$19-$I$18)*(ABS(R13)-$I$20)/($I$22-$I$20),2)*3000/(2.3*((ABS(E13)-ABS(C13))/N13)*$I$24)*(POWER(ABS(ABS(C13)+((ABS(E13)-ABS(C13))/N13)*(O14-O13))*$I$24/3000, 2.3)-POWER(ABS(ABS(C13)+((ABS(E13)-ABS(C13))/N13)*(O14-O14))*$I$24/3000, 2.3)),
$I$25*POWER($I$17+($I$18-$I$17)*ABS(R13)/($I$20),2)*3000/(2.3*((ABS(E13)-ABS(C13))/N13)*$I$24)*(POWER(ABS(ABS(C13)+((ABS(E13)-ABS(C13))/N13)*(O14-O13))*$I$24/3000, 2.3)-POWER(ABS(ABS(C13)+((ABS(E13)-ABS(C13))/N13)*(O14-O14))*$I$24/3000, 2.3)))</f>
        <v>2.2804529945349712</v>
      </c>
      <c r="X13" s="78"/>
      <c r="Y13" s="78"/>
      <c r="Z13" s="78"/>
    </row>
    <row r="14" spans="1:26" ht="30">
      <c r="A14" s="3" t="s">
        <v>21</v>
      </c>
      <c r="B14" s="69">
        <v>0</v>
      </c>
      <c r="C14" s="8"/>
      <c r="D14" s="14"/>
      <c r="E14" s="17"/>
      <c r="F14" s="17"/>
      <c r="G14" s="14"/>
      <c r="H14" s="14"/>
      <c r="I14" s="8"/>
      <c r="J14" s="8"/>
      <c r="K14" s="8"/>
      <c r="L14" s="8"/>
      <c r="M14" s="8"/>
      <c r="N14" s="64">
        <f>SUM(N5:N13)</f>
        <v>1.2971999999999999</v>
      </c>
      <c r="O14" s="1">
        <f>O13+N13</f>
        <v>1.2971999999999999</v>
      </c>
      <c r="P14" s="6">
        <f>SUM(P5:P13)</f>
        <v>-2.500000000001279E-3</v>
      </c>
      <c r="T14" s="24">
        <f>SUM(T5:T13)</f>
        <v>276.16522388547912</v>
      </c>
      <c r="V14" s="51"/>
      <c r="W14" s="33">
        <f>SUM(W5:W12)</f>
        <v>10.270789492281754</v>
      </c>
      <c r="X14" s="78"/>
      <c r="Y14" s="78"/>
      <c r="Z14" s="78"/>
    </row>
    <row r="15" spans="1:26">
      <c r="A15" s="16"/>
      <c r="B15" s="8"/>
      <c r="C15" s="8"/>
      <c r="D15" s="14"/>
      <c r="E15" s="14"/>
      <c r="F15" s="14"/>
      <c r="G15" s="14"/>
      <c r="H15" s="14"/>
      <c r="I15" s="8"/>
      <c r="J15" s="8"/>
      <c r="K15" s="8"/>
      <c r="L15" s="8"/>
      <c r="M15" s="15"/>
      <c r="N15" s="14"/>
      <c r="O15" s="14"/>
      <c r="P15" s="14"/>
      <c r="Q15" s="14"/>
      <c r="R15" s="14"/>
      <c r="S15" s="21"/>
      <c r="X15" s="78"/>
      <c r="Y15" s="78"/>
      <c r="Z15" s="78"/>
    </row>
    <row r="16" spans="1:26" ht="14.25" customHeight="1">
      <c r="A16" t="s">
        <v>42</v>
      </c>
      <c r="H16" t="s">
        <v>67</v>
      </c>
      <c r="L16" s="86" t="s">
        <v>70</v>
      </c>
      <c r="M16" s="86"/>
      <c r="N16" s="80" t="s">
        <v>89</v>
      </c>
      <c r="O16" s="14"/>
      <c r="P16" s="14"/>
      <c r="Q16" s="14"/>
      <c r="R16" s="82" t="s">
        <v>90</v>
      </c>
    </row>
    <row r="17" spans="1:20">
      <c r="A17" s="28" t="s">
        <v>29</v>
      </c>
      <c r="B17" s="10">
        <v>5</v>
      </c>
      <c r="C17" s="3" t="s">
        <v>15</v>
      </c>
      <c r="D17" s="3">
        <f>B17/1000</f>
        <v>5.0000000000000001E-3</v>
      </c>
      <c r="E17" s="3" t="s">
        <v>16</v>
      </c>
      <c r="F17" s="10" t="s">
        <v>43</v>
      </c>
      <c r="H17" s="38" t="s">
        <v>52</v>
      </c>
      <c r="I17" s="30">
        <v>0.8</v>
      </c>
      <c r="J17" s="30" t="s">
        <v>59</v>
      </c>
      <c r="K17" s="35"/>
      <c r="L17" s="79" t="s">
        <v>13</v>
      </c>
      <c r="M17" s="24">
        <f>SUM(P5:P9)</f>
        <v>29.997499999999999</v>
      </c>
      <c r="N17" s="42">
        <f>SUM(N5:N9)</f>
        <v>0.32219999999999999</v>
      </c>
      <c r="O17" s="14"/>
      <c r="P17" s="14"/>
      <c r="Q17" s="14"/>
      <c r="R17" s="79">
        <f>R10*1.1</f>
        <v>11.552597046170888</v>
      </c>
      <c r="S17" s="9"/>
      <c r="T17" s="9"/>
    </row>
    <row r="18" spans="1:20">
      <c r="A18" s="29" t="s">
        <v>17</v>
      </c>
      <c r="B18" s="3">
        <v>0.78600000000000003</v>
      </c>
      <c r="C18" s="3"/>
      <c r="D18" s="3"/>
      <c r="E18" s="3"/>
      <c r="F18" s="4"/>
      <c r="H18" s="39" t="s">
        <v>53</v>
      </c>
      <c r="I18" s="30">
        <v>1.6</v>
      </c>
      <c r="J18" s="30" t="s">
        <v>59</v>
      </c>
      <c r="K18" s="35"/>
      <c r="L18" s="79" t="s">
        <v>14</v>
      </c>
      <c r="M18" s="24">
        <f>SUM(P11:P13)</f>
        <v>-30</v>
      </c>
      <c r="N18" s="42">
        <f>SUM(N11:N13)</f>
        <v>0.14499999999999999</v>
      </c>
      <c r="O18" s="14"/>
      <c r="P18" s="14"/>
      <c r="Q18" s="14"/>
      <c r="R18" s="14"/>
      <c r="S18" s="9"/>
      <c r="T18" s="9"/>
    </row>
    <row r="19" spans="1:20">
      <c r="A19" s="29" t="s">
        <v>18</v>
      </c>
      <c r="B19" s="3">
        <v>0.72799999999999998</v>
      </c>
      <c r="C19" s="3"/>
      <c r="D19" s="3"/>
      <c r="E19" s="3"/>
      <c r="F19" s="4"/>
      <c r="H19" s="39" t="s">
        <v>54</v>
      </c>
      <c r="I19" s="30">
        <v>2.2000000000000002</v>
      </c>
      <c r="J19" s="30" t="s">
        <v>59</v>
      </c>
      <c r="K19" s="35"/>
      <c r="N19" s="14"/>
      <c r="O19" s="14"/>
      <c r="P19" s="14"/>
      <c r="Q19" s="14"/>
      <c r="R19" s="14"/>
    </row>
    <row r="20" spans="1:20">
      <c r="A20" s="28" t="s">
        <v>22</v>
      </c>
      <c r="B20" s="53">
        <v>1.57E-3</v>
      </c>
      <c r="C20" s="27" t="s">
        <v>62</v>
      </c>
      <c r="E20" s="3"/>
      <c r="F20" s="19"/>
      <c r="H20" s="39" t="s">
        <v>57</v>
      </c>
      <c r="I20" s="81">
        <f>10.3/B21</f>
        <v>7.2379849449913145</v>
      </c>
      <c r="J20" s="30" t="s">
        <v>31</v>
      </c>
      <c r="K20" s="35"/>
      <c r="N20" s="14"/>
      <c r="O20" s="14"/>
      <c r="P20" s="14"/>
      <c r="Q20" s="14"/>
      <c r="R20" s="14"/>
    </row>
    <row r="21" spans="1:20">
      <c r="A21" s="28" t="s">
        <v>28</v>
      </c>
      <c r="B21" s="52">
        <f>'Variable Kt'!C9</f>
        <v>1.4230480000000001</v>
      </c>
      <c r="C21" s="3" t="s">
        <v>23</v>
      </c>
      <c r="D21" s="3"/>
      <c r="E21" s="3"/>
      <c r="F21" s="13">
        <f>'Variable Kt'!C9</f>
        <v>1.4230480000000001</v>
      </c>
      <c r="H21" s="39" t="s">
        <v>55</v>
      </c>
      <c r="I21" s="81">
        <f>7.9/B21</f>
        <v>5.5514641811098429</v>
      </c>
      <c r="J21" s="30" t="s">
        <v>31</v>
      </c>
      <c r="K21" s="35"/>
      <c r="N21" s="14"/>
      <c r="O21" s="14"/>
      <c r="P21" s="14"/>
      <c r="Q21" s="14"/>
      <c r="R21" s="14"/>
    </row>
    <row r="22" spans="1:20">
      <c r="A22" s="28" t="s">
        <v>35</v>
      </c>
      <c r="B22" s="3">
        <f>1.62/2</f>
        <v>0.81</v>
      </c>
      <c r="C22" s="3" t="s">
        <v>30</v>
      </c>
      <c r="D22" s="3"/>
      <c r="E22" s="3"/>
      <c r="F22" s="4"/>
      <c r="H22" s="40" t="s">
        <v>56</v>
      </c>
      <c r="I22" s="34">
        <v>21</v>
      </c>
      <c r="J22" s="30" t="s">
        <v>31</v>
      </c>
      <c r="K22" s="11"/>
      <c r="N22" s="9"/>
    </row>
    <row r="23" spans="1:20">
      <c r="A23" s="28" t="s">
        <v>36</v>
      </c>
      <c r="B23" s="20">
        <f>B22*(1+0.0038*(B24-25))</f>
        <v>1.050084</v>
      </c>
      <c r="C23" s="3" t="s">
        <v>30</v>
      </c>
      <c r="D23" s="3"/>
      <c r="E23" s="3"/>
      <c r="F23" s="4"/>
      <c r="H23" s="41" t="s">
        <v>58</v>
      </c>
      <c r="I23" s="1">
        <v>3000</v>
      </c>
      <c r="J23" s="1" t="s">
        <v>7</v>
      </c>
      <c r="K23" s="37" t="s">
        <v>49</v>
      </c>
      <c r="L23" s="1">
        <f>I23*I24/60</f>
        <v>250</v>
      </c>
      <c r="M23" s="36" t="s">
        <v>60</v>
      </c>
      <c r="N23" s="9"/>
    </row>
    <row r="24" spans="1:20">
      <c r="A24" s="28" t="s">
        <v>46</v>
      </c>
      <c r="B24" s="50">
        <v>103</v>
      </c>
      <c r="C24" s="12" t="s">
        <v>37</v>
      </c>
      <c r="D24" s="3"/>
      <c r="E24" s="3"/>
      <c r="F24" s="70" t="s">
        <v>85</v>
      </c>
      <c r="H24" s="41" t="s">
        <v>61</v>
      </c>
      <c r="I24" s="31">
        <f>B17</f>
        <v>5</v>
      </c>
      <c r="N24" s="9"/>
    </row>
    <row r="25" spans="1:20">
      <c r="A25" s="28" t="s">
        <v>39</v>
      </c>
      <c r="B25" s="73">
        <v>30</v>
      </c>
      <c r="C25" s="3" t="s">
        <v>11</v>
      </c>
      <c r="D25" s="3"/>
      <c r="E25" s="3"/>
      <c r="F25" s="4"/>
      <c r="H25" s="41" t="s">
        <v>63</v>
      </c>
      <c r="I25" s="1">
        <v>4.5599999999999996</v>
      </c>
      <c r="K25">
        <f>3*B23*POWER(I20,2)</f>
        <v>165.03674398471901</v>
      </c>
      <c r="L25">
        <f>3*B23*POWER(I21,2)</f>
        <v>97.086843171706221</v>
      </c>
      <c r="M25">
        <f>K25-L25</f>
        <v>67.949900813012789</v>
      </c>
      <c r="N25" s="9"/>
    </row>
    <row r="26" spans="1:20">
      <c r="A26" s="28" t="s">
        <v>44</v>
      </c>
      <c r="B26" s="45">
        <v>0.63300000000000001</v>
      </c>
      <c r="C26" s="12" t="s">
        <v>45</v>
      </c>
      <c r="D26" s="3"/>
      <c r="E26" s="3"/>
      <c r="F26" s="4"/>
      <c r="K26">
        <f>I17+(I18-I17)*I21/I20</f>
        <v>1.4135922330097088</v>
      </c>
      <c r="L26">
        <f>M25/(POWER(K26,2)*POWER(L23/50,1.3))</f>
        <v>4.1964255342702401</v>
      </c>
      <c r="N26" s="9"/>
    </row>
    <row r="27" spans="1:20">
      <c r="A27" s="28" t="s">
        <v>47</v>
      </c>
      <c r="B27" s="3">
        <v>25</v>
      </c>
      <c r="C27" s="12" t="s">
        <v>37</v>
      </c>
      <c r="D27" s="3"/>
      <c r="E27" s="3"/>
      <c r="F27" s="4"/>
      <c r="H27" s="11"/>
      <c r="J27" s="11"/>
      <c r="K27" s="11"/>
      <c r="L27" s="11"/>
      <c r="M27" s="11"/>
      <c r="N27" s="11"/>
    </row>
    <row r="28" spans="1:20">
      <c r="A28" s="43" t="s">
        <v>65</v>
      </c>
      <c r="B28" s="10">
        <v>3000</v>
      </c>
      <c r="C28" s="44" t="s">
        <v>7</v>
      </c>
      <c r="D28" s="5">
        <f>B28*PI()/30</f>
        <v>314.15926535897933</v>
      </c>
      <c r="E28" s="1" t="s">
        <v>66</v>
      </c>
      <c r="F28" s="1"/>
      <c r="H28" s="11"/>
      <c r="J28" s="11"/>
      <c r="K28" s="87"/>
      <c r="L28" s="87"/>
      <c r="M28" s="87"/>
      <c r="N28" s="56"/>
    </row>
    <row r="29" spans="1:20">
      <c r="A29" s="29" t="s">
        <v>68</v>
      </c>
      <c r="B29" s="44">
        <v>10</v>
      </c>
      <c r="C29" s="44" t="s">
        <v>69</v>
      </c>
      <c r="D29" s="5"/>
      <c r="E29" s="49"/>
      <c r="F29" s="49"/>
      <c r="H29" s="11"/>
      <c r="J29" s="11"/>
      <c r="K29" s="56"/>
      <c r="L29" s="56"/>
      <c r="M29" s="56"/>
      <c r="N29" s="56"/>
    </row>
    <row r="30" spans="1:20">
      <c r="A30" s="29" t="s">
        <v>83</v>
      </c>
      <c r="B30" s="44">
        <v>300</v>
      </c>
      <c r="C30" s="44" t="s">
        <v>6</v>
      </c>
      <c r="D30" s="5"/>
      <c r="E30" s="55"/>
      <c r="F30" s="55"/>
      <c r="H30" s="11"/>
      <c r="J30" s="11"/>
      <c r="K30" s="56"/>
      <c r="L30" s="56"/>
      <c r="M30" s="56"/>
      <c r="N30" s="56"/>
    </row>
    <row r="31" spans="1:20">
      <c r="A31" s="29" t="s">
        <v>82</v>
      </c>
      <c r="B31" s="44">
        <v>25</v>
      </c>
      <c r="C31" s="44" t="s">
        <v>6</v>
      </c>
      <c r="D31" s="5"/>
      <c r="E31" s="55"/>
      <c r="F31" s="55"/>
      <c r="H31" s="11"/>
      <c r="J31" s="11"/>
      <c r="K31" s="56"/>
      <c r="L31" s="56"/>
      <c r="M31" s="56"/>
      <c r="N31" s="56"/>
    </row>
    <row r="32" spans="1:20">
      <c r="A32" s="29" t="s">
        <v>84</v>
      </c>
      <c r="B32" s="10">
        <v>-300</v>
      </c>
      <c r="C32" s="44" t="s">
        <v>6</v>
      </c>
      <c r="D32" s="5"/>
      <c r="E32" s="55"/>
      <c r="F32" s="55"/>
      <c r="H32" s="11"/>
      <c r="J32" s="11"/>
      <c r="K32" s="56"/>
      <c r="L32" s="56"/>
      <c r="M32" s="56"/>
      <c r="N32" s="11"/>
    </row>
    <row r="33" spans="1:14">
      <c r="A33" s="29" t="s">
        <v>93</v>
      </c>
      <c r="B33" s="10">
        <v>15</v>
      </c>
      <c r="C33" s="12" t="s">
        <v>37</v>
      </c>
      <c r="D33" s="4"/>
      <c r="E33" s="4"/>
      <c r="F33" s="4"/>
      <c r="H33" s="11"/>
      <c r="J33" s="11"/>
      <c r="K33" s="11"/>
      <c r="L33" s="11"/>
      <c r="M33" s="11"/>
      <c r="N33" s="11"/>
    </row>
    <row r="34" spans="1:14">
      <c r="F34" s="7"/>
      <c r="G34" s="46"/>
      <c r="J34" s="21"/>
      <c r="K34" s="22"/>
    </row>
    <row r="35" spans="1:14" ht="15" customHeight="1">
      <c r="A35" s="23" t="s">
        <v>40</v>
      </c>
      <c r="J35" s="21"/>
      <c r="K35" s="22"/>
      <c r="L35" s="21"/>
    </row>
    <row r="36" spans="1:14" ht="15" customHeight="1">
      <c r="A36" s="88" t="s">
        <v>41</v>
      </c>
      <c r="B36" s="88"/>
      <c r="C36" s="88"/>
      <c r="D36" s="88"/>
      <c r="E36" s="88"/>
      <c r="F36" s="24">
        <f>(T14+W14)*N14*B29/B25</f>
        <v>123.8549321845438</v>
      </c>
      <c r="G36" s="79" t="s">
        <v>34</v>
      </c>
      <c r="J36" s="21"/>
      <c r="K36" s="22"/>
      <c r="L36" s="21"/>
    </row>
    <row r="37" spans="1:14" ht="15" customHeight="1">
      <c r="A37" s="88" t="s">
        <v>91</v>
      </c>
      <c r="B37" s="88"/>
      <c r="C37" s="88"/>
      <c r="D37" s="88"/>
      <c r="E37" s="88"/>
      <c r="F37" s="24">
        <f>B27+F36*B26</f>
        <v>103.40017207281622</v>
      </c>
      <c r="G37" s="12" t="s">
        <v>37</v>
      </c>
    </row>
    <row r="38" spans="1:14">
      <c r="A38" s="88" t="s">
        <v>92</v>
      </c>
      <c r="B38" s="88"/>
      <c r="C38" s="88"/>
      <c r="D38" s="88"/>
      <c r="E38" s="88"/>
      <c r="F38" s="24">
        <f>B27+F36*B26-B33</f>
        <v>88.400172072816218</v>
      </c>
      <c r="G38" s="12" t="s">
        <v>37</v>
      </c>
    </row>
    <row r="43" spans="1:14">
      <c r="A43" s="87"/>
      <c r="B43" s="87"/>
      <c r="C43" s="87"/>
      <c r="D43" s="87"/>
      <c r="E43" s="87"/>
      <c r="F43" s="15"/>
      <c r="G43" s="15"/>
    </row>
    <row r="44" spans="1:14">
      <c r="A44" s="47"/>
    </row>
    <row r="46" spans="1:14" ht="15" customHeight="1"/>
    <row r="47" spans="1:14" ht="15" customHeight="1"/>
    <row r="48" spans="1:14" ht="15" customHeight="1"/>
    <row r="50" spans="1:2">
      <c r="A50" s="48"/>
      <c r="B50" s="48"/>
    </row>
    <row r="51" spans="1:2">
      <c r="A51" s="48"/>
      <c r="B51" s="48"/>
    </row>
    <row r="52" spans="1:2">
      <c r="A52" s="48"/>
      <c r="B52" s="48"/>
    </row>
    <row r="53" spans="1:2">
      <c r="A53" s="48"/>
      <c r="B53" s="48"/>
    </row>
    <row r="54" spans="1:2">
      <c r="A54" s="48"/>
      <c r="B54" s="48"/>
    </row>
    <row r="55" spans="1:2" ht="30" customHeight="1">
      <c r="A55" s="48"/>
      <c r="B55" s="48"/>
    </row>
    <row r="56" spans="1:2" ht="27.75" customHeight="1">
      <c r="A56" s="48"/>
      <c r="B56" s="48"/>
    </row>
    <row r="57" spans="1:2" ht="27.75" customHeight="1">
      <c r="A57" s="48"/>
      <c r="B57" s="48"/>
    </row>
    <row r="58" spans="1:2">
      <c r="A58" s="11"/>
      <c r="B58" s="11"/>
    </row>
  </sheetData>
  <mergeCells count="9">
    <mergeCell ref="B3:C3"/>
    <mergeCell ref="D3:E3"/>
    <mergeCell ref="F3:H3"/>
    <mergeCell ref="L16:M16"/>
    <mergeCell ref="A43:E43"/>
    <mergeCell ref="A37:E37"/>
    <mergeCell ref="A38:E38"/>
    <mergeCell ref="A36:E36"/>
    <mergeCell ref="K28:M28"/>
  </mergeCells>
  <pageMargins left="0.70866141732283472" right="0.70866141732283472" top="0.74803149606299213" bottom="0.74803149606299213" header="0.31496062992125984" footer="0.31496062992125984"/>
  <pageSetup paperSize="9" scale="53" orientation="landscape" horizontalDpi="180" verticalDpi="18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"/>
  <sheetViews>
    <sheetView topLeftCell="A7" zoomScale="175" zoomScaleNormal="175" workbookViewId="0">
      <selection activeCell="C9" sqref="C9"/>
    </sheetView>
  </sheetViews>
  <sheetFormatPr defaultRowHeight="15"/>
  <cols>
    <col min="1" max="1" width="11.85546875" customWidth="1"/>
    <col min="2" max="2" width="12" customWidth="1"/>
    <col min="3" max="3" width="13" customWidth="1"/>
    <col min="4" max="4" width="11.5703125" customWidth="1"/>
    <col min="5" max="5" width="12" customWidth="1"/>
    <col min="6" max="6" width="11" customWidth="1"/>
    <col min="7" max="7" width="9.5703125" bestFit="1" customWidth="1"/>
  </cols>
  <sheetData>
    <row r="1" spans="1:7" ht="18.75">
      <c r="B1" s="59" t="s">
        <v>72</v>
      </c>
    </row>
    <row r="2" spans="1:7" ht="18.75">
      <c r="B2" s="59"/>
    </row>
    <row r="3" spans="1:7">
      <c r="B3" t="s">
        <v>42</v>
      </c>
    </row>
    <row r="4" spans="1:7">
      <c r="B4" s="65" t="s">
        <v>75</v>
      </c>
      <c r="C4" s="55">
        <v>155</v>
      </c>
      <c r="D4" s="12" t="s">
        <v>76</v>
      </c>
    </row>
    <row r="5" spans="1:7">
      <c r="B5" s="65" t="s">
        <v>74</v>
      </c>
      <c r="C5" s="55">
        <v>0.12</v>
      </c>
      <c r="D5" s="12" t="s">
        <v>77</v>
      </c>
    </row>
    <row r="6" spans="1:7">
      <c r="B6" s="65" t="str">
        <f>"Kt @ "&amp;Main!B27&amp;"°С"</f>
        <v>Kt @ 25°С</v>
      </c>
      <c r="C6" s="55">
        <v>1.57</v>
      </c>
      <c r="D6" s="55" t="s">
        <v>23</v>
      </c>
    </row>
    <row r="8" spans="1:7">
      <c r="B8" t="s">
        <v>78</v>
      </c>
    </row>
    <row r="9" spans="1:7">
      <c r="B9" s="61" t="str">
        <f>"Kt @ "&amp;Main!B24&amp;"°С"</f>
        <v>Kt @ 103°С</v>
      </c>
      <c r="C9" s="42">
        <f>$C$6*(1-(Main!B24-Main!B27)*$C$5/100)</f>
        <v>1.4230480000000001</v>
      </c>
      <c r="D9" s="55" t="s">
        <v>23</v>
      </c>
    </row>
    <row r="12" spans="1:7" ht="18.75">
      <c r="B12" s="58" t="s">
        <v>73</v>
      </c>
    </row>
    <row r="14" spans="1:7">
      <c r="B14" t="s">
        <v>42</v>
      </c>
      <c r="D14" s="11" t="s">
        <v>79</v>
      </c>
      <c r="E14" s="11"/>
    </row>
    <row r="15" spans="1:7" ht="33" customHeight="1">
      <c r="B15" s="66" t="s">
        <v>71</v>
      </c>
      <c r="C15" s="67" t="s">
        <v>81</v>
      </c>
      <c r="D15" s="64" t="str">
        <f>"Kt @ "&amp;Main!B24&amp;"°С"</f>
        <v>Kt @ 103°С</v>
      </c>
      <c r="E15" s="92" t="s">
        <v>80</v>
      </c>
      <c r="F15" s="93"/>
    </row>
    <row r="16" spans="1:7" ht="15.75" customHeight="1">
      <c r="A16" s="63"/>
      <c r="B16" s="57">
        <v>0</v>
      </c>
      <c r="C16" s="62">
        <v>0</v>
      </c>
      <c r="D16" s="42">
        <f>$C$9*(1-C16/100)</f>
        <v>1.4230480000000001</v>
      </c>
      <c r="E16" s="89">
        <f>(D17-D16)/(B17-B16)</f>
        <v>-1.2936800000000041E-3</v>
      </c>
      <c r="G16" s="68"/>
    </row>
    <row r="17" spans="1:6">
      <c r="A17" s="63"/>
      <c r="B17" s="55">
        <v>22</v>
      </c>
      <c r="C17" s="55">
        <v>2</v>
      </c>
      <c r="D17" s="42">
        <f>$C$9*(1-C17/100)</f>
        <v>1.39458704</v>
      </c>
      <c r="E17" s="90"/>
      <c r="F17" s="91">
        <f>(D18-D17)/(B18-B17)</f>
        <v>-4.7434933333333363E-3</v>
      </c>
    </row>
    <row r="18" spans="1:6">
      <c r="A18" s="63"/>
      <c r="B18" s="55">
        <v>31</v>
      </c>
      <c r="C18" s="55">
        <v>5</v>
      </c>
      <c r="D18" s="42">
        <f>$C$9*(1-C18/100)</f>
        <v>1.3518956</v>
      </c>
      <c r="E18" s="11"/>
      <c r="F18" s="90"/>
    </row>
  </sheetData>
  <mergeCells count="3">
    <mergeCell ref="E16:E17"/>
    <mergeCell ref="F17:F18"/>
    <mergeCell ref="E15:F15"/>
  </mergeCells>
  <pageMargins left="0.7" right="0.7" top="0.75" bottom="0.75" header="0.3" footer="0.3"/>
  <pageSetup paperSize="9" orientation="portrait" horizontalDpi="180" verticalDpi="18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Main</vt:lpstr>
      <vt:lpstr>Variable Kt</vt:lpstr>
      <vt:lpstr>Main!Область_печати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2018-01-31T15:14:22Z</dcterms:modified>
</cp:coreProperties>
</file>