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Колпаков_5 кВт_230V" sheetId="4" r:id="rId1"/>
    <sheet name="Колпаков_5 кВт_380V" sheetId="6" r:id="rId2"/>
    <sheet name="Горный №1" sheetId="2" r:id="rId3"/>
  </sheets>
  <calcPr calcId="125725"/>
</workbook>
</file>

<file path=xl/calcChain.xml><?xml version="1.0" encoding="utf-8"?>
<calcChain xmlns="http://schemas.openxmlformats.org/spreadsheetml/2006/main">
  <c r="B92" i="6"/>
  <c r="B92" i="4"/>
  <c r="B13" i="6"/>
  <c r="B25" s="1"/>
  <c r="B13" i="4"/>
  <c r="B14" i="2"/>
  <c r="B106" i="6"/>
  <c r="B97"/>
  <c r="B71"/>
  <c r="B70"/>
  <c r="B68"/>
  <c r="B65"/>
  <c r="B63"/>
  <c r="K42"/>
  <c r="B39"/>
  <c r="B33"/>
  <c r="B30"/>
  <c r="B29"/>
  <c r="B28"/>
  <c r="B15"/>
  <c r="B23" s="1"/>
  <c r="B119" i="4"/>
  <c r="B23"/>
  <c r="B33"/>
  <c r="B106"/>
  <c r="B119" i="6" l="1"/>
  <c r="B49"/>
  <c r="B93"/>
  <c r="B104" s="1"/>
  <c r="B108" s="1"/>
  <c r="B66"/>
  <c r="B30" i="4"/>
  <c r="B63"/>
  <c r="B29"/>
  <c r="B28"/>
  <c r="B39"/>
  <c r="B16" i="2"/>
  <c r="B68" i="4"/>
  <c r="B65"/>
  <c r="K42"/>
  <c r="B15"/>
  <c r="B71" s="1"/>
  <c r="B26" i="2"/>
  <c r="B19"/>
  <c r="B17"/>
  <c r="B27" l="1"/>
  <c r="B120" i="6"/>
  <c r="B121" s="1"/>
  <c r="B113"/>
  <c r="B114" s="1"/>
  <c r="B97" i="4"/>
  <c r="B25"/>
  <c r="B93" s="1"/>
  <c r="B104" s="1"/>
  <c r="B108" s="1"/>
  <c r="B120" s="1"/>
  <c r="B121" s="1"/>
  <c r="B70"/>
  <c r="B113" l="1"/>
  <c r="B114" s="1"/>
  <c r="B66"/>
  <c r="B49"/>
</calcChain>
</file>

<file path=xl/comments1.xml><?xml version="1.0" encoding="utf-8"?>
<comments xmlns="http://schemas.openxmlformats.org/spreadsheetml/2006/main">
  <authors>
    <author>Автор</author>
  </authors>
  <commentList>
    <comment ref="B25" authorId="0">
      <text>
        <r>
          <rPr>
            <b/>
            <sz val="8"/>
            <color indexed="81"/>
            <rFont val="Tahoma"/>
            <charset val="1"/>
          </rPr>
          <t>Автор:</t>
        </r>
        <r>
          <rPr>
            <sz val="8"/>
            <color indexed="81"/>
            <rFont val="Tahoma"/>
            <charset val="1"/>
          </rPr>
          <t xml:space="preserve">
Iout*0.55</t>
        </r>
      </text>
    </comment>
    <comment ref="B2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R=tan(b)/(2pi*f*C)</t>
        </r>
      </text>
    </comment>
    <comment ref="A3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ESR снижается с ростом частоты</t>
        </r>
      </text>
    </comment>
    <comment ref="B3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графика</t>
        </r>
      </text>
    </comment>
    <comment ref="A6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Производители определяют зависимость срока службы от IRMS и Тhs</t>
        </r>
      </text>
    </comment>
    <comment ref="B6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нет графика, поэтому 1</t>
        </r>
      </text>
    </comment>
    <comment ref="B6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больше частота, больше тока можно прокачать через конденсатор</t>
        </r>
      </text>
    </comment>
    <comment ref="B6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д.б. &lt; I (ripple current через DC-bus)</t>
        </r>
      </text>
    </comment>
    <comment ref="B7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д.б. больше, чем Creq</t>
        </r>
      </text>
    </comment>
    <comment ref="B97" authorId="0">
      <text>
        <r>
          <rPr>
            <b/>
            <sz val="8"/>
            <color indexed="81"/>
            <rFont val="Tahoma"/>
            <charset val="1"/>
          </rPr>
          <t>Автор:</t>
        </r>
        <r>
          <rPr>
            <sz val="8"/>
            <color indexed="81"/>
            <rFont val="Tahoma"/>
            <charset val="1"/>
          </rPr>
          <t xml:space="preserve">
д.б. &gt;наработки на отказ (LT)</t>
        </r>
      </text>
    </comment>
    <comment ref="B106" authorId="0">
      <text>
        <r>
          <rPr>
            <b/>
            <sz val="8"/>
            <color indexed="81"/>
            <rFont val="Tahoma"/>
            <charset val="1"/>
          </rPr>
          <t>Автор:</t>
        </r>
        <r>
          <rPr>
            <sz val="8"/>
            <color indexed="81"/>
            <rFont val="Tahoma"/>
            <charset val="1"/>
          </rPr>
          <t xml:space="preserve">
Информация от производителя
IIt's 5 degree C .
Heat rise at core when rated ripple current is applied is same as the maximum value of the heat rise .
DEBORAH ZONA/rubycon@rubycon</t>
        </r>
      </text>
    </comment>
    <comment ref="A10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д.б. &lt; 20 градусов</t>
        </r>
      </text>
    </comment>
    <comment ref="B11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д.б. &gt;наработки на отказ (LT)</t>
        </r>
      </text>
    </comment>
    <comment ref="B11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8000 работы в год</t>
        </r>
      </text>
    </comment>
    <comment ref="B12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д.б. &gt;наработки на отказ (LT)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25" authorId="0">
      <text>
        <r>
          <rPr>
            <b/>
            <sz val="8"/>
            <color indexed="81"/>
            <rFont val="Tahoma"/>
            <charset val="1"/>
          </rPr>
          <t>Автор:</t>
        </r>
        <r>
          <rPr>
            <sz val="8"/>
            <color indexed="81"/>
            <rFont val="Tahoma"/>
            <charset val="1"/>
          </rPr>
          <t xml:space="preserve">
Iout*0.55</t>
        </r>
      </text>
    </comment>
    <comment ref="B2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R=tan(b)/(2pi*f*C)</t>
        </r>
      </text>
    </comment>
    <comment ref="A3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ESR снижается с ростом частоты</t>
        </r>
      </text>
    </comment>
    <comment ref="B3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графика</t>
        </r>
      </text>
    </comment>
    <comment ref="A6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Производители определяют зависимость срока службы от IRMS и Тhs</t>
        </r>
      </text>
    </comment>
    <comment ref="B6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нет графика, поэтому 1</t>
        </r>
      </text>
    </comment>
    <comment ref="B6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больше частота, больше тока можно прокачать через конденсатор</t>
        </r>
      </text>
    </comment>
    <comment ref="B6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д.б. &lt; I (ripple current через DC-bus)</t>
        </r>
      </text>
    </comment>
    <comment ref="B7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д.б. больше, чем Creq</t>
        </r>
      </text>
    </comment>
    <comment ref="B97" authorId="0">
      <text>
        <r>
          <rPr>
            <b/>
            <sz val="8"/>
            <color indexed="81"/>
            <rFont val="Tahoma"/>
            <charset val="1"/>
          </rPr>
          <t>Автор:</t>
        </r>
        <r>
          <rPr>
            <sz val="8"/>
            <color indexed="81"/>
            <rFont val="Tahoma"/>
            <charset val="1"/>
          </rPr>
          <t xml:space="preserve">
д.б. &gt;наработки на отказ (LT)</t>
        </r>
      </text>
    </comment>
    <comment ref="B106" authorId="0">
      <text>
        <r>
          <rPr>
            <b/>
            <sz val="8"/>
            <color indexed="81"/>
            <rFont val="Tahoma"/>
            <charset val="1"/>
          </rPr>
          <t>Автор:</t>
        </r>
        <r>
          <rPr>
            <sz val="8"/>
            <color indexed="81"/>
            <rFont val="Tahoma"/>
            <charset val="1"/>
          </rPr>
          <t xml:space="preserve">
Информация от производителя
IIt's 5 degree C .
Heat rise at core when rated ripple current is applied is same as the maximum value of the heat rise .
DEBORAH ZONA/rubycon@rubycon</t>
        </r>
      </text>
    </comment>
    <comment ref="A10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д.б. &lt; 20 градусов</t>
        </r>
      </text>
    </comment>
    <comment ref="B11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д.б. &gt;наработки на отказ (LT)</t>
        </r>
      </text>
    </comment>
    <comment ref="B11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8000 работы в год</t>
        </r>
      </text>
    </comment>
    <comment ref="B12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д.б. &gt;наработки на отказ (LT)</t>
        </r>
      </text>
    </comment>
  </commentList>
</comments>
</file>

<file path=xl/sharedStrings.xml><?xml version="1.0" encoding="utf-8"?>
<sst xmlns="http://schemas.openxmlformats.org/spreadsheetml/2006/main" count="302" uniqueCount="127">
  <si>
    <t>Расчет емкости ЗПТ</t>
  </si>
  <si>
    <t>(методика Колпакова, Semikron)</t>
  </si>
  <si>
    <t>автор: Тихонов, 03.12.2018</t>
  </si>
  <si>
    <t>Исходные данные:</t>
  </si>
  <si>
    <t>P=</t>
  </si>
  <si>
    <t>W</t>
  </si>
  <si>
    <t>Мощность нагрузки</t>
  </si>
  <si>
    <t>Pfactor=</t>
  </si>
  <si>
    <t>коэфф. перегрузки</t>
  </si>
  <si>
    <t>пиковое значение синусоидального выходного тока (rms)</t>
  </si>
  <si>
    <t>Uce=</t>
  </si>
  <si>
    <t>V</t>
  </si>
  <si>
    <t>напряжение насыщения IGBT (из графика в pdf)</t>
  </si>
  <si>
    <t>Uline=</t>
  </si>
  <si>
    <t>линейное напряжение сети RMS</t>
  </si>
  <si>
    <t>Us=</t>
  </si>
  <si>
    <t>DC напряжение питания после моста</t>
  </si>
  <si>
    <t>cosfi=</t>
  </si>
  <si>
    <t>косинус угла между током и напряжением</t>
  </si>
  <si>
    <t>Iout=</t>
  </si>
  <si>
    <t>Arms</t>
  </si>
  <si>
    <t>Life=</t>
  </si>
  <si>
    <t>лет</t>
  </si>
  <si>
    <t>час</t>
  </si>
  <si>
    <t>t_env=</t>
  </si>
  <si>
    <t>°C</t>
  </si>
  <si>
    <t>LT=</t>
  </si>
  <si>
    <t xml:space="preserve">Расчеты </t>
  </si>
  <si>
    <t>Xi=</t>
  </si>
  <si>
    <t>токовый коэфф. (из графика)</t>
  </si>
  <si>
    <t>Конденсаторы</t>
  </si>
  <si>
    <t xml:space="preserve">Прочее </t>
  </si>
  <si>
    <t>Электропитание</t>
  </si>
  <si>
    <t>Тип</t>
  </si>
  <si>
    <t>n=</t>
  </si>
  <si>
    <t>срок службы, не менее (ТЗ)</t>
  </si>
  <si>
    <t>наработка на отказ, не менее (ТЗ)</t>
  </si>
  <si>
    <t>температура воздуха (ТЗ)</t>
  </si>
  <si>
    <t>Xf=</t>
  </si>
  <si>
    <t>f(Hz)</t>
  </si>
  <si>
    <t>K*Ir</t>
  </si>
  <si>
    <t>частотный коэфф. (из графика при 8 kHz)</t>
  </si>
  <si>
    <t>Ir=</t>
  </si>
  <si>
    <t>рабочий ток на 1 конденсатор Ta=80°C, 8kHz</t>
  </si>
  <si>
    <t>Creq=</t>
  </si>
  <si>
    <t>mF</t>
  </si>
  <si>
    <t>C1=</t>
  </si>
  <si>
    <t>емкость одного конденсатора</t>
  </si>
  <si>
    <t>необходимое кол-во конденсаторов</t>
  </si>
  <si>
    <t>необходимая емкость конденсаторов ЗПТ (0,06 mF на 1 Arms)</t>
  </si>
  <si>
    <t>С1=</t>
  </si>
  <si>
    <t>Umax=</t>
  </si>
  <si>
    <t>рабочее напряжение (datasheet)</t>
  </si>
  <si>
    <t>n_ser=</t>
  </si>
  <si>
    <t>кол-во конденсаторов последовательно (по макс напряжению)</t>
  </si>
  <si>
    <t>выбираем n вручную</t>
  </si>
  <si>
    <t>суммарное кол-во конденсаторов с учетом послед. включения</t>
  </si>
  <si>
    <t>Ctot=</t>
  </si>
  <si>
    <t>Общая емкость</t>
  </si>
  <si>
    <t>получившаяся емкость C*n</t>
  </si>
  <si>
    <t>n_tot=</t>
  </si>
  <si>
    <t>методика здесь</t>
  </si>
  <si>
    <t>(методика Горного университета)</t>
  </si>
  <si>
    <t>Метод №1. Классический</t>
  </si>
  <si>
    <t>m=</t>
  </si>
  <si>
    <t>схема выпрямителя (m-импульсная схема)</t>
  </si>
  <si>
    <t>Расчет</t>
  </si>
  <si>
    <t>C=</t>
  </si>
  <si>
    <t>q=</t>
  </si>
  <si>
    <t>коэфф. пульсаций</t>
  </si>
  <si>
    <t>требуемая емкость конденсатора</t>
  </si>
  <si>
    <t>заключается в рассмотрении конден
сатора как фильтрующего элемента, при-
меняемого для уменьшения низкочастот-
ной составляющей пульсаций напряжения</t>
  </si>
  <si>
    <t>400MXK820MEFCSN30X55</t>
  </si>
  <si>
    <t>hours</t>
  </si>
  <si>
    <t>Life calculation</t>
  </si>
  <si>
    <t>Tmax=</t>
  </si>
  <si>
    <t>dTc=</t>
  </si>
  <si>
    <t>R=</t>
  </si>
  <si>
    <t>Ohm</t>
  </si>
  <si>
    <t>S=</t>
  </si>
  <si>
    <t>см2</t>
  </si>
  <si>
    <t>площадь поверхности</t>
  </si>
  <si>
    <t>dissipation factor@120Hz</t>
  </si>
  <si>
    <t>tan(b)=</t>
  </si>
  <si>
    <t>f=</t>
  </si>
  <si>
    <t>Hz</t>
  </si>
  <si>
    <t>частота ШИМ</t>
  </si>
  <si>
    <t>N=</t>
  </si>
  <si>
    <t>кол-во конденсаторов в параллель</t>
  </si>
  <si>
    <t>ripple current через 1 конденсатор</t>
  </si>
  <si>
    <t>A</t>
  </si>
  <si>
    <t>1. Life and Ambient Temperature</t>
  </si>
  <si>
    <t>L=</t>
  </si>
  <si>
    <t>h</t>
  </si>
  <si>
    <t>2. Life and Ripple Current</t>
  </si>
  <si>
    <t>Type capacitor: Snap-in</t>
  </si>
  <si>
    <t>dTj=</t>
  </si>
  <si>
    <t>heat rise (∆Tj) exceeds 20°C by applying ripple current!!!</t>
  </si>
  <si>
    <t>please contact Rubycon</t>
  </si>
  <si>
    <t>dTo=</t>
  </si>
  <si>
    <t>РАСЧЕТ КОЛ-ВА КОНДЕНСАТОРОВ</t>
  </si>
  <si>
    <t>Ck=</t>
  </si>
  <si>
    <t>npar=</t>
  </si>
  <si>
    <t>3. Life calculation formula for each product type</t>
  </si>
  <si>
    <t>year</t>
  </si>
  <si>
    <t>Io=</t>
  </si>
  <si>
    <t>rated ripple current (datasheet)</t>
  </si>
  <si>
    <t>I=</t>
  </si>
  <si>
    <t>Icap=</t>
  </si>
  <si>
    <t>real capacitor ripple current</t>
  </si>
  <si>
    <t>ESR at 120Hz</t>
  </si>
  <si>
    <t>Rf=</t>
  </si>
  <si>
    <t>ESR@PWMfreq</t>
  </si>
  <si>
    <t>Lo=</t>
  </si>
  <si>
    <r>
      <t>rated TimeLife at 105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C</t>
    </r>
  </si>
  <si>
    <t>include all factors</t>
  </si>
  <si>
    <t>MIN=</t>
  </si>
  <si>
    <t>k=</t>
  </si>
  <si>
    <t>size coeff for L=55mm</t>
  </si>
  <si>
    <t>Vdc</t>
  </si>
  <si>
    <t>Ureal=</t>
  </si>
  <si>
    <t>реальное напряжение на конденсаторе</t>
  </si>
  <si>
    <t>//для второй части формулы</t>
  </si>
  <si>
    <t>(include all factors)</t>
  </si>
  <si>
    <t>(include temp and current ripple)</t>
  </si>
  <si>
    <t>(include temp only)</t>
  </si>
  <si>
    <t>3. Life calculation formula for each product type !!!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</si>
</sst>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0" fillId="0" borderId="1" xfId="0" applyFont="1" applyBorder="1"/>
    <xf numFmtId="0" fontId="0" fillId="0" borderId="0" xfId="0" applyBorder="1"/>
    <xf numFmtId="0" fontId="0" fillId="0" borderId="1" xfId="0" applyBorder="1"/>
    <xf numFmtId="0" fontId="2" fillId="0" borderId="0" xfId="0" applyFont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/>
    <xf numFmtId="0" fontId="0" fillId="0" borderId="2" xfId="0" applyBorder="1"/>
    <xf numFmtId="0" fontId="0" fillId="0" borderId="0" xfId="0" applyFont="1" applyFill="1" applyBorder="1"/>
    <xf numFmtId="0" fontId="1" fillId="0" borderId="0" xfId="0" applyFont="1"/>
    <xf numFmtId="0" fontId="4" fillId="0" borderId="0" xfId="1" applyAlignment="1" applyProtection="1"/>
    <xf numFmtId="0" fontId="0" fillId="0" borderId="1" xfId="0" applyFill="1" applyBorder="1"/>
    <xf numFmtId="0" fontId="0" fillId="0" borderId="0" xfId="0" applyAlignment="1"/>
    <xf numFmtId="0" fontId="0" fillId="0" borderId="3" xfId="0" applyBorder="1"/>
    <xf numFmtId="0" fontId="9" fillId="0" borderId="0" xfId="0" applyFont="1"/>
    <xf numFmtId="0" fontId="10" fillId="0" borderId="0" xfId="1" applyFont="1" applyAlignment="1" applyProtection="1"/>
    <xf numFmtId="0" fontId="11" fillId="0" borderId="0" xfId="0" applyFont="1"/>
    <xf numFmtId="0" fontId="12" fillId="0" borderId="0" xfId="0" applyFont="1"/>
  </cellXfs>
  <cellStyles count="2">
    <cellStyle name="Гиперссылка" xfId="1" builtinId="8"/>
    <cellStyle name="Обычный" xfId="0" builtinId="0"/>
  </cellStyles>
  <dxfs count="7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'Колпаков_5 кВт_230V'!$K$42:$K$47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'Колпаков_5 кВт_230V'!$L$42:$L$47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1.4</c:v>
                </c:pt>
              </c:numCache>
            </c:numRef>
          </c:yVal>
          <c:smooth val="1"/>
        </c:ser>
        <c:axId val="80808576"/>
        <c:axId val="80839424"/>
      </c:scatterChart>
      <c:valAx>
        <c:axId val="8080857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 Hz</a:t>
                </a:r>
                <a:endParaRPr lang="ru-RU"/>
              </a:p>
            </c:rich>
          </c:tx>
          <c:layout/>
        </c:title>
        <c:numFmt formatCode="General" sourceLinked="1"/>
        <c:minorTickMark val="cross"/>
        <c:tickLblPos val="nextTo"/>
        <c:crossAx val="80839424"/>
        <c:crosses val="autoZero"/>
        <c:crossBetween val="midCat"/>
      </c:valAx>
      <c:valAx>
        <c:axId val="80839424"/>
        <c:scaling>
          <c:orientation val="minMax"/>
          <c:min val="0.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Ir*K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0808576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xVal>
            <c:numRef>
              <c:f>'Колпаков_5 кВт_230V'!$K$42:$K$47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'Колпаков_5 кВт_230V'!$L$42:$L$47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1.4</c:v>
                </c:pt>
              </c:numCache>
            </c:numRef>
          </c:yVal>
          <c:smooth val="1"/>
        </c:ser>
        <c:axId val="80026240"/>
        <c:axId val="80032512"/>
      </c:scatterChart>
      <c:valAx>
        <c:axId val="800262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 Hz</a:t>
                </a:r>
                <a:endParaRPr lang="ru-RU"/>
              </a:p>
            </c:rich>
          </c:tx>
          <c:layout/>
        </c:title>
        <c:numFmt formatCode="General" sourceLinked="1"/>
        <c:minorTickMark val="cross"/>
        <c:tickLblPos val="nextTo"/>
        <c:crossAx val="80032512"/>
        <c:crosses val="autoZero"/>
        <c:crossBetween val="midCat"/>
      </c:valAx>
      <c:valAx>
        <c:axId val="80032512"/>
        <c:scaling>
          <c:orientation val="minMax"/>
          <c:min val="0.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Ir*K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0026240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40</xdr:row>
      <xdr:rowOff>38100</xdr:rowOff>
    </xdr:from>
    <xdr:to>
      <xdr:col>19</xdr:col>
      <xdr:colOff>533400</xdr:colOff>
      <xdr:row>56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600075</xdr:colOff>
      <xdr:row>60</xdr:row>
      <xdr:rowOff>161925</xdr:rowOff>
    </xdr:from>
    <xdr:to>
      <xdr:col>23</xdr:col>
      <xdr:colOff>247650</xdr:colOff>
      <xdr:row>87</xdr:row>
      <xdr:rowOff>117781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38950" y="16354425"/>
          <a:ext cx="8181975" cy="50993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209550</xdr:colOff>
      <xdr:row>32</xdr:row>
      <xdr:rowOff>180975</xdr:rowOff>
    </xdr:from>
    <xdr:to>
      <xdr:col>18</xdr:col>
      <xdr:colOff>28575</xdr:colOff>
      <xdr:row>38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77225" y="5895975"/>
          <a:ext cx="3476625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504825</xdr:colOff>
      <xdr:row>101</xdr:row>
      <xdr:rowOff>114300</xdr:rowOff>
    </xdr:from>
    <xdr:to>
      <xdr:col>10</xdr:col>
      <xdr:colOff>114300</xdr:colOff>
      <xdr:row>110</xdr:row>
      <xdr:rowOff>171450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24250" y="18973800"/>
          <a:ext cx="3438525" cy="1771650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238125</xdr:colOff>
      <xdr:row>111</xdr:row>
      <xdr:rowOff>133350</xdr:rowOff>
    </xdr:from>
    <xdr:to>
      <xdr:col>6</xdr:col>
      <xdr:colOff>590550</xdr:colOff>
      <xdr:row>112</xdr:row>
      <xdr:rowOff>180975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867150" y="13658850"/>
          <a:ext cx="113347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199385</xdr:colOff>
      <xdr:row>101</xdr:row>
      <xdr:rowOff>123825</xdr:rowOff>
    </xdr:from>
    <xdr:to>
      <xdr:col>17</xdr:col>
      <xdr:colOff>476250</xdr:colOff>
      <xdr:row>120</xdr:row>
      <xdr:rowOff>161925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047860" y="11744325"/>
          <a:ext cx="4544065" cy="3657600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19049</xdr:colOff>
      <xdr:row>93</xdr:row>
      <xdr:rowOff>180976</xdr:rowOff>
    </xdr:from>
    <xdr:to>
      <xdr:col>9</xdr:col>
      <xdr:colOff>314324</xdr:colOff>
      <xdr:row>100</xdr:row>
      <xdr:rowOff>71102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648074" y="10277476"/>
          <a:ext cx="2905125" cy="1223626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276225</xdr:colOff>
      <xdr:row>121</xdr:row>
      <xdr:rowOff>171450</xdr:rowOff>
    </xdr:from>
    <xdr:to>
      <xdr:col>12</xdr:col>
      <xdr:colOff>314325</xdr:colOff>
      <xdr:row>124</xdr:row>
      <xdr:rowOff>85725</xdr:rowOff>
    </xdr:to>
    <xdr:pic>
      <xdr:nvPicPr>
        <xdr:cNvPr id="206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124700" y="22840950"/>
          <a:ext cx="125730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123825</xdr:colOff>
      <xdr:row>101</xdr:row>
      <xdr:rowOff>66675</xdr:rowOff>
    </xdr:from>
    <xdr:to>
      <xdr:col>26</xdr:col>
      <xdr:colOff>409575</xdr:colOff>
      <xdr:row>111</xdr:row>
      <xdr:rowOff>76200</xdr:rowOff>
    </xdr:to>
    <xdr:pic>
      <xdr:nvPicPr>
        <xdr:cNvPr id="206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1849100" y="11687175"/>
          <a:ext cx="5162550" cy="1914525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228600</xdr:colOff>
      <xdr:row>11</xdr:row>
      <xdr:rowOff>114300</xdr:rowOff>
    </xdr:from>
    <xdr:to>
      <xdr:col>17</xdr:col>
      <xdr:colOff>142875</xdr:colOff>
      <xdr:row>30</xdr:row>
      <xdr:rowOff>104775</xdr:rowOff>
    </xdr:to>
    <xdr:pic>
      <xdr:nvPicPr>
        <xdr:cNvPr id="207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296275" y="2209800"/>
          <a:ext cx="2962275" cy="3609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152400</xdr:colOff>
      <xdr:row>130</xdr:row>
      <xdr:rowOff>0</xdr:rowOff>
    </xdr:from>
    <xdr:to>
      <xdr:col>22</xdr:col>
      <xdr:colOff>447675</xdr:colOff>
      <xdr:row>138</xdr:row>
      <xdr:rowOff>85725</xdr:rowOff>
    </xdr:to>
    <xdr:pic>
      <xdr:nvPicPr>
        <xdr:cNvPr id="2083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1877675" y="24384000"/>
          <a:ext cx="2733675" cy="1609725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161925</xdr:colOff>
      <xdr:row>115</xdr:row>
      <xdr:rowOff>0</xdr:rowOff>
    </xdr:from>
    <xdr:to>
      <xdr:col>26</xdr:col>
      <xdr:colOff>409575</xdr:colOff>
      <xdr:row>129</xdr:row>
      <xdr:rowOff>85725</xdr:rowOff>
    </xdr:to>
    <xdr:pic>
      <xdr:nvPicPr>
        <xdr:cNvPr id="2084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1887200" y="21526500"/>
          <a:ext cx="5124450" cy="2752725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40</xdr:row>
      <xdr:rowOff>38100</xdr:rowOff>
    </xdr:from>
    <xdr:to>
      <xdr:col>19</xdr:col>
      <xdr:colOff>533400</xdr:colOff>
      <xdr:row>56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600075</xdr:colOff>
      <xdr:row>60</xdr:row>
      <xdr:rowOff>161925</xdr:rowOff>
    </xdr:from>
    <xdr:to>
      <xdr:col>23</xdr:col>
      <xdr:colOff>247650</xdr:colOff>
      <xdr:row>87</xdr:row>
      <xdr:rowOff>117781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38950" y="11591925"/>
          <a:ext cx="8181975" cy="509935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209550</xdr:colOff>
      <xdr:row>32</xdr:row>
      <xdr:rowOff>180975</xdr:rowOff>
    </xdr:from>
    <xdr:to>
      <xdr:col>18</xdr:col>
      <xdr:colOff>28575</xdr:colOff>
      <xdr:row>38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77225" y="6276975"/>
          <a:ext cx="3476625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504825</xdr:colOff>
      <xdr:row>101</xdr:row>
      <xdr:rowOff>114300</xdr:rowOff>
    </xdr:from>
    <xdr:to>
      <xdr:col>9</xdr:col>
      <xdr:colOff>552450</xdr:colOff>
      <xdr:row>110</xdr:row>
      <xdr:rowOff>171450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24250" y="19354800"/>
          <a:ext cx="3438525" cy="1771650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238125</xdr:colOff>
      <xdr:row>111</xdr:row>
      <xdr:rowOff>133350</xdr:rowOff>
    </xdr:from>
    <xdr:to>
      <xdr:col>6</xdr:col>
      <xdr:colOff>419100</xdr:colOff>
      <xdr:row>112</xdr:row>
      <xdr:rowOff>180975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867150" y="21278850"/>
          <a:ext cx="1133475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199385</xdr:colOff>
      <xdr:row>101</xdr:row>
      <xdr:rowOff>123825</xdr:rowOff>
    </xdr:from>
    <xdr:to>
      <xdr:col>17</xdr:col>
      <xdr:colOff>476250</xdr:colOff>
      <xdr:row>120</xdr:row>
      <xdr:rowOff>161925</xdr:rowOff>
    </xdr:to>
    <xdr:pic>
      <xdr:nvPicPr>
        <xdr:cNvPr id="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047860" y="19364325"/>
          <a:ext cx="4544065" cy="3657600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19049</xdr:colOff>
      <xdr:row>93</xdr:row>
      <xdr:rowOff>180976</xdr:rowOff>
    </xdr:from>
    <xdr:to>
      <xdr:col>9</xdr:col>
      <xdr:colOff>142874</xdr:colOff>
      <xdr:row>100</xdr:row>
      <xdr:rowOff>71102</xdr:rowOff>
    </xdr:to>
    <xdr:pic>
      <xdr:nvPicPr>
        <xdr:cNvPr id="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648074" y="17897476"/>
          <a:ext cx="2905125" cy="1223626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276225</xdr:colOff>
      <xdr:row>121</xdr:row>
      <xdr:rowOff>171450</xdr:rowOff>
    </xdr:from>
    <xdr:to>
      <xdr:col>12</xdr:col>
      <xdr:colOff>314325</xdr:colOff>
      <xdr:row>124</xdr:row>
      <xdr:rowOff>85725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124700" y="23221950"/>
          <a:ext cx="125730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123825</xdr:colOff>
      <xdr:row>101</xdr:row>
      <xdr:rowOff>66675</xdr:rowOff>
    </xdr:from>
    <xdr:to>
      <xdr:col>26</xdr:col>
      <xdr:colOff>409575</xdr:colOff>
      <xdr:row>111</xdr:row>
      <xdr:rowOff>76200</xdr:rowOff>
    </xdr:to>
    <xdr:pic>
      <xdr:nvPicPr>
        <xdr:cNvPr id="1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1849100" y="19307175"/>
          <a:ext cx="5162550" cy="1914525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228600</xdr:colOff>
      <xdr:row>11</xdr:row>
      <xdr:rowOff>114300</xdr:rowOff>
    </xdr:from>
    <xdr:to>
      <xdr:col>17</xdr:col>
      <xdr:colOff>142875</xdr:colOff>
      <xdr:row>30</xdr:row>
      <xdr:rowOff>104775</xdr:rowOff>
    </xdr:to>
    <xdr:pic>
      <xdr:nvPicPr>
        <xdr:cNvPr id="1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296275" y="2209800"/>
          <a:ext cx="2962275" cy="3609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152400</xdr:colOff>
      <xdr:row>130</xdr:row>
      <xdr:rowOff>0</xdr:rowOff>
    </xdr:from>
    <xdr:to>
      <xdr:col>22</xdr:col>
      <xdr:colOff>447675</xdr:colOff>
      <xdr:row>138</xdr:row>
      <xdr:rowOff>85725</xdr:rowOff>
    </xdr:to>
    <xdr:pic>
      <xdr:nvPicPr>
        <xdr:cNvPr id="12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1877675" y="24765000"/>
          <a:ext cx="2733675" cy="1609725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161925</xdr:colOff>
      <xdr:row>115</xdr:row>
      <xdr:rowOff>0</xdr:rowOff>
    </xdr:from>
    <xdr:to>
      <xdr:col>26</xdr:col>
      <xdr:colOff>409575</xdr:colOff>
      <xdr:row>129</xdr:row>
      <xdr:rowOff>85725</xdr:rowOff>
    </xdr:to>
    <xdr:pic>
      <xdr:nvPicPr>
        <xdr:cNvPr id="13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1887200" y="21907500"/>
          <a:ext cx="5124450" cy="2752725"/>
        </a:xfrm>
        <a:prstGeom prst="rect">
          <a:avLst/>
        </a:prstGeom>
        <a:noFill/>
        <a:ln w="12700" cmpd="sng">
          <a:solidFill>
            <a:srgbClr val="00B05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19</xdr:col>
      <xdr:colOff>504825</xdr:colOff>
      <xdr:row>18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5600" y="1143000"/>
          <a:ext cx="538162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590550</xdr:colOff>
      <xdr:row>23</xdr:row>
      <xdr:rowOff>142875</xdr:rowOff>
    </xdr:from>
    <xdr:to>
      <xdr:col>14</xdr:col>
      <xdr:colOff>28575</xdr:colOff>
      <xdr:row>27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86550" y="4524375"/>
          <a:ext cx="1876425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581025</xdr:colOff>
      <xdr:row>20</xdr:row>
      <xdr:rowOff>114300</xdr:rowOff>
    </xdr:from>
    <xdr:to>
      <xdr:col>13</xdr:col>
      <xdr:colOff>247650</xdr:colOff>
      <xdr:row>23</xdr:row>
      <xdr:rowOff>104775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7025" y="3924300"/>
          <a:ext cx="149542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rubycon.co.jp/contactus/entry.aspx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rubycon.co.jp/en/products/alumi/technote4.html" TargetMode="External"/><Relationship Id="rId1" Type="http://schemas.openxmlformats.org/officeDocument/2006/relationships/hyperlink" Target="..\..\..\..\..\..\Users\&#1051;&#1080;&#1095;&#1085;&#1099;&#1077;%20&#1087;&#1072;&#1087;&#1082;&#1080;%20&#1088;&#1072;&#1073;&#1086;&#1090;&#1085;&#1080;&#1082;&#1086;&#1074;%20&#1069;&#1055;\&#1058;&#1080;&#1093;&#1086;&#1085;&#1086;&#1074;\&#1051;&#1080;&#1090;&#1077;&#1088;&#1072;&#1090;&#1091;&#1088;&#1072;\Power%20Electronics\Semikron\&#1086;&#1090;%20&#1050;&#1086;&#1083;&#1087;&#1072;&#1082;&#1086;&#1074;&#1072;\17_DC-cap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SR@PWMfre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ubycon.co.jp/contactus/entry.aspx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www.rubycon.co.jp/en/products/alumi/technote4.html" TargetMode="External"/><Relationship Id="rId1" Type="http://schemas.openxmlformats.org/officeDocument/2006/relationships/hyperlink" Target="..\..\..\..\..\..\Users\&#1051;&#1080;&#1095;&#1085;&#1099;&#1077;%20&#1087;&#1072;&#1087;&#1082;&#1080;%20&#1088;&#1072;&#1073;&#1086;&#1090;&#1085;&#1080;&#1082;&#1086;&#1074;%20&#1069;&#1055;\&#1058;&#1080;&#1093;&#1086;&#1085;&#1086;&#1074;\&#1051;&#1080;&#1090;&#1077;&#1088;&#1072;&#1090;&#1091;&#1088;&#1072;\Power%20Electronics\Semikron\&#1086;&#1090;%20&#1050;&#1086;&#1083;&#1087;&#1072;&#1082;&#1086;&#1074;&#1072;\17_DC-cap.pdf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hyperlink" Target="mailto:ESR@PWMfreq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\..\..\..\..\..\Users\&#1051;&#1080;&#1095;&#1085;&#1099;&#1077;%20&#1087;&#1072;&#1087;&#1082;&#1080;%20&#1088;&#1072;&#1073;&#1086;&#1090;&#1085;&#1080;&#1082;&#1086;&#1074;%20&#1069;&#1055;\&#1058;&#1080;&#1093;&#1086;&#1085;&#1086;&#1074;\&#1051;&#1080;&#1090;&#1077;&#1088;&#1072;&#1090;&#1091;&#1088;&#1072;\Power%20Electronics\(3)%20&#1057;&#1056;&#1040;&#1042;&#1053;&#1048;&#1058;&#1045;&#1051;&#1068;&#1053;&#1067;&#1049;%20&#1056;&#1040;&#1057;&#1063;&#1045;&#1058;%20&#1045;&#1052;&#1050;&#1054;&#1057;&#1058;&#1048;%20&#1050;&#1054;&#1053;&#1044;&#1045;&#1053;&#1057;&#1040;&#1058;&#1054;&#1056;&#1040;...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1"/>
  <sheetViews>
    <sheetView tabSelected="1" topLeftCell="A97" workbookViewId="0">
      <selection activeCell="B93" sqref="B93"/>
    </sheetView>
  </sheetViews>
  <sheetFormatPr defaultRowHeight="15"/>
  <cols>
    <col min="1" max="1" width="11.28515625" customWidth="1"/>
    <col min="2" max="2" width="15.7109375" customWidth="1"/>
    <col min="6" max="6" width="11.7109375" customWidth="1"/>
  </cols>
  <sheetData>
    <row r="1" spans="1:9">
      <c r="A1" t="s">
        <v>0</v>
      </c>
    </row>
    <row r="2" spans="1:9">
      <c r="A2" t="s">
        <v>1</v>
      </c>
    </row>
    <row r="3" spans="1:9">
      <c r="A3" t="s">
        <v>2</v>
      </c>
    </row>
    <row r="5" spans="1:9">
      <c r="A5" s="11" t="s">
        <v>61</v>
      </c>
    </row>
    <row r="8" spans="1:9">
      <c r="A8" s="10" t="s">
        <v>3</v>
      </c>
    </row>
    <row r="10" spans="1:9">
      <c r="A10" s="7" t="s">
        <v>32</v>
      </c>
    </row>
    <row r="11" spans="1:9">
      <c r="A11" s="1" t="s">
        <v>4</v>
      </c>
      <c r="B11" s="2">
        <v>5000</v>
      </c>
      <c r="C11" s="2" t="s">
        <v>5</v>
      </c>
      <c r="D11" s="2" t="s">
        <v>6</v>
      </c>
      <c r="E11" s="2"/>
      <c r="F11" s="2"/>
      <c r="G11" s="2"/>
      <c r="H11" s="2"/>
      <c r="I11" s="2"/>
    </row>
    <row r="12" spans="1:9">
      <c r="A12" s="3" t="s">
        <v>7</v>
      </c>
      <c r="B12" s="2">
        <v>1.2</v>
      </c>
      <c r="C12" s="2"/>
      <c r="D12" s="2" t="s">
        <v>8</v>
      </c>
      <c r="E12" s="2"/>
      <c r="F12" s="2"/>
      <c r="G12" s="2"/>
      <c r="H12" s="2"/>
      <c r="I12" s="2"/>
    </row>
    <row r="13" spans="1:9">
      <c r="A13" s="3" t="s">
        <v>19</v>
      </c>
      <c r="B13" s="2">
        <f>B11*B12/(B14*SQRT(3)*B16)</f>
        <v>17.719189847251943</v>
      </c>
      <c r="C13" s="2" t="s">
        <v>20</v>
      </c>
      <c r="D13" s="2" t="s">
        <v>9</v>
      </c>
      <c r="E13" s="2"/>
      <c r="F13" s="2"/>
      <c r="G13" s="2"/>
      <c r="H13" s="2"/>
      <c r="I13" s="2"/>
    </row>
    <row r="14" spans="1:9">
      <c r="A14" s="3" t="s">
        <v>13</v>
      </c>
      <c r="B14" s="2">
        <v>230</v>
      </c>
      <c r="C14" s="2" t="s">
        <v>11</v>
      </c>
      <c r="D14" s="2" t="s">
        <v>14</v>
      </c>
      <c r="E14" s="2"/>
      <c r="F14" s="2"/>
      <c r="G14" s="2"/>
      <c r="H14" s="2"/>
      <c r="I14" s="2"/>
    </row>
    <row r="15" spans="1:9">
      <c r="A15" s="3" t="s">
        <v>15</v>
      </c>
      <c r="B15" s="2">
        <f>B14*SQRT(2)</f>
        <v>325.26911934581187</v>
      </c>
      <c r="C15" s="2" t="s">
        <v>11</v>
      </c>
      <c r="D15" s="2" t="s">
        <v>16</v>
      </c>
      <c r="E15" s="2"/>
      <c r="F15" s="2"/>
      <c r="G15" s="2"/>
      <c r="H15" s="2"/>
      <c r="I15" s="2"/>
    </row>
    <row r="16" spans="1:9">
      <c r="A16" s="3" t="s">
        <v>17</v>
      </c>
      <c r="B16" s="2">
        <v>0.85</v>
      </c>
      <c r="C16" s="2"/>
      <c r="D16" s="2" t="s">
        <v>18</v>
      </c>
      <c r="E16" s="2"/>
      <c r="F16" s="2"/>
      <c r="G16" s="2"/>
      <c r="H16" s="2"/>
      <c r="I16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6" t="s">
        <v>30</v>
      </c>
    </row>
    <row r="21" spans="1:8">
      <c r="A21" s="9" t="s">
        <v>46</v>
      </c>
      <c r="B21">
        <v>0.82</v>
      </c>
      <c r="C21" t="s">
        <v>45</v>
      </c>
      <c r="D21" t="s">
        <v>47</v>
      </c>
    </row>
    <row r="22" spans="1:8">
      <c r="A22" t="s">
        <v>51</v>
      </c>
      <c r="B22">
        <v>400</v>
      </c>
      <c r="C22" t="s">
        <v>11</v>
      </c>
      <c r="D22" t="s">
        <v>52</v>
      </c>
    </row>
    <row r="23" spans="1:8">
      <c r="A23" t="s">
        <v>120</v>
      </c>
      <c r="B23">
        <f>B15/B69</f>
        <v>162.63455967290594</v>
      </c>
      <c r="C23" t="s">
        <v>119</v>
      </c>
      <c r="D23" t="s">
        <v>121</v>
      </c>
    </row>
    <row r="24" spans="1:8">
      <c r="A24" t="s">
        <v>105</v>
      </c>
      <c r="B24">
        <v>2.66</v>
      </c>
      <c r="C24" t="s">
        <v>20</v>
      </c>
      <c r="D24" t="s">
        <v>106</v>
      </c>
    </row>
    <row r="25" spans="1:8">
      <c r="A25" t="s">
        <v>107</v>
      </c>
      <c r="B25">
        <f>0.55*B13</f>
        <v>9.7455544159885701</v>
      </c>
      <c r="C25" t="s">
        <v>20</v>
      </c>
      <c r="D25" t="s">
        <v>109</v>
      </c>
    </row>
    <row r="26" spans="1:8">
      <c r="A26" t="s">
        <v>33</v>
      </c>
      <c r="B26" t="s">
        <v>72</v>
      </c>
    </row>
    <row r="27" spans="1:8">
      <c r="A27" t="s">
        <v>113</v>
      </c>
      <c r="B27">
        <v>3000</v>
      </c>
      <c r="C27" t="s">
        <v>73</v>
      </c>
      <c r="D27" t="s">
        <v>114</v>
      </c>
    </row>
    <row r="28" spans="1:8">
      <c r="A28" t="s">
        <v>75</v>
      </c>
      <c r="B28">
        <f>105</f>
        <v>105</v>
      </c>
      <c r="C28" t="s">
        <v>25</v>
      </c>
    </row>
    <row r="29" spans="1:8">
      <c r="A29" t="s">
        <v>77</v>
      </c>
      <c r="B29">
        <f>B32/(2*3.14*120*B21/1000)</f>
        <v>0.32364973331261981</v>
      </c>
      <c r="C29" t="s">
        <v>78</v>
      </c>
      <c r="D29" t="s">
        <v>110</v>
      </c>
    </row>
    <row r="30" spans="1:8">
      <c r="A30" t="s">
        <v>111</v>
      </c>
      <c r="B30">
        <f>0.2*B29</f>
        <v>6.4729946662523963E-2</v>
      </c>
      <c r="C30" t="s">
        <v>78</v>
      </c>
      <c r="D30" s="11" t="s">
        <v>112</v>
      </c>
    </row>
    <row r="31" spans="1:8">
      <c r="A31" t="s">
        <v>79</v>
      </c>
      <c r="B31">
        <v>66</v>
      </c>
      <c r="C31" t="s">
        <v>80</v>
      </c>
      <c r="D31" t="s">
        <v>81</v>
      </c>
    </row>
    <row r="32" spans="1:8">
      <c r="A32" t="s">
        <v>83</v>
      </c>
      <c r="B32">
        <v>0.2</v>
      </c>
      <c r="D32" t="s">
        <v>82</v>
      </c>
    </row>
    <row r="33" spans="1:12">
      <c r="A33" t="s">
        <v>117</v>
      </c>
      <c r="B33">
        <f>3.16</f>
        <v>3.16</v>
      </c>
      <c r="D33" t="s">
        <v>118</v>
      </c>
    </row>
    <row r="35" spans="1:12">
      <c r="A35" t="s">
        <v>95</v>
      </c>
    </row>
    <row r="37" spans="1:12">
      <c r="A37" s="7" t="s">
        <v>31</v>
      </c>
    </row>
    <row r="38" spans="1:12">
      <c r="A38" t="s">
        <v>21</v>
      </c>
      <c r="B38">
        <v>30</v>
      </c>
      <c r="C38" t="s">
        <v>22</v>
      </c>
      <c r="D38" t="s">
        <v>35</v>
      </c>
    </row>
    <row r="39" spans="1:12">
      <c r="A39" t="s">
        <v>26</v>
      </c>
      <c r="B39">
        <f>50000</f>
        <v>50000</v>
      </c>
      <c r="C39" t="s">
        <v>23</v>
      </c>
      <c r="D39" t="s">
        <v>36</v>
      </c>
    </row>
    <row r="40" spans="1:12">
      <c r="A40" t="s">
        <v>24</v>
      </c>
      <c r="B40">
        <v>60</v>
      </c>
      <c r="C40" s="4" t="s">
        <v>25</v>
      </c>
      <c r="D40" t="s">
        <v>37</v>
      </c>
    </row>
    <row r="41" spans="1:12">
      <c r="A41" t="s">
        <v>84</v>
      </c>
      <c r="B41">
        <v>8000</v>
      </c>
      <c r="C41" s="4" t="s">
        <v>85</v>
      </c>
      <c r="D41" t="s">
        <v>86</v>
      </c>
      <c r="K41" s="8" t="s">
        <v>39</v>
      </c>
      <c r="L41" s="8" t="s">
        <v>40</v>
      </c>
    </row>
    <row r="42" spans="1:12">
      <c r="K42" s="8">
        <f>50</f>
        <v>50</v>
      </c>
      <c r="L42" s="8">
        <v>0.8</v>
      </c>
    </row>
    <row r="43" spans="1:12">
      <c r="K43" s="8">
        <v>100</v>
      </c>
      <c r="L43" s="8">
        <v>1</v>
      </c>
    </row>
    <row r="44" spans="1:12">
      <c r="K44" s="8">
        <v>300</v>
      </c>
      <c r="L44" s="8">
        <v>1.1499999999999999</v>
      </c>
    </row>
    <row r="45" spans="1:12">
      <c r="K45" s="8">
        <v>500</v>
      </c>
      <c r="L45" s="8">
        <v>1.2</v>
      </c>
    </row>
    <row r="46" spans="1:12">
      <c r="K46" s="8">
        <v>1000</v>
      </c>
      <c r="L46" s="8">
        <v>1.25</v>
      </c>
    </row>
    <row r="47" spans="1:12">
      <c r="A47" s="10" t="s">
        <v>27</v>
      </c>
      <c r="K47" s="8">
        <v>10000</v>
      </c>
      <c r="L47" s="8">
        <v>1.4</v>
      </c>
    </row>
    <row r="49" spans="1:4">
      <c r="A49" t="s">
        <v>44</v>
      </c>
      <c r="B49">
        <f>0.06*B13</f>
        <v>1.0631513908351167</v>
      </c>
      <c r="C49" t="s">
        <v>45</v>
      </c>
      <c r="D49" t="s">
        <v>49</v>
      </c>
    </row>
    <row r="52" spans="1:4">
      <c r="A52" t="s">
        <v>101</v>
      </c>
      <c r="B52">
        <v>1.35</v>
      </c>
      <c r="D52" t="s">
        <v>41</v>
      </c>
    </row>
    <row r="60" spans="1:4">
      <c r="A60" s="10" t="s">
        <v>100</v>
      </c>
    </row>
    <row r="62" spans="1:4">
      <c r="A62" t="s">
        <v>28</v>
      </c>
      <c r="B62">
        <v>1</v>
      </c>
      <c r="D62" t="s">
        <v>29</v>
      </c>
    </row>
    <row r="63" spans="1:4">
      <c r="A63" t="s">
        <v>38</v>
      </c>
      <c r="B63">
        <f>B52</f>
        <v>1.35</v>
      </c>
      <c r="D63" t="s">
        <v>41</v>
      </c>
    </row>
    <row r="65" spans="1:4">
      <c r="A65" t="s">
        <v>108</v>
      </c>
      <c r="B65">
        <f>B24*B62*B63</f>
        <v>3.5910000000000006</v>
      </c>
      <c r="C65" t="s">
        <v>20</v>
      </c>
      <c r="D65" t="s">
        <v>43</v>
      </c>
    </row>
    <row r="66" spans="1:4">
      <c r="A66" t="s">
        <v>34</v>
      </c>
      <c r="B66">
        <f>B25/B65</f>
        <v>2.7138831567776576</v>
      </c>
      <c r="D66" t="s">
        <v>48</v>
      </c>
    </row>
    <row r="67" spans="1:4">
      <c r="A67" t="s">
        <v>102</v>
      </c>
      <c r="B67">
        <v>2</v>
      </c>
      <c r="D67" t="s">
        <v>55</v>
      </c>
    </row>
    <row r="68" spans="1:4">
      <c r="A68" t="s">
        <v>50</v>
      </c>
      <c r="B68">
        <f>B67*B21</f>
        <v>1.64</v>
      </c>
      <c r="C68" t="s">
        <v>45</v>
      </c>
      <c r="D68" t="s">
        <v>59</v>
      </c>
    </row>
    <row r="69" spans="1:4">
      <c r="A69" t="s">
        <v>53</v>
      </c>
      <c r="B69">
        <v>2</v>
      </c>
      <c r="D69" t="s">
        <v>54</v>
      </c>
    </row>
    <row r="70" spans="1:4">
      <c r="A70" t="s">
        <v>60</v>
      </c>
      <c r="B70">
        <f>B69*B67</f>
        <v>4</v>
      </c>
      <c r="D70" t="s">
        <v>56</v>
      </c>
    </row>
    <row r="71" spans="1:4">
      <c r="A71" t="s">
        <v>57</v>
      </c>
      <c r="B71">
        <f>B21*B67/B69</f>
        <v>0.82</v>
      </c>
      <c r="C71" t="s">
        <v>45</v>
      </c>
      <c r="D71" t="s">
        <v>58</v>
      </c>
    </row>
    <row r="90" spans="1:4">
      <c r="A90" s="16" t="s">
        <v>74</v>
      </c>
    </row>
    <row r="92" spans="1:4">
      <c r="A92" t="s">
        <v>87</v>
      </c>
      <c r="B92">
        <f>B67</f>
        <v>2</v>
      </c>
      <c r="D92" t="s">
        <v>88</v>
      </c>
    </row>
    <row r="93" spans="1:4">
      <c r="A93" t="s">
        <v>42</v>
      </c>
      <c r="B93">
        <f>B25/B92</f>
        <v>4.872777207994285</v>
      </c>
      <c r="C93" t="s">
        <v>90</v>
      </c>
      <c r="D93" t="s">
        <v>89</v>
      </c>
    </row>
    <row r="95" spans="1:4">
      <c r="A95" s="15" t="s">
        <v>91</v>
      </c>
    </row>
    <row r="96" spans="1:4">
      <c r="A96" t="s">
        <v>125</v>
      </c>
    </row>
    <row r="97" spans="1:19">
      <c r="A97" t="s">
        <v>92</v>
      </c>
      <c r="B97">
        <f>B27*2^((B28-B40)/10)</f>
        <v>67882.250993908558</v>
      </c>
      <c r="C97" t="s">
        <v>93</v>
      </c>
    </row>
    <row r="101" spans="1:19">
      <c r="S101" s="15" t="s">
        <v>94</v>
      </c>
    </row>
    <row r="102" spans="1:19">
      <c r="A102" s="15" t="s">
        <v>94</v>
      </c>
    </row>
    <row r="103" spans="1:19">
      <c r="A103" t="s">
        <v>124</v>
      </c>
    </row>
    <row r="104" spans="1:19">
      <c r="A104" t="s">
        <v>76</v>
      </c>
      <c r="B104">
        <f>(B93)^2*B30/(2.3*10^(-3)*B31^(-0.2)*B31)</f>
        <v>23.404284836507006</v>
      </c>
      <c r="C104" t="s">
        <v>25</v>
      </c>
    </row>
    <row r="106" spans="1:19">
      <c r="A106" t="s">
        <v>99</v>
      </c>
      <c r="B106">
        <f>5</f>
        <v>5</v>
      </c>
      <c r="C106" t="s">
        <v>25</v>
      </c>
    </row>
    <row r="108" spans="1:19">
      <c r="A108" t="s">
        <v>96</v>
      </c>
      <c r="B108">
        <f>1.5*B104</f>
        <v>35.106427254760511</v>
      </c>
      <c r="C108" t="s">
        <v>25</v>
      </c>
    </row>
    <row r="109" spans="1:19">
      <c r="A109" s="17" t="s">
        <v>97</v>
      </c>
    </row>
    <row r="110" spans="1:19">
      <c r="A110" s="11" t="s">
        <v>98</v>
      </c>
    </row>
    <row r="113" spans="1:19">
      <c r="A113" t="s">
        <v>92</v>
      </c>
      <c r="B113">
        <f>B27  *  2^((B28-B40)/10)  *  2^(B106/(10-0.17*B106)  -  B108/(10-0.17*B108))</f>
        <v>237.21371690437735</v>
      </c>
      <c r="C113" t="s">
        <v>93</v>
      </c>
    </row>
    <row r="114" spans="1:19">
      <c r="B114">
        <f>B113/8000</f>
        <v>2.9651714613047168E-2</v>
      </c>
      <c r="C114" t="s">
        <v>104</v>
      </c>
    </row>
    <row r="115" spans="1:19">
      <c r="S115" s="15" t="s">
        <v>103</v>
      </c>
    </row>
    <row r="117" spans="1:19">
      <c r="A117" s="18" t="s">
        <v>126</v>
      </c>
    </row>
    <row r="118" spans="1:19">
      <c r="A118" s="10" t="s">
        <v>115</v>
      </c>
    </row>
    <row r="119" spans="1:19">
      <c r="A119" t="s">
        <v>116</v>
      </c>
      <c r="B119">
        <f>MIN(B33, 5*(B33-1)*(1-B23/B22)+1)</f>
        <v>3.16</v>
      </c>
      <c r="D119" t="s">
        <v>122</v>
      </c>
    </row>
    <row r="120" spans="1:19">
      <c r="A120" t="s">
        <v>92</v>
      </c>
      <c r="B120">
        <f>B27*2^((B28-B40)/10)*2^( B106/(10-0.17*B106) -  B108/(10-0.17*B108) )*B119</f>
        <v>749.5953454178325</v>
      </c>
      <c r="C120" t="s">
        <v>93</v>
      </c>
    </row>
    <row r="121" spans="1:19">
      <c r="B121">
        <f>B120/8000</f>
        <v>9.3699418177229057E-2</v>
      </c>
      <c r="C121" t="s">
        <v>104</v>
      </c>
    </row>
  </sheetData>
  <conditionalFormatting sqref="B22">
    <cfRule type="cellIs" dxfId="50" priority="19" operator="lessThan">
      <formula>$B$49</formula>
    </cfRule>
  </conditionalFormatting>
  <conditionalFormatting sqref="B65">
    <cfRule type="cellIs" dxfId="49" priority="15" operator="lessThan">
      <formula>$B$24</formula>
    </cfRule>
    <cfRule type="cellIs" dxfId="48" priority="16" operator="greaterThan">
      <formula>$B$24</formula>
    </cfRule>
  </conditionalFormatting>
  <conditionalFormatting sqref="B108">
    <cfRule type="cellIs" dxfId="47" priority="13" operator="lessThan">
      <formula>20</formula>
    </cfRule>
    <cfRule type="cellIs" dxfId="46" priority="14" operator="greaterThan">
      <formula>20</formula>
    </cfRule>
  </conditionalFormatting>
  <conditionalFormatting sqref="B97 B113">
    <cfRule type="cellIs" dxfId="45" priority="11" operator="lessThan">
      <formula>$B$39</formula>
    </cfRule>
    <cfRule type="cellIs" dxfId="44" priority="12" operator="greaterThan">
      <formula>$B$39</formula>
    </cfRule>
  </conditionalFormatting>
  <conditionalFormatting sqref="B71">
    <cfRule type="cellIs" dxfId="43" priority="6" operator="lessThan">
      <formula>$B$49</formula>
    </cfRule>
    <cfRule type="cellIs" dxfId="42" priority="7" operator="greaterThan">
      <formula>$B$49</formula>
    </cfRule>
    <cfRule type="cellIs" dxfId="41" priority="8" operator="greaterThan">
      <formula>$B$49</formula>
    </cfRule>
  </conditionalFormatting>
  <conditionalFormatting sqref="B120">
    <cfRule type="cellIs" dxfId="26" priority="3" operator="greaterThan">
      <formula>$B$39</formula>
    </cfRule>
    <cfRule type="cellIs" dxfId="27" priority="2" operator="greaterThan">
      <formula>$B$39</formula>
    </cfRule>
    <cfRule type="cellIs" dxfId="28" priority="1" operator="lessThan">
      <formula>$B$39</formula>
    </cfRule>
  </conditionalFormatting>
  <hyperlinks>
    <hyperlink ref="A5" r:id="rId1"/>
    <hyperlink ref="A90" r:id="rId2" location="5"/>
    <hyperlink ref="A110" r:id="rId3"/>
    <hyperlink ref="D30" r:id="rId4"/>
  </hyperlinks>
  <pageMargins left="0.7" right="0.7" top="0.75" bottom="0.75" header="0.3" footer="0.3"/>
  <pageSetup paperSize="9" orientation="portrait" horizontalDpi="180" verticalDpi="180" r:id="rId5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1"/>
  <sheetViews>
    <sheetView topLeftCell="A103" workbookViewId="0">
      <selection activeCell="B93" sqref="B93"/>
    </sheetView>
  </sheetViews>
  <sheetFormatPr defaultRowHeight="15"/>
  <cols>
    <col min="1" max="1" width="11.28515625" customWidth="1"/>
    <col min="2" max="2" width="15.7109375" customWidth="1"/>
    <col min="6" max="6" width="11.7109375" customWidth="1"/>
  </cols>
  <sheetData>
    <row r="1" spans="1:9">
      <c r="A1" t="s">
        <v>0</v>
      </c>
    </row>
    <row r="2" spans="1:9">
      <c r="A2" t="s">
        <v>1</v>
      </c>
    </row>
    <row r="3" spans="1:9">
      <c r="A3" t="s">
        <v>2</v>
      </c>
    </row>
    <row r="5" spans="1:9">
      <c r="A5" s="11" t="s">
        <v>61</v>
      </c>
    </row>
    <row r="8" spans="1:9">
      <c r="A8" s="10" t="s">
        <v>3</v>
      </c>
    </row>
    <row r="10" spans="1:9">
      <c r="A10" s="7" t="s">
        <v>32</v>
      </c>
    </row>
    <row r="11" spans="1:9">
      <c r="A11" s="1" t="s">
        <v>4</v>
      </c>
      <c r="B11" s="2">
        <v>5000</v>
      </c>
      <c r="C11" s="2" t="s">
        <v>5</v>
      </c>
      <c r="D11" s="2" t="s">
        <v>6</v>
      </c>
      <c r="E11" s="2"/>
      <c r="F11" s="2"/>
      <c r="G11" s="2"/>
      <c r="H11" s="2"/>
      <c r="I11" s="2"/>
    </row>
    <row r="12" spans="1:9">
      <c r="A12" s="3" t="s">
        <v>7</v>
      </c>
      <c r="B12" s="2">
        <v>1.2</v>
      </c>
      <c r="C12" s="2"/>
      <c r="D12" s="2" t="s">
        <v>8</v>
      </c>
      <c r="E12" s="2"/>
      <c r="F12" s="2"/>
      <c r="G12" s="2"/>
      <c r="H12" s="2"/>
      <c r="I12" s="2"/>
    </row>
    <row r="13" spans="1:9">
      <c r="A13" s="3" t="s">
        <v>19</v>
      </c>
      <c r="B13" s="2">
        <f>B11*B12/(B14*SQRT(3)*B16)</f>
        <v>10.724772802284072</v>
      </c>
      <c r="C13" s="2" t="s">
        <v>20</v>
      </c>
      <c r="D13" s="2" t="s">
        <v>9</v>
      </c>
      <c r="E13" s="2"/>
      <c r="F13" s="2"/>
      <c r="G13" s="2"/>
      <c r="H13" s="2"/>
      <c r="I13" s="2"/>
    </row>
    <row r="14" spans="1:9">
      <c r="A14" s="3" t="s">
        <v>13</v>
      </c>
      <c r="B14" s="2">
        <v>380</v>
      </c>
      <c r="C14" s="2" t="s">
        <v>11</v>
      </c>
      <c r="D14" s="2" t="s">
        <v>14</v>
      </c>
      <c r="E14" s="2"/>
      <c r="F14" s="2"/>
      <c r="G14" s="2"/>
      <c r="H14" s="2"/>
      <c r="I14" s="2"/>
    </row>
    <row r="15" spans="1:9">
      <c r="A15" s="3" t="s">
        <v>15</v>
      </c>
      <c r="B15" s="2">
        <f>B14*SQRT(2)</f>
        <v>537.40115370177614</v>
      </c>
      <c r="C15" s="2" t="s">
        <v>11</v>
      </c>
      <c r="D15" s="2" t="s">
        <v>16</v>
      </c>
      <c r="E15" s="2"/>
      <c r="F15" s="2"/>
      <c r="G15" s="2"/>
      <c r="H15" s="2"/>
      <c r="I15" s="2"/>
    </row>
    <row r="16" spans="1:9">
      <c r="A16" s="3" t="s">
        <v>17</v>
      </c>
      <c r="B16" s="2">
        <v>0.85</v>
      </c>
      <c r="C16" s="2"/>
      <c r="D16" s="2" t="s">
        <v>18</v>
      </c>
      <c r="E16" s="2"/>
      <c r="F16" s="2"/>
      <c r="G16" s="2"/>
      <c r="H16" s="2"/>
      <c r="I16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6" t="s">
        <v>30</v>
      </c>
    </row>
    <row r="21" spans="1:8">
      <c r="A21" s="9" t="s">
        <v>46</v>
      </c>
      <c r="B21">
        <v>0.82</v>
      </c>
      <c r="C21" t="s">
        <v>45</v>
      </c>
      <c r="D21" t="s">
        <v>47</v>
      </c>
    </row>
    <row r="22" spans="1:8">
      <c r="A22" t="s">
        <v>51</v>
      </c>
      <c r="B22">
        <v>400</v>
      </c>
      <c r="C22" t="s">
        <v>11</v>
      </c>
      <c r="D22" t="s">
        <v>52</v>
      </c>
    </row>
    <row r="23" spans="1:8">
      <c r="A23" t="s">
        <v>120</v>
      </c>
      <c r="B23">
        <f>B15/B69</f>
        <v>268.70057685088807</v>
      </c>
      <c r="C23" t="s">
        <v>119</v>
      </c>
      <c r="D23" t="s">
        <v>121</v>
      </c>
    </row>
    <row r="24" spans="1:8">
      <c r="A24" t="s">
        <v>105</v>
      </c>
      <c r="B24">
        <v>2.66</v>
      </c>
      <c r="C24" t="s">
        <v>20</v>
      </c>
      <c r="D24" t="s">
        <v>106</v>
      </c>
    </row>
    <row r="25" spans="1:8">
      <c r="A25" t="s">
        <v>107</v>
      </c>
      <c r="B25">
        <f>0.55*B13</f>
        <v>5.8986250412562402</v>
      </c>
      <c r="C25" t="s">
        <v>20</v>
      </c>
      <c r="D25" t="s">
        <v>109</v>
      </c>
    </row>
    <row r="26" spans="1:8">
      <c r="A26" t="s">
        <v>33</v>
      </c>
      <c r="B26" t="s">
        <v>72</v>
      </c>
    </row>
    <row r="27" spans="1:8">
      <c r="A27" t="s">
        <v>113</v>
      </c>
      <c r="B27">
        <v>3000</v>
      </c>
      <c r="C27" t="s">
        <v>73</v>
      </c>
      <c r="D27" t="s">
        <v>114</v>
      </c>
    </row>
    <row r="28" spans="1:8">
      <c r="A28" t="s">
        <v>75</v>
      </c>
      <c r="B28">
        <f>105</f>
        <v>105</v>
      </c>
      <c r="C28" t="s">
        <v>25</v>
      </c>
    </row>
    <row r="29" spans="1:8">
      <c r="A29" t="s">
        <v>77</v>
      </c>
      <c r="B29">
        <f>B32/(2*3.14*120*B21/1000)</f>
        <v>0.32364973331261981</v>
      </c>
      <c r="C29" t="s">
        <v>78</v>
      </c>
      <c r="D29" t="s">
        <v>110</v>
      </c>
    </row>
    <row r="30" spans="1:8">
      <c r="A30" t="s">
        <v>111</v>
      </c>
      <c r="B30">
        <f>0.2*B29</f>
        <v>6.4729946662523963E-2</v>
      </c>
      <c r="C30" t="s">
        <v>78</v>
      </c>
      <c r="D30" s="11" t="s">
        <v>112</v>
      </c>
    </row>
    <row r="31" spans="1:8">
      <c r="A31" t="s">
        <v>79</v>
      </c>
      <c r="B31">
        <v>66</v>
      </c>
      <c r="C31" t="s">
        <v>80</v>
      </c>
      <c r="D31" t="s">
        <v>81</v>
      </c>
    </row>
    <row r="32" spans="1:8">
      <c r="A32" t="s">
        <v>83</v>
      </c>
      <c r="B32">
        <v>0.2</v>
      </c>
      <c r="D32" t="s">
        <v>82</v>
      </c>
    </row>
    <row r="33" spans="1:12">
      <c r="A33" t="s">
        <v>117</v>
      </c>
      <c r="B33">
        <f>3.16</f>
        <v>3.16</v>
      </c>
      <c r="D33" t="s">
        <v>118</v>
      </c>
    </row>
    <row r="35" spans="1:12">
      <c r="A35" t="s">
        <v>95</v>
      </c>
    </row>
    <row r="37" spans="1:12">
      <c r="A37" s="7" t="s">
        <v>31</v>
      </c>
    </row>
    <row r="38" spans="1:12">
      <c r="A38" t="s">
        <v>21</v>
      </c>
      <c r="B38">
        <v>30</v>
      </c>
      <c r="C38" t="s">
        <v>22</v>
      </c>
      <c r="D38" t="s">
        <v>35</v>
      </c>
    </row>
    <row r="39" spans="1:12">
      <c r="A39" t="s">
        <v>26</v>
      </c>
      <c r="B39">
        <f>50000</f>
        <v>50000</v>
      </c>
      <c r="C39" t="s">
        <v>23</v>
      </c>
      <c r="D39" t="s">
        <v>36</v>
      </c>
    </row>
    <row r="40" spans="1:12">
      <c r="A40" t="s">
        <v>24</v>
      </c>
      <c r="B40">
        <v>60</v>
      </c>
      <c r="C40" s="4" t="s">
        <v>25</v>
      </c>
      <c r="D40" t="s">
        <v>37</v>
      </c>
    </row>
    <row r="41" spans="1:12">
      <c r="A41" t="s">
        <v>84</v>
      </c>
      <c r="B41">
        <v>8000</v>
      </c>
      <c r="C41" s="4" t="s">
        <v>85</v>
      </c>
      <c r="D41" t="s">
        <v>86</v>
      </c>
      <c r="K41" s="8" t="s">
        <v>39</v>
      </c>
      <c r="L41" s="8" t="s">
        <v>40</v>
      </c>
    </row>
    <row r="42" spans="1:12">
      <c r="K42" s="8">
        <f>50</f>
        <v>50</v>
      </c>
      <c r="L42" s="8">
        <v>0.8</v>
      </c>
    </row>
    <row r="43" spans="1:12">
      <c r="K43" s="8">
        <v>100</v>
      </c>
      <c r="L43" s="8">
        <v>1</v>
      </c>
    </row>
    <row r="44" spans="1:12">
      <c r="K44" s="8">
        <v>300</v>
      </c>
      <c r="L44" s="8">
        <v>1.1499999999999999</v>
      </c>
    </row>
    <row r="45" spans="1:12">
      <c r="K45" s="8">
        <v>500</v>
      </c>
      <c r="L45" s="8">
        <v>1.2</v>
      </c>
    </row>
    <row r="46" spans="1:12">
      <c r="K46" s="8">
        <v>1000</v>
      </c>
      <c r="L46" s="8">
        <v>1.25</v>
      </c>
    </row>
    <row r="47" spans="1:12">
      <c r="A47" s="10" t="s">
        <v>27</v>
      </c>
      <c r="K47" s="8">
        <v>10000</v>
      </c>
      <c r="L47" s="8">
        <v>1.4</v>
      </c>
    </row>
    <row r="49" spans="1:4">
      <c r="A49" t="s">
        <v>44</v>
      </c>
      <c r="B49">
        <f>0.06*B13</f>
        <v>0.6434863681370443</v>
      </c>
      <c r="C49" t="s">
        <v>45</v>
      </c>
      <c r="D49" t="s">
        <v>49</v>
      </c>
    </row>
    <row r="52" spans="1:4">
      <c r="A52" t="s">
        <v>101</v>
      </c>
      <c r="B52">
        <v>1.35</v>
      </c>
      <c r="D52" t="s">
        <v>41</v>
      </c>
    </row>
    <row r="60" spans="1:4">
      <c r="A60" s="10" t="s">
        <v>100</v>
      </c>
    </row>
    <row r="62" spans="1:4">
      <c r="A62" t="s">
        <v>28</v>
      </c>
      <c r="B62">
        <v>1</v>
      </c>
      <c r="D62" t="s">
        <v>29</v>
      </c>
    </row>
    <row r="63" spans="1:4">
      <c r="A63" t="s">
        <v>38</v>
      </c>
      <c r="B63">
        <f>B52</f>
        <v>1.35</v>
      </c>
      <c r="D63" t="s">
        <v>41</v>
      </c>
    </row>
    <row r="65" spans="1:4">
      <c r="A65" t="s">
        <v>108</v>
      </c>
      <c r="B65">
        <f>B24*B62*B63</f>
        <v>3.5910000000000006</v>
      </c>
      <c r="C65" t="s">
        <v>20</v>
      </c>
      <c r="D65" t="s">
        <v>43</v>
      </c>
    </row>
    <row r="66" spans="1:4">
      <c r="A66" t="s">
        <v>34</v>
      </c>
      <c r="B66">
        <f>B25/B65</f>
        <v>1.6426134896285822</v>
      </c>
      <c r="D66" t="s">
        <v>48</v>
      </c>
    </row>
    <row r="67" spans="1:4">
      <c r="A67" t="s">
        <v>102</v>
      </c>
      <c r="B67">
        <v>2</v>
      </c>
      <c r="D67" t="s">
        <v>55</v>
      </c>
    </row>
    <row r="68" spans="1:4">
      <c r="A68" t="s">
        <v>50</v>
      </c>
      <c r="B68">
        <f>B67*B21</f>
        <v>1.64</v>
      </c>
      <c r="C68" t="s">
        <v>45</v>
      </c>
      <c r="D68" t="s">
        <v>59</v>
      </c>
    </row>
    <row r="69" spans="1:4">
      <c r="A69" t="s">
        <v>53</v>
      </c>
      <c r="B69">
        <v>2</v>
      </c>
      <c r="D69" t="s">
        <v>54</v>
      </c>
    </row>
    <row r="70" spans="1:4">
      <c r="A70" t="s">
        <v>60</v>
      </c>
      <c r="B70">
        <f>B69*B67</f>
        <v>4</v>
      </c>
      <c r="D70" t="s">
        <v>56</v>
      </c>
    </row>
    <row r="71" spans="1:4">
      <c r="A71" t="s">
        <v>57</v>
      </c>
      <c r="B71">
        <f>B21*B67/B69</f>
        <v>0.82</v>
      </c>
      <c r="C71" t="s">
        <v>45</v>
      </c>
      <c r="D71" t="s">
        <v>58</v>
      </c>
    </row>
    <row r="90" spans="1:4">
      <c r="A90" s="16" t="s">
        <v>74</v>
      </c>
    </row>
    <row r="92" spans="1:4">
      <c r="A92" t="s">
        <v>87</v>
      </c>
      <c r="B92">
        <f>B67</f>
        <v>2</v>
      </c>
      <c r="D92" t="s">
        <v>88</v>
      </c>
    </row>
    <row r="93" spans="1:4">
      <c r="A93" t="s">
        <v>42</v>
      </c>
      <c r="B93">
        <f>B25/B92</f>
        <v>2.9493125206281201</v>
      </c>
      <c r="C93" t="s">
        <v>90</v>
      </c>
      <c r="D93" t="s">
        <v>89</v>
      </c>
    </row>
    <row r="95" spans="1:4">
      <c r="A95" s="15" t="s">
        <v>91</v>
      </c>
    </row>
    <row r="96" spans="1:4">
      <c r="A96" t="s">
        <v>125</v>
      </c>
    </row>
    <row r="97" spans="1:19">
      <c r="A97" t="s">
        <v>92</v>
      </c>
      <c r="B97">
        <f>B27*2^((B28-B40)/10)</f>
        <v>67882.250993908558</v>
      </c>
      <c r="C97" t="s">
        <v>93</v>
      </c>
    </row>
    <row r="101" spans="1:19">
      <c r="S101" s="15" t="s">
        <v>94</v>
      </c>
    </row>
    <row r="102" spans="1:19">
      <c r="A102" s="15" t="s">
        <v>94</v>
      </c>
    </row>
    <row r="103" spans="1:19">
      <c r="A103" t="s">
        <v>124</v>
      </c>
    </row>
    <row r="104" spans="1:19">
      <c r="A104" t="s">
        <v>76</v>
      </c>
      <c r="B104">
        <f>(B93)^2*B30/(2.3*10^(-3)*B31^(-0.2)*B31)</f>
        <v>8.5740073950915576</v>
      </c>
      <c r="C104" t="s">
        <v>25</v>
      </c>
    </row>
    <row r="106" spans="1:19">
      <c r="A106" t="s">
        <v>99</v>
      </c>
      <c r="B106">
        <f>5</f>
        <v>5</v>
      </c>
      <c r="C106" t="s">
        <v>25</v>
      </c>
    </row>
    <row r="108" spans="1:19">
      <c r="A108" t="s">
        <v>96</v>
      </c>
      <c r="B108">
        <f>1.5*B104</f>
        <v>12.861011092637337</v>
      </c>
      <c r="C108" t="s">
        <v>25</v>
      </c>
    </row>
    <row r="109" spans="1:19">
      <c r="A109" s="17"/>
    </row>
    <row r="110" spans="1:19">
      <c r="A110" s="11" t="s">
        <v>98</v>
      </c>
    </row>
    <row r="113" spans="1:19">
      <c r="A113" t="s">
        <v>92</v>
      </c>
      <c r="B113">
        <f>B27  *  2^((B28-B40)/10)  *  2^(B106/(10-0.17*B106)  -  B108/(10-0.17*B108))</f>
        <v>31678.647668887123</v>
      </c>
      <c r="C113" t="s">
        <v>93</v>
      </c>
    </row>
    <row r="114" spans="1:19">
      <c r="B114">
        <f>B113/8000</f>
        <v>3.9598309586108904</v>
      </c>
      <c r="C114" t="s">
        <v>104</v>
      </c>
    </row>
    <row r="115" spans="1:19">
      <c r="S115" s="15" t="s">
        <v>103</v>
      </c>
    </row>
    <row r="117" spans="1:19">
      <c r="A117" s="18" t="s">
        <v>126</v>
      </c>
    </row>
    <row r="118" spans="1:19">
      <c r="A118" s="10" t="s">
        <v>123</v>
      </c>
    </row>
    <row r="119" spans="1:19">
      <c r="A119" t="s">
        <v>116</v>
      </c>
      <c r="B119">
        <f>MIN(B33, 5*(B33-1)*(1-B23/B22)+1)</f>
        <v>3.16</v>
      </c>
      <c r="D119" t="s">
        <v>122</v>
      </c>
    </row>
    <row r="120" spans="1:19">
      <c r="A120" t="s">
        <v>92</v>
      </c>
      <c r="B120">
        <f>B27*2^((B28-B40)/10)*2^( B106/(10-0.17*B106) -  B108/(10-0.17*B108) )*B119</f>
        <v>100104.52663368332</v>
      </c>
      <c r="C120" t="s">
        <v>93</v>
      </c>
    </row>
    <row r="121" spans="1:19">
      <c r="B121">
        <f>B120/8000</f>
        <v>12.513065829210415</v>
      </c>
      <c r="C121" t="s">
        <v>104</v>
      </c>
    </row>
  </sheetData>
  <conditionalFormatting sqref="B22">
    <cfRule type="cellIs" dxfId="25" priority="13" operator="lessThan">
      <formula>$B$49</formula>
    </cfRule>
  </conditionalFormatting>
  <conditionalFormatting sqref="B65">
    <cfRule type="cellIs" dxfId="23" priority="11" operator="lessThan">
      <formula>$B$24</formula>
    </cfRule>
    <cfRule type="cellIs" dxfId="22" priority="12" operator="greaterThan">
      <formula>$B$24</formula>
    </cfRule>
  </conditionalFormatting>
  <conditionalFormatting sqref="B108">
    <cfRule type="cellIs" dxfId="19" priority="9" operator="lessThan">
      <formula>20</formula>
    </cfRule>
    <cfRule type="cellIs" dxfId="18" priority="10" operator="greaterThan">
      <formula>20</formula>
    </cfRule>
  </conditionalFormatting>
  <conditionalFormatting sqref="B97 B113">
    <cfRule type="cellIs" dxfId="15" priority="7" operator="lessThan">
      <formula>$B$39</formula>
    </cfRule>
    <cfRule type="cellIs" dxfId="14" priority="8" operator="greaterThan">
      <formula>$B$39</formula>
    </cfRule>
  </conditionalFormatting>
  <conditionalFormatting sqref="B71">
    <cfRule type="cellIs" dxfId="11" priority="4" operator="lessThan">
      <formula>$B$49</formula>
    </cfRule>
    <cfRule type="cellIs" dxfId="10" priority="5" operator="greaterThan">
      <formula>$B$49</formula>
    </cfRule>
    <cfRule type="cellIs" dxfId="9" priority="6" operator="greaterThan">
      <formula>$B$49</formula>
    </cfRule>
  </conditionalFormatting>
  <conditionalFormatting sqref="B120">
    <cfRule type="cellIs" dxfId="3" priority="1" operator="lessThan">
      <formula>$B$39</formula>
    </cfRule>
    <cfRule type="cellIs" dxfId="4" priority="2" operator="greaterThan">
      <formula>$B$39</formula>
    </cfRule>
    <cfRule type="cellIs" dxfId="5" priority="3" operator="greaterThan">
      <formula>$B$39</formula>
    </cfRule>
  </conditionalFormatting>
  <hyperlinks>
    <hyperlink ref="A5" r:id="rId1"/>
    <hyperlink ref="A90" r:id="rId2" location="5"/>
    <hyperlink ref="A110" r:id="rId3"/>
    <hyperlink ref="D30" r:id="rId4"/>
  </hyperlinks>
  <pageMargins left="0.7" right="0.7" top="0.75" bottom="0.75" header="0.3" footer="0.3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D16" sqref="D16"/>
    </sheetView>
  </sheetViews>
  <sheetFormatPr defaultRowHeight="15"/>
  <sheetData>
    <row r="1" spans="1:9">
      <c r="A1" t="s">
        <v>0</v>
      </c>
    </row>
    <row r="2" spans="1:9">
      <c r="A2" t="s">
        <v>62</v>
      </c>
    </row>
    <row r="3" spans="1:9">
      <c r="A3" t="s">
        <v>63</v>
      </c>
    </row>
    <row r="4" spans="1:9">
      <c r="A4" s="13" t="s">
        <v>71</v>
      </c>
    </row>
    <row r="6" spans="1:9">
      <c r="A6" t="s">
        <v>2</v>
      </c>
    </row>
    <row r="8" spans="1:9">
      <c r="A8" s="11" t="s">
        <v>61</v>
      </c>
    </row>
    <row r="11" spans="1:9">
      <c r="A11" s="10" t="s">
        <v>3</v>
      </c>
    </row>
    <row r="13" spans="1:9">
      <c r="A13" s="7" t="s">
        <v>32</v>
      </c>
    </row>
    <row r="14" spans="1:9">
      <c r="A14" s="1" t="s">
        <v>4</v>
      </c>
      <c r="B14" s="2">
        <f>5000*B15</f>
        <v>6000</v>
      </c>
      <c r="C14" s="2" t="s">
        <v>5</v>
      </c>
      <c r="D14" s="2" t="s">
        <v>6</v>
      </c>
      <c r="E14" s="2"/>
      <c r="F14" s="2"/>
      <c r="G14" s="2"/>
      <c r="H14" s="2"/>
      <c r="I14" s="2"/>
    </row>
    <row r="15" spans="1:9">
      <c r="A15" s="3" t="s">
        <v>7</v>
      </c>
      <c r="B15" s="2">
        <v>1.2</v>
      </c>
      <c r="C15" s="2"/>
      <c r="D15" s="2" t="s">
        <v>8</v>
      </c>
      <c r="E15" s="2"/>
      <c r="F15" s="2"/>
      <c r="G15" s="2"/>
      <c r="H15" s="2"/>
      <c r="I15" s="2"/>
    </row>
    <row r="16" spans="1:9">
      <c r="A16" s="3" t="s">
        <v>19</v>
      </c>
      <c r="B16" s="2">
        <f>B14/(B18*SQRT(3)*B20)</f>
        <v>17.719189847251943</v>
      </c>
      <c r="C16" s="2" t="s">
        <v>20</v>
      </c>
      <c r="D16" s="2" t="s">
        <v>9</v>
      </c>
      <c r="E16" s="2"/>
      <c r="F16" s="2"/>
      <c r="G16" s="2"/>
      <c r="H16" s="2"/>
      <c r="I16" s="2"/>
    </row>
    <row r="17" spans="1:9">
      <c r="A17" s="3" t="s">
        <v>10</v>
      </c>
      <c r="B17" s="2">
        <f>2.05</f>
        <v>2.0499999999999998</v>
      </c>
      <c r="C17" s="2" t="s">
        <v>11</v>
      </c>
      <c r="D17" s="2" t="s">
        <v>12</v>
      </c>
      <c r="E17" s="2"/>
      <c r="F17" s="2"/>
      <c r="G17" s="2"/>
      <c r="H17" s="2"/>
      <c r="I17" s="2"/>
    </row>
    <row r="18" spans="1:9">
      <c r="A18" s="3" t="s">
        <v>13</v>
      </c>
      <c r="B18" s="2">
        <v>230</v>
      </c>
      <c r="C18" s="2" t="s">
        <v>11</v>
      </c>
      <c r="D18" s="2" t="s">
        <v>14</v>
      </c>
      <c r="E18" s="2"/>
      <c r="F18" s="2"/>
      <c r="G18" s="2"/>
      <c r="H18" s="2"/>
      <c r="I18" s="2"/>
    </row>
    <row r="19" spans="1:9">
      <c r="A19" s="3" t="s">
        <v>15</v>
      </c>
      <c r="B19" s="2">
        <f>B18*SQRT(2)</f>
        <v>325.26911934581187</v>
      </c>
      <c r="C19" s="2" t="s">
        <v>11</v>
      </c>
      <c r="D19" s="2" t="s">
        <v>16</v>
      </c>
      <c r="E19" s="2"/>
      <c r="F19" s="2"/>
      <c r="G19" s="2"/>
      <c r="H19" s="2"/>
      <c r="I19" s="2"/>
    </row>
    <row r="20" spans="1:9">
      <c r="A20" s="3" t="s">
        <v>17</v>
      </c>
      <c r="B20" s="2">
        <v>0.85</v>
      </c>
      <c r="C20" s="2"/>
      <c r="D20" s="2" t="s">
        <v>18</v>
      </c>
      <c r="E20" s="2"/>
      <c r="F20" s="2"/>
      <c r="G20" s="2"/>
      <c r="H20" s="2"/>
    </row>
    <row r="21" spans="1:9">
      <c r="A21" s="12" t="s">
        <v>64</v>
      </c>
      <c r="B21" s="2">
        <v>6</v>
      </c>
      <c r="C21" s="2"/>
      <c r="D21" s="5" t="s">
        <v>65</v>
      </c>
      <c r="E21" s="2"/>
      <c r="F21" s="2"/>
      <c r="G21" s="2"/>
      <c r="H21" s="2"/>
    </row>
    <row r="22" spans="1:9">
      <c r="A22" s="2"/>
      <c r="B22" s="2"/>
      <c r="C22" s="2"/>
      <c r="D22" s="2"/>
      <c r="E22" s="2"/>
      <c r="F22" s="2"/>
      <c r="G22" s="2"/>
      <c r="H22" s="2"/>
    </row>
    <row r="23" spans="1:9">
      <c r="A23" s="6"/>
    </row>
    <row r="24" spans="1:9">
      <c r="A24" s="5" t="s">
        <v>66</v>
      </c>
    </row>
    <row r="26" spans="1:9" ht="15.75" thickBot="1">
      <c r="A26" t="s">
        <v>68</v>
      </c>
      <c r="B26">
        <f>2/(B21^2-1)</f>
        <v>5.7142857142857141E-2</v>
      </c>
      <c r="D26" t="s">
        <v>69</v>
      </c>
    </row>
    <row r="27" spans="1:9" ht="15.75" thickBot="1">
      <c r="A27" t="s">
        <v>67</v>
      </c>
      <c r="B27" s="14">
        <f>B16*0.55/(2*B19*B21*50*B26)*10^3</f>
        <v>0.87387741481478542</v>
      </c>
      <c r="C27" t="s">
        <v>45</v>
      </c>
      <c r="D27" t="s">
        <v>70</v>
      </c>
    </row>
    <row r="31" spans="1:9">
      <c r="A31" s="7"/>
    </row>
    <row r="34" spans="3:3">
      <c r="C34" s="4"/>
    </row>
  </sheetData>
  <conditionalFormatting sqref="B25">
    <cfRule type="cellIs" dxfId="72" priority="1" operator="lessThan">
      <formula>$B$42</formula>
    </cfRule>
  </conditionalFormatting>
  <hyperlinks>
    <hyperlink ref="A8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Колпаков_5 кВт_230V</vt:lpstr>
      <vt:lpstr>Колпаков_5 кВт_380V</vt:lpstr>
      <vt:lpstr>Горный №1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2020-02-25T13:11:40Z</dcterms:modified>
</cp:coreProperties>
</file>