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Расчет компаратора" sheetId="1" r:id="rId1"/>
    <sheet name="Расчет ОУ+АЦП" sheetId="4" r:id="rId2"/>
    <sheet name="Расчет резистора SemiX" sheetId="2" r:id="rId3"/>
    <sheet name="Расчет резистора Infenion" sheetId="3" r:id="rId4"/>
    <sheet name="Расчет резистора MiniSKiiP® 2" sheetId="5" r:id="rId5"/>
  </sheets>
  <calcPr calcId="125725"/>
</workbook>
</file>

<file path=xl/calcChain.xml><?xml version="1.0" encoding="utf-8"?>
<calcChain xmlns="http://schemas.openxmlformats.org/spreadsheetml/2006/main">
  <c r="B12" i="4"/>
  <c r="B11" i="1"/>
  <c r="B10"/>
  <c r="B14" i="5"/>
  <c r="B11"/>
  <c r="B10"/>
  <c r="B10" i="4"/>
  <c r="B10" i="3" l="1"/>
  <c r="B16" s="1"/>
  <c r="B10" i="2"/>
  <c r="B12"/>
  <c r="B16" l="1"/>
  <c r="B17" i="1" l="1"/>
  <c r="B15" i="4" s="1"/>
</calcChain>
</file>

<file path=xl/comments1.xml><?xml version="1.0" encoding="utf-8"?>
<comments xmlns="http://schemas.openxmlformats.org/spreadsheetml/2006/main">
  <authors>
    <author>Автор</author>
  </authors>
  <commentList>
    <comment ref="B1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charset val="1"/>
          </rPr>
          <t xml:space="preserve">
берется с 1го листа</t>
        </r>
      </text>
    </comment>
    <comment ref="B15" author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д.б. &lt;ADCref
=напряжению на компараторе (см.1й лист)</t>
        </r>
      </text>
    </comment>
  </commentList>
</comments>
</file>

<file path=xl/sharedStrings.xml><?xml version="1.0" encoding="utf-8"?>
<sst xmlns="http://schemas.openxmlformats.org/spreadsheetml/2006/main" count="116" uniqueCount="61">
  <si>
    <t>Расчет схемы обработки датчика температуры IGBT</t>
  </si>
  <si>
    <t>автор: Тихонов</t>
  </si>
  <si>
    <t>R151=</t>
  </si>
  <si>
    <t>R154=</t>
  </si>
  <si>
    <t>ref=</t>
  </si>
  <si>
    <t>Rt=</t>
  </si>
  <si>
    <t>Ohm</t>
  </si>
  <si>
    <t>Расчет</t>
  </si>
  <si>
    <t>V</t>
  </si>
  <si>
    <t>Uin2=</t>
  </si>
  <si>
    <t>DA10 input voltage</t>
  </si>
  <si>
    <t>Ref2=</t>
  </si>
  <si>
    <t>DA10 ref</t>
  </si>
  <si>
    <t>Расчет терморезистора IGBT модуля SEMiX151GD12E4s</t>
  </si>
  <si>
    <t>(NTC)</t>
  </si>
  <si>
    <t>автор: Тихонов Е.Н.</t>
  </si>
  <si>
    <t>дата: 19.11.18</t>
  </si>
  <si>
    <t>Исходные данные</t>
  </si>
  <si>
    <t>R100=</t>
  </si>
  <si>
    <t>NTC resistance at +100 °C</t>
  </si>
  <si>
    <t>t=</t>
  </si>
  <si>
    <t>°C</t>
  </si>
  <si>
    <t>case temp in celsium</t>
  </si>
  <si>
    <t>T=</t>
  </si>
  <si>
    <t>K</t>
  </si>
  <si>
    <t>case temp in Kelvin</t>
  </si>
  <si>
    <t>T100=</t>
  </si>
  <si>
    <t>100°C in K</t>
  </si>
  <si>
    <t>B100/125=</t>
  </si>
  <si>
    <t>HZ. From datasheet</t>
  </si>
  <si>
    <t>R(T)=</t>
  </si>
  <si>
    <t>NTC resistance at t</t>
  </si>
  <si>
    <t>Расчет терморезистора IGBT модуля FS200R12KT4R Infenion</t>
  </si>
  <si>
    <t>R25=</t>
  </si>
  <si>
    <t>NTC resistance at +25 °C</t>
  </si>
  <si>
    <t>B25/100=</t>
  </si>
  <si>
    <t>B-value. From datasheet</t>
  </si>
  <si>
    <t>B25/50=</t>
  </si>
  <si>
    <t>R259=</t>
  </si>
  <si>
    <t>R258=</t>
  </si>
  <si>
    <t>Опорное напряжение АЦП</t>
  </si>
  <si>
    <t>Ом</t>
  </si>
  <si>
    <t>2.5_Т=</t>
  </si>
  <si>
    <t>В</t>
  </si>
  <si>
    <t>опора с ИОН</t>
  </si>
  <si>
    <t>опора АЦП</t>
  </si>
  <si>
    <t>Temp2=</t>
  </si>
  <si>
    <t>Расчет терморезистора IGBT модуля SKiiP 25AC12T4V1</t>
  </si>
  <si>
    <t>дата: 25.02.20</t>
  </si>
  <si>
    <t>A=</t>
  </si>
  <si>
    <t>B=</t>
  </si>
  <si>
    <t>C^-1</t>
  </si>
  <si>
    <t>C^-2</t>
  </si>
  <si>
    <t>coeff. from pdf</t>
  </si>
  <si>
    <t>NTC resistance at T</t>
  </si>
  <si>
    <t>//питание датчика</t>
  </si>
  <si>
    <t>R156=</t>
  </si>
  <si>
    <t>МУП ПЧ ЭИТЦЯ.426413.003 Э3</t>
  </si>
  <si>
    <t>//NTC value</t>
  </si>
  <si>
    <t>напряжение на АЦП</t>
  </si>
  <si>
    <t>ADCref=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</si>
</sst>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8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3" borderId="2" xfId="0" applyFill="1" applyBorder="1"/>
    <xf numFmtId="0" fontId="2" fillId="0" borderId="0" xfId="0" applyFont="1" applyFill="1" applyBorder="1"/>
    <xf numFmtId="0" fontId="0" fillId="3" borderId="0" xfId="0" applyFill="1" applyBorder="1"/>
    <xf numFmtId="0" fontId="0" fillId="2" borderId="2" xfId="0" applyFill="1" applyBorder="1"/>
  </cellXfs>
  <cellStyles count="1">
    <cellStyle name="Обычный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180975</xdr:rowOff>
    </xdr:from>
    <xdr:to>
      <xdr:col>21</xdr:col>
      <xdr:colOff>333375</xdr:colOff>
      <xdr:row>35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95775" y="180975"/>
          <a:ext cx="8839200" cy="6591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581024</xdr:colOff>
      <xdr:row>0</xdr:row>
      <xdr:rowOff>118491</xdr:rowOff>
    </xdr:from>
    <xdr:to>
      <xdr:col>17</xdr:col>
      <xdr:colOff>609599</xdr:colOff>
      <xdr:row>29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8624" y="118491"/>
          <a:ext cx="6734175" cy="55012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9525</xdr:rowOff>
    </xdr:from>
    <xdr:to>
      <xdr:col>20</xdr:col>
      <xdr:colOff>200025</xdr:colOff>
      <xdr:row>6</xdr:row>
      <xdr:rowOff>14938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8650" y="200025"/>
          <a:ext cx="7505700" cy="11484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47625</xdr:colOff>
      <xdr:row>6</xdr:row>
      <xdr:rowOff>171450</xdr:rowOff>
    </xdr:from>
    <xdr:to>
      <xdr:col>22</xdr:col>
      <xdr:colOff>228600</xdr:colOff>
      <xdr:row>39</xdr:row>
      <xdr:rowOff>161925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95950" y="1504950"/>
          <a:ext cx="7496175" cy="6296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</xdr:rowOff>
    </xdr:from>
    <xdr:to>
      <xdr:col>11</xdr:col>
      <xdr:colOff>552450</xdr:colOff>
      <xdr:row>10</xdr:row>
      <xdr:rowOff>38063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6800" y="190501"/>
          <a:ext cx="2381250" cy="17906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590550</xdr:colOff>
      <xdr:row>11</xdr:row>
      <xdr:rowOff>186489</xdr:rowOff>
    </xdr:from>
    <xdr:to>
      <xdr:col>21</xdr:col>
      <xdr:colOff>133350</xdr:colOff>
      <xdr:row>27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7750" y="2301039"/>
          <a:ext cx="8077200" cy="29758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13</xdr:row>
      <xdr:rowOff>9525</xdr:rowOff>
    </xdr:from>
    <xdr:to>
      <xdr:col>18</xdr:col>
      <xdr:colOff>361949</xdr:colOff>
      <xdr:row>20</xdr:row>
      <xdr:rowOff>15105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91100" y="2505075"/>
          <a:ext cx="6467474" cy="133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1</xdr:row>
      <xdr:rowOff>9525</xdr:rowOff>
    </xdr:from>
    <xdr:to>
      <xdr:col>12</xdr:col>
      <xdr:colOff>495300</xdr:colOff>
      <xdr:row>11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10150" y="200025"/>
          <a:ext cx="2924175" cy="2009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B14" sqref="B14"/>
    </sheetView>
  </sheetViews>
  <sheetFormatPr defaultRowHeight="15"/>
  <sheetData>
    <row r="1" spans="1:4">
      <c r="A1" t="s">
        <v>57</v>
      </c>
    </row>
    <row r="2" spans="1:4">
      <c r="A2" t="s">
        <v>0</v>
      </c>
    </row>
    <row r="3" spans="1:4">
      <c r="A3" t="s">
        <v>1</v>
      </c>
    </row>
    <row r="5" spans="1:4">
      <c r="A5" t="s">
        <v>2</v>
      </c>
      <c r="B5">
        <v>806</v>
      </c>
      <c r="C5" t="s">
        <v>6</v>
      </c>
    </row>
    <row r="6" spans="1:4">
      <c r="A6" t="s">
        <v>3</v>
      </c>
      <c r="B6">
        <v>10000</v>
      </c>
      <c r="C6" t="s">
        <v>6</v>
      </c>
    </row>
    <row r="8" spans="1:4">
      <c r="A8" t="s">
        <v>56</v>
      </c>
      <c r="B8">
        <v>20</v>
      </c>
      <c r="C8" t="s">
        <v>6</v>
      </c>
    </row>
    <row r="10" spans="1:4">
      <c r="A10" t="s">
        <v>4</v>
      </c>
      <c r="B10">
        <f>4.08</f>
        <v>4.08</v>
      </c>
      <c r="C10" t="s">
        <v>8</v>
      </c>
      <c r="D10" t="s">
        <v>55</v>
      </c>
    </row>
    <row r="11" spans="1:4">
      <c r="A11" t="s">
        <v>11</v>
      </c>
      <c r="B11">
        <f>2.5</f>
        <v>2.5</v>
      </c>
      <c r="C11" t="s">
        <v>8</v>
      </c>
      <c r="D11" t="s">
        <v>12</v>
      </c>
    </row>
    <row r="13" spans="1:4">
      <c r="A13" t="s">
        <v>5</v>
      </c>
      <c r="B13" s="7">
        <v>1000</v>
      </c>
      <c r="C13" t="s">
        <v>6</v>
      </c>
      <c r="D13" t="s">
        <v>58</v>
      </c>
    </row>
    <row r="15" spans="1:4">
      <c r="A15" s="2" t="s">
        <v>7</v>
      </c>
    </row>
    <row r="17" spans="1:4">
      <c r="A17" t="s">
        <v>9</v>
      </c>
      <c r="B17">
        <f>B10*B5/(B13+B8+B5)</f>
        <v>1.8009200438116102</v>
      </c>
      <c r="C17" t="s">
        <v>8</v>
      </c>
      <c r="D17" t="s">
        <v>10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1" sqref="D21"/>
    </sheetView>
  </sheetViews>
  <sheetFormatPr defaultRowHeight="15"/>
  <cols>
    <col min="2" max="2" width="12" bestFit="1" customWidth="1"/>
  </cols>
  <sheetData>
    <row r="1" spans="1:4">
      <c r="A1" t="s">
        <v>57</v>
      </c>
    </row>
    <row r="2" spans="1:4">
      <c r="A2" t="s">
        <v>0</v>
      </c>
    </row>
    <row r="3" spans="1:4">
      <c r="A3" t="s">
        <v>1</v>
      </c>
    </row>
    <row r="6" spans="1:4">
      <c r="A6" s="2" t="s">
        <v>40</v>
      </c>
    </row>
    <row r="7" spans="1:4">
      <c r="A7" t="s">
        <v>38</v>
      </c>
      <c r="B7">
        <v>1600</v>
      </c>
      <c r="C7" t="s">
        <v>41</v>
      </c>
    </row>
    <row r="8" spans="1:4">
      <c r="A8" t="s">
        <v>39</v>
      </c>
      <c r="B8">
        <v>4300</v>
      </c>
      <c r="C8" t="s">
        <v>41</v>
      </c>
    </row>
    <row r="9" spans="1:4">
      <c r="A9" t="s">
        <v>42</v>
      </c>
      <c r="B9">
        <v>2.5</v>
      </c>
      <c r="C9" t="s">
        <v>43</v>
      </c>
      <c r="D9" t="s">
        <v>44</v>
      </c>
    </row>
    <row r="10" spans="1:4">
      <c r="A10" t="s">
        <v>60</v>
      </c>
      <c r="B10">
        <f>B9*(1+B7/B8)</f>
        <v>3.4302325581395348</v>
      </c>
      <c r="C10" t="s">
        <v>43</v>
      </c>
      <c r="D10" t="s">
        <v>45</v>
      </c>
    </row>
    <row r="12" spans="1:4">
      <c r="A12" t="s">
        <v>5</v>
      </c>
      <c r="B12" s="4">
        <f>'Расчет компаратора'!B13</f>
        <v>1000</v>
      </c>
      <c r="C12" t="s">
        <v>6</v>
      </c>
      <c r="D12" t="s">
        <v>58</v>
      </c>
    </row>
    <row r="13" spans="1:4">
      <c r="B13" s="6"/>
    </row>
    <row r="14" spans="1:4">
      <c r="A14" s="2" t="s">
        <v>7</v>
      </c>
    </row>
    <row r="15" spans="1:4">
      <c r="A15" t="s">
        <v>46</v>
      </c>
      <c r="B15" s="4">
        <f>'Расчет компаратора'!B17</f>
        <v>1.8009200438116102</v>
      </c>
      <c r="C15" s="5" t="s">
        <v>43</v>
      </c>
      <c r="D15" t="s">
        <v>59</v>
      </c>
    </row>
  </sheetData>
  <conditionalFormatting sqref="B17:B18">
    <cfRule type="cellIs" dxfId="2" priority="1" operator="lessThan">
      <formula>$B$21</formula>
    </cfRule>
    <cfRule type="cellIs" dxfId="1" priority="2" operator="greaterThan">
      <formula>$B$21</formula>
    </cfRule>
    <cfRule type="cellIs" dxfId="0" priority="3" operator="greaterThan">
      <formula>$B$21</formula>
    </cfRule>
  </conditionalFormatting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F27" sqref="F27"/>
    </sheetView>
  </sheetViews>
  <sheetFormatPr defaultRowHeight="15"/>
  <sheetData>
    <row r="1" spans="1:4">
      <c r="A1" t="s">
        <v>13</v>
      </c>
    </row>
    <row r="2" spans="1:4">
      <c r="A2" t="s">
        <v>14</v>
      </c>
    </row>
    <row r="3" spans="1:4">
      <c r="A3" t="s">
        <v>15</v>
      </c>
    </row>
    <row r="4" spans="1:4">
      <c r="A4" t="s">
        <v>16</v>
      </c>
    </row>
    <row r="6" spans="1:4">
      <c r="A6" s="2" t="s">
        <v>17</v>
      </c>
    </row>
    <row r="8" spans="1:4" ht="15.75" thickBot="1">
      <c r="A8" t="s">
        <v>18</v>
      </c>
      <c r="B8">
        <v>493</v>
      </c>
      <c r="C8" t="s">
        <v>6</v>
      </c>
      <c r="D8" t="s">
        <v>19</v>
      </c>
    </row>
    <row r="9" spans="1:4" ht="15.75" thickBot="1">
      <c r="A9" t="s">
        <v>20</v>
      </c>
      <c r="B9" s="1">
        <v>100</v>
      </c>
      <c r="C9" s="3" t="s">
        <v>21</v>
      </c>
      <c r="D9" t="s">
        <v>22</v>
      </c>
    </row>
    <row r="10" spans="1:4">
      <c r="A10" t="s">
        <v>23</v>
      </c>
      <c r="B10">
        <f>CONVERT(B9,"C","K")</f>
        <v>373.15</v>
      </c>
      <c r="C10" t="s">
        <v>24</v>
      </c>
      <c r="D10" t="s">
        <v>25</v>
      </c>
    </row>
    <row r="11" spans="1:4">
      <c r="A11" t="s">
        <v>26</v>
      </c>
      <c r="B11">
        <v>373.15</v>
      </c>
      <c r="C11" t="s">
        <v>24</v>
      </c>
      <c r="D11" t="s">
        <v>27</v>
      </c>
    </row>
    <row r="12" spans="1:4">
      <c r="A12" t="s">
        <v>28</v>
      </c>
      <c r="B12">
        <f>3550</f>
        <v>3550</v>
      </c>
      <c r="C12" t="s">
        <v>24</v>
      </c>
      <c r="D12" t="s">
        <v>29</v>
      </c>
    </row>
    <row r="15" spans="1:4">
      <c r="A15" s="2" t="s">
        <v>7</v>
      </c>
    </row>
    <row r="16" spans="1:4">
      <c r="A16" t="s">
        <v>30</v>
      </c>
      <c r="B16" s="2">
        <f>B8*EXP(B12*(1/B10-1/B11))</f>
        <v>493</v>
      </c>
      <c r="C16" t="s">
        <v>6</v>
      </c>
      <c r="D16" t="s">
        <v>31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D16"/>
  <sheetViews>
    <sheetView workbookViewId="0">
      <selection activeCell="B10" sqref="B10"/>
    </sheetView>
  </sheetViews>
  <sheetFormatPr defaultRowHeight="15"/>
  <sheetData>
    <row r="2" spans="1:4">
      <c r="A2" t="s">
        <v>32</v>
      </c>
    </row>
    <row r="3" spans="1:4">
      <c r="A3" t="s">
        <v>14</v>
      </c>
    </row>
    <row r="5" spans="1:4">
      <c r="A5" s="2" t="s">
        <v>17</v>
      </c>
    </row>
    <row r="7" spans="1:4">
      <c r="A7" t="s">
        <v>18</v>
      </c>
      <c r="B7">
        <v>493</v>
      </c>
      <c r="C7" t="s">
        <v>6</v>
      </c>
      <c r="D7" t="s">
        <v>19</v>
      </c>
    </row>
    <row r="8" spans="1:4" ht="15.75" thickBot="1">
      <c r="A8" t="s">
        <v>33</v>
      </c>
      <c r="B8">
        <v>5000</v>
      </c>
      <c r="C8" t="s">
        <v>6</v>
      </c>
      <c r="D8" t="s">
        <v>34</v>
      </c>
    </row>
    <row r="9" spans="1:4" ht="15.75" thickBot="1">
      <c r="A9" t="s">
        <v>20</v>
      </c>
      <c r="B9" s="1">
        <v>100</v>
      </c>
      <c r="C9" s="3" t="s">
        <v>21</v>
      </c>
      <c r="D9" t="s">
        <v>22</v>
      </c>
    </row>
    <row r="10" spans="1:4">
      <c r="A10" t="s">
        <v>23</v>
      </c>
      <c r="B10">
        <f>CONVERT(B9,"C","K")</f>
        <v>373.15</v>
      </c>
      <c r="C10" t="s">
        <v>24</v>
      </c>
      <c r="D10" t="s">
        <v>25</v>
      </c>
    </row>
    <row r="11" spans="1:4">
      <c r="A11" t="s">
        <v>26</v>
      </c>
      <c r="B11">
        <v>373.15</v>
      </c>
      <c r="C11" t="s">
        <v>24</v>
      </c>
      <c r="D11" t="s">
        <v>27</v>
      </c>
    </row>
    <row r="12" spans="1:4">
      <c r="A12" t="s">
        <v>35</v>
      </c>
      <c r="B12">
        <v>3433</v>
      </c>
      <c r="C12" t="s">
        <v>24</v>
      </c>
      <c r="D12" t="s">
        <v>36</v>
      </c>
    </row>
    <row r="13" spans="1:4">
      <c r="A13" t="s">
        <v>37</v>
      </c>
      <c r="B13">
        <v>3375</v>
      </c>
      <c r="C13" t="s">
        <v>24</v>
      </c>
      <c r="D13" t="s">
        <v>36</v>
      </c>
    </row>
    <row r="15" spans="1:4">
      <c r="A15" s="2" t="s">
        <v>7</v>
      </c>
    </row>
    <row r="16" spans="1:4">
      <c r="A16" t="s">
        <v>30</v>
      </c>
      <c r="B16" s="2">
        <f>B8*EXP(B12*(1/B10-1/298.15))</f>
        <v>494.18422309097474</v>
      </c>
      <c r="C16" t="s">
        <v>6</v>
      </c>
      <c r="D16" t="s">
        <v>31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10" sqref="B10"/>
    </sheetView>
  </sheetViews>
  <sheetFormatPr defaultRowHeight="15"/>
  <cols>
    <col min="2" max="2" width="11" bestFit="1" customWidth="1"/>
  </cols>
  <sheetData>
    <row r="1" spans="1:4">
      <c r="A1" t="s">
        <v>47</v>
      </c>
    </row>
    <row r="2" spans="1:4">
      <c r="A2" t="s">
        <v>14</v>
      </c>
    </row>
    <row r="3" spans="1:4">
      <c r="A3" t="s">
        <v>15</v>
      </c>
    </row>
    <row r="4" spans="1:4">
      <c r="A4" t="s">
        <v>48</v>
      </c>
    </row>
    <row r="6" spans="1:4">
      <c r="A6" s="2" t="s">
        <v>17</v>
      </c>
    </row>
    <row r="8" spans="1:4" ht="15.75" thickBot="1">
      <c r="A8" t="s">
        <v>18</v>
      </c>
      <c r="B8">
        <v>1670</v>
      </c>
      <c r="C8" t="s">
        <v>6</v>
      </c>
      <c r="D8" t="s">
        <v>19</v>
      </c>
    </row>
    <row r="9" spans="1:4" ht="15.75" thickBot="1">
      <c r="A9" t="s">
        <v>23</v>
      </c>
      <c r="B9" s="1">
        <v>25</v>
      </c>
      <c r="C9" s="3" t="s">
        <v>21</v>
      </c>
      <c r="D9" t="s">
        <v>22</v>
      </c>
    </row>
    <row r="10" spans="1:4">
      <c r="A10" t="s">
        <v>49</v>
      </c>
      <c r="B10">
        <f>7.635*10^(-3)</f>
        <v>7.6350000000000003E-3</v>
      </c>
      <c r="C10" t="s">
        <v>51</v>
      </c>
      <c r="D10" t="s">
        <v>53</v>
      </c>
    </row>
    <row r="11" spans="1:4">
      <c r="A11" t="s">
        <v>50</v>
      </c>
      <c r="B11">
        <f>1.731*10^(-5)</f>
        <v>1.7310000000000002E-5</v>
      </c>
      <c r="C11" t="s">
        <v>52</v>
      </c>
      <c r="D11" t="s">
        <v>53</v>
      </c>
    </row>
    <row r="13" spans="1:4">
      <c r="A13" s="2" t="s">
        <v>7</v>
      </c>
    </row>
    <row r="14" spans="1:4">
      <c r="A14" t="s">
        <v>30</v>
      </c>
      <c r="B14" s="2">
        <f>1000*(  1 + B10 * (B9-25) + B11* (B9-25)^2  )</f>
        <v>1000</v>
      </c>
      <c r="C14" t="s">
        <v>6</v>
      </c>
      <c r="D14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Расчет компаратора</vt:lpstr>
      <vt:lpstr>Расчет ОУ+АЦП</vt:lpstr>
      <vt:lpstr>Расчет резистора SemiX</vt:lpstr>
      <vt:lpstr>Расчет резистора Infenion</vt:lpstr>
      <vt:lpstr>Расчет резистора MiniSKiiP®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2020-02-25T14:21:15Z</dcterms:modified>
</cp:coreProperties>
</file>