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Пьезодатчик" sheetId="1" r:id="rId1"/>
    <sheet name="Тензодатчик" sheetId="3" r:id="rId2"/>
  </sheets>
  <calcPr calcId="125725"/>
</workbook>
</file>

<file path=xl/calcChain.xml><?xml version="1.0" encoding="utf-8"?>
<calcChain xmlns="http://schemas.openxmlformats.org/spreadsheetml/2006/main">
  <c r="C61" i="3"/>
  <c r="C58" i="1"/>
  <c r="C46" i="3"/>
  <c r="C56"/>
  <c r="C58" s="1"/>
  <c r="B58" i="1"/>
  <c r="C59"/>
  <c r="B17"/>
  <c r="B15"/>
  <c r="B69" s="1"/>
  <c r="B64" i="3"/>
  <c r="B24"/>
  <c r="B66"/>
  <c r="B67" s="1"/>
  <c r="C36"/>
  <c r="C45"/>
  <c r="C34"/>
  <c r="B14"/>
  <c r="B13"/>
  <c r="B13" i="1"/>
  <c r="B71"/>
  <c r="B72" s="1"/>
  <c r="B24" l="1"/>
  <c r="C53" s="1"/>
  <c r="B73"/>
  <c r="B68" i="3"/>
  <c r="C38"/>
  <c r="C41" s="1"/>
  <c r="C60" s="1"/>
  <c r="C49"/>
  <c r="C35"/>
  <c r="C51"/>
  <c r="C37" i="1" l="1"/>
  <c r="C44"/>
  <c r="C33"/>
  <c r="B80" i="3"/>
  <c r="B70"/>
  <c r="B79" s="1"/>
  <c r="C61" i="1" l="1"/>
  <c r="C62" s="1"/>
  <c r="B75" l="1"/>
  <c r="B80" s="1"/>
  <c r="B81"/>
</calcChain>
</file>

<file path=xl/comments1.xml><?xml version="1.0" encoding="utf-8"?>
<comments xmlns="http://schemas.openxmlformats.org/spreadsheetml/2006/main">
  <authors>
    <author>Автор</author>
  </authors>
  <commentList>
    <comment ref="B9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из ТТ на систему</t>
        </r>
      </text>
    </comment>
    <comment ref="B10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из ТТ на датчик</t>
        </r>
      </text>
    </comment>
    <comment ref="B11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диапазон измерений на клещах с запасом</t>
        </r>
      </text>
    </comment>
    <comment ref="B12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из ТТ на датчик</t>
        </r>
      </text>
    </comment>
    <comment ref="B13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диапазон * [отн. Точность +  (T-25) * dAccuracy]</t>
        </r>
      </text>
    </comment>
    <comment ref="B15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со слов производителя</t>
        </r>
      </text>
    </comment>
    <comment ref="B16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со слов производителя</t>
        </r>
      </text>
    </comment>
    <comment ref="B17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q*Forse/C</t>
        </r>
      </text>
    </comment>
    <comment ref="B24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определяется типом пьезодатчика, диапазоном усилий и входной емкостью на плате обработки</t>
        </r>
      </text>
    </comment>
    <comment ref="B25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из ИТЦЯ.468157.015 Э3</t>
        </r>
      </text>
    </comment>
    <comment ref="B26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из ТТ на SmartAxis</t>
        </r>
      </text>
    </comment>
    <comment ref="B28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данные из datasheet</t>
        </r>
      </text>
    </comment>
    <comment ref="C28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parts-per-million (ppm, 10^−6)
*10^6 to ppm</t>
        </r>
      </text>
    </comment>
    <comment ref="C33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*10^6 to ppm</t>
        </r>
      </text>
    </comment>
    <comment ref="B34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нет данных</t>
        </r>
      </text>
    </comment>
    <comment ref="B35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нет данных</t>
        </r>
      </text>
    </comment>
    <comment ref="B36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x dB=20log(Yppm/1Million)
ppm = 10 ^(-CMR/20)  *1Million
     -90dB   31.62ppm
    -95dB   17.78ppm
    -100dB   10.00ppm
    -105dB   5.62ppm
    -110dB   3.16ppm
    -115dB   1.78ppm
    -120dB   1.00ppm
   </t>
        </r>
      </text>
    </comment>
    <comment ref="B38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нет данных</t>
        </r>
      </text>
    </comment>
    <comment ref="C38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1% = 10000ppm
x(ppm) = 10000 ⋅ x(%)</t>
        </r>
      </text>
    </comment>
    <comment ref="B43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нет данных</t>
        </r>
      </text>
    </comment>
    <comment ref="B47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нет данных</t>
        </r>
      </text>
    </comment>
    <comment ref="B52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нет данных</t>
        </r>
      </text>
    </comment>
    <comment ref="B58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из ИТЦЯ.468157.015 ПЭ3</t>
        </r>
      </text>
    </comment>
    <comment ref="C58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1% = 10000ppm
x(ppm) = 10000 ⋅ x(%)</t>
        </r>
      </text>
    </comment>
    <comment ref="B59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уход емкости при +55 градусах у диэлектрика X5R</t>
        </r>
      </text>
    </comment>
    <comment ref="C62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1% = 10000ppm
x(ppm) = 10000 ⋅ x(%)</t>
        </r>
      </text>
    </comment>
    <comment ref="B66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из ИТЦЯ.468157.015 Э3</t>
        </r>
      </text>
    </comment>
    <comment ref="B67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из ИТЦЯ.468157.015 ПЭ3</t>
        </r>
      </text>
    </comment>
    <comment ref="B69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q(пКл/Н) * Scale(N) / (C + C1) 
Входное напряжение на ОУ</t>
        </r>
      </text>
    </comment>
    <comment ref="B72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ADC_ref / 2^16</t>
        </r>
      </text>
    </comment>
    <comment ref="B73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тоже самое в Ньютонах
Discret_mV/1000 * Scale/Full_range</t>
        </r>
      </text>
    </comment>
    <comment ref="B75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GRAND TOTAL ERROR, % * Scale (N)</t>
        </r>
      </text>
    </comment>
    <comment ref="D75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определяется смещением ОУ</t>
        </r>
      </text>
    </comment>
  </commentList>
</comments>
</file>

<file path=xl/comments2.xml><?xml version="1.0" encoding="utf-8"?>
<comments xmlns="http://schemas.openxmlformats.org/spreadsheetml/2006/main">
  <authors>
    <author>Автор</author>
  </authors>
  <commentList>
    <comment ref="B9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из datasheet.
На клещах будет до 24 кН</t>
        </r>
      </text>
    </comment>
    <comment ref="B10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из datasheet</t>
        </r>
      </text>
    </comment>
    <comment ref="B11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из datasheet</t>
        </r>
      </text>
    </comment>
    <comment ref="B12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из ИТЦЯ.468157.015 Э3</t>
        </r>
      </text>
    </comment>
    <comment ref="B13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Scale * [Rated Output * Vex] / FullScale
FS = 30kN (datasheet)</t>
        </r>
      </text>
    </comment>
    <comment ref="B14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диапазон * total error</t>
        </r>
      </text>
    </comment>
    <comment ref="B24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определяется типом и питанием тензодатчика</t>
        </r>
      </text>
    </comment>
    <comment ref="B25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из ИТЦЯ.468157.015 Э3</t>
        </r>
      </text>
    </comment>
    <comment ref="B26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из ТТ на SmartAxis</t>
        </r>
      </text>
    </comment>
    <comment ref="B27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из datasheet тензодатчика</t>
        </r>
      </text>
    </comment>
    <comment ref="B29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данные из datasheet</t>
        </r>
      </text>
    </comment>
    <comment ref="C29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parts-per-million (ppm, 10^−6)
*10^6 to ppm</t>
        </r>
      </text>
    </comment>
    <comment ref="C34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*10^6 to ppm</t>
        </r>
      </text>
    </comment>
    <comment ref="B35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из графиков INA333</t>
        </r>
      </text>
    </comment>
    <comment ref="B37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x dB=20log(Yppm/1Million)
ppm = 10 ^(-CMR/20)  *1Million
     -90dB   31.62ppm
    -95dB   17.78ppm
    -100dB   10.00ppm
    -105dB   5.62ppm
    -110dB   3.16ppm
    -115dB   1.78ppm
    -120dB   1.00ppm
   </t>
        </r>
      </text>
    </comment>
    <comment ref="C39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1% = 10000ppm
x(ppm) = 10000 ⋅ x(%)</t>
        </r>
      </text>
    </comment>
    <comment ref="B49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из графиков INA333</t>
        </r>
      </text>
    </comment>
    <comment ref="C56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Не убрать калиброкой1</t>
        </r>
      </text>
    </comment>
    <comment ref="C61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1% = 10000ppm
x(ppm) = 10000 ⋅ x(%)</t>
        </r>
      </text>
    </comment>
    <comment ref="B64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из ИТЦЯ.468157.015 Э3</t>
        </r>
      </text>
    </comment>
    <comment ref="B65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STM32F378VCT6
sigma-delta ADC</t>
        </r>
      </text>
    </comment>
    <comment ref="B66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из ИТЦЯ.468157.015 Э3</t>
        </r>
      </text>
    </comment>
    <comment ref="B67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ADC_ref / 2^16</t>
        </r>
      </text>
    </comment>
    <comment ref="B68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тоже самое в Ньютонах
Discret_mV/1000 * Scale/Full_range</t>
        </r>
      </text>
    </comment>
    <comment ref="B70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GRAND TOTAL ERROR, % * Scale (N)</t>
        </r>
      </text>
    </comment>
    <comment ref="D70" author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определяется суммой погрешностей ОУ</t>
        </r>
      </text>
    </comment>
  </commentList>
</comments>
</file>

<file path=xl/sharedStrings.xml><?xml version="1.0" encoding="utf-8"?>
<sst xmlns="http://schemas.openxmlformats.org/spreadsheetml/2006/main" count="198" uniqueCount="118">
  <si>
    <t>SMARTAXIS</t>
  </si>
  <si>
    <t>Тихонов Е.Н.</t>
  </si>
  <si>
    <t>ввод данных</t>
  </si>
  <si>
    <t>Расчет точности тензометрии ЭМП DA99SA</t>
  </si>
  <si>
    <t>Тип датчика:</t>
  </si>
  <si>
    <t>пьезодатчик от Piezoelectric.ru</t>
  </si>
  <si>
    <t>N</t>
  </si>
  <si>
    <t>%</t>
  </si>
  <si>
    <t>Точность: (нелинейность, гистерезис) от измеряемой величины</t>
  </si>
  <si>
    <t>mV</t>
  </si>
  <si>
    <t>FULL_Range=</t>
  </si>
  <si>
    <t>V</t>
  </si>
  <si>
    <t>ADC_bit=</t>
  </si>
  <si>
    <t>разрядность АЦП</t>
  </si>
  <si>
    <t>диапазон АЦП для положительных усилий</t>
  </si>
  <si>
    <t>bit</t>
  </si>
  <si>
    <t>ADC_ref=</t>
  </si>
  <si>
    <t>ref ADC</t>
  </si>
  <si>
    <t>отн. точность=</t>
  </si>
  <si>
    <t xml:space="preserve">абс. точность = </t>
  </si>
  <si>
    <r>
      <rPr>
        <sz val="11"/>
        <color theme="1"/>
        <rFont val="Calibri"/>
        <family val="2"/>
        <charset val="204"/>
      </rPr>
      <t>°</t>
    </r>
    <r>
      <rPr>
        <sz val="11"/>
        <color theme="1"/>
        <rFont val="Calibri"/>
        <family val="2"/>
        <charset val="204"/>
        <scheme val="minor"/>
      </rPr>
      <t>С</t>
    </r>
  </si>
  <si>
    <t>темпратура датчика</t>
  </si>
  <si>
    <t>dAccuracy=</t>
  </si>
  <si>
    <t>Влияние температуры на точность (от диапазона измерений)</t>
  </si>
  <si>
    <t>абсолютная точность датчика с учетом температуры</t>
  </si>
  <si>
    <t>дискретность АЦП (1 разряд)</t>
  </si>
  <si>
    <t>Accuracy=</t>
  </si>
  <si>
    <t>T</t>
  </si>
  <si>
    <t>точность измерения усилия электроникой</t>
  </si>
  <si>
    <t>Суммарная погрешность</t>
  </si>
  <si>
    <t>Discret_mV=</t>
  </si>
  <si>
    <t>Discret_N=</t>
  </si>
  <si>
    <t>тензодатчик 296AS01-30kN "ANYLOAD"</t>
  </si>
  <si>
    <t>total error =</t>
  </si>
  <si>
    <t>Точность на всем диапазоне</t>
  </si>
  <si>
    <t>mV/V</t>
  </si>
  <si>
    <t>Excitation Voltage (Vex)</t>
  </si>
  <si>
    <t>sensor supply voltage</t>
  </si>
  <si>
    <t>Vo/Vex</t>
  </si>
  <si>
    <t>sensor output</t>
  </si>
  <si>
    <t>Output  (Vo) =</t>
  </si>
  <si>
    <t>Scale =</t>
  </si>
  <si>
    <t>диапазон измеряемых усилий на клещах</t>
  </si>
  <si>
    <t>абсолютная точность датчика</t>
  </si>
  <si>
    <t>ABSOLUTE ACCURACY</t>
  </si>
  <si>
    <t>Input Offset Voltage, mV</t>
  </si>
  <si>
    <t>Output Offset Voltage, mV</t>
  </si>
  <si>
    <t>Input Offset Current, nA</t>
  </si>
  <si>
    <t>CMR, dB</t>
  </si>
  <si>
    <t>Error Source</t>
  </si>
  <si>
    <t>Gain</t>
  </si>
  <si>
    <t>Gain Drift, ppm/°C</t>
  </si>
  <si>
    <t>Input Offset Voltage, mV/°C</t>
  </si>
  <si>
    <t>Input Offset Current, pA/°C</t>
  </si>
  <si>
    <t>Output Offset Voltage Drift, mV/°C</t>
  </si>
  <si>
    <t>RESOLUTION</t>
  </si>
  <si>
    <t>Gain Nonlinearity, ppm of FS</t>
  </si>
  <si>
    <t>Typ 0.1 Hz–10 Hz Volt. Noise, mV p-p</t>
  </si>
  <si>
    <t>INA333</t>
  </si>
  <si>
    <t>Total</t>
  </si>
  <si>
    <t>Total Error, ppm</t>
  </si>
  <si>
    <t>Error Budget Analysis</t>
  </si>
  <si>
    <t>GAIN=</t>
  </si>
  <si>
    <t>входной диапазон измерения</t>
  </si>
  <si>
    <t>усиление</t>
  </si>
  <si>
    <t>Input Full Scale (FS) =</t>
  </si>
  <si>
    <t>max  Tamb=</t>
  </si>
  <si>
    <t>at Tamb = +25°C</t>
  </si>
  <si>
    <t>10 µV/G/FS mV</t>
  </si>
  <si>
    <t>R=</t>
  </si>
  <si>
    <t>Ohm</t>
  </si>
  <si>
    <t>Bridge resistance</t>
  </si>
  <si>
    <t>1.65V/FS mV</t>
  </si>
  <si>
    <t xml:space="preserve">115 dB -&gt; 1.78 ppm * </t>
  </si>
  <si>
    <t>DRIFT TO +55°C</t>
  </si>
  <si>
    <t>200 pA * R Ohm/FS mV</t>
  </si>
  <si>
    <t>75 µV/FS mV</t>
  </si>
  <si>
    <t>50 ppm/°C * (55-25)°C</t>
  </si>
  <si>
    <t>0.5 µV/°C * (55-25)°C/FS mV</t>
  </si>
  <si>
    <t>0.07 µV/°C *(55-25)°C/</t>
  </si>
  <si>
    <t>G/FS mV</t>
  </si>
  <si>
    <t>10 ppm</t>
  </si>
  <si>
    <t>1 μVPP/FS mV</t>
  </si>
  <si>
    <t>GRAND TOTAL ERROR, ppm</t>
  </si>
  <si>
    <t>GRAND TOTAL ERROR, %</t>
  </si>
  <si>
    <t>xxx</t>
  </si>
  <si>
    <t>точность</t>
  </si>
  <si>
    <t>ДАТЧИК</t>
  </si>
  <si>
    <t>УСИЛИТЕЛЬ</t>
  </si>
  <si>
    <t>ДАТЧИК + УСИЛИТЕЛЬ</t>
  </si>
  <si>
    <t>макс темп. окр.воздуха</t>
  </si>
  <si>
    <t>Total absolute accuracy=</t>
  </si>
  <si>
    <t>(Example:  AN-539 APPLICATION NOTE "AD")</t>
  </si>
  <si>
    <t>диапазон измеряемых усилий</t>
  </si>
  <si>
    <t>TLV2771IDBVR</t>
  </si>
  <si>
    <t>q=</t>
  </si>
  <si>
    <t>пКл/Н</t>
  </si>
  <si>
    <t>изменение заряда от приложенного усилия</t>
  </si>
  <si>
    <t>С=</t>
  </si>
  <si>
    <t>нФ</t>
  </si>
  <si>
    <t>емкость датчика</t>
  </si>
  <si>
    <t>Usensor=</t>
  </si>
  <si>
    <t>В</t>
  </si>
  <si>
    <t>Rated Output=</t>
  </si>
  <si>
    <t>напряжение на выходе датчика</t>
  </si>
  <si>
    <t>С1=</t>
  </si>
  <si>
    <t>mkF</t>
  </si>
  <si>
    <t>емкость || выходу датчика</t>
  </si>
  <si>
    <t>С1%=</t>
  </si>
  <si>
    <t>точность емкости C1</t>
  </si>
  <si>
    <t>2.5 mV/FS V</t>
  </si>
  <si>
    <t xml:space="preserve">96 dB -&gt; 15.8 ppm * </t>
  </si>
  <si>
    <t>1.65V/FS V</t>
  </si>
  <si>
    <t>2 µV/°C * (55-25)°C/FS V</t>
  </si>
  <si>
    <t>0.86 μVPP/FS V</t>
  </si>
  <si>
    <t>PASSIVE COMPONENTS</t>
  </si>
  <si>
    <t>C1 tolerance, %</t>
  </si>
  <si>
    <t>C1 Drift, % (25-&gt;55°C)</t>
  </si>
</sst>
</file>

<file path=xl/styles.xml><?xml version="1.0" encoding="utf-8"?>
<styleSheet xmlns="http://schemas.openxmlformats.org/spreadsheetml/2006/main">
  <numFmts count="1">
    <numFmt numFmtId="164" formatCode="0.000"/>
  </numFmts>
  <fonts count="9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sz val="11"/>
      <color theme="1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1" fillId="0" borderId="11" xfId="0" applyFont="1" applyBorder="1"/>
    <xf numFmtId="0" fontId="0" fillId="0" borderId="10" xfId="0" applyBorder="1" applyAlignment="1">
      <alignment horizontal="left"/>
    </xf>
    <xf numFmtId="0" fontId="1" fillId="0" borderId="11" xfId="0" applyFont="1" applyBorder="1" applyAlignment="1">
      <alignment horizontal="left"/>
    </xf>
    <xf numFmtId="0" fontId="0" fillId="0" borderId="9" xfId="0" applyBorder="1" applyAlignment="1">
      <alignment horizontal="left"/>
    </xf>
    <xf numFmtId="10" fontId="0" fillId="0" borderId="5" xfId="0" applyNumberFormat="1" applyBorder="1" applyAlignment="1">
      <alignment horizontal="left"/>
    </xf>
    <xf numFmtId="0" fontId="0" fillId="0" borderId="11" xfId="0" applyBorder="1"/>
    <xf numFmtId="1" fontId="0" fillId="0" borderId="5" xfId="0" applyNumberFormat="1" applyBorder="1"/>
    <xf numFmtId="1" fontId="1" fillId="0" borderId="7" xfId="0" applyNumberFormat="1" applyFont="1" applyBorder="1"/>
    <xf numFmtId="1" fontId="6" fillId="0" borderId="7" xfId="0" applyNumberFormat="1" applyFont="1" applyBorder="1"/>
    <xf numFmtId="1" fontId="8" fillId="0" borderId="5" xfId="0" applyNumberFormat="1" applyFont="1" applyBorder="1"/>
    <xf numFmtId="1" fontId="6" fillId="0" borderId="0" xfId="0" applyNumberFormat="1" applyFont="1"/>
    <xf numFmtId="0" fontId="0" fillId="2" borderId="1" xfId="0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0" fontId="6" fillId="0" borderId="0" xfId="0" applyFont="1" applyAlignment="1">
      <alignment horizontal="right"/>
    </xf>
    <xf numFmtId="0" fontId="0" fillId="2" borderId="1" xfId="0" applyFill="1" applyBorder="1" applyAlignment="1">
      <alignment horizontal="left"/>
    </xf>
    <xf numFmtId="1" fontId="6" fillId="0" borderId="0" xfId="0" applyNumberFormat="1" applyFont="1" applyAlignment="1">
      <alignment horizontal="right"/>
    </xf>
    <xf numFmtId="0" fontId="0" fillId="0" borderId="5" xfId="0" applyBorder="1" applyAlignment="1">
      <alignment horizontal="left"/>
    </xf>
    <xf numFmtId="164" fontId="6" fillId="0" borderId="7" xfId="0" applyNumberFormat="1" applyFont="1" applyBorder="1"/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1" fontId="0" fillId="0" borderId="10" xfId="0" applyNumberFormat="1" applyBorder="1"/>
    <xf numFmtId="0" fontId="0" fillId="0" borderId="6" xfId="0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12" xfId="0" applyNumberFormat="1" applyBorder="1" applyAlignment="1">
      <alignment horizontal="left"/>
    </xf>
    <xf numFmtId="164" fontId="6" fillId="0" borderId="0" xfId="0" applyNumberFormat="1" applyFont="1"/>
    <xf numFmtId="1" fontId="0" fillId="0" borderId="0" xfId="0" applyNumberForma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28575</xdr:colOff>
      <xdr:row>1</xdr:row>
      <xdr:rowOff>133350</xdr:rowOff>
    </xdr:from>
    <xdr:to>
      <xdr:col>20</xdr:col>
      <xdr:colOff>381000</xdr:colOff>
      <xdr:row>19</xdr:row>
      <xdr:rowOff>133350</xdr:rowOff>
    </xdr:to>
    <xdr:pic>
      <xdr:nvPicPr>
        <xdr:cNvPr id="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24725" y="323850"/>
          <a:ext cx="6705600" cy="3429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552450</xdr:colOff>
      <xdr:row>20</xdr:row>
      <xdr:rowOff>19050</xdr:rowOff>
    </xdr:from>
    <xdr:to>
      <xdr:col>18</xdr:col>
      <xdr:colOff>342900</xdr:colOff>
      <xdr:row>27</xdr:row>
      <xdr:rowOff>180975</xdr:rowOff>
    </xdr:to>
    <xdr:pic>
      <xdr:nvPicPr>
        <xdr:cNvPr id="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686925" y="3829050"/>
          <a:ext cx="5314950" cy="1495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600075</xdr:colOff>
      <xdr:row>29</xdr:row>
      <xdr:rowOff>142875</xdr:rowOff>
    </xdr:from>
    <xdr:to>
      <xdr:col>17</xdr:col>
      <xdr:colOff>561975</xdr:colOff>
      <xdr:row>44</xdr:row>
      <xdr:rowOff>152400</xdr:rowOff>
    </xdr:to>
    <xdr:pic>
      <xdr:nvPicPr>
        <xdr:cNvPr id="1069" name="Picture 4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734550" y="5667375"/>
          <a:ext cx="4876800" cy="2867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447675</xdr:colOff>
      <xdr:row>0</xdr:row>
      <xdr:rowOff>28575</xdr:rowOff>
    </xdr:from>
    <xdr:to>
      <xdr:col>19</xdr:col>
      <xdr:colOff>85725</xdr:colOff>
      <xdr:row>11</xdr:row>
      <xdr:rowOff>66675</xdr:rowOff>
    </xdr:to>
    <xdr:pic>
      <xdr:nvPicPr>
        <xdr:cNvPr id="2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687050" y="28575"/>
          <a:ext cx="2076450" cy="2133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219822</xdr:colOff>
      <xdr:row>0</xdr:row>
      <xdr:rowOff>0</xdr:rowOff>
    </xdr:from>
    <xdr:to>
      <xdr:col>15</xdr:col>
      <xdr:colOff>361949</xdr:colOff>
      <xdr:row>17</xdr:row>
      <xdr:rowOff>85725</xdr:rowOff>
    </xdr:to>
    <xdr:pic>
      <xdr:nvPicPr>
        <xdr:cNvPr id="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411197" y="0"/>
          <a:ext cx="3190127" cy="3324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266700</xdr:colOff>
      <xdr:row>19</xdr:row>
      <xdr:rowOff>133350</xdr:rowOff>
    </xdr:from>
    <xdr:to>
      <xdr:col>16</xdr:col>
      <xdr:colOff>219075</xdr:colOff>
      <xdr:row>33</xdr:row>
      <xdr:rowOff>152400</xdr:rowOff>
    </xdr:to>
    <xdr:pic>
      <xdr:nvPicPr>
        <xdr:cNvPr id="4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458075" y="3562350"/>
          <a:ext cx="3609975" cy="2686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381000</xdr:colOff>
      <xdr:row>36</xdr:row>
      <xdr:rowOff>76200</xdr:rowOff>
    </xdr:from>
    <xdr:to>
      <xdr:col>23</xdr:col>
      <xdr:colOff>285750</xdr:colOff>
      <xdr:row>59</xdr:row>
      <xdr:rowOff>66675</xdr:rowOff>
    </xdr:to>
    <xdr:pic>
      <xdr:nvPicPr>
        <xdr:cNvPr id="308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9124950" y="6553200"/>
          <a:ext cx="7829550" cy="4371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59</xdr:row>
      <xdr:rowOff>0</xdr:rowOff>
    </xdr:from>
    <xdr:to>
      <xdr:col>18</xdr:col>
      <xdr:colOff>171450</xdr:colOff>
      <xdr:row>71</xdr:row>
      <xdr:rowOff>66675</xdr:rowOff>
    </xdr:to>
    <xdr:pic>
      <xdr:nvPicPr>
        <xdr:cNvPr id="308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9639300" y="11049000"/>
          <a:ext cx="4438650" cy="23526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0</xdr:colOff>
      <xdr:row>74</xdr:row>
      <xdr:rowOff>0</xdr:rowOff>
    </xdr:from>
    <xdr:to>
      <xdr:col>21</xdr:col>
      <xdr:colOff>47625</xdr:colOff>
      <xdr:row>88</xdr:row>
      <xdr:rowOff>171450</xdr:rowOff>
    </xdr:to>
    <xdr:pic>
      <xdr:nvPicPr>
        <xdr:cNvPr id="310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0029825" y="14097000"/>
          <a:ext cx="6143625" cy="2838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1"/>
  <sheetViews>
    <sheetView tabSelected="1" topLeftCell="A46" workbookViewId="0">
      <selection activeCell="B73" sqref="B73"/>
    </sheetView>
  </sheetViews>
  <sheetFormatPr defaultRowHeight="15"/>
  <cols>
    <col min="1" max="1" width="32.85546875" customWidth="1"/>
    <col min="2" max="2" width="29.85546875" bestFit="1" customWidth="1"/>
    <col min="3" max="3" width="16.5703125" customWidth="1"/>
    <col min="8" max="8" width="12" bestFit="1" customWidth="1"/>
    <col min="14" max="14" width="8.42578125" bestFit="1" customWidth="1"/>
    <col min="15" max="15" width="8.7109375" bestFit="1" customWidth="1"/>
    <col min="16" max="16" width="10" bestFit="1" customWidth="1"/>
    <col min="17" max="17" width="10" customWidth="1"/>
    <col min="20" max="20" width="12.42578125" customWidth="1"/>
  </cols>
  <sheetData>
    <row r="1" spans="1:7">
      <c r="A1" t="s">
        <v>3</v>
      </c>
    </row>
    <row r="2" spans="1:7">
      <c r="A2" t="s">
        <v>0</v>
      </c>
      <c r="F2" s="5"/>
      <c r="G2" s="6" t="s">
        <v>2</v>
      </c>
    </row>
    <row r="3" spans="1:7">
      <c r="A3" t="s">
        <v>1</v>
      </c>
      <c r="C3" s="1">
        <v>43926</v>
      </c>
      <c r="F3" s="7" t="s">
        <v>85</v>
      </c>
      <c r="G3" t="s">
        <v>86</v>
      </c>
    </row>
    <row r="5" spans="1:7">
      <c r="A5" s="2" t="s">
        <v>87</v>
      </c>
    </row>
    <row r="6" spans="1:7">
      <c r="A6" s="2"/>
    </row>
    <row r="7" spans="1:7">
      <c r="A7" t="s">
        <v>4</v>
      </c>
      <c r="B7" t="s">
        <v>5</v>
      </c>
    </row>
    <row r="9" spans="1:7">
      <c r="A9" t="s">
        <v>27</v>
      </c>
      <c r="B9" s="34">
        <v>55</v>
      </c>
      <c r="C9" t="s">
        <v>20</v>
      </c>
      <c r="D9" t="s">
        <v>21</v>
      </c>
    </row>
    <row r="10" spans="1:7">
      <c r="A10" t="s">
        <v>22</v>
      </c>
      <c r="B10" s="34">
        <v>0.02</v>
      </c>
      <c r="C10" t="s">
        <v>7</v>
      </c>
      <c r="D10" t="s">
        <v>23</v>
      </c>
    </row>
    <row r="11" spans="1:7">
      <c r="A11" t="s">
        <v>41</v>
      </c>
      <c r="B11" s="34">
        <v>30000</v>
      </c>
      <c r="C11" s="4" t="s">
        <v>6</v>
      </c>
      <c r="D11" t="s">
        <v>42</v>
      </c>
    </row>
    <row r="12" spans="1:7">
      <c r="A12" t="s">
        <v>18</v>
      </c>
      <c r="B12" s="34">
        <v>0.5</v>
      </c>
      <c r="C12" t="s">
        <v>7</v>
      </c>
      <c r="D12" t="s">
        <v>8</v>
      </c>
    </row>
    <row r="13" spans="1:7">
      <c r="A13" t="s">
        <v>19</v>
      </c>
      <c r="B13" s="33">
        <f>B11*(B12 + (B9-25)*B10)/100</f>
        <v>330</v>
      </c>
      <c r="C13" s="4" t="s">
        <v>6</v>
      </c>
      <c r="D13" t="s">
        <v>24</v>
      </c>
    </row>
    <row r="14" spans="1:7">
      <c r="B14" s="9"/>
      <c r="C14" s="4"/>
    </row>
    <row r="15" spans="1:7">
      <c r="A15" t="s">
        <v>95</v>
      </c>
      <c r="B15" s="34">
        <f>233</f>
        <v>233</v>
      </c>
      <c r="C15" s="4" t="s">
        <v>96</v>
      </c>
      <c r="D15" t="s">
        <v>97</v>
      </c>
    </row>
    <row r="16" spans="1:7">
      <c r="A16" t="s">
        <v>98</v>
      </c>
      <c r="B16" s="34">
        <v>60</v>
      </c>
      <c r="C16" s="4" t="s">
        <v>99</v>
      </c>
      <c r="D16" t="s">
        <v>100</v>
      </c>
    </row>
    <row r="17" spans="1:4">
      <c r="A17" t="s">
        <v>101</v>
      </c>
      <c r="B17" s="9">
        <f>B15*B11*10^(-12)/(B16*10^(-9))</f>
        <v>116.49999999999999</v>
      </c>
      <c r="C17" s="4" t="s">
        <v>102</v>
      </c>
      <c r="D17" t="s">
        <v>104</v>
      </c>
    </row>
    <row r="18" spans="1:4">
      <c r="B18" s="9"/>
    </row>
    <row r="19" spans="1:4">
      <c r="A19" s="2" t="s">
        <v>88</v>
      </c>
      <c r="B19" s="9"/>
    </row>
    <row r="20" spans="1:4">
      <c r="B20" s="9"/>
    </row>
    <row r="21" spans="1:4">
      <c r="A21" s="8" t="s">
        <v>61</v>
      </c>
    </row>
    <row r="22" spans="1:4">
      <c r="A22" t="s">
        <v>92</v>
      </c>
    </row>
    <row r="24" spans="1:4">
      <c r="A24" t="s">
        <v>65</v>
      </c>
      <c r="B24" s="32">
        <f>B69</f>
        <v>1.4684873949579831</v>
      </c>
      <c r="C24" t="s">
        <v>11</v>
      </c>
      <c r="D24" t="s">
        <v>63</v>
      </c>
    </row>
    <row r="25" spans="1:4">
      <c r="A25" t="s">
        <v>62</v>
      </c>
      <c r="B25" s="31">
        <v>1</v>
      </c>
      <c r="D25" t="s">
        <v>64</v>
      </c>
    </row>
    <row r="26" spans="1:4">
      <c r="A26" t="s">
        <v>66</v>
      </c>
      <c r="B26" s="31">
        <v>55</v>
      </c>
      <c r="C26" t="s">
        <v>20</v>
      </c>
      <c r="D26" t="s">
        <v>90</v>
      </c>
    </row>
    <row r="28" spans="1:4">
      <c r="A28" s="10" t="s">
        <v>49</v>
      </c>
      <c r="B28" s="17" t="s">
        <v>94</v>
      </c>
      <c r="C28" s="17" t="s">
        <v>60</v>
      </c>
    </row>
    <row r="29" spans="1:4">
      <c r="A29" s="19"/>
      <c r="B29" s="12"/>
      <c r="C29" s="12"/>
    </row>
    <row r="30" spans="1:4">
      <c r="A30" s="19" t="s">
        <v>44</v>
      </c>
      <c r="B30" s="14"/>
      <c r="C30" s="14"/>
    </row>
    <row r="31" spans="1:4">
      <c r="A31" s="19" t="s">
        <v>67</v>
      </c>
      <c r="B31" s="14"/>
      <c r="C31" s="14"/>
    </row>
    <row r="32" spans="1:4">
      <c r="A32" s="19"/>
      <c r="B32" s="14"/>
      <c r="C32" s="14"/>
    </row>
    <row r="33" spans="1:3">
      <c r="A33" s="19" t="s">
        <v>45</v>
      </c>
      <c r="B33" s="36" t="s">
        <v>110</v>
      </c>
      <c r="C33" s="26">
        <f>2.5*10^(-3)/B24 *10^6</f>
        <v>1702.4320457796855</v>
      </c>
    </row>
    <row r="34" spans="1:3">
      <c r="A34" s="19" t="s">
        <v>46</v>
      </c>
      <c r="B34" s="36">
        <v>0</v>
      </c>
      <c r="C34" s="26">
        <v>0</v>
      </c>
    </row>
    <row r="35" spans="1:3">
      <c r="A35" s="19" t="s">
        <v>47</v>
      </c>
      <c r="B35" s="36">
        <v>0</v>
      </c>
      <c r="C35" s="26">
        <v>0</v>
      </c>
    </row>
    <row r="36" spans="1:3">
      <c r="A36" s="19" t="s">
        <v>48</v>
      </c>
      <c r="B36" s="36" t="s">
        <v>111</v>
      </c>
      <c r="C36" s="14"/>
    </row>
    <row r="37" spans="1:3">
      <c r="A37" s="19"/>
      <c r="B37" s="36" t="s">
        <v>112</v>
      </c>
      <c r="C37" s="26">
        <f>15.8*1.65/B24</f>
        <v>17.752961373390558</v>
      </c>
    </row>
    <row r="38" spans="1:3">
      <c r="A38" s="19" t="s">
        <v>50</v>
      </c>
      <c r="B38" s="24">
        <v>0</v>
      </c>
      <c r="C38" s="14">
        <v>0</v>
      </c>
    </row>
    <row r="39" spans="1:3">
      <c r="A39" s="19"/>
      <c r="B39" s="36"/>
      <c r="C39" s="14"/>
    </row>
    <row r="40" spans="1:3">
      <c r="A40" s="11"/>
      <c r="B40" s="18"/>
      <c r="C40" s="12"/>
    </row>
    <row r="41" spans="1:3">
      <c r="A41" s="13" t="s">
        <v>74</v>
      </c>
      <c r="B41" s="19"/>
      <c r="C41" s="14"/>
    </row>
    <row r="42" spans="1:3">
      <c r="A42" s="13"/>
      <c r="B42" s="19"/>
      <c r="C42" s="14"/>
    </row>
    <row r="43" spans="1:3">
      <c r="A43" s="13" t="s">
        <v>51</v>
      </c>
      <c r="B43" s="21">
        <v>0</v>
      </c>
      <c r="C43" s="14">
        <v>0</v>
      </c>
    </row>
    <row r="44" spans="1:3">
      <c r="A44" s="13" t="s">
        <v>52</v>
      </c>
      <c r="B44" s="21" t="s">
        <v>113</v>
      </c>
      <c r="C44" s="26">
        <f>2*10^(-6)*(B26-25)/B24 * 10^6</f>
        <v>40.858369098712444</v>
      </c>
    </row>
    <row r="45" spans="1:3">
      <c r="A45" s="13" t="s">
        <v>53</v>
      </c>
      <c r="B45" s="21">
        <v>0</v>
      </c>
      <c r="C45" s="14">
        <v>0</v>
      </c>
    </row>
    <row r="46" spans="1:3">
      <c r="A46" s="13"/>
      <c r="B46" s="21"/>
      <c r="C46" s="14"/>
    </row>
    <row r="47" spans="1:3">
      <c r="A47" s="13" t="s">
        <v>54</v>
      </c>
      <c r="B47" s="21">
        <v>0</v>
      </c>
      <c r="C47" s="26">
        <v>0</v>
      </c>
    </row>
    <row r="48" spans="1:3">
      <c r="A48" s="13"/>
      <c r="B48" s="21"/>
      <c r="C48" s="14"/>
    </row>
    <row r="49" spans="1:3">
      <c r="A49" s="11"/>
      <c r="B49" s="38"/>
      <c r="C49" s="18"/>
    </row>
    <row r="50" spans="1:3">
      <c r="A50" s="13" t="s">
        <v>55</v>
      </c>
      <c r="B50" s="39"/>
      <c r="C50" s="19"/>
    </row>
    <row r="51" spans="1:3">
      <c r="A51" s="13"/>
      <c r="B51" s="39"/>
      <c r="C51" s="19"/>
    </row>
    <row r="52" spans="1:3">
      <c r="A52" s="13" t="s">
        <v>56</v>
      </c>
      <c r="B52" s="39">
        <v>0</v>
      </c>
      <c r="C52" s="19">
        <v>0</v>
      </c>
    </row>
    <row r="53" spans="1:3">
      <c r="A53" s="13" t="s">
        <v>57</v>
      </c>
      <c r="B53" s="39" t="s">
        <v>114</v>
      </c>
      <c r="C53" s="40">
        <f>0.86*10^(-6)/B24  *10^6</f>
        <v>0.58563662374821179</v>
      </c>
    </row>
    <row r="54" spans="1:3">
      <c r="A54" s="13"/>
      <c r="B54" s="41"/>
      <c r="C54" s="25"/>
    </row>
    <row r="55" spans="1:3">
      <c r="A55" s="18"/>
      <c r="C55" s="19"/>
    </row>
    <row r="56" spans="1:3">
      <c r="A56" s="19" t="s">
        <v>115</v>
      </c>
      <c r="C56" s="19"/>
    </row>
    <row r="57" spans="1:3">
      <c r="A57" s="19"/>
      <c r="C57" s="19"/>
    </row>
    <row r="58" spans="1:3">
      <c r="A58" s="19" t="s">
        <v>116</v>
      </c>
      <c r="B58" s="42">
        <f>B67</f>
        <v>10</v>
      </c>
      <c r="C58" s="19">
        <f>B58*10000</f>
        <v>100000</v>
      </c>
    </row>
    <row r="59" spans="1:3">
      <c r="A59" s="25" t="s">
        <v>117</v>
      </c>
      <c r="B59" s="43">
        <v>2.5</v>
      </c>
      <c r="C59" s="25">
        <f>B59*10000</f>
        <v>25000</v>
      </c>
    </row>
    <row r="60" spans="1:3">
      <c r="B60" s="19"/>
      <c r="C60" s="14"/>
    </row>
    <row r="61" spans="1:3">
      <c r="B61" s="19" t="s">
        <v>83</v>
      </c>
      <c r="C61" s="29">
        <f>SUM(C33:C59)</f>
        <v>126761.62901287554</v>
      </c>
    </row>
    <row r="62" spans="1:3">
      <c r="B62" s="25" t="s">
        <v>84</v>
      </c>
      <c r="C62" s="37">
        <f>0.0001*C61</f>
        <v>12.676162901287555</v>
      </c>
    </row>
    <row r="66" spans="1:4">
      <c r="A66" t="s">
        <v>105</v>
      </c>
      <c r="B66" s="31">
        <v>4.7</v>
      </c>
      <c r="C66" t="s">
        <v>106</v>
      </c>
      <c r="D66" t="s">
        <v>107</v>
      </c>
    </row>
    <row r="67" spans="1:4">
      <c r="A67" t="s">
        <v>108</v>
      </c>
      <c r="B67" s="31">
        <v>10</v>
      </c>
      <c r="C67" t="s">
        <v>7</v>
      </c>
      <c r="D67" t="s">
        <v>109</v>
      </c>
    </row>
    <row r="69" spans="1:4">
      <c r="A69" t="s">
        <v>10</v>
      </c>
      <c r="B69" s="32">
        <f>B15*B11*10^(-12)/((B16)*10^(-9) + B66*10^(-6))</f>
        <v>1.4684873949579831</v>
      </c>
      <c r="C69" t="s">
        <v>11</v>
      </c>
      <c r="D69" t="s">
        <v>14</v>
      </c>
    </row>
    <row r="70" spans="1:4">
      <c r="A70" t="s">
        <v>12</v>
      </c>
      <c r="B70" s="31">
        <v>16</v>
      </c>
      <c r="C70" t="s">
        <v>15</v>
      </c>
      <c r="D70" t="s">
        <v>13</v>
      </c>
    </row>
    <row r="71" spans="1:4">
      <c r="A71" t="s">
        <v>16</v>
      </c>
      <c r="B71" s="31">
        <f>3.3</f>
        <v>3.3</v>
      </c>
      <c r="C71" t="s">
        <v>11</v>
      </c>
      <c r="D71" t="s">
        <v>17</v>
      </c>
    </row>
    <row r="72" spans="1:4">
      <c r="A72" t="s">
        <v>30</v>
      </c>
      <c r="B72" s="32">
        <f>B71/(2^B70)*1000</f>
        <v>5.035400390625E-2</v>
      </c>
      <c r="C72" t="s">
        <v>9</v>
      </c>
      <c r="D72" t="s">
        <v>25</v>
      </c>
    </row>
    <row r="73" spans="1:4">
      <c r="A73" t="s">
        <v>31</v>
      </c>
      <c r="B73" s="32">
        <f>B72/1000*B11/B69</f>
        <v>1.0286912385997855</v>
      </c>
      <c r="C73" t="s">
        <v>6</v>
      </c>
      <c r="D73" t="s">
        <v>25</v>
      </c>
    </row>
    <row r="74" spans="1:4">
      <c r="B74" s="32"/>
    </row>
    <row r="75" spans="1:4">
      <c r="A75" t="s">
        <v>26</v>
      </c>
      <c r="B75" s="45">
        <f>C62/100*B11</f>
        <v>3802.8488703862663</v>
      </c>
      <c r="C75" t="s">
        <v>6</v>
      </c>
      <c r="D75" t="s">
        <v>28</v>
      </c>
    </row>
    <row r="76" spans="1:4">
      <c r="B76" s="9"/>
    </row>
    <row r="77" spans="1:4">
      <c r="B77" s="9"/>
    </row>
    <row r="78" spans="1:4">
      <c r="A78" s="2" t="s">
        <v>89</v>
      </c>
      <c r="B78" s="9"/>
    </row>
    <row r="79" spans="1:4">
      <c r="B79" s="9"/>
    </row>
    <row r="80" spans="1:4">
      <c r="A80" t="s">
        <v>91</v>
      </c>
      <c r="B80" s="35">
        <f>B13+B75</f>
        <v>4132.8488703862658</v>
      </c>
      <c r="C80" t="s">
        <v>6</v>
      </c>
    </row>
    <row r="81" spans="2:3">
      <c r="B81" s="44">
        <f>C62+B12+B10</f>
        <v>13.196162901287554</v>
      </c>
      <c r="C81" t="s">
        <v>7</v>
      </c>
    </row>
  </sheetData>
  <pageMargins left="0.7" right="0.7" top="0.75" bottom="0.75" header="0.3" footer="0.3"/>
  <pageSetup paperSize="9" orientation="portrait" horizontalDpi="180" verticalDpi="18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0"/>
  <sheetViews>
    <sheetView topLeftCell="D7" zoomScaleNormal="100" workbookViewId="0">
      <selection activeCell="B68" sqref="B68"/>
    </sheetView>
  </sheetViews>
  <sheetFormatPr defaultRowHeight="15"/>
  <cols>
    <col min="1" max="1" width="33.5703125" customWidth="1"/>
    <col min="2" max="2" width="26.85546875" customWidth="1"/>
    <col min="3" max="3" width="16.85546875" customWidth="1"/>
  </cols>
  <sheetData>
    <row r="1" spans="1:7">
      <c r="A1" t="s">
        <v>3</v>
      </c>
    </row>
    <row r="2" spans="1:7">
      <c r="A2" t="s">
        <v>0</v>
      </c>
      <c r="F2" s="5"/>
      <c r="G2" s="6" t="s">
        <v>2</v>
      </c>
    </row>
    <row r="3" spans="1:7">
      <c r="A3" t="s">
        <v>1</v>
      </c>
      <c r="C3" s="1">
        <v>43926</v>
      </c>
      <c r="F3" s="7" t="s">
        <v>85</v>
      </c>
      <c r="G3" t="s">
        <v>86</v>
      </c>
    </row>
    <row r="5" spans="1:7">
      <c r="A5" s="2" t="s">
        <v>87</v>
      </c>
    </row>
    <row r="6" spans="1:7">
      <c r="A6" s="3"/>
    </row>
    <row r="7" spans="1:7">
      <c r="A7" t="s">
        <v>4</v>
      </c>
      <c r="B7" t="s">
        <v>32</v>
      </c>
    </row>
    <row r="9" spans="1:7">
      <c r="A9" t="s">
        <v>41</v>
      </c>
      <c r="B9" s="31">
        <v>30000</v>
      </c>
      <c r="C9" s="4" t="s">
        <v>6</v>
      </c>
      <c r="D9" t="s">
        <v>93</v>
      </c>
    </row>
    <row r="10" spans="1:7">
      <c r="A10" t="s">
        <v>33</v>
      </c>
      <c r="B10" s="31">
        <v>1.5</v>
      </c>
      <c r="C10" t="s">
        <v>7</v>
      </c>
      <c r="D10" t="s">
        <v>34</v>
      </c>
    </row>
    <row r="11" spans="1:7">
      <c r="A11" t="s">
        <v>103</v>
      </c>
      <c r="B11" s="9">
        <v>1</v>
      </c>
      <c r="C11" t="s">
        <v>35</v>
      </c>
      <c r="D11" t="s">
        <v>38</v>
      </c>
    </row>
    <row r="12" spans="1:7">
      <c r="A12" t="s">
        <v>36</v>
      </c>
      <c r="B12" s="31">
        <v>3.3</v>
      </c>
      <c r="C12" t="s">
        <v>11</v>
      </c>
      <c r="D12" t="s">
        <v>37</v>
      </c>
    </row>
    <row r="13" spans="1:7">
      <c r="A13" t="s">
        <v>40</v>
      </c>
      <c r="B13" s="9">
        <f>B9*(B11*B12)/30000</f>
        <v>3.3</v>
      </c>
      <c r="C13" t="s">
        <v>9</v>
      </c>
      <c r="D13" t="s">
        <v>39</v>
      </c>
    </row>
    <row r="14" spans="1:7">
      <c r="A14" t="s">
        <v>19</v>
      </c>
      <c r="B14" s="33">
        <f>B9*B10/100</f>
        <v>450</v>
      </c>
      <c r="C14" s="4" t="s">
        <v>6</v>
      </c>
      <c r="D14" t="s">
        <v>43</v>
      </c>
    </row>
    <row r="19" spans="1:4">
      <c r="A19" s="2" t="s">
        <v>88</v>
      </c>
    </row>
    <row r="21" spans="1:4">
      <c r="A21" s="8" t="s">
        <v>61</v>
      </c>
    </row>
    <row r="22" spans="1:4">
      <c r="A22" t="s">
        <v>92</v>
      </c>
    </row>
    <row r="24" spans="1:4">
      <c r="A24" t="s">
        <v>65</v>
      </c>
      <c r="B24" s="9">
        <f>B13</f>
        <v>3.3</v>
      </c>
      <c r="C24" t="s">
        <v>9</v>
      </c>
      <c r="D24" t="s">
        <v>63</v>
      </c>
    </row>
    <row r="25" spans="1:4">
      <c r="A25" t="s">
        <v>62</v>
      </c>
      <c r="B25" s="31">
        <v>74</v>
      </c>
      <c r="D25" t="s">
        <v>64</v>
      </c>
    </row>
    <row r="26" spans="1:4">
      <c r="A26" t="s">
        <v>66</v>
      </c>
      <c r="B26" s="31">
        <v>55</v>
      </c>
      <c r="C26" t="s">
        <v>20</v>
      </c>
      <c r="D26" t="s">
        <v>90</v>
      </c>
    </row>
    <row r="27" spans="1:4">
      <c r="A27" t="s">
        <v>69</v>
      </c>
      <c r="B27" s="31">
        <v>350</v>
      </c>
      <c r="C27" t="s">
        <v>70</v>
      </c>
      <c r="D27" t="s">
        <v>71</v>
      </c>
    </row>
    <row r="29" spans="1:4">
      <c r="A29" s="10" t="s">
        <v>49</v>
      </c>
      <c r="B29" s="17" t="s">
        <v>58</v>
      </c>
      <c r="C29" s="17" t="s">
        <v>60</v>
      </c>
      <c r="D29" s="2"/>
    </row>
    <row r="30" spans="1:4">
      <c r="A30" s="19"/>
      <c r="B30" s="12"/>
      <c r="C30" s="12"/>
    </row>
    <row r="31" spans="1:4">
      <c r="A31" s="19" t="s">
        <v>44</v>
      </c>
      <c r="B31" s="14"/>
      <c r="C31" s="14"/>
    </row>
    <row r="32" spans="1:4">
      <c r="A32" s="19" t="s">
        <v>67</v>
      </c>
      <c r="B32" s="14"/>
      <c r="C32" s="14"/>
    </row>
    <row r="33" spans="1:3">
      <c r="A33" s="19"/>
      <c r="B33" s="14"/>
      <c r="C33" s="14"/>
    </row>
    <row r="34" spans="1:3">
      <c r="A34" s="19" t="s">
        <v>45</v>
      </c>
      <c r="B34" s="14" t="s">
        <v>76</v>
      </c>
      <c r="C34" s="26">
        <f>75*10^(-6)/(B24*10^(-3))*10^6</f>
        <v>22727.272727272724</v>
      </c>
    </row>
    <row r="35" spans="1:3">
      <c r="A35" s="19" t="s">
        <v>46</v>
      </c>
      <c r="B35" s="14" t="s">
        <v>68</v>
      </c>
      <c r="C35" s="26">
        <f>10*10^(-6)/B25/(B24*10^(-3)) *10^6</f>
        <v>40.950040950040943</v>
      </c>
    </row>
    <row r="36" spans="1:3">
      <c r="A36" s="19" t="s">
        <v>47</v>
      </c>
      <c r="B36" s="14" t="s">
        <v>75</v>
      </c>
      <c r="C36" s="26">
        <f>200*10^(-12)*B27/(B24*10^(-3)) *10^6</f>
        <v>21.212121212121215</v>
      </c>
    </row>
    <row r="37" spans="1:3">
      <c r="A37" s="19" t="s">
        <v>48</v>
      </c>
      <c r="B37" s="14" t="s">
        <v>73</v>
      </c>
      <c r="C37" s="14"/>
    </row>
    <row r="38" spans="1:3">
      <c r="A38" s="19"/>
      <c r="B38" s="14" t="s">
        <v>72</v>
      </c>
      <c r="C38" s="14">
        <f>1.78 * 1.65/(B24*10^(-3))</f>
        <v>890</v>
      </c>
    </row>
    <row r="39" spans="1:3">
      <c r="A39" s="19" t="s">
        <v>50</v>
      </c>
      <c r="B39" s="24">
        <v>2.5000000000000001E-3</v>
      </c>
      <c r="C39" s="14">
        <v>2500</v>
      </c>
    </row>
    <row r="40" spans="1:3">
      <c r="A40" s="19"/>
      <c r="B40" s="14"/>
      <c r="C40" s="14"/>
    </row>
    <row r="41" spans="1:3">
      <c r="A41" s="20" t="s">
        <v>59</v>
      </c>
      <c r="B41" s="16"/>
      <c r="C41" s="27">
        <f>SUM(C34:C39)</f>
        <v>26179.434889434884</v>
      </c>
    </row>
    <row r="42" spans="1:3">
      <c r="A42" s="11"/>
      <c r="B42" s="18"/>
      <c r="C42" s="12"/>
    </row>
    <row r="43" spans="1:3">
      <c r="A43" s="13" t="s">
        <v>74</v>
      </c>
      <c r="B43" s="19"/>
      <c r="C43" s="14"/>
    </row>
    <row r="44" spans="1:3">
      <c r="A44" s="13"/>
      <c r="B44" s="19"/>
      <c r="C44" s="14"/>
    </row>
    <row r="45" spans="1:3">
      <c r="A45" s="13" t="s">
        <v>51</v>
      </c>
      <c r="B45" s="19" t="s">
        <v>77</v>
      </c>
      <c r="C45" s="14">
        <f>50*(B26-25)</f>
        <v>1500</v>
      </c>
    </row>
    <row r="46" spans="1:3">
      <c r="A46" s="13" t="s">
        <v>52</v>
      </c>
      <c r="B46" s="21" t="s">
        <v>78</v>
      </c>
      <c r="C46" s="26">
        <f>0.5*10^(-6)*(B26-25)/(B24*10^(-3)) * 10^6</f>
        <v>4545.454545454545</v>
      </c>
    </row>
    <row r="47" spans="1:3">
      <c r="A47" s="13" t="s">
        <v>53</v>
      </c>
      <c r="B47" s="21">
        <v>0</v>
      </c>
      <c r="C47" s="14">
        <v>0</v>
      </c>
    </row>
    <row r="48" spans="1:3">
      <c r="A48" s="13"/>
      <c r="B48" s="21"/>
      <c r="C48" s="14"/>
    </row>
    <row r="49" spans="1:4">
      <c r="A49" s="13" t="s">
        <v>54</v>
      </c>
      <c r="B49" s="21" t="s">
        <v>79</v>
      </c>
      <c r="C49" s="26">
        <f>0.07*10^(-6)*(B26-25)  /B25/(B24*10^(-3)) *10^6</f>
        <v>8.5995085995085994</v>
      </c>
    </row>
    <row r="50" spans="1:4">
      <c r="A50" s="13"/>
      <c r="B50" s="21" t="s">
        <v>80</v>
      </c>
      <c r="C50" s="14"/>
    </row>
    <row r="51" spans="1:4">
      <c r="A51" s="15" t="s">
        <v>59</v>
      </c>
      <c r="B51" s="22"/>
      <c r="C51" s="27">
        <f>SUM(C45:C49)</f>
        <v>6054.0540540540533</v>
      </c>
    </row>
    <row r="52" spans="1:4">
      <c r="A52" s="11"/>
      <c r="B52" s="23"/>
      <c r="C52" s="12"/>
    </row>
    <row r="53" spans="1:4">
      <c r="A53" s="13" t="s">
        <v>55</v>
      </c>
      <c r="B53" s="21"/>
      <c r="C53" s="14"/>
    </row>
    <row r="54" spans="1:4">
      <c r="A54" s="13"/>
      <c r="B54" s="21"/>
      <c r="C54" s="14"/>
    </row>
    <row r="55" spans="1:4">
      <c r="A55" s="13" t="s">
        <v>56</v>
      </c>
      <c r="B55" s="21" t="s">
        <v>81</v>
      </c>
      <c r="C55" s="14">
        <v>10</v>
      </c>
    </row>
    <row r="56" spans="1:4">
      <c r="A56" s="13" t="s">
        <v>57</v>
      </c>
      <c r="B56" s="21" t="s">
        <v>82</v>
      </c>
      <c r="C56" s="26">
        <f>1*10^(-6)/(B24*(10^(-3)))*10^6</f>
        <v>303.030303030303</v>
      </c>
    </row>
    <row r="57" spans="1:4">
      <c r="A57" s="13"/>
      <c r="B57" s="21"/>
      <c r="C57" s="14"/>
    </row>
    <row r="58" spans="1:4">
      <c r="A58" s="15" t="s">
        <v>59</v>
      </c>
      <c r="B58" s="22"/>
      <c r="C58" s="27">
        <f>SUM(C55:C56)</f>
        <v>313.030303030303</v>
      </c>
    </row>
    <row r="59" spans="1:4">
      <c r="B59" s="18"/>
      <c r="C59" s="12"/>
    </row>
    <row r="60" spans="1:4">
      <c r="B60" s="19" t="s">
        <v>83</v>
      </c>
      <c r="C60" s="29">
        <f>SUM(C41,C51,C58)</f>
        <v>32546.519246519241</v>
      </c>
    </row>
    <row r="61" spans="1:4">
      <c r="B61" s="25" t="s">
        <v>84</v>
      </c>
      <c r="C61" s="28">
        <f>0.0001*C60</f>
        <v>3.2546519246519243</v>
      </c>
    </row>
    <row r="64" spans="1:4">
      <c r="A64" t="s">
        <v>10</v>
      </c>
      <c r="B64" s="9">
        <f>B66/2</f>
        <v>1.65</v>
      </c>
      <c r="C64" t="s">
        <v>11</v>
      </c>
      <c r="D64" t="s">
        <v>14</v>
      </c>
    </row>
    <row r="65" spans="1:4">
      <c r="A65" t="s">
        <v>12</v>
      </c>
      <c r="B65" s="31">
        <v>16</v>
      </c>
      <c r="C65" t="s">
        <v>15</v>
      </c>
      <c r="D65" t="s">
        <v>13</v>
      </c>
    </row>
    <row r="66" spans="1:4">
      <c r="A66" t="s">
        <v>16</v>
      </c>
      <c r="B66" s="31">
        <f>3.3</f>
        <v>3.3</v>
      </c>
      <c r="C66" t="s">
        <v>11</v>
      </c>
      <c r="D66" t="s">
        <v>17</v>
      </c>
    </row>
    <row r="67" spans="1:4">
      <c r="A67" t="s">
        <v>30</v>
      </c>
      <c r="B67" s="32">
        <f>B66/(2^B65)*1000</f>
        <v>5.035400390625E-2</v>
      </c>
      <c r="C67" t="s">
        <v>9</v>
      </c>
      <c r="D67" t="s">
        <v>25</v>
      </c>
    </row>
    <row r="68" spans="1:4">
      <c r="A68" t="s">
        <v>31</v>
      </c>
      <c r="B68" s="32">
        <f>B67/1000*B9/B64</f>
        <v>0.91552734375</v>
      </c>
      <c r="C68" t="s">
        <v>6</v>
      </c>
      <c r="D68" t="s">
        <v>25</v>
      </c>
    </row>
    <row r="70" spans="1:4">
      <c r="A70" t="s">
        <v>26</v>
      </c>
      <c r="B70" s="30">
        <f>C61/100*B9</f>
        <v>976.39557739557733</v>
      </c>
      <c r="C70" t="s">
        <v>6</v>
      </c>
      <c r="D70" t="s">
        <v>28</v>
      </c>
    </row>
    <row r="73" spans="1:4">
      <c r="A73" t="s">
        <v>29</v>
      </c>
    </row>
    <row r="77" spans="1:4">
      <c r="A77" s="2" t="s">
        <v>89</v>
      </c>
    </row>
    <row r="79" spans="1:4">
      <c r="A79" t="s">
        <v>91</v>
      </c>
      <c r="B79" s="30">
        <f>B14+B70</f>
        <v>1426.3955773955772</v>
      </c>
      <c r="C79" t="s">
        <v>6</v>
      </c>
    </row>
    <row r="80" spans="1:4">
      <c r="B80" s="30">
        <f>B10+C61</f>
        <v>4.7546519246519239</v>
      </c>
      <c r="C80" t="s">
        <v>7</v>
      </c>
    </row>
  </sheetData>
  <pageMargins left="0.7" right="0.7" top="0.75" bottom="0.75" header="0.3" footer="0.3"/>
  <pageSetup paperSize="9" orientation="portrait" horizontalDpi="180" verticalDpi="18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Пьезодатчик</vt:lpstr>
      <vt:lpstr>Тензодатчик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2020-04-08T13:22:05Z</dcterms:modified>
</cp:coreProperties>
</file>