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370" windowHeight="8220" activeTab="1"/>
  </bookViews>
  <sheets>
    <sheet name="Потери в IGBT+Diode" sheetId="4" r:id="rId1"/>
    <sheet name="Потери в выпрямителе" sheetId="6" r:id="rId2"/>
    <sheet name="Тепловой расчет" sheetId="3" r:id="rId3"/>
  </sheets>
  <calcPr calcId="125725"/>
</workbook>
</file>

<file path=xl/calcChain.xml><?xml version="1.0" encoding="utf-8"?>
<calcChain xmlns="http://schemas.openxmlformats.org/spreadsheetml/2006/main">
  <c r="B35" i="6"/>
  <c r="R51" i="4"/>
  <c r="B31"/>
  <c r="B21" i="6"/>
  <c r="B20"/>
  <c r="B24" i="3" l="1"/>
  <c r="B23"/>
  <c r="B8" i="6" l="1"/>
  <c r="B10" s="1"/>
  <c r="B22" s="1"/>
  <c r="B34" s="1"/>
  <c r="B27" i="3" s="1"/>
  <c r="B12" i="6"/>
  <c r="B15" i="4"/>
  <c r="B17" s="1"/>
  <c r="B16"/>
  <c r="B9" i="6" s="1"/>
  <c r="B17" i="3"/>
  <c r="B9"/>
  <c r="B38"/>
  <c r="B16"/>
  <c r="B15"/>
  <c r="B8"/>
  <c r="B7"/>
  <c r="B33" i="4"/>
  <c r="F59" s="1"/>
  <c r="B25"/>
  <c r="B24"/>
  <c r="B22"/>
  <c r="B21"/>
  <c r="B18"/>
  <c r="B20"/>
  <c r="B26" l="1"/>
  <c r="B61" s="1"/>
  <c r="B55"/>
  <c r="B32"/>
  <c r="F55" l="1"/>
  <c r="F63" s="1"/>
  <c r="B19" i="3" s="1"/>
  <c r="B45"/>
  <c r="B67" i="4"/>
  <c r="B11" i="3" l="1"/>
  <c r="B53" s="1"/>
  <c r="B58" s="1"/>
  <c r="B71" s="1"/>
  <c r="N53" i="4"/>
  <c r="B44" i="3" s="1"/>
  <c r="B46" s="1"/>
  <c r="B67" l="1"/>
  <c r="B64"/>
</calcChain>
</file>

<file path=xl/sharedStrings.xml><?xml version="1.0" encoding="utf-8"?>
<sst xmlns="http://schemas.openxmlformats.org/spreadsheetml/2006/main" count="253" uniqueCount="164">
  <si>
    <t>F=</t>
  </si>
  <si>
    <t>Расчеты</t>
  </si>
  <si>
    <t>n=</t>
  </si>
  <si>
    <t>f=</t>
  </si>
  <si>
    <t>Исходные данные</t>
  </si>
  <si>
    <t>V</t>
  </si>
  <si>
    <t>W</t>
  </si>
  <si>
    <t>N=</t>
  </si>
  <si>
    <t>частота ШИМ</t>
  </si>
  <si>
    <t>Ets=</t>
  </si>
  <si>
    <t>IGBT</t>
  </si>
  <si>
    <t>Icp=</t>
  </si>
  <si>
    <t>A</t>
  </si>
  <si>
    <t>Uce=</t>
  </si>
  <si>
    <t>Uline=</t>
  </si>
  <si>
    <t>линейное напряжение сети RMS</t>
  </si>
  <si>
    <t>Us=</t>
  </si>
  <si>
    <t>DC напряжение питания после моста</t>
  </si>
  <si>
    <t>Qg=</t>
  </si>
  <si>
    <t>Кл</t>
  </si>
  <si>
    <t>Rg=</t>
  </si>
  <si>
    <t>Ом</t>
  </si>
  <si>
    <t>Hz</t>
  </si>
  <si>
    <t>Дж</t>
  </si>
  <si>
    <t>Vfm</t>
  </si>
  <si>
    <t>падение на антипараллельном диоде</t>
  </si>
  <si>
    <t>Ifm</t>
  </si>
  <si>
    <t>средний ток диода</t>
  </si>
  <si>
    <t>Dm=</t>
  </si>
  <si>
    <t>cosfi=</t>
  </si>
  <si>
    <t>косинус угла между током и напряжением</t>
  </si>
  <si>
    <t>Kpow=</t>
  </si>
  <si>
    <t>коэфф. запаса по мощности</t>
  </si>
  <si>
    <t>Расчеты:</t>
  </si>
  <si>
    <t>1. Потери IGBT</t>
  </si>
  <si>
    <t>2.1 Статические потери</t>
  </si>
  <si>
    <t>Psumm=</t>
  </si>
  <si>
    <t>Pa=</t>
  </si>
  <si>
    <t>Pd=</t>
  </si>
  <si>
    <t>1.2 Динамические потери</t>
  </si>
  <si>
    <t>2.2 Потери за счет восстановления</t>
  </si>
  <si>
    <t>Prr=</t>
  </si>
  <si>
    <t>Psw=</t>
  </si>
  <si>
    <t>1.3 Суммарные потери</t>
  </si>
  <si>
    <t>2.3 Суммарные потери на диоде</t>
  </si>
  <si>
    <t>Pdiode=</t>
  </si>
  <si>
    <t>Pdm=</t>
  </si>
  <si>
    <t>инвертор</t>
  </si>
  <si>
    <t>пиковое значение синусоидального выходного тока (rms)</t>
  </si>
  <si>
    <t>напряжение насыщения IGBT (из графика в pdf)</t>
  </si>
  <si>
    <t>заряд затвора (из pdf)</t>
  </si>
  <si>
    <t>2. Потери в диоде</t>
  </si>
  <si>
    <t>Для приблизительной оценки мощности потерь в режиме синусоидальной модуляции можно восопользоваться рекомендациями фирмы Mitsubishi</t>
  </si>
  <si>
    <t>ссылка</t>
  </si>
  <si>
    <t>ссылка на методику</t>
  </si>
  <si>
    <t>1.1 Статические потери 1-го ключа</t>
  </si>
  <si>
    <t>Etr_off=</t>
  </si>
  <si>
    <t>Etr_on=</t>
  </si>
  <si>
    <t>энергия включения транзистора (из графика в pdf)</t>
  </si>
  <si>
    <t>энергия выключения транзистора (из графика в pdf)</t>
  </si>
  <si>
    <t>суммарная энергия потерь транзистора на переключение (из графика в pdf)</t>
  </si>
  <si>
    <t>Режим максимальной нагрузки</t>
  </si>
  <si>
    <t>id4650</t>
  </si>
  <si>
    <t>автор: Тихонов Е.Н.</t>
  </si>
  <si>
    <t>FS200R12KT4RP "Infenion"</t>
  </si>
  <si>
    <t>ссылка на статью Колпакова</t>
  </si>
  <si>
    <t>(приблизительный оценочный расчет)</t>
  </si>
  <si>
    <t>резистор затвора (внешний + внутренний)</t>
  </si>
  <si>
    <t>Diode</t>
  </si>
  <si>
    <t>Other</t>
  </si>
  <si>
    <t>энергия переключения диода (из графика в pdf)</t>
  </si>
  <si>
    <t>Erec=</t>
  </si>
  <si>
    <t>Расчет мощности потерь в инверторе ИТЦЯ.656121.017</t>
  </si>
  <si>
    <t>3. Суммарные потери на одном ключе (Arm)</t>
  </si>
  <si>
    <t>глубина модуляции</t>
  </si>
  <si>
    <t>4. Суммарные потери на инверторе</t>
  </si>
  <si>
    <t>кол-во ключей в модуле</t>
  </si>
  <si>
    <t>RthJC</t>
  </si>
  <si>
    <t>RthCH</t>
  </si>
  <si>
    <t>K/W</t>
  </si>
  <si>
    <t>Thermalresistance,junctiontocase</t>
  </si>
  <si>
    <t>Thermalresistance,casetoheatsink</t>
  </si>
  <si>
    <t>максимальная рабочая температура кристалла</t>
  </si>
  <si>
    <t>Heatsink</t>
  </si>
  <si>
    <t>Tamb=</t>
  </si>
  <si>
    <t>температура окр. воздуха</t>
  </si>
  <si>
    <t>Tj op=</t>
  </si>
  <si>
    <t>P=</t>
  </si>
  <si>
    <t>Pigbt=</t>
  </si>
  <si>
    <t>RthSA=</t>
  </si>
  <si>
    <t>тепловое сопротивление радиатор-окруж. Среда</t>
  </si>
  <si>
    <t>Модель радиатора</t>
  </si>
  <si>
    <t>Модель вентилятора</t>
  </si>
  <si>
    <t>SAN ACE 60 9GV0624P1G03 "Sanyo Denki"</t>
  </si>
  <si>
    <t>SK 440 200 "Fisher"</t>
  </si>
  <si>
    <t>Поток=</t>
  </si>
  <si>
    <t>м^3/мин</t>
  </si>
  <si>
    <t>Кол-во вент-ов</t>
  </si>
  <si>
    <t>Tj=</t>
  </si>
  <si>
    <t>Temperature of heat sink</t>
  </si>
  <si>
    <t>Ts=</t>
  </si>
  <si>
    <t>ns=</t>
  </si>
  <si>
    <t>кол-во диодов в модуле</t>
  </si>
  <si>
    <t>Ptr=</t>
  </si>
  <si>
    <t>потери в одном транзисторе</t>
  </si>
  <si>
    <t>потери в одном диоде</t>
  </si>
  <si>
    <t>Temperature of heat case</t>
  </si>
  <si>
    <t>Tc=</t>
  </si>
  <si>
    <r>
      <rPr>
        <sz val="11"/>
        <color theme="1"/>
        <rFont val="Calibri"/>
        <family val="2"/>
        <charset val="204"/>
      </rPr>
      <t>°</t>
    </r>
    <r>
      <rPr>
        <sz val="11"/>
        <color theme="1"/>
        <rFont val="Calibri"/>
        <family val="2"/>
        <charset val="204"/>
        <scheme val="minor"/>
      </rPr>
      <t>С</t>
    </r>
  </si>
  <si>
    <t>Temperature of junction</t>
  </si>
  <si>
    <t>Тепловой расчет по методике Semicron-Semisel</t>
  </si>
  <si>
    <t>перегрев (Tj&gt;150)</t>
  </si>
  <si>
    <t>Pfactor=</t>
  </si>
  <si>
    <t>Мощность нагрузки</t>
  </si>
  <si>
    <t>коэфф. перегрузки</t>
  </si>
  <si>
    <t>Расчет мощности потерь в выпрямителе</t>
  </si>
  <si>
    <t>выпрямитель</t>
  </si>
  <si>
    <t>TDB6HK180N16RR "Infenion"</t>
  </si>
  <si>
    <t>Vf=</t>
  </si>
  <si>
    <t>падение на диоде</t>
  </si>
  <si>
    <t>частота сети</t>
  </si>
  <si>
    <t>Расчет</t>
  </si>
  <si>
    <t>Vto=</t>
  </si>
  <si>
    <t>Thresholdvoltage (Tvj = 150°C )</t>
  </si>
  <si>
    <t>rt=</t>
  </si>
  <si>
    <t>Ohm</t>
  </si>
  <si>
    <t>Slope resistance</t>
  </si>
  <si>
    <t>I_fav=</t>
  </si>
  <si>
    <t>средний ток через диод</t>
  </si>
  <si>
    <t>1. Потери на диодах/тиристорах</t>
  </si>
  <si>
    <t>6 диодов/тиристоров</t>
  </si>
  <si>
    <t>Ptot=</t>
  </si>
  <si>
    <t>суммарные потери на выпрямителе</t>
  </si>
  <si>
    <t>rectifier</t>
  </si>
  <si>
    <t>RthCH=</t>
  </si>
  <si>
    <t>RthJC=</t>
  </si>
  <si>
    <t>Prect=</t>
  </si>
  <si>
    <t>+Prect</t>
  </si>
  <si>
    <t>Rectifier</t>
  </si>
  <si>
    <t>потери на модуле IGBT</t>
  </si>
  <si>
    <t>Ptotal=</t>
  </si>
  <si>
    <t>потери на выпрямителе</t>
  </si>
  <si>
    <t>сумма всех потерь</t>
  </si>
  <si>
    <t>k</t>
  </si>
  <si>
    <t>коэфф-поправка ВАХ для Vto и rt</t>
  </si>
  <si>
    <t>thyrystors</t>
  </si>
  <si>
    <t>условно считаем параметры схожими</t>
  </si>
  <si>
    <t>Графики для определения Vto и rf для обратных диодов</t>
  </si>
  <si>
    <t>Пример из книги</t>
  </si>
  <si>
    <t>Данные из datasheet</t>
  </si>
  <si>
    <t>treshold voltage (из графика ВАХ)</t>
  </si>
  <si>
    <t>rf=</t>
  </si>
  <si>
    <t>slope resistance (из графика ВАХ): rf=(Vf-Vto)/if</t>
  </si>
  <si>
    <t>PconD=</t>
  </si>
  <si>
    <t>методика от Semikron</t>
  </si>
  <si>
    <t>потери на одном диоде</t>
  </si>
  <si>
    <r>
      <t xml:space="preserve">* рекомендуемая температура кристалла &lt;120-125 </t>
    </r>
    <r>
      <rPr>
        <sz val="11"/>
        <color theme="1"/>
        <rFont val="Calibri"/>
        <family val="2"/>
        <charset val="204"/>
      </rPr>
      <t>°C</t>
    </r>
  </si>
  <si>
    <t>нормально* (Tj&lt;150)</t>
  </si>
  <si>
    <t>воздушный поток вентилятора (не использ.)</t>
  </si>
  <si>
    <t>Ifav – среднее значение тока через мост</t>
  </si>
  <si>
    <t>Ifrms – среднеквадратичное значение тока через мост</t>
  </si>
  <si>
    <t>Для синуса: Ifrms / Ifav = sqrt(3)</t>
  </si>
  <si>
    <t>Для того, чтобы найти Vto и rf я использовал график ВАХ диодов и делал на нем построения, согласно рисунку ниже и описанию rf.</t>
  </si>
  <si>
    <t>Pf=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</si>
</sst>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1" applyAlignment="1" applyProtection="1"/>
    <xf numFmtId="14" fontId="0" fillId="0" borderId="0" xfId="0" applyNumberFormat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1" applyBorder="1" applyAlignment="1" applyProtection="1"/>
    <xf numFmtId="0" fontId="0" fillId="0" borderId="0" xfId="0" applyBorder="1"/>
    <xf numFmtId="0" fontId="0" fillId="0" borderId="5" xfId="0" applyBorder="1"/>
    <xf numFmtId="0" fontId="3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4" xfId="0" applyFont="1" applyBorder="1"/>
    <xf numFmtId="0" fontId="0" fillId="0" borderId="4" xfId="0" applyFill="1" applyBorder="1"/>
    <xf numFmtId="0" fontId="0" fillId="0" borderId="0" xfId="0" applyFill="1" applyBorder="1"/>
    <xf numFmtId="0" fontId="0" fillId="0" borderId="0" xfId="0" quotePrefix="1"/>
    <xf numFmtId="0" fontId="1" fillId="3" borderId="0" xfId="0" applyFont="1" applyFill="1"/>
    <xf numFmtId="0" fontId="4" fillId="0" borderId="9" xfId="0" applyFont="1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0" fontId="0" fillId="4" borderId="0" xfId="0" applyFill="1" applyBorder="1"/>
    <xf numFmtId="0" fontId="0" fillId="0" borderId="13" xfId="0" applyBorder="1"/>
    <xf numFmtId="0" fontId="0" fillId="0" borderId="12" xfId="0" applyBorder="1"/>
    <xf numFmtId="0" fontId="4" fillId="0" borderId="12" xfId="0" applyFont="1" applyBorder="1"/>
    <xf numFmtId="0" fontId="1" fillId="0" borderId="14" xfId="0" applyFont="1" applyBorder="1"/>
    <xf numFmtId="0" fontId="0" fillId="4" borderId="15" xfId="0" applyFill="1" applyBorder="1"/>
    <xf numFmtId="0" fontId="0" fillId="0" borderId="15" xfId="0" applyBorder="1"/>
    <xf numFmtId="0" fontId="0" fillId="0" borderId="16" xfId="0" applyBorder="1"/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right" vertical="top"/>
    </xf>
    <xf numFmtId="0" fontId="6" fillId="0" borderId="0" xfId="0" applyFont="1"/>
  </cellXfs>
  <cellStyles count="2">
    <cellStyle name="Гиперссылка" xfId="1" builtinId="8"/>
    <cellStyle name="Обычный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5.jpeg"/><Relationship Id="rId4" Type="http://schemas.openxmlformats.org/officeDocument/2006/relationships/image" Target="../media/image14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51</xdr:row>
      <xdr:rowOff>180975</xdr:rowOff>
    </xdr:from>
    <xdr:to>
      <xdr:col>2</xdr:col>
      <xdr:colOff>781050</xdr:colOff>
      <xdr:row>53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6848475"/>
          <a:ext cx="2257425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2</xdr:col>
      <xdr:colOff>161925</xdr:colOff>
      <xdr:row>59</xdr:row>
      <xdr:rowOff>95250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8001000"/>
          <a:ext cx="1638300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1</xdr:col>
      <xdr:colOff>295275</xdr:colOff>
      <xdr:row>65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9144000"/>
          <a:ext cx="971550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0</xdr:colOff>
      <xdr:row>50</xdr:row>
      <xdr:rowOff>0</xdr:rowOff>
    </xdr:from>
    <xdr:to>
      <xdr:col>13</xdr:col>
      <xdr:colOff>133350</xdr:colOff>
      <xdr:row>51</xdr:row>
      <xdr:rowOff>47625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867400" y="6477000"/>
          <a:ext cx="141922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18</xdr:col>
      <xdr:colOff>390525</xdr:colOff>
      <xdr:row>14</xdr:row>
      <xdr:rowOff>123825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762875" y="190500"/>
          <a:ext cx="4724400" cy="2600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79</xdr:row>
      <xdr:rowOff>161925</xdr:rowOff>
    </xdr:from>
    <xdr:to>
      <xdr:col>12</xdr:col>
      <xdr:colOff>809625</xdr:colOff>
      <xdr:row>107</xdr:row>
      <xdr:rowOff>4339</xdr:rowOff>
    </xdr:to>
    <xdr:pic>
      <xdr:nvPicPr>
        <xdr:cNvPr id="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15211425"/>
          <a:ext cx="8572500" cy="517641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110</xdr:row>
      <xdr:rowOff>28575</xdr:rowOff>
    </xdr:from>
    <xdr:to>
      <xdr:col>8</xdr:col>
      <xdr:colOff>257954</xdr:colOff>
      <xdr:row>145</xdr:row>
      <xdr:rowOff>39032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20983575"/>
          <a:ext cx="5582429" cy="6677957"/>
        </a:xfrm>
        <a:prstGeom prst="rect">
          <a:avLst/>
        </a:prstGeom>
      </xdr:spPr>
    </xdr:pic>
    <xdr:clientData/>
  </xdr:twoCellAnchor>
  <xdr:twoCellAnchor editAs="oneCell">
    <xdr:from>
      <xdr:col>6</xdr:col>
      <xdr:colOff>295275</xdr:colOff>
      <xdr:row>80</xdr:row>
      <xdr:rowOff>180975</xdr:rowOff>
    </xdr:from>
    <xdr:to>
      <xdr:col>8</xdr:col>
      <xdr:colOff>342900</xdr:colOff>
      <xdr:row>82</xdr:row>
      <xdr:rowOff>37505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4400550" y="15420975"/>
          <a:ext cx="1266825" cy="2375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581026</xdr:colOff>
      <xdr:row>52</xdr:row>
      <xdr:rowOff>9525</xdr:rowOff>
    </xdr:from>
    <xdr:to>
      <xdr:col>11</xdr:col>
      <xdr:colOff>45938</xdr:colOff>
      <xdr:row>53</xdr:row>
      <xdr:rowOff>123825</xdr:rowOff>
    </xdr:to>
    <xdr:pic>
      <xdr:nvPicPr>
        <xdr:cNvPr id="1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2857501" y="9915525"/>
          <a:ext cx="4341712" cy="304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47625</xdr:colOff>
      <xdr:row>72</xdr:row>
      <xdr:rowOff>142876</xdr:rowOff>
    </xdr:from>
    <xdr:to>
      <xdr:col>7</xdr:col>
      <xdr:colOff>542925</xdr:colOff>
      <xdr:row>79</xdr:row>
      <xdr:rowOff>77018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47625" y="13858876"/>
          <a:ext cx="5210175" cy="126764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600075</xdr:colOff>
      <xdr:row>32</xdr:row>
      <xdr:rowOff>180976</xdr:rowOff>
    </xdr:from>
    <xdr:to>
      <xdr:col>18</xdr:col>
      <xdr:colOff>9525</xdr:colOff>
      <xdr:row>46</xdr:row>
      <xdr:rowOff>84402</xdr:rowOff>
    </xdr:to>
    <xdr:pic>
      <xdr:nvPicPr>
        <xdr:cNvPr id="307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91075" y="6276976"/>
          <a:ext cx="6724650" cy="25704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533400</xdr:colOff>
      <xdr:row>1</xdr:row>
      <xdr:rowOff>114300</xdr:rowOff>
    </xdr:from>
    <xdr:to>
      <xdr:col>24</xdr:col>
      <xdr:colOff>0</xdr:colOff>
      <xdr:row>19</xdr:row>
      <xdr:rowOff>153805</xdr:rowOff>
    </xdr:to>
    <xdr:pic>
      <xdr:nvPicPr>
        <xdr:cNvPr id="307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72400" y="304800"/>
          <a:ext cx="7391400" cy="34685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7</xdr:col>
      <xdr:colOff>95250</xdr:colOff>
      <xdr:row>52</xdr:row>
      <xdr:rowOff>171450</xdr:rowOff>
    </xdr:from>
    <xdr:to>
      <xdr:col>16</xdr:col>
      <xdr:colOff>47625</xdr:colOff>
      <xdr:row>55</xdr:row>
      <xdr:rowOff>161925</xdr:rowOff>
    </xdr:to>
    <xdr:pic>
      <xdr:nvPicPr>
        <xdr:cNvPr id="1025" name="Рисунок 6" descr="image00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95850" y="10077450"/>
          <a:ext cx="54387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95250</xdr:colOff>
      <xdr:row>57</xdr:row>
      <xdr:rowOff>161925</xdr:rowOff>
    </xdr:from>
    <xdr:to>
      <xdr:col>16</xdr:col>
      <xdr:colOff>171450</xdr:colOff>
      <xdr:row>65</xdr:row>
      <xdr:rowOff>9525</xdr:rowOff>
    </xdr:to>
    <xdr:pic>
      <xdr:nvPicPr>
        <xdr:cNvPr id="1026" name="Рисунок 4" descr="image009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895850" y="11020425"/>
          <a:ext cx="5562600" cy="1371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95250</xdr:colOff>
      <xdr:row>68</xdr:row>
      <xdr:rowOff>114300</xdr:rowOff>
    </xdr:from>
    <xdr:to>
      <xdr:col>16</xdr:col>
      <xdr:colOff>400050</xdr:colOff>
      <xdr:row>86</xdr:row>
      <xdr:rowOff>180975</xdr:rowOff>
    </xdr:to>
    <xdr:pic>
      <xdr:nvPicPr>
        <xdr:cNvPr id="1027" name="Рисунок 7" descr="image01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4895850" y="13068300"/>
          <a:ext cx="5791200" cy="3495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514350</xdr:colOff>
      <xdr:row>0</xdr:row>
      <xdr:rowOff>139000</xdr:rowOff>
    </xdr:from>
    <xdr:to>
      <xdr:col>18</xdr:col>
      <xdr:colOff>133350</xdr:colOff>
      <xdr:row>17</xdr:row>
      <xdr:rowOff>76200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91150" y="139000"/>
          <a:ext cx="5715000" cy="3175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600075</xdr:colOff>
      <xdr:row>17</xdr:row>
      <xdr:rowOff>180975</xdr:rowOff>
    </xdr:from>
    <xdr:to>
      <xdr:col>22</xdr:col>
      <xdr:colOff>381000</xdr:colOff>
      <xdr:row>27</xdr:row>
      <xdr:rowOff>142875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476875" y="3419475"/>
          <a:ext cx="8315325" cy="1866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85725</xdr:colOff>
      <xdr:row>49</xdr:row>
      <xdr:rowOff>180975</xdr:rowOff>
    </xdr:from>
    <xdr:to>
      <xdr:col>3</xdr:col>
      <xdr:colOff>390525</xdr:colOff>
      <xdr:row>51</xdr:row>
      <xdr:rowOff>66675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725" y="7419975"/>
          <a:ext cx="2257425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54</xdr:row>
      <xdr:rowOff>114300</xdr:rowOff>
    </xdr:from>
    <xdr:to>
      <xdr:col>3</xdr:col>
      <xdr:colOff>219075</xdr:colOff>
      <xdr:row>55</xdr:row>
      <xdr:rowOff>180975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8305800"/>
          <a:ext cx="2171700" cy="257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28575</xdr:colOff>
      <xdr:row>59</xdr:row>
      <xdr:rowOff>180975</xdr:rowOff>
    </xdr:from>
    <xdr:to>
      <xdr:col>2</xdr:col>
      <xdr:colOff>209550</xdr:colOff>
      <xdr:row>61</xdr:row>
      <xdr:rowOff>85725</xdr:rowOff>
    </xdr:to>
    <xdr:pic>
      <xdr:nvPicPr>
        <xdr:cNvPr id="20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8575" y="9324975"/>
          <a:ext cx="1524000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3</xdr:col>
      <xdr:colOff>0</xdr:colOff>
      <xdr:row>57</xdr:row>
      <xdr:rowOff>28575</xdr:rowOff>
    </xdr:to>
    <xdr:pic>
      <xdr:nvPicPr>
        <xdr:cNvPr id="20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8572500"/>
          <a:ext cx="1952625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600074</xdr:colOff>
      <xdr:row>28</xdr:row>
      <xdr:rowOff>161925</xdr:rowOff>
    </xdr:from>
    <xdr:to>
      <xdr:col>19</xdr:col>
      <xdr:colOff>571499</xdr:colOff>
      <xdr:row>54</xdr:row>
      <xdr:rowOff>96926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5476874" y="5495925"/>
          <a:ext cx="6677025" cy="48880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21</xdr:col>
      <xdr:colOff>419100</xdr:colOff>
      <xdr:row>89</xdr:row>
      <xdr:rowOff>76200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0" y="15068550"/>
          <a:ext cx="13592175" cy="1981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fineon.com/dgdl/Infineon-FS200R12KT4R-DS-v02_00-EN.pdf?fileId=db3a30432a14dd54012a3331f53602ac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www.mitsubishielectric.com/semiconductors/files/manuals/powermos3_0.pdf" TargetMode="External"/><Relationship Id="rId1" Type="http://schemas.openxmlformats.org/officeDocument/2006/relationships/hyperlink" Target="http://www.mitsubishielectric.com/semiconductors/files/manuals/powermos3_0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semikron.com/dl/service-support/downloads/download/semikron-application-manual-power-semiconductors-english-en-2015/" TargetMode="External"/><Relationship Id="rId4" Type="http://schemas.openxmlformats.org/officeDocument/2006/relationships/hyperlink" Target="http://www.kit-e.ru/assets/files/pdf/2002_01_46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semikron.com/dl/service-support/downloads/download/semikron-application-manual-power-semiconductors-english-en-2015/" TargetMode="External"/><Relationship Id="rId1" Type="http://schemas.openxmlformats.org/officeDocument/2006/relationships/hyperlink" Target="https://www.infineon.com/dgdl/Infineon-TDB6HK180N16RR-DS-v02_00-en_de.pdf?fileId=db3a304340f610c201410c3c35823305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fischerelektronik.de/fileadmin/fischertemplates/download/Katalog/heatsinks.pdf" TargetMode="External"/><Relationship Id="rId1" Type="http://schemas.openxmlformats.org/officeDocument/2006/relationships/hyperlink" Target="https://products.sanyodenki.com/en/contents/hp0061/list.php?CNo=61&amp;ProCon=1234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S110"/>
  <sheetViews>
    <sheetView topLeftCell="A31" zoomScaleNormal="100" workbookViewId="0">
      <selection activeCell="R51" sqref="R51"/>
    </sheetView>
  </sheetViews>
  <sheetFormatPr defaultRowHeight="15"/>
  <cols>
    <col min="1" max="1" width="10.140625" bestFit="1" customWidth="1"/>
    <col min="2" max="3" width="12" bestFit="1" customWidth="1"/>
    <col min="13" max="13" width="19.28515625" customWidth="1"/>
  </cols>
  <sheetData>
    <row r="1" spans="1:11">
      <c r="A1" t="s">
        <v>72</v>
      </c>
    </row>
    <row r="2" spans="1:11">
      <c r="A2" t="s">
        <v>61</v>
      </c>
    </row>
    <row r="3" spans="1:11">
      <c r="A3" t="s">
        <v>62</v>
      </c>
    </row>
    <row r="4" spans="1:11">
      <c r="A4" t="s">
        <v>63</v>
      </c>
    </row>
    <row r="5" spans="1:11">
      <c r="A5" s="4">
        <v>43417</v>
      </c>
    </row>
    <row r="6" spans="1:11">
      <c r="A6" s="3" t="s">
        <v>54</v>
      </c>
      <c r="C6" t="s">
        <v>66</v>
      </c>
    </row>
    <row r="7" spans="1:11">
      <c r="A7" s="3" t="s">
        <v>65</v>
      </c>
    </row>
    <row r="10" spans="1:11">
      <c r="A10" s="16" t="s">
        <v>4</v>
      </c>
      <c r="B10" s="6"/>
      <c r="C10" s="6"/>
      <c r="D10" s="6"/>
      <c r="E10" s="6"/>
      <c r="F10" s="6"/>
      <c r="G10" s="6"/>
      <c r="H10" s="6"/>
      <c r="I10" s="6"/>
      <c r="J10" s="6"/>
      <c r="K10" s="7"/>
    </row>
    <row r="11" spans="1:11">
      <c r="A11" s="8" t="s">
        <v>47</v>
      </c>
      <c r="B11" s="9" t="s">
        <v>64</v>
      </c>
      <c r="C11" s="10"/>
      <c r="D11" s="10"/>
      <c r="E11" s="10"/>
      <c r="F11" s="10"/>
      <c r="G11" s="10"/>
      <c r="H11" s="10"/>
      <c r="I11" s="10"/>
      <c r="J11" s="10"/>
      <c r="K11" s="11"/>
    </row>
    <row r="12" spans="1:11">
      <c r="A12" s="8"/>
      <c r="B12" s="10"/>
      <c r="C12" s="10"/>
      <c r="D12" s="10"/>
      <c r="E12" s="10"/>
      <c r="F12" s="10"/>
      <c r="G12" s="10"/>
      <c r="H12" s="10"/>
      <c r="I12" s="10"/>
      <c r="J12" s="10"/>
      <c r="K12" s="11"/>
    </row>
    <row r="13" spans="1:11">
      <c r="A13" s="12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1"/>
    </row>
    <row r="14" spans="1:11">
      <c r="A14" s="12"/>
      <c r="B14" s="10"/>
      <c r="C14" s="10"/>
      <c r="D14" s="10"/>
      <c r="E14" s="10"/>
      <c r="F14" s="10"/>
      <c r="G14" s="10"/>
      <c r="H14" s="10"/>
      <c r="I14" s="10"/>
      <c r="J14" s="10"/>
      <c r="K14" s="11"/>
    </row>
    <row r="15" spans="1:11">
      <c r="A15" s="20" t="s">
        <v>87</v>
      </c>
      <c r="B15" s="10">
        <f>32000*B16</f>
        <v>35200</v>
      </c>
      <c r="C15" s="10" t="s">
        <v>6</v>
      </c>
      <c r="D15" s="10" t="s">
        <v>113</v>
      </c>
      <c r="E15" s="10"/>
      <c r="F15" s="10"/>
      <c r="G15" s="10"/>
      <c r="H15" s="10"/>
      <c r="I15" s="10"/>
      <c r="J15" s="10"/>
      <c r="K15" s="11"/>
    </row>
    <row r="16" spans="1:11">
      <c r="A16" s="8" t="s">
        <v>112</v>
      </c>
      <c r="B16" s="10">
        <f>1.1</f>
        <v>1.1000000000000001</v>
      </c>
      <c r="C16" s="10"/>
      <c r="D16" s="10" t="s">
        <v>114</v>
      </c>
      <c r="E16" s="10"/>
      <c r="F16" s="10"/>
      <c r="G16" s="10"/>
      <c r="H16" s="10"/>
      <c r="I16" s="10"/>
      <c r="J16" s="10"/>
      <c r="K16" s="11"/>
    </row>
    <row r="17" spans="1:11">
      <c r="A17" s="8" t="s">
        <v>11</v>
      </c>
      <c r="B17" s="10">
        <f>B15/(B19*SQRT(3)*B38)</f>
        <v>74.715917189245701</v>
      </c>
      <c r="C17" s="10" t="s">
        <v>12</v>
      </c>
      <c r="D17" s="10" t="s">
        <v>48</v>
      </c>
      <c r="E17" s="10"/>
      <c r="F17" s="10"/>
      <c r="G17" s="10"/>
      <c r="H17" s="10"/>
      <c r="I17" s="10"/>
      <c r="J17" s="10"/>
      <c r="K17" s="11"/>
    </row>
    <row r="18" spans="1:11">
      <c r="A18" s="8" t="s">
        <v>13</v>
      </c>
      <c r="B18" s="10">
        <f>2.05</f>
        <v>2.0499999999999998</v>
      </c>
      <c r="C18" s="10" t="s">
        <v>5</v>
      </c>
      <c r="D18" s="10" t="s">
        <v>49</v>
      </c>
      <c r="E18" s="10"/>
      <c r="F18" s="10"/>
      <c r="G18" s="10"/>
      <c r="H18" s="10"/>
      <c r="I18" s="10"/>
      <c r="J18" s="10"/>
      <c r="K18" s="11"/>
    </row>
    <row r="19" spans="1:11">
      <c r="A19" s="8" t="s">
        <v>14</v>
      </c>
      <c r="B19" s="10">
        <v>320</v>
      </c>
      <c r="C19" s="10" t="s">
        <v>5</v>
      </c>
      <c r="D19" s="10" t="s">
        <v>15</v>
      </c>
      <c r="E19" s="10"/>
      <c r="F19" s="10"/>
      <c r="G19" s="10"/>
      <c r="H19" s="10"/>
      <c r="I19" s="10"/>
      <c r="J19" s="10"/>
      <c r="K19" s="11"/>
    </row>
    <row r="20" spans="1:11">
      <c r="A20" s="8" t="s">
        <v>16</v>
      </c>
      <c r="B20" s="10">
        <f>B19*SQRT(2)</f>
        <v>452.54833995939043</v>
      </c>
      <c r="C20" s="10" t="s">
        <v>5</v>
      </c>
      <c r="D20" s="10" t="s">
        <v>17</v>
      </c>
      <c r="E20" s="10"/>
      <c r="F20" s="10"/>
      <c r="G20" s="10"/>
      <c r="H20" s="10"/>
      <c r="I20" s="10"/>
      <c r="J20" s="10"/>
      <c r="K20" s="11"/>
    </row>
    <row r="21" spans="1:11">
      <c r="A21" s="8" t="s">
        <v>18</v>
      </c>
      <c r="B21" s="10">
        <f>1.65*10^(-6)</f>
        <v>1.6499999999999999E-6</v>
      </c>
      <c r="C21" s="10" t="s">
        <v>19</v>
      </c>
      <c r="D21" s="10" t="s">
        <v>50</v>
      </c>
      <c r="E21" s="10"/>
      <c r="F21" s="10"/>
      <c r="G21" s="10"/>
      <c r="H21" s="10"/>
      <c r="I21" s="10"/>
      <c r="J21" s="10"/>
      <c r="K21" s="11"/>
    </row>
    <row r="22" spans="1:11">
      <c r="A22" s="8" t="s">
        <v>20</v>
      </c>
      <c r="B22" s="10">
        <f>1.1+3.5</f>
        <v>4.5999999999999996</v>
      </c>
      <c r="C22" s="10" t="s">
        <v>21</v>
      </c>
      <c r="D22" s="10" t="s">
        <v>67</v>
      </c>
      <c r="E22" s="10"/>
      <c r="F22" s="10"/>
      <c r="G22" s="10"/>
      <c r="H22" s="10"/>
      <c r="I22" s="10"/>
      <c r="J22" s="10"/>
      <c r="K22" s="11"/>
    </row>
    <row r="23" spans="1:11">
      <c r="A23" s="8" t="s">
        <v>0</v>
      </c>
      <c r="B23" s="10">
        <v>4000</v>
      </c>
      <c r="C23" s="10" t="s">
        <v>22</v>
      </c>
      <c r="D23" s="10" t="s">
        <v>8</v>
      </c>
      <c r="E23" s="10"/>
      <c r="F23" s="10"/>
      <c r="G23" s="10"/>
      <c r="H23" s="10"/>
      <c r="I23" s="10"/>
      <c r="J23" s="10"/>
      <c r="K23" s="11"/>
    </row>
    <row r="24" spans="1:11">
      <c r="A24" s="8" t="s">
        <v>57</v>
      </c>
      <c r="B24" s="10">
        <f>8*10^(-3)</f>
        <v>8.0000000000000002E-3</v>
      </c>
      <c r="C24" s="10" t="s">
        <v>23</v>
      </c>
      <c r="D24" s="10" t="s">
        <v>58</v>
      </c>
      <c r="E24" s="10"/>
      <c r="F24" s="10"/>
      <c r="G24" s="10"/>
      <c r="H24" s="10"/>
      <c r="I24" s="10"/>
      <c r="J24" s="10"/>
      <c r="K24" s="11"/>
    </row>
    <row r="25" spans="1:11">
      <c r="A25" s="8" t="s">
        <v>56</v>
      </c>
      <c r="B25" s="10">
        <f>7*10^(-3)</f>
        <v>7.0000000000000001E-3</v>
      </c>
      <c r="C25" s="10" t="s">
        <v>23</v>
      </c>
      <c r="D25" s="10" t="s">
        <v>59</v>
      </c>
      <c r="E25" s="10"/>
      <c r="F25" s="10"/>
      <c r="G25" s="10"/>
      <c r="H25" s="10"/>
      <c r="I25" s="10"/>
      <c r="J25" s="10"/>
      <c r="K25" s="11"/>
    </row>
    <row r="26" spans="1:11">
      <c r="A26" s="8" t="s">
        <v>9</v>
      </c>
      <c r="B26" s="10">
        <f>B24+B25</f>
        <v>1.4999999999999999E-2</v>
      </c>
      <c r="C26" s="10" t="s">
        <v>23</v>
      </c>
      <c r="D26" s="10" t="s">
        <v>60</v>
      </c>
      <c r="E26" s="10"/>
      <c r="F26" s="10"/>
      <c r="G26" s="10"/>
      <c r="H26" s="10"/>
      <c r="I26" s="10"/>
      <c r="J26" s="10"/>
      <c r="K26" s="11"/>
    </row>
    <row r="27" spans="1:11">
      <c r="A27" s="8"/>
      <c r="B27" s="10"/>
      <c r="C27" s="10"/>
      <c r="D27" s="10"/>
      <c r="E27" s="10"/>
      <c r="F27" s="10"/>
      <c r="G27" s="10"/>
      <c r="H27" s="10"/>
      <c r="I27" s="10"/>
      <c r="J27" s="10"/>
      <c r="K27" s="11"/>
    </row>
    <row r="28" spans="1:11">
      <c r="A28" s="12" t="s">
        <v>68</v>
      </c>
      <c r="B28" s="10"/>
      <c r="C28" s="10"/>
      <c r="D28" s="10"/>
      <c r="E28" s="10"/>
      <c r="F28" s="10"/>
      <c r="G28" s="10"/>
      <c r="H28" s="10"/>
      <c r="I28" s="10"/>
      <c r="J28" s="10"/>
      <c r="K28" s="11"/>
    </row>
    <row r="29" spans="1:11">
      <c r="A29" s="8" t="s">
        <v>24</v>
      </c>
      <c r="B29" s="10">
        <v>1.65</v>
      </c>
      <c r="C29" s="10" t="s">
        <v>5</v>
      </c>
      <c r="D29" s="10" t="s">
        <v>25</v>
      </c>
      <c r="E29" s="10"/>
      <c r="F29" s="10"/>
      <c r="G29" s="10"/>
      <c r="H29" s="10"/>
      <c r="I29" s="10"/>
      <c r="J29" s="10"/>
      <c r="K29" s="11"/>
    </row>
    <row r="30" spans="1:11">
      <c r="A30" s="21" t="s">
        <v>122</v>
      </c>
      <c r="B30">
        <v>1</v>
      </c>
      <c r="C30" s="22" t="s">
        <v>5</v>
      </c>
      <c r="D30" s="22" t="s">
        <v>150</v>
      </c>
      <c r="I30" s="10"/>
      <c r="J30" s="10"/>
      <c r="K30" s="11"/>
    </row>
    <row r="31" spans="1:11">
      <c r="A31" s="21" t="s">
        <v>151</v>
      </c>
      <c r="B31">
        <f>(1.25-1)/75</f>
        <v>3.3333333333333335E-3</v>
      </c>
      <c r="C31" s="22" t="s">
        <v>125</v>
      </c>
      <c r="D31" s="22" t="s">
        <v>152</v>
      </c>
      <c r="I31" s="10"/>
      <c r="J31" s="10"/>
      <c r="K31" s="11"/>
    </row>
    <row r="32" spans="1:11">
      <c r="A32" s="8" t="s">
        <v>26</v>
      </c>
      <c r="B32" s="10">
        <f>B17</f>
        <v>74.715917189245701</v>
      </c>
      <c r="C32" s="10" t="s">
        <v>12</v>
      </c>
      <c r="D32" s="10" t="s">
        <v>27</v>
      </c>
      <c r="E32" s="10"/>
      <c r="F32" s="10"/>
      <c r="G32" s="10"/>
      <c r="H32" s="10"/>
      <c r="I32" s="10"/>
      <c r="J32" s="10"/>
      <c r="K32" s="11"/>
    </row>
    <row r="33" spans="1:19">
      <c r="A33" s="8" t="s">
        <v>71</v>
      </c>
      <c r="B33" s="10">
        <f>8*10^(-3)</f>
        <v>8.0000000000000002E-3</v>
      </c>
      <c r="C33" s="10" t="s">
        <v>23</v>
      </c>
      <c r="D33" s="10" t="s">
        <v>70</v>
      </c>
      <c r="E33" s="10"/>
      <c r="F33" s="10"/>
      <c r="G33" s="10"/>
      <c r="H33" s="10"/>
      <c r="I33" s="10"/>
      <c r="J33" s="10"/>
      <c r="K33" s="11"/>
    </row>
    <row r="34" spans="1:19">
      <c r="A34" s="8"/>
      <c r="B34" s="10"/>
      <c r="C34" s="10"/>
      <c r="D34" s="10"/>
      <c r="E34" s="10"/>
      <c r="F34" s="10"/>
      <c r="G34" s="10"/>
      <c r="H34" s="10"/>
      <c r="I34" s="10"/>
      <c r="J34" s="10"/>
      <c r="K34" s="11"/>
    </row>
    <row r="35" spans="1:19">
      <c r="A35" s="8"/>
      <c r="B35" s="10"/>
      <c r="C35" s="10"/>
      <c r="D35" s="10"/>
      <c r="E35" s="10"/>
      <c r="F35" s="10"/>
      <c r="G35" s="10"/>
      <c r="H35" s="10"/>
      <c r="I35" s="10"/>
      <c r="J35" s="10"/>
      <c r="K35" s="11"/>
    </row>
    <row r="36" spans="1:19">
      <c r="A36" s="12" t="s">
        <v>69</v>
      </c>
      <c r="B36" s="10"/>
      <c r="C36" s="10"/>
      <c r="D36" s="10"/>
      <c r="E36" s="10"/>
      <c r="F36" s="10"/>
      <c r="G36" s="10"/>
      <c r="H36" s="10"/>
      <c r="I36" s="10"/>
      <c r="J36" s="10"/>
      <c r="K36" s="11"/>
    </row>
    <row r="37" spans="1:19">
      <c r="A37" s="8" t="s">
        <v>28</v>
      </c>
      <c r="B37" s="10">
        <v>0.9</v>
      </c>
      <c r="C37" s="10"/>
      <c r="D37" s="10" t="s">
        <v>74</v>
      </c>
      <c r="E37" s="10"/>
      <c r="F37" s="10"/>
      <c r="G37" s="10"/>
      <c r="H37" s="10"/>
      <c r="I37" s="10"/>
      <c r="J37" s="10"/>
      <c r="K37" s="11"/>
    </row>
    <row r="38" spans="1:19">
      <c r="A38" s="8" t="s">
        <v>29</v>
      </c>
      <c r="B38" s="10">
        <v>0.85</v>
      </c>
      <c r="C38" s="10"/>
      <c r="D38" s="10" t="s">
        <v>30</v>
      </c>
      <c r="E38" s="10"/>
      <c r="F38" s="10"/>
      <c r="G38" s="10"/>
      <c r="H38" s="10"/>
      <c r="I38" s="10"/>
      <c r="J38" s="10"/>
      <c r="K38" s="11"/>
    </row>
    <row r="39" spans="1:19">
      <c r="A39" s="8" t="s">
        <v>31</v>
      </c>
      <c r="B39" s="10">
        <v>1</v>
      </c>
      <c r="C39" s="10"/>
      <c r="D39" s="10" t="s">
        <v>32</v>
      </c>
      <c r="E39" s="10"/>
      <c r="F39" s="10"/>
      <c r="G39" s="10"/>
      <c r="H39" s="10"/>
      <c r="I39" s="10"/>
      <c r="J39" s="10"/>
      <c r="K39" s="11"/>
    </row>
    <row r="40" spans="1:19">
      <c r="A40" s="8" t="s">
        <v>7</v>
      </c>
      <c r="B40" s="10">
        <v>6</v>
      </c>
      <c r="C40" s="10"/>
      <c r="D40" s="10" t="s">
        <v>76</v>
      </c>
      <c r="E40" s="10"/>
      <c r="F40" s="10"/>
      <c r="G40" s="10"/>
      <c r="H40" s="10"/>
      <c r="I40" s="10"/>
      <c r="J40" s="10"/>
      <c r="K40" s="11"/>
    </row>
    <row r="41" spans="1:19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5"/>
    </row>
    <row r="44" spans="1:19">
      <c r="A44" s="5" t="s">
        <v>33</v>
      </c>
    </row>
    <row r="45" spans="1:19">
      <c r="S45" s="2"/>
    </row>
    <row r="46" spans="1:19">
      <c r="A46" t="s">
        <v>52</v>
      </c>
    </row>
    <row r="47" spans="1:19">
      <c r="A47" s="3" t="s">
        <v>53</v>
      </c>
    </row>
    <row r="49" spans="1:19">
      <c r="A49" t="s">
        <v>34</v>
      </c>
      <c r="E49" t="s">
        <v>51</v>
      </c>
      <c r="M49" t="s">
        <v>73</v>
      </c>
      <c r="Q49" t="s">
        <v>75</v>
      </c>
    </row>
    <row r="51" spans="1:19">
      <c r="A51" t="s">
        <v>55</v>
      </c>
      <c r="E51" t="s">
        <v>35</v>
      </c>
      <c r="Q51" s="2" t="s">
        <v>36</v>
      </c>
      <c r="R51" s="24">
        <f>N53*B40</f>
        <v>415.41099168931544</v>
      </c>
      <c r="S51" t="s">
        <v>6</v>
      </c>
    </row>
    <row r="53" spans="1:19">
      <c r="M53" s="2" t="s">
        <v>37</v>
      </c>
      <c r="N53" s="2">
        <f>(B67+F63)*B39</f>
        <v>69.235165281552568</v>
      </c>
      <c r="O53" t="s">
        <v>6</v>
      </c>
    </row>
    <row r="55" spans="1:19">
      <c r="A55" t="s">
        <v>38</v>
      </c>
      <c r="B55">
        <f>B17*B18*(1/8+B37*B38/(3*3.14))</f>
        <v>31.584726299068471</v>
      </c>
      <c r="C55" t="s">
        <v>6</v>
      </c>
      <c r="E55" t="s">
        <v>153</v>
      </c>
      <c r="F55">
        <f>B32*SQRT(2)*(1/(2*3.14)-B37*B38/8)*(B30)+B32^2*2*(1/8-B37*B38/(3*3.14))*B31</f>
        <v>8.351075925159261</v>
      </c>
      <c r="G55" t="s">
        <v>6</v>
      </c>
    </row>
    <row r="57" spans="1:19">
      <c r="A57" t="s">
        <v>39</v>
      </c>
      <c r="E57" t="s">
        <v>40</v>
      </c>
    </row>
    <row r="59" spans="1:19">
      <c r="E59" t="s">
        <v>41</v>
      </c>
      <c r="F59">
        <f>B33*B23/3.14</f>
        <v>10.19108280254777</v>
      </c>
      <c r="G59" t="s">
        <v>6</v>
      </c>
    </row>
    <row r="61" spans="1:19">
      <c r="A61" t="s">
        <v>42</v>
      </c>
      <c r="B61">
        <f>B26*B23/3.14</f>
        <v>19.108280254777068</v>
      </c>
      <c r="C61" t="s">
        <v>6</v>
      </c>
      <c r="E61" t="s">
        <v>44</v>
      </c>
    </row>
    <row r="63" spans="1:19">
      <c r="A63" t="s">
        <v>43</v>
      </c>
      <c r="E63" s="2" t="s">
        <v>45</v>
      </c>
      <c r="F63" s="2">
        <f>F55+F59</f>
        <v>18.542158727707033</v>
      </c>
      <c r="G63" t="s">
        <v>6</v>
      </c>
    </row>
    <row r="67" spans="1:3">
      <c r="A67" s="2" t="s">
        <v>46</v>
      </c>
      <c r="B67" s="2">
        <f>B55+B61</f>
        <v>50.693006553845535</v>
      </c>
      <c r="C67" t="s">
        <v>6</v>
      </c>
    </row>
    <row r="70" spans="1:3">
      <c r="A70" t="s">
        <v>147</v>
      </c>
    </row>
    <row r="72" spans="1:3">
      <c r="A72" s="3" t="s">
        <v>148</v>
      </c>
    </row>
    <row r="105" spans="1:10">
      <c r="J105" t="s">
        <v>149</v>
      </c>
    </row>
    <row r="110" spans="1:10">
      <c r="A110" t="s">
        <v>149</v>
      </c>
    </row>
  </sheetData>
  <hyperlinks>
    <hyperlink ref="A47" r:id="rId1"/>
    <hyperlink ref="A6" r:id="rId2"/>
    <hyperlink ref="B11" r:id="rId3"/>
    <hyperlink ref="A7" r:id="rId4"/>
    <hyperlink ref="A72" r:id="rId5"/>
  </hyperlinks>
  <pageMargins left="0.7" right="0.7" top="0.75" bottom="0.75" header="0.3" footer="0.3"/>
  <pageSetup paperSize="9" orientation="portrait" horizontalDpi="180" verticalDpi="180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K67"/>
  <sheetViews>
    <sheetView tabSelected="1" topLeftCell="A7" workbookViewId="0">
      <selection activeCell="C40" sqref="C40"/>
    </sheetView>
  </sheetViews>
  <sheetFormatPr defaultRowHeight="15"/>
  <cols>
    <col min="1" max="1" width="17.140625" customWidth="1"/>
  </cols>
  <sheetData>
    <row r="1" spans="1:11">
      <c r="A1" t="s">
        <v>115</v>
      </c>
    </row>
    <row r="2" spans="1:11">
      <c r="A2" s="3" t="s">
        <v>154</v>
      </c>
    </row>
    <row r="3" spans="1:11">
      <c r="A3" s="16" t="s">
        <v>4</v>
      </c>
      <c r="B3" s="6"/>
      <c r="C3" s="6"/>
      <c r="D3" s="6"/>
      <c r="E3" s="6"/>
      <c r="F3" s="6"/>
      <c r="G3" s="6"/>
      <c r="H3" s="6"/>
      <c r="I3" s="6"/>
      <c r="J3" s="6"/>
      <c r="K3" s="7"/>
    </row>
    <row r="4" spans="1:11">
      <c r="A4" s="8" t="s">
        <v>116</v>
      </c>
      <c r="B4" s="9" t="s">
        <v>117</v>
      </c>
      <c r="C4" s="10"/>
      <c r="D4" s="10"/>
      <c r="E4" s="10"/>
      <c r="F4" s="10"/>
      <c r="G4" s="10"/>
      <c r="H4" s="10"/>
      <c r="I4" s="10"/>
      <c r="J4" s="10"/>
      <c r="K4" s="11"/>
    </row>
    <row r="5" spans="1:11">
      <c r="A5" s="8"/>
      <c r="B5" s="10"/>
      <c r="C5" s="10"/>
      <c r="D5" s="10"/>
      <c r="E5" s="10"/>
      <c r="F5" s="10"/>
      <c r="G5" s="10"/>
      <c r="H5" s="10"/>
      <c r="I5" s="10"/>
      <c r="J5" s="10"/>
      <c r="K5" s="11"/>
    </row>
    <row r="6" spans="1:11">
      <c r="A6" s="8"/>
      <c r="B6" s="10"/>
      <c r="C6" s="10"/>
      <c r="D6" s="10"/>
      <c r="E6" s="10"/>
      <c r="F6" s="10"/>
      <c r="G6" s="10"/>
      <c r="H6" s="10"/>
      <c r="I6" s="10"/>
      <c r="J6" s="10"/>
      <c r="K6" s="11"/>
    </row>
    <row r="7" spans="1:11">
      <c r="A7" s="12" t="s">
        <v>69</v>
      </c>
      <c r="B7" s="10"/>
      <c r="C7" s="10"/>
      <c r="D7" s="10"/>
      <c r="E7" s="10"/>
      <c r="F7" s="10"/>
      <c r="G7" s="10"/>
      <c r="H7" s="10"/>
      <c r="I7" s="10"/>
      <c r="J7" s="10"/>
      <c r="K7" s="11"/>
    </row>
    <row r="8" spans="1:11">
      <c r="A8" s="20" t="s">
        <v>87</v>
      </c>
      <c r="B8" s="10">
        <f>'Потери в IGBT+Diode'!B15</f>
        <v>35200</v>
      </c>
      <c r="C8" s="10" t="s">
        <v>6</v>
      </c>
      <c r="D8" s="10" t="s">
        <v>113</v>
      </c>
      <c r="E8" s="10"/>
      <c r="F8" s="10"/>
      <c r="G8" s="10"/>
      <c r="H8" s="10"/>
      <c r="I8" s="10"/>
      <c r="J8" s="10"/>
      <c r="K8" s="11"/>
    </row>
    <row r="9" spans="1:11">
      <c r="A9" s="8" t="s">
        <v>112</v>
      </c>
      <c r="B9" s="10">
        <f>'Потери в IGBT+Diode'!B16</f>
        <v>1.1000000000000001</v>
      </c>
      <c r="C9" s="10"/>
      <c r="D9" s="10" t="s">
        <v>114</v>
      </c>
      <c r="E9" s="10"/>
      <c r="F9" s="10"/>
      <c r="G9" s="10"/>
      <c r="H9" s="10"/>
      <c r="I9" s="10"/>
      <c r="J9" s="10"/>
      <c r="K9" s="11"/>
    </row>
    <row r="10" spans="1:11">
      <c r="A10" s="8" t="s">
        <v>11</v>
      </c>
      <c r="B10" s="10">
        <f>B8/(B11*SQRT(3)*'Потери в IGBT+Diode'!B38)</f>
        <v>74.715917189245701</v>
      </c>
      <c r="C10" s="10" t="s">
        <v>12</v>
      </c>
      <c r="D10" s="10" t="s">
        <v>48</v>
      </c>
      <c r="E10" s="10"/>
      <c r="F10" s="10"/>
      <c r="G10" s="10"/>
      <c r="H10" s="10"/>
      <c r="I10" s="10"/>
      <c r="J10" s="10"/>
      <c r="K10" s="11"/>
    </row>
    <row r="11" spans="1:11">
      <c r="A11" s="8" t="s">
        <v>14</v>
      </c>
      <c r="B11" s="10">
        <v>320</v>
      </c>
      <c r="C11" s="10" t="s">
        <v>5</v>
      </c>
      <c r="D11" s="10" t="s">
        <v>15</v>
      </c>
      <c r="E11" s="10"/>
      <c r="F11" s="10"/>
      <c r="G11" s="10"/>
      <c r="H11" s="10"/>
      <c r="I11" s="10"/>
      <c r="J11" s="10"/>
      <c r="K11" s="11"/>
    </row>
    <row r="12" spans="1:11">
      <c r="A12" s="8" t="s">
        <v>16</v>
      </c>
      <c r="B12" s="10">
        <f>B11*SQRT(2)</f>
        <v>452.54833995939043</v>
      </c>
      <c r="C12" s="10" t="s">
        <v>5</v>
      </c>
      <c r="D12" s="10" t="s">
        <v>17</v>
      </c>
      <c r="E12" s="10"/>
      <c r="F12" s="10"/>
      <c r="G12" s="10"/>
      <c r="H12" s="10"/>
      <c r="I12" s="10"/>
      <c r="J12" s="10"/>
      <c r="K12" s="11"/>
    </row>
    <row r="13" spans="1:11">
      <c r="A13" s="21" t="s">
        <v>3</v>
      </c>
      <c r="B13" s="10">
        <v>50</v>
      </c>
      <c r="C13" s="22" t="s">
        <v>22</v>
      </c>
      <c r="D13" s="22" t="s">
        <v>120</v>
      </c>
      <c r="E13" s="10"/>
      <c r="F13" s="10"/>
      <c r="G13" s="10"/>
      <c r="H13" s="10"/>
      <c r="I13" s="10"/>
      <c r="J13" s="10"/>
      <c r="K13" s="11"/>
    </row>
    <row r="14" spans="1:11">
      <c r="A14" s="21" t="s">
        <v>2</v>
      </c>
      <c r="B14" s="10">
        <v>6</v>
      </c>
      <c r="C14" s="10"/>
      <c r="D14" s="22" t="s">
        <v>130</v>
      </c>
      <c r="E14" s="10"/>
      <c r="F14" s="10"/>
      <c r="G14" s="10"/>
      <c r="H14" s="10"/>
      <c r="I14" s="10"/>
      <c r="J14" s="10"/>
      <c r="K14" s="11"/>
    </row>
    <row r="15" spans="1:11">
      <c r="A15" s="8"/>
      <c r="B15" s="10"/>
      <c r="C15" s="10"/>
      <c r="D15" s="10"/>
      <c r="E15" s="10"/>
      <c r="F15" s="10"/>
      <c r="G15" s="10"/>
      <c r="H15" s="10"/>
      <c r="I15" s="10"/>
      <c r="J15" s="10"/>
      <c r="K15" s="11"/>
    </row>
    <row r="16" spans="1:11">
      <c r="A16" s="8"/>
      <c r="B16" s="10"/>
      <c r="C16" s="10"/>
      <c r="D16" s="10"/>
      <c r="E16" s="10"/>
      <c r="F16" s="10"/>
      <c r="G16" s="10"/>
      <c r="H16" s="10"/>
      <c r="I16" s="10"/>
      <c r="J16" s="10"/>
      <c r="K16" s="11"/>
    </row>
    <row r="17" spans="1:11">
      <c r="A17" s="12" t="s">
        <v>68</v>
      </c>
      <c r="B17" s="10"/>
      <c r="C17" s="10"/>
      <c r="D17" s="10"/>
      <c r="E17" s="10"/>
      <c r="F17" s="10"/>
      <c r="G17" s="10"/>
      <c r="H17" s="10"/>
      <c r="I17" s="10"/>
      <c r="J17" s="10"/>
      <c r="K17" s="11"/>
    </row>
    <row r="18" spans="1:11">
      <c r="A18" s="8"/>
      <c r="B18" s="10"/>
      <c r="C18" s="10"/>
      <c r="D18" s="10"/>
      <c r="E18" s="10"/>
      <c r="F18" s="10"/>
      <c r="G18" s="10"/>
      <c r="H18" s="10"/>
      <c r="I18" s="10"/>
      <c r="J18" s="10"/>
      <c r="K18" s="11"/>
    </row>
    <row r="19" spans="1:11">
      <c r="A19" s="8" t="s">
        <v>118</v>
      </c>
      <c r="B19" s="10">
        <v>1.2</v>
      </c>
      <c r="C19" s="10" t="s">
        <v>5</v>
      </c>
      <c r="D19" s="10" t="s">
        <v>119</v>
      </c>
      <c r="E19" s="10"/>
      <c r="F19" s="10"/>
      <c r="G19" s="10"/>
      <c r="H19" s="10"/>
      <c r="I19" s="10"/>
      <c r="J19" s="10"/>
      <c r="K19" s="11"/>
    </row>
    <row r="20" spans="1:11">
      <c r="A20" s="8" t="s">
        <v>122</v>
      </c>
      <c r="B20" s="10">
        <f>0.83/2</f>
        <v>0.41499999999999998</v>
      </c>
      <c r="C20" s="10" t="s">
        <v>5</v>
      </c>
      <c r="D20" s="10" t="s">
        <v>123</v>
      </c>
      <c r="E20" s="10"/>
      <c r="F20" s="10"/>
      <c r="G20" s="10"/>
      <c r="H20" s="10"/>
      <c r="I20" s="10"/>
      <c r="J20" s="10"/>
      <c r="K20" s="11"/>
    </row>
    <row r="21" spans="1:11">
      <c r="A21" s="21" t="s">
        <v>124</v>
      </c>
      <c r="B21" s="10">
        <f>2.3*10^(-3)/2</f>
        <v>1.15E-3</v>
      </c>
      <c r="C21" s="10" t="s">
        <v>125</v>
      </c>
      <c r="D21" s="10" t="s">
        <v>126</v>
      </c>
      <c r="E21" s="10"/>
      <c r="F21" s="10"/>
      <c r="G21" s="10"/>
      <c r="H21" s="10"/>
      <c r="I21" s="10"/>
      <c r="J21" s="10"/>
      <c r="K21" s="11"/>
    </row>
    <row r="22" spans="1:11">
      <c r="A22" s="21" t="s">
        <v>127</v>
      </c>
      <c r="B22" s="10">
        <f>SQRT(B10^2*4/3.14^2)</f>
        <v>47.589756171494074</v>
      </c>
      <c r="C22" s="10" t="s">
        <v>12</v>
      </c>
      <c r="D22" s="10" t="s">
        <v>128</v>
      </c>
      <c r="E22" s="10"/>
      <c r="F22" s="10"/>
      <c r="G22" s="10"/>
      <c r="H22" s="10"/>
      <c r="I22" s="10"/>
      <c r="J22" s="10"/>
      <c r="K22" s="11"/>
    </row>
    <row r="23" spans="1:11">
      <c r="A23" s="8" t="s">
        <v>143</v>
      </c>
      <c r="B23" s="10">
        <v>2</v>
      </c>
      <c r="C23" s="10"/>
      <c r="D23" s="22" t="s">
        <v>144</v>
      </c>
      <c r="E23" s="10"/>
      <c r="F23" s="10"/>
      <c r="G23" s="10"/>
      <c r="H23" s="10"/>
      <c r="I23" s="10"/>
      <c r="J23" s="10"/>
      <c r="K23" s="11"/>
    </row>
    <row r="24" spans="1:11">
      <c r="A24" s="12"/>
      <c r="B24" s="10"/>
      <c r="C24" s="10"/>
      <c r="D24" s="10"/>
      <c r="E24" s="10"/>
      <c r="F24" s="10"/>
      <c r="G24" s="10"/>
      <c r="H24" s="10"/>
      <c r="I24" s="10"/>
      <c r="J24" s="10"/>
      <c r="K24" s="11"/>
    </row>
    <row r="25" spans="1:11">
      <c r="A25" s="12" t="s">
        <v>145</v>
      </c>
      <c r="B25" s="10"/>
      <c r="C25" s="10"/>
      <c r="D25" s="10"/>
      <c r="E25" s="10"/>
      <c r="F25" s="10"/>
      <c r="G25" s="10"/>
      <c r="H25" s="10"/>
      <c r="I25" s="10"/>
      <c r="J25" s="10"/>
      <c r="K25" s="11"/>
    </row>
    <row r="26" spans="1:11">
      <c r="A26" s="8" t="s">
        <v>146</v>
      </c>
      <c r="B26" s="10"/>
      <c r="C26" s="10"/>
      <c r="D26" s="10"/>
      <c r="E26" s="10"/>
      <c r="F26" s="10"/>
      <c r="G26" s="10"/>
      <c r="H26" s="10"/>
      <c r="I26" s="10"/>
      <c r="J26" s="10"/>
      <c r="K26" s="11"/>
    </row>
    <row r="27" spans="1:11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5"/>
    </row>
    <row r="30" spans="1:11">
      <c r="A30" s="5" t="s">
        <v>121</v>
      </c>
    </row>
    <row r="32" spans="1:11">
      <c r="A32" t="s">
        <v>129</v>
      </c>
    </row>
    <row r="34" spans="1:8">
      <c r="A34" t="s">
        <v>163</v>
      </c>
      <c r="B34">
        <f>B20*B22+B21*B10^2</f>
        <v>26.169587334814793</v>
      </c>
      <c r="C34" t="s">
        <v>6</v>
      </c>
      <c r="D34" t="s">
        <v>155</v>
      </c>
    </row>
    <row r="35" spans="1:8">
      <c r="A35" t="s">
        <v>131</v>
      </c>
      <c r="B35" s="18">
        <f>B34*B14</f>
        <v>157.01752400888876</v>
      </c>
      <c r="C35" t="s">
        <v>6</v>
      </c>
      <c r="D35" t="s">
        <v>132</v>
      </c>
    </row>
    <row r="48" spans="1:8">
      <c r="H48" s="39" t="s">
        <v>159</v>
      </c>
    </row>
    <row r="49" spans="8:8">
      <c r="H49" s="39" t="s">
        <v>160</v>
      </c>
    </row>
    <row r="50" spans="8:8">
      <c r="H50" s="39"/>
    </row>
    <row r="51" spans="8:8">
      <c r="H51" s="39" t="s">
        <v>161</v>
      </c>
    </row>
    <row r="67" spans="8:8">
      <c r="H67" s="39" t="s">
        <v>162</v>
      </c>
    </row>
  </sheetData>
  <hyperlinks>
    <hyperlink ref="B4" r:id="rId1"/>
    <hyperlink ref="A2" r:id="rId2"/>
  </hyperlinks>
  <pageMargins left="0.7" right="0.7" top="0.75" bottom="0.75" header="0.3" footer="0.3"/>
  <pageSetup paperSize="9" orientation="portrait" verticalDpi="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H78"/>
  <sheetViews>
    <sheetView topLeftCell="A40" workbookViewId="0">
      <selection activeCell="D73" sqref="D73"/>
    </sheetView>
  </sheetViews>
  <sheetFormatPr defaultRowHeight="15"/>
  <cols>
    <col min="2" max="2" width="11" customWidth="1"/>
    <col min="8" max="8" width="12.85546875" customWidth="1"/>
  </cols>
  <sheetData>
    <row r="1" spans="1:8">
      <c r="A1" t="s">
        <v>110</v>
      </c>
    </row>
    <row r="2" spans="1:8">
      <c r="A2" s="10"/>
    </row>
    <row r="3" spans="1:8">
      <c r="A3" s="16" t="s">
        <v>4</v>
      </c>
      <c r="B3" s="6"/>
      <c r="C3" s="6"/>
      <c r="D3" s="6"/>
      <c r="E3" s="6"/>
      <c r="F3" s="6"/>
      <c r="G3" s="6"/>
      <c r="H3" s="7"/>
    </row>
    <row r="4" spans="1:8">
      <c r="A4" s="8"/>
      <c r="B4" s="10"/>
      <c r="C4" s="10"/>
      <c r="D4" s="10"/>
      <c r="E4" s="10"/>
      <c r="F4" s="10"/>
      <c r="G4" s="10"/>
      <c r="H4" s="11"/>
    </row>
    <row r="5" spans="1:8">
      <c r="A5" s="12" t="s">
        <v>10</v>
      </c>
      <c r="B5" s="10"/>
      <c r="C5" s="10"/>
      <c r="D5" s="10"/>
      <c r="E5" s="10"/>
      <c r="F5" s="10"/>
      <c r="G5" s="10"/>
      <c r="H5" s="11"/>
    </row>
    <row r="6" spans="1:8">
      <c r="A6" s="8"/>
      <c r="B6" s="10"/>
      <c r="C6" s="10"/>
      <c r="D6" s="10"/>
      <c r="E6" s="10"/>
      <c r="F6" s="10"/>
      <c r="G6" s="10"/>
      <c r="H6" s="11"/>
    </row>
    <row r="7" spans="1:8">
      <c r="A7" s="37" t="s">
        <v>77</v>
      </c>
      <c r="B7" s="38">
        <f>0.15</f>
        <v>0.15</v>
      </c>
      <c r="C7" s="10" t="s">
        <v>79</v>
      </c>
      <c r="D7" s="10" t="s">
        <v>80</v>
      </c>
      <c r="E7" s="10"/>
      <c r="F7" s="10"/>
      <c r="G7" s="10"/>
      <c r="H7" s="11"/>
    </row>
    <row r="8" spans="1:8">
      <c r="A8" s="37" t="s">
        <v>78</v>
      </c>
      <c r="B8" s="38">
        <f>0.085</f>
        <v>8.5000000000000006E-2</v>
      </c>
      <c r="C8" s="10" t="s">
        <v>79</v>
      </c>
      <c r="D8" s="10" t="s">
        <v>81</v>
      </c>
      <c r="E8" s="10"/>
      <c r="F8" s="10"/>
      <c r="G8" s="10"/>
      <c r="H8" s="11"/>
    </row>
    <row r="9" spans="1:8">
      <c r="A9" s="8" t="s">
        <v>86</v>
      </c>
      <c r="B9" s="10">
        <f>150</f>
        <v>150</v>
      </c>
      <c r="C9" s="10" t="s">
        <v>108</v>
      </c>
      <c r="D9" s="10" t="s">
        <v>82</v>
      </c>
      <c r="E9" s="10"/>
      <c r="F9" s="10"/>
      <c r="G9" s="10"/>
      <c r="H9" s="11"/>
    </row>
    <row r="10" spans="1:8">
      <c r="A10" s="8" t="s">
        <v>101</v>
      </c>
      <c r="B10" s="10">
        <v>6</v>
      </c>
      <c r="C10" s="10"/>
      <c r="D10" s="10" t="s">
        <v>76</v>
      </c>
      <c r="E10" s="10"/>
      <c r="F10" s="10"/>
      <c r="G10" s="10"/>
      <c r="H10" s="11"/>
    </row>
    <row r="11" spans="1:8">
      <c r="A11" s="8" t="s">
        <v>103</v>
      </c>
      <c r="B11" s="10">
        <f>'Потери в IGBT+Diode'!B67</f>
        <v>50.693006553845535</v>
      </c>
      <c r="C11" s="10" t="s">
        <v>6</v>
      </c>
      <c r="D11" s="10" t="s">
        <v>104</v>
      </c>
      <c r="E11" s="10"/>
      <c r="F11" s="10"/>
      <c r="G11" s="10"/>
      <c r="H11" s="11"/>
    </row>
    <row r="12" spans="1:8">
      <c r="A12" s="8"/>
      <c r="B12" s="10"/>
      <c r="C12" s="10"/>
      <c r="D12" s="10"/>
      <c r="E12" s="10"/>
      <c r="F12" s="10"/>
      <c r="G12" s="10"/>
      <c r="H12" s="11"/>
    </row>
    <row r="13" spans="1:8">
      <c r="A13" s="12" t="s">
        <v>68</v>
      </c>
      <c r="B13" s="10"/>
      <c r="C13" s="10"/>
      <c r="D13" s="10"/>
      <c r="E13" s="10"/>
      <c r="F13" s="10"/>
      <c r="G13" s="10"/>
      <c r="H13" s="11"/>
    </row>
    <row r="14" spans="1:8">
      <c r="A14" s="8"/>
      <c r="B14" s="10"/>
      <c r="C14" s="10"/>
      <c r="D14" s="10"/>
      <c r="E14" s="10"/>
      <c r="F14" s="10"/>
      <c r="G14" s="10"/>
      <c r="H14" s="11"/>
    </row>
    <row r="15" spans="1:8">
      <c r="A15" s="37" t="s">
        <v>77</v>
      </c>
      <c r="B15" s="38">
        <f>0.26</f>
        <v>0.26</v>
      </c>
      <c r="C15" s="10" t="s">
        <v>79</v>
      </c>
      <c r="D15" s="10" t="s">
        <v>80</v>
      </c>
      <c r="E15" s="10"/>
      <c r="F15" s="10"/>
      <c r="G15" s="10"/>
      <c r="H15" s="11"/>
    </row>
    <row r="16" spans="1:8">
      <c r="A16" s="37" t="s">
        <v>78</v>
      </c>
      <c r="B16" s="38">
        <f>0.15</f>
        <v>0.15</v>
      </c>
      <c r="C16" s="10" t="s">
        <v>79</v>
      </c>
      <c r="D16" s="10" t="s">
        <v>81</v>
      </c>
      <c r="E16" s="10"/>
      <c r="F16" s="10"/>
      <c r="G16" s="10"/>
      <c r="H16" s="11"/>
    </row>
    <row r="17" spans="1:8">
      <c r="A17" s="8" t="s">
        <v>86</v>
      </c>
      <c r="B17" s="10">
        <f>150</f>
        <v>150</v>
      </c>
      <c r="C17" s="10" t="s">
        <v>108</v>
      </c>
      <c r="D17" s="10" t="s">
        <v>82</v>
      </c>
      <c r="E17" s="10"/>
      <c r="F17" s="10"/>
      <c r="G17" s="10"/>
      <c r="H17" s="11"/>
    </row>
    <row r="18" spans="1:8">
      <c r="A18" s="8" t="s">
        <v>101</v>
      </c>
      <c r="B18" s="10">
        <v>6</v>
      </c>
      <c r="C18" s="10"/>
      <c r="D18" s="10" t="s">
        <v>102</v>
      </c>
      <c r="E18" s="10"/>
      <c r="F18" s="10"/>
      <c r="G18" s="10"/>
      <c r="H18" s="11"/>
    </row>
    <row r="19" spans="1:8">
      <c r="A19" s="8" t="s">
        <v>38</v>
      </c>
      <c r="B19" s="10">
        <f>'Потери в IGBT+Diode'!F63</f>
        <v>18.542158727707033</v>
      </c>
      <c r="C19" s="10" t="s">
        <v>6</v>
      </c>
      <c r="D19" s="10" t="s">
        <v>105</v>
      </c>
      <c r="E19" s="10"/>
      <c r="F19" s="10"/>
      <c r="G19" s="10"/>
      <c r="H19" s="11"/>
    </row>
    <row r="20" spans="1:8">
      <c r="A20" s="8"/>
      <c r="B20" s="10"/>
      <c r="C20" s="10"/>
      <c r="D20" s="10"/>
      <c r="E20" s="10"/>
      <c r="F20" s="10"/>
      <c r="G20" s="10"/>
      <c r="H20" s="11"/>
    </row>
    <row r="21" spans="1:8">
      <c r="A21" s="12" t="s">
        <v>133</v>
      </c>
      <c r="B21" s="10"/>
      <c r="C21" s="10"/>
      <c r="D21" s="10"/>
      <c r="E21" s="10"/>
      <c r="F21" s="10"/>
      <c r="G21" s="10"/>
      <c r="H21" s="11"/>
    </row>
    <row r="22" spans="1:8">
      <c r="A22" s="8"/>
      <c r="B22" s="10"/>
      <c r="C22" s="10"/>
      <c r="D22" s="10"/>
      <c r="E22" s="10"/>
      <c r="F22" s="10"/>
      <c r="G22" s="10"/>
      <c r="H22" s="11"/>
    </row>
    <row r="23" spans="1:8">
      <c r="A23" s="37" t="s">
        <v>135</v>
      </c>
      <c r="B23" s="10">
        <f>0.35</f>
        <v>0.35</v>
      </c>
      <c r="C23" s="10" t="s">
        <v>79</v>
      </c>
      <c r="D23" s="10" t="s">
        <v>80</v>
      </c>
      <c r="E23" s="10"/>
      <c r="F23" s="10"/>
      <c r="G23" s="10"/>
      <c r="H23" s="11"/>
    </row>
    <row r="24" spans="1:8">
      <c r="A24" s="37" t="s">
        <v>134</v>
      </c>
      <c r="B24" s="10">
        <f>0.165</f>
        <v>0.16500000000000001</v>
      </c>
      <c r="C24" s="10" t="s">
        <v>79</v>
      </c>
      <c r="D24" s="10" t="s">
        <v>81</v>
      </c>
      <c r="E24" s="10"/>
      <c r="F24" s="10"/>
      <c r="G24" s="10"/>
      <c r="H24" s="11"/>
    </row>
    <row r="25" spans="1:8">
      <c r="A25" s="8" t="s">
        <v>86</v>
      </c>
      <c r="B25" s="10">
        <v>150</v>
      </c>
      <c r="C25" s="10" t="s">
        <v>108</v>
      </c>
      <c r="D25" s="10" t="s">
        <v>82</v>
      </c>
      <c r="E25" s="10"/>
      <c r="F25" s="10"/>
      <c r="G25" s="10"/>
      <c r="H25" s="11"/>
    </row>
    <row r="26" spans="1:8">
      <c r="A26" s="8" t="s">
        <v>2</v>
      </c>
      <c r="B26" s="10">
        <v>6</v>
      </c>
      <c r="C26" s="10"/>
      <c r="D26" s="10" t="s">
        <v>102</v>
      </c>
      <c r="E26" s="10"/>
      <c r="F26" s="10"/>
      <c r="G26" s="10"/>
      <c r="H26" s="11"/>
    </row>
    <row r="27" spans="1:8">
      <c r="A27" s="8" t="s">
        <v>136</v>
      </c>
      <c r="B27" s="10">
        <f>'Потери в выпрямителе'!B34</f>
        <v>26.169587334814793</v>
      </c>
      <c r="C27" s="10" t="s">
        <v>6</v>
      </c>
      <c r="D27" s="10" t="s">
        <v>105</v>
      </c>
      <c r="E27" s="10"/>
      <c r="F27" s="10"/>
      <c r="G27" s="10"/>
      <c r="H27" s="11"/>
    </row>
    <row r="28" spans="1:8">
      <c r="A28" s="8"/>
      <c r="B28" s="10"/>
      <c r="C28" s="10"/>
      <c r="D28" s="10"/>
      <c r="E28" s="10"/>
      <c r="F28" s="10"/>
      <c r="G28" s="10"/>
      <c r="H28" s="11"/>
    </row>
    <row r="29" spans="1:8">
      <c r="A29" s="8"/>
      <c r="B29" s="10"/>
      <c r="C29" s="10"/>
      <c r="D29" s="10"/>
      <c r="E29" s="10"/>
      <c r="F29" s="10"/>
      <c r="G29" s="10"/>
      <c r="H29" s="11"/>
    </row>
    <row r="30" spans="1:8">
      <c r="A30" s="8"/>
      <c r="B30" s="10"/>
      <c r="C30" s="10"/>
      <c r="D30" s="10"/>
      <c r="E30" s="10"/>
      <c r="F30" s="10"/>
      <c r="G30" s="10"/>
      <c r="H30" s="11"/>
    </row>
    <row r="31" spans="1:8">
      <c r="A31" s="8"/>
      <c r="B31" s="10"/>
      <c r="C31" s="10"/>
      <c r="D31" s="10"/>
      <c r="E31" s="10"/>
      <c r="F31" s="10"/>
      <c r="G31" s="10"/>
      <c r="H31" s="11"/>
    </row>
    <row r="32" spans="1:8">
      <c r="A32" s="12" t="s">
        <v>83</v>
      </c>
      <c r="B32" s="10"/>
      <c r="C32" s="10"/>
      <c r="D32" s="10"/>
      <c r="E32" s="10"/>
      <c r="F32" s="10"/>
      <c r="G32" s="10"/>
      <c r="H32" s="11"/>
    </row>
    <row r="33" spans="1:8">
      <c r="A33" s="8"/>
      <c r="B33" s="10"/>
      <c r="C33" s="10"/>
      <c r="D33" s="10"/>
      <c r="E33" s="10"/>
      <c r="F33" s="10"/>
      <c r="G33" s="10"/>
      <c r="H33" s="11"/>
    </row>
    <row r="34" spans="1:8">
      <c r="A34" s="8" t="s">
        <v>91</v>
      </c>
      <c r="B34" s="10"/>
      <c r="C34" s="10"/>
      <c r="D34" s="9" t="s">
        <v>94</v>
      </c>
      <c r="E34" s="10"/>
      <c r="F34" s="10"/>
      <c r="G34" s="10"/>
      <c r="H34" s="11"/>
    </row>
    <row r="35" spans="1:8">
      <c r="A35" s="8" t="s">
        <v>92</v>
      </c>
      <c r="B35" s="10"/>
      <c r="C35" s="10">
        <v>3</v>
      </c>
      <c r="D35" s="9" t="s">
        <v>93</v>
      </c>
      <c r="E35" s="10"/>
      <c r="F35" s="10"/>
      <c r="G35" s="10"/>
      <c r="H35" s="11"/>
    </row>
    <row r="36" spans="1:8">
      <c r="A36" s="8" t="s">
        <v>97</v>
      </c>
      <c r="B36" s="10"/>
      <c r="C36" s="10"/>
      <c r="D36" s="10"/>
      <c r="E36" s="10"/>
      <c r="F36" s="10"/>
      <c r="G36" s="10"/>
      <c r="H36" s="11"/>
    </row>
    <row r="37" spans="1:8">
      <c r="A37" s="8"/>
      <c r="B37" s="10"/>
      <c r="C37" s="10"/>
      <c r="D37" s="10"/>
      <c r="E37" s="10"/>
      <c r="F37" s="10"/>
      <c r="G37" s="10"/>
      <c r="H37" s="11"/>
    </row>
    <row r="38" spans="1:8">
      <c r="A38" s="8" t="s">
        <v>89</v>
      </c>
      <c r="B38" s="10">
        <f>0.05</f>
        <v>0.05</v>
      </c>
      <c r="C38" s="10" t="s">
        <v>79</v>
      </c>
      <c r="D38" s="10" t="s">
        <v>90</v>
      </c>
      <c r="E38" s="10"/>
      <c r="F38" s="10"/>
      <c r="G38" s="10"/>
      <c r="H38" s="11"/>
    </row>
    <row r="39" spans="1:8">
      <c r="A39" s="8" t="s">
        <v>95</v>
      </c>
      <c r="B39" s="10">
        <v>2.37</v>
      </c>
      <c r="C39" s="10" t="s">
        <v>96</v>
      </c>
      <c r="D39" s="10" t="s">
        <v>158</v>
      </c>
      <c r="E39" s="10"/>
      <c r="F39" s="10"/>
      <c r="G39" s="10"/>
      <c r="H39" s="11"/>
    </row>
    <row r="40" spans="1:8">
      <c r="A40" s="8"/>
      <c r="B40" s="10"/>
      <c r="C40" s="10"/>
      <c r="D40" s="10"/>
      <c r="E40" s="10"/>
      <c r="F40" s="10"/>
      <c r="G40" s="10"/>
      <c r="H40" s="11"/>
    </row>
    <row r="41" spans="1:8">
      <c r="A41" s="12" t="s">
        <v>69</v>
      </c>
      <c r="B41" s="10"/>
      <c r="C41" s="10"/>
      <c r="D41" s="10"/>
      <c r="E41" s="10"/>
      <c r="F41" s="10"/>
      <c r="G41" s="10"/>
      <c r="H41" s="11"/>
    </row>
    <row r="42" spans="1:8">
      <c r="A42" s="8"/>
      <c r="B42" s="10"/>
      <c r="C42" s="10"/>
      <c r="D42" s="10"/>
      <c r="E42" s="10"/>
      <c r="F42" s="10"/>
      <c r="G42" s="10"/>
      <c r="H42" s="11"/>
    </row>
    <row r="43" spans="1:8">
      <c r="A43" s="8" t="s">
        <v>84</v>
      </c>
      <c r="B43" s="10">
        <v>85</v>
      </c>
      <c r="C43" s="10" t="s">
        <v>108</v>
      </c>
      <c r="D43" s="10" t="s">
        <v>85</v>
      </c>
      <c r="E43" s="10"/>
      <c r="F43" s="10"/>
      <c r="G43" s="10"/>
      <c r="H43" s="11"/>
    </row>
    <row r="44" spans="1:8">
      <c r="A44" s="8" t="s">
        <v>88</v>
      </c>
      <c r="B44" s="10">
        <f>'Потери в IGBT+Diode'!R51</f>
        <v>415.41099168931544</v>
      </c>
      <c r="C44" s="10" t="s">
        <v>6</v>
      </c>
      <c r="D44" s="10" t="s">
        <v>139</v>
      </c>
      <c r="E44" s="10"/>
      <c r="F44" s="10"/>
      <c r="G44" s="10"/>
      <c r="H44" s="11"/>
    </row>
    <row r="45" spans="1:8">
      <c r="A45" s="8" t="s">
        <v>136</v>
      </c>
      <c r="B45" s="10">
        <f>B27*B26</f>
        <v>157.01752400888876</v>
      </c>
      <c r="C45" s="10"/>
      <c r="D45" s="10" t="s">
        <v>141</v>
      </c>
      <c r="E45" s="10"/>
      <c r="F45" s="10"/>
      <c r="G45" s="10"/>
      <c r="H45" s="11"/>
    </row>
    <row r="46" spans="1:8">
      <c r="A46" s="8" t="s">
        <v>140</v>
      </c>
      <c r="B46" s="10">
        <f>B44+B45</f>
        <v>572.42851569820414</v>
      </c>
      <c r="C46" s="10"/>
      <c r="D46" s="10" t="s">
        <v>142</v>
      </c>
      <c r="E46" s="10"/>
      <c r="F46" s="10"/>
      <c r="G46" s="10"/>
      <c r="H46" s="11"/>
    </row>
    <row r="47" spans="1:8">
      <c r="A47" s="13"/>
      <c r="B47" s="14"/>
      <c r="C47" s="14"/>
      <c r="D47" s="14"/>
      <c r="E47" s="14"/>
      <c r="F47" s="14"/>
      <c r="G47" s="14"/>
      <c r="H47" s="15"/>
    </row>
    <row r="49" spans="1:7">
      <c r="A49" s="5" t="s">
        <v>1</v>
      </c>
    </row>
    <row r="51" spans="1:7">
      <c r="E51" s="23" t="s">
        <v>137</v>
      </c>
      <c r="G51" t="s">
        <v>99</v>
      </c>
    </row>
    <row r="53" spans="1:7">
      <c r="A53" s="2" t="s">
        <v>100</v>
      </c>
      <c r="B53" s="18">
        <f>B10*(B11+B19+B27)*B38+B43</f>
        <v>113.6214257849102</v>
      </c>
      <c r="C53" t="s">
        <v>108</v>
      </c>
    </row>
    <row r="56" spans="1:7">
      <c r="E56" s="23" t="s">
        <v>137</v>
      </c>
      <c r="G56" t="s">
        <v>106</v>
      </c>
    </row>
    <row r="57" spans="1:7">
      <c r="A57" s="17"/>
    </row>
    <row r="58" spans="1:7">
      <c r="A58" s="2" t="s">
        <v>107</v>
      </c>
      <c r="B58" s="18">
        <f>B11*B8+B19*B16+B53+B26*B27*B24</f>
        <v>146.61954661260978</v>
      </c>
      <c r="C58" t="s">
        <v>108</v>
      </c>
    </row>
    <row r="61" spans="1:7">
      <c r="E61" t="s">
        <v>109</v>
      </c>
    </row>
    <row r="62" spans="1:7" ht="15.75" thickBot="1"/>
    <row r="63" spans="1:7">
      <c r="A63" s="25" t="s">
        <v>10</v>
      </c>
      <c r="B63" s="26"/>
      <c r="C63" s="26"/>
      <c r="D63" s="27"/>
    </row>
    <row r="64" spans="1:7">
      <c r="A64" s="28" t="s">
        <v>98</v>
      </c>
      <c r="B64" s="29">
        <f>B11*B7+B58</f>
        <v>154.22349759568661</v>
      </c>
      <c r="C64" s="10" t="s">
        <v>108</v>
      </c>
      <c r="D64" s="30" t="s">
        <v>10</v>
      </c>
    </row>
    <row r="65" spans="1:4">
      <c r="A65" s="31"/>
      <c r="B65" s="10"/>
      <c r="C65" s="10"/>
      <c r="D65" s="30"/>
    </row>
    <row r="66" spans="1:4">
      <c r="A66" s="32" t="s">
        <v>68</v>
      </c>
      <c r="B66" s="10"/>
      <c r="C66" s="10"/>
      <c r="D66" s="30"/>
    </row>
    <row r="67" spans="1:4">
      <c r="A67" s="28" t="s">
        <v>98</v>
      </c>
      <c r="B67" s="29">
        <f>B19*B15+B58</f>
        <v>151.4405078818136</v>
      </c>
      <c r="C67" s="10" t="s">
        <v>108</v>
      </c>
      <c r="D67" s="30" t="s">
        <v>68</v>
      </c>
    </row>
    <row r="68" spans="1:4">
      <c r="A68" s="31"/>
      <c r="B68" s="10"/>
      <c r="C68" s="10"/>
      <c r="D68" s="30"/>
    </row>
    <row r="69" spans="1:4">
      <c r="A69" s="31"/>
      <c r="B69" s="10"/>
      <c r="C69" s="10"/>
      <c r="D69" s="30"/>
    </row>
    <row r="70" spans="1:4">
      <c r="A70" s="32" t="s">
        <v>138</v>
      </c>
      <c r="B70" s="10"/>
      <c r="C70" s="10"/>
      <c r="D70" s="30"/>
    </row>
    <row r="71" spans="1:4" ht="15.75" thickBot="1">
      <c r="A71" s="33" t="s">
        <v>98</v>
      </c>
      <c r="B71" s="34">
        <f>B27*B23+B58</f>
        <v>155.77890217979495</v>
      </c>
      <c r="C71" s="35" t="s">
        <v>108</v>
      </c>
      <c r="D71" s="36" t="s">
        <v>133</v>
      </c>
    </row>
    <row r="75" spans="1:4">
      <c r="A75" s="19"/>
      <c r="B75" t="s">
        <v>157</v>
      </c>
    </row>
    <row r="76" spans="1:4">
      <c r="A76" s="1"/>
      <c r="B76" t="s">
        <v>111</v>
      </c>
    </row>
    <row r="78" spans="1:4">
      <c r="A78" t="s">
        <v>156</v>
      </c>
    </row>
  </sheetData>
  <conditionalFormatting sqref="B64 B67 B71">
    <cfRule type="cellIs" dxfId="1" priority="6" operator="greaterThan">
      <formula>$B$17</formula>
    </cfRule>
  </conditionalFormatting>
  <conditionalFormatting sqref="B64 B71">
    <cfRule type="cellIs" dxfId="0" priority="3" operator="greaterThan">
      <formula>$B$9</formula>
    </cfRule>
  </conditionalFormatting>
  <hyperlinks>
    <hyperlink ref="D35" r:id="rId1"/>
    <hyperlink ref="D34" r:id="rId2"/>
  </hyperlinks>
  <pageMargins left="0.7" right="0.7" top="0.75" bottom="0.75" header="0.3" footer="0.3"/>
  <pageSetup paperSize="9" orientation="portrait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Потери в IGBT+Diode</vt:lpstr>
      <vt:lpstr>Потери в выпрямителе</vt:lpstr>
      <vt:lpstr>Тепловой расчет</vt:lpstr>
    </vt:vector>
  </TitlesOfParts>
  <Company>ZAO Diakont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Tihonov</dc:creator>
  <cp:lastModifiedBy>Tikhonov Eugene</cp:lastModifiedBy>
  <cp:lastPrinted>2018-05-18T07:40:58Z</cp:lastPrinted>
  <dcterms:created xsi:type="dcterms:W3CDTF">2017-12-25T11:57:50Z</dcterms:created>
  <dcterms:modified xsi:type="dcterms:W3CDTF">2020-04-20T19:00:19Z</dcterms:modified>
</cp:coreProperties>
</file>