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ElectroDrive\Регион рулевая машинка\4 Расчеты\"/>
    </mc:Choice>
  </mc:AlternateContent>
  <bookViews>
    <workbookView xWindow="120" yWindow="45" windowWidth="20370" windowHeight="8220" activeTab="3"/>
  </bookViews>
  <sheets>
    <sheet name="Потери в MOSFET" sheetId="1" r:id="rId1"/>
    <sheet name="Тепловой расчет" sheetId="2" r:id="rId2"/>
    <sheet name="Драйвер" sheetId="3" r:id="rId3"/>
    <sheet name="Защита" sheetId="4" r:id="rId4"/>
    <sheet name="27DVC" sheetId="5" r:id="rId5"/>
    <sheet name="15VDC" sheetId="6" r:id="rId6"/>
  </sheets>
  <calcPr calcId="152511"/>
  <customWorkbookViews>
    <customWorkbookView name="Tikhonov Eugene - Личное представление" guid="{816D1CF2-9F52-4523-8FA1-0974D3ADE14B}" mergeInterval="0" personalView="1" maximized="1" xWindow="1" yWindow="1" windowWidth="1200" windowHeight="625" activeSheetId="4"/>
    <customWorkbookView name="Eugene - Личное представление" guid="{950CAB42-9710-43B8-BF7F-ADDD586A9B87}" mergeInterval="0" personalView="1" yWindow="71" windowWidth="1593" windowHeight="766" activeSheetId="4"/>
  </customWorkbookViews>
</workbook>
</file>

<file path=xl/calcChain.xml><?xml version="1.0" encoding="utf-8"?>
<calcChain xmlns="http://schemas.openxmlformats.org/spreadsheetml/2006/main">
  <c r="B9" i="4" l="1"/>
  <c r="B6" i="4"/>
  <c r="B22" i="1" l="1"/>
  <c r="B23" i="1" s="1"/>
  <c r="B15" i="1"/>
  <c r="B13" i="1"/>
  <c r="B71" i="1" l="1"/>
  <c r="B34" i="1"/>
  <c r="B14" i="1" l="1"/>
  <c r="B76" i="1" s="1"/>
  <c r="B89" i="1" s="1"/>
  <c r="B12" i="1" l="1"/>
  <c r="B16" i="1" s="1"/>
  <c r="K39" i="3"/>
  <c r="B8" i="6" l="1"/>
  <c r="B11" i="6"/>
  <c r="B16" i="3" l="1"/>
  <c r="B21" i="1" l="1"/>
  <c r="B30" i="1" s="1"/>
  <c r="B34" i="4"/>
  <c r="B36" i="4" s="1"/>
  <c r="B32" i="4"/>
  <c r="B33" i="4" s="1"/>
  <c r="B9" i="5" l="1"/>
  <c r="B29" i="1"/>
  <c r="B11" i="4" l="1"/>
  <c r="B29" i="3"/>
  <c r="B25" i="3"/>
  <c r="B8" i="3"/>
  <c r="K8" i="3" s="1"/>
  <c r="K9" i="3" s="1"/>
  <c r="B17" i="4" l="1"/>
  <c r="B24" i="4"/>
  <c r="B23" i="3"/>
  <c r="K20" i="3"/>
  <c r="B22" i="3"/>
  <c r="B18" i="3"/>
  <c r="B17" i="3"/>
  <c r="B9" i="3"/>
  <c r="B11" i="3"/>
  <c r="B26" i="4" l="1"/>
  <c r="K18" i="3"/>
  <c r="K30" i="3"/>
  <c r="K29" i="3"/>
  <c r="K12" i="3"/>
  <c r="B38" i="1"/>
  <c r="B44" i="1" s="1"/>
  <c r="B8" i="2"/>
  <c r="B7" i="2"/>
  <c r="B50" i="1"/>
  <c r="B48" i="1"/>
  <c r="B36" i="1"/>
  <c r="B83" i="1" s="1"/>
  <c r="B95" i="1" s="1"/>
  <c r="K31" i="3" l="1"/>
  <c r="K32" i="3"/>
  <c r="K28" i="3"/>
  <c r="K13" i="3"/>
  <c r="B10" i="3"/>
  <c r="K27" i="3" s="1"/>
  <c r="K38" i="3"/>
  <c r="B7" i="4"/>
  <c r="B20" i="4" l="1"/>
  <c r="B37" i="1"/>
  <c r="B19" i="4"/>
  <c r="B49" i="1"/>
  <c r="F67" i="1" l="1"/>
  <c r="J67" i="1" s="1"/>
  <c r="B11" i="2" l="1"/>
  <c r="B25" i="2" s="1"/>
</calcChain>
</file>

<file path=xl/comments1.xml><?xml version="1.0" encoding="utf-8"?>
<comments xmlns="http://schemas.openxmlformats.org/spreadsheetml/2006/main">
  <authors>
    <author>Eugene</author>
  </authors>
  <commentList>
    <comment ref="B29" authorId="0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исходя из возможностей мотора</t>
        </r>
      </text>
    </comment>
    <comment ref="B30" authorId="0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из расчета Дрюкова</t>
        </r>
      </text>
    </comment>
    <comment ref="B74" authorId="0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при 120 градусной коммутации</t>
        </r>
      </text>
    </comment>
  </commentList>
</comments>
</file>

<file path=xl/comments2.xml><?xml version="1.0" encoding="utf-8"?>
<comments xmlns="http://schemas.openxmlformats.org/spreadsheetml/2006/main">
  <authors>
    <author>Tikhonov Eugene</author>
  </authors>
  <commentList>
    <comment ref="B25" authorId="0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</commentList>
</comments>
</file>

<file path=xl/comments3.xml><?xml version="1.0" encoding="utf-8"?>
<comments xmlns="http://schemas.openxmlformats.org/spreadsheetml/2006/main">
  <authors>
    <author>Tikhonov Eugene</author>
    <author>Eugene</author>
  </authors>
  <commentList>
    <comment ref="K12" authorId="0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хорошо, когда 70-80% от номинала микросхемы, чтобы гарантированно не было защелкивания драйвера
по Семенову и IR</t>
        </r>
      </text>
    </comment>
    <comment ref="J20" authorId="0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E.S.R. = tg ∂ / (2•pi•f•C)</t>
        </r>
      </text>
    </comment>
    <comment ref="J29" authorId="1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0.5*Qg*fsw*Vf</t>
        </r>
      </text>
    </comment>
    <comment ref="J30" authorId="1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Vdd-Vf / Idboot</t>
        </r>
      </text>
    </comment>
    <comment ref="J38" authorId="0" shape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Qg*Rg/Ug</t>
        </r>
      </text>
    </comment>
    <comment ref="J39" authorId="1" shape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Tdead = [(Td_off_max - Td_on_min) + (Tpdd_max - Tpdd_min)]x1.2</t>
        </r>
      </text>
    </comment>
  </commentList>
</comments>
</file>

<file path=xl/sharedStrings.xml><?xml version="1.0" encoding="utf-8"?>
<sst xmlns="http://schemas.openxmlformats.org/spreadsheetml/2006/main" count="358" uniqueCount="263">
  <si>
    <t>F=</t>
  </si>
  <si>
    <t>Расчеты</t>
  </si>
  <si>
    <t>Исходные данные</t>
  </si>
  <si>
    <t>V</t>
  </si>
  <si>
    <t>W</t>
  </si>
  <si>
    <t>N=</t>
  </si>
  <si>
    <t>частота ШИМ</t>
  </si>
  <si>
    <t>A</t>
  </si>
  <si>
    <t>Uce=</t>
  </si>
  <si>
    <t>Uline=</t>
  </si>
  <si>
    <t>Qg=</t>
  </si>
  <si>
    <t>Rg=</t>
  </si>
  <si>
    <t>Ом</t>
  </si>
  <si>
    <t>Hz</t>
  </si>
  <si>
    <t>Vfm</t>
  </si>
  <si>
    <t>падение на антипараллельном диоде</t>
  </si>
  <si>
    <t>Ifm</t>
  </si>
  <si>
    <t>средний ток диода</t>
  </si>
  <si>
    <t>Dm=</t>
  </si>
  <si>
    <t>cosfi=</t>
  </si>
  <si>
    <t>косинус угла между током и напряжением</t>
  </si>
  <si>
    <t>Kpow=</t>
  </si>
  <si>
    <t>коэфф. запаса по мощности</t>
  </si>
  <si>
    <t>Расчеты:</t>
  </si>
  <si>
    <t>Psumm=</t>
  </si>
  <si>
    <t>Pd=</t>
  </si>
  <si>
    <t>Psw=</t>
  </si>
  <si>
    <t>1.3 Суммарные потери</t>
  </si>
  <si>
    <t>Pdm=</t>
  </si>
  <si>
    <t>Для приблизительной оценки мощности потерь в режиме синусоидальной модуляции можно восопользоваться рекомендациями фирмы Mitsubishi</t>
  </si>
  <si>
    <t>ссылка</t>
  </si>
  <si>
    <t>1.1 Статические потери 1-го ключа</t>
  </si>
  <si>
    <t>резистор затвора (внешний + внутренний)</t>
  </si>
  <si>
    <t>Diode</t>
  </si>
  <si>
    <t>Other</t>
  </si>
  <si>
    <t>глубина модуляции</t>
  </si>
  <si>
    <t>RthJC</t>
  </si>
  <si>
    <t>максимальная рабочая температура кристалла</t>
  </si>
  <si>
    <t>Tamb=</t>
  </si>
  <si>
    <t>температура окр. воздуха</t>
  </si>
  <si>
    <t>Tj op=</t>
  </si>
  <si>
    <t>Tj=</t>
  </si>
  <si>
    <t>ns=</t>
  </si>
  <si>
    <t>Ptr=</t>
  </si>
  <si>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charset val="204"/>
        <scheme val="minor"/>
      </rPr>
      <t>С</t>
    </r>
  </si>
  <si>
    <t>Тепловой расчет по методике Semicron-Semisel</t>
  </si>
  <si>
    <t>перегрев (Tj&gt;150)</t>
  </si>
  <si>
    <t>Pfactor=</t>
  </si>
  <si>
    <t>коэфф. перегрузки</t>
  </si>
  <si>
    <t>нормально* (Tj&lt;150)</t>
  </si>
  <si>
    <t>транзисторы</t>
  </si>
  <si>
    <t>MOSFET</t>
  </si>
  <si>
    <t>Rds=</t>
  </si>
  <si>
    <t>ta=</t>
  </si>
  <si>
    <t>s</t>
  </si>
  <si>
    <t>trr=</t>
  </si>
  <si>
    <t>reverse recovery time</t>
  </si>
  <si>
    <t>Qrr=</t>
  </si>
  <si>
    <t>C</t>
  </si>
  <si>
    <t>recovered charge</t>
  </si>
  <si>
    <t>кол-во одновременно работающих ключей в инверторе</t>
  </si>
  <si>
    <t>1. Потери MOSFET</t>
  </si>
  <si>
    <t>1.2 Динамические потери с учетом тока обратного диода</t>
  </si>
  <si>
    <t>2П7169Б91 Ангстрем</t>
  </si>
  <si>
    <t xml:space="preserve">аналог: </t>
  </si>
  <si>
    <t>IRF1310NS</t>
  </si>
  <si>
    <t>падение на переходе MOSFET</t>
  </si>
  <si>
    <t>Pone=</t>
  </si>
  <si>
    <t>°С/W</t>
  </si>
  <si>
    <t>кол-во ключей</t>
  </si>
  <si>
    <t>потери в одном транзисторе (+diode)</t>
  </si>
  <si>
    <t>RthJA</t>
  </si>
  <si>
    <t>Thermalresistance,junction-to-ambient</t>
  </si>
  <si>
    <t>Thermalresistance,junctiontocase (не используется)</t>
  </si>
  <si>
    <t>°С</t>
  </si>
  <si>
    <t>температура кристалла</t>
  </si>
  <si>
    <t>Ig=</t>
  </si>
  <si>
    <t>Ugs=</t>
  </si>
  <si>
    <t>Pупр=</t>
  </si>
  <si>
    <t>движок</t>
  </si>
  <si>
    <t>Nm</t>
  </si>
  <si>
    <t>Расчет требуемого тока для управления ключами</t>
  </si>
  <si>
    <t>Qg =</t>
  </si>
  <si>
    <t>total gate charge</t>
  </si>
  <si>
    <t xml:space="preserve">Ug = </t>
  </si>
  <si>
    <t>gate voltage</t>
  </si>
  <si>
    <t>f =</t>
  </si>
  <si>
    <t>PWM</t>
  </si>
  <si>
    <t xml:space="preserve"> </t>
  </si>
  <si>
    <t>Вт</t>
  </si>
  <si>
    <t>Iqbs=</t>
  </si>
  <si>
    <t>Icbs=</t>
  </si>
  <si>
    <t>bootstrap capacitor leakage current</t>
  </si>
  <si>
    <t>Qls=</t>
  </si>
  <si>
    <t>level shift charge required per cycle</t>
  </si>
  <si>
    <t>Vcc=</t>
  </si>
  <si>
    <t>Logic section voltage source</t>
  </si>
  <si>
    <t>Vf=</t>
  </si>
  <si>
    <t>Forward voltage drop across the bootstrap diode</t>
  </si>
  <si>
    <t>Vls=</t>
  </si>
  <si>
    <t>Voltage drop across the low-side FET or load</t>
  </si>
  <si>
    <t>Vmin=</t>
  </si>
  <si>
    <t>Cbs=</t>
  </si>
  <si>
    <t>k=</t>
  </si>
  <si>
    <t>mkF</t>
  </si>
  <si>
    <t>VBS supply undervoltage positive going threshold</t>
  </si>
  <si>
    <t>Prgg=</t>
  </si>
  <si>
    <t>средняя мощность драйвера</t>
  </si>
  <si>
    <t>средняя мощность на Rgg</t>
  </si>
  <si>
    <t>Ohm</t>
  </si>
  <si>
    <t>gate resistor</t>
  </si>
  <si>
    <t>Затворный резистор</t>
  </si>
  <si>
    <t>Bootstrap Capacitor * k</t>
  </si>
  <si>
    <t>пиковый ток через Rg</t>
  </si>
  <si>
    <t>Vrpm=</t>
  </si>
  <si>
    <t>max trr=</t>
  </si>
  <si>
    <t>ns</t>
  </si>
  <si>
    <t>If=</t>
  </si>
  <si>
    <t>Qbs=</t>
  </si>
  <si>
    <t>minimum charge for bootstrap capacitor</t>
  </si>
  <si>
    <t>mA</t>
  </si>
  <si>
    <t>reverse voltage</t>
  </si>
  <si>
    <t>Динамика</t>
  </si>
  <si>
    <t>ton(off)=</t>
  </si>
  <si>
    <t>время включения(выкл) MOSFET</t>
  </si>
  <si>
    <t>2. Суммарные потери на ключе</t>
  </si>
  <si>
    <t>3. Суммарные потери на инверторе</t>
  </si>
  <si>
    <t>Ig/Icc=</t>
  </si>
  <si>
    <t>%</t>
  </si>
  <si>
    <t>Iic=</t>
  </si>
  <si>
    <t>driver nominal current</t>
  </si>
  <si>
    <t>процент от номинала драйвера</t>
  </si>
  <si>
    <r>
      <t xml:space="preserve">* рекомендуемая температура кристалла &lt;120-125 </t>
    </r>
    <r>
      <rPr>
        <sz val="11"/>
        <color theme="1"/>
        <rFont val="Calibri"/>
        <family val="2"/>
        <charset val="204"/>
      </rPr>
      <t>°C //по Колпакову</t>
    </r>
  </si>
  <si>
    <t>Пример использования здесь: ИТЦЯ.468362.049</t>
  </si>
  <si>
    <t>ESR =</t>
  </si>
  <si>
    <t>tan=</t>
  </si>
  <si>
    <t>тангенс угла потерь bootstrap cap</t>
  </si>
  <si>
    <t>конденсатора</t>
  </si>
  <si>
    <t>Prg=</t>
  </si>
  <si>
    <t>peak gate res power</t>
  </si>
  <si>
    <t>Расчет аппаратной защиты ключей по току</t>
  </si>
  <si>
    <t>Файл расчетов силовой части по проекту id5351 Регион</t>
  </si>
  <si>
    <t>Тихонов Е. 03.11.19</t>
  </si>
  <si>
    <t>Ipeak=</t>
  </si>
  <si>
    <t>I_LIM=</t>
  </si>
  <si>
    <t>Inom=</t>
  </si>
  <si>
    <t>номинальный ток (RMS)</t>
  </si>
  <si>
    <t>пиковый ток (peak)</t>
  </si>
  <si>
    <t>сраб. Защиты (peak)</t>
  </si>
  <si>
    <t>Rshunt=</t>
  </si>
  <si>
    <t>шунт на ток</t>
  </si>
  <si>
    <t>Usense=</t>
  </si>
  <si>
    <t>Pres_max=</t>
  </si>
  <si>
    <t>В</t>
  </si>
  <si>
    <t>Pres_nom=</t>
  </si>
  <si>
    <t>R1=</t>
  </si>
  <si>
    <t>R2=</t>
  </si>
  <si>
    <t>рез. ОС ОУ</t>
  </si>
  <si>
    <t>входной ОУ</t>
  </si>
  <si>
    <t>G=</t>
  </si>
  <si>
    <t>усиление</t>
  </si>
  <si>
    <t>Uadc=</t>
  </si>
  <si>
    <t>Isense=</t>
  </si>
  <si>
    <t>Driver Quiescent VBS supply current</t>
  </si>
  <si>
    <t>Pdboot=</t>
  </si>
  <si>
    <t>мощность потерь</t>
  </si>
  <si>
    <t>Rboot=</t>
  </si>
  <si>
    <t>Idboot=</t>
  </si>
  <si>
    <t>boot diode max current</t>
  </si>
  <si>
    <t>limit resistor</t>
  </si>
  <si>
    <t>Prboot=</t>
  </si>
  <si>
    <t>мощность на limit resistor</t>
  </si>
  <si>
    <t>tcharge=</t>
  </si>
  <si>
    <t>mks</t>
  </si>
  <si>
    <t>время заряда Cbs</t>
  </si>
  <si>
    <t>T=</t>
  </si>
  <si>
    <t>мкс</t>
  </si>
  <si>
    <t>период ШИМ</t>
  </si>
  <si>
    <t>Pmot=</t>
  </si>
  <si>
    <t>средний ток через диод</t>
  </si>
  <si>
    <t>Ifpeak=</t>
  </si>
  <si>
    <t>пиковый ток черед диод</t>
  </si>
  <si>
    <t>Цепь измерения напряжения DC-bus</t>
  </si>
  <si>
    <t>Udc=</t>
  </si>
  <si>
    <t>Udac=</t>
  </si>
  <si>
    <t>напряжение в ЗПТ</t>
  </si>
  <si>
    <t>делитель</t>
  </si>
  <si>
    <t>запас. The rule of thumb from IR</t>
  </si>
  <si>
    <t>Делитель для компаратора</t>
  </si>
  <si>
    <t>Vref=</t>
  </si>
  <si>
    <t>опора компаратора</t>
  </si>
  <si>
    <t>max Vinput common range</t>
  </si>
  <si>
    <t>Vic=</t>
  </si>
  <si>
    <t>Vref+=</t>
  </si>
  <si>
    <t>ref for voltage devider</t>
  </si>
  <si>
    <t>нижнее плечо делителя</t>
  </si>
  <si>
    <t>верхнее плечо делителя</t>
  </si>
  <si>
    <t>питание компаратора</t>
  </si>
  <si>
    <t>Pmmax=</t>
  </si>
  <si>
    <t>пиковая мощн. Движка (из расчета Дрюкова)</t>
  </si>
  <si>
    <t>I27_rated=</t>
  </si>
  <si>
    <t>I27_max=</t>
  </si>
  <si>
    <t>Цепь измерения напряжения питания драйверов</t>
  </si>
  <si>
    <t>для самодиагностики</t>
  </si>
  <si>
    <t>Dead time =</t>
  </si>
  <si>
    <t>Бутстрепный конденсатор</t>
  </si>
  <si>
    <t>Бутстрепный диод</t>
  </si>
  <si>
    <t>методика расчета dead time здесь</t>
  </si>
  <si>
    <t>напряжение</t>
  </si>
  <si>
    <t>R15=</t>
  </si>
  <si>
    <t>R18=</t>
  </si>
  <si>
    <t>Td_off_max=</t>
  </si>
  <si>
    <t>Td_on_min=</t>
  </si>
  <si>
    <t>max turn off delay time (transistor)</t>
  </si>
  <si>
    <t>min turn on delay time (transistor)</t>
  </si>
  <si>
    <t>Tpdd_max=</t>
  </si>
  <si>
    <t>Tpdd_min=</t>
  </si>
  <si>
    <t>Driver max propogation delay</t>
  </si>
  <si>
    <t>Driver min propogation delay</t>
  </si>
  <si>
    <t>JCM38x12 @24Vdc "KUBO"</t>
  </si>
  <si>
    <t>//Артем Бормотов</t>
  </si>
  <si>
    <t>сопротивление перехода транзистора  (из  в pdf)</t>
  </si>
  <si>
    <t>номинальное потребление блока управления по 27V</t>
  </si>
  <si>
    <t>максимальное потребление блока управления по 27V в приводе</t>
  </si>
  <si>
    <t>turn-on delay time@Rg транзистора</t>
  </si>
  <si>
    <t>total gate charge транзистора</t>
  </si>
  <si>
    <t>напряжение на затворе транзистора</t>
  </si>
  <si>
    <t>Драйвер 1308ЕУ4БУ КремнийЭл (IR2113)</t>
  </si>
  <si>
    <t>Arms</t>
  </si>
  <si>
    <t>Tmax =</t>
  </si>
  <si>
    <t>Tr =</t>
  </si>
  <si>
    <t>Двигатель</t>
  </si>
  <si>
    <t>Ir=</t>
  </si>
  <si>
    <t>Adc</t>
  </si>
  <si>
    <t>Nm/Adc</t>
  </si>
  <si>
    <t>Kt=</t>
  </si>
  <si>
    <t>Torque constant, Kt (@Tamb, ±10%)</t>
  </si>
  <si>
    <t>Rated current движка (из pdf)</t>
  </si>
  <si>
    <t>Peak current движка (из pdf)</t>
  </si>
  <si>
    <t>Peak torque движка (из pdf)</t>
  </si>
  <si>
    <t>Rated torque движка (из pdf)</t>
  </si>
  <si>
    <t>Нагрузка</t>
  </si>
  <si>
    <t>номинальная мощность двигателя из pdf</t>
  </si>
  <si>
    <t>Tavr=</t>
  </si>
  <si>
    <t>средний момент на движке  (из расчета Дрюкова)</t>
  </si>
  <si>
    <t>Электропитание</t>
  </si>
  <si>
    <t>минимальное напряжение сети</t>
  </si>
  <si>
    <t>Vdc</t>
  </si>
  <si>
    <t>Irms=</t>
  </si>
  <si>
    <t>RMS ток нагрузки</t>
  </si>
  <si>
    <t>Тип коммутации</t>
  </si>
  <si>
    <t>120 градусная, трапецеидальная ЭДС</t>
  </si>
  <si>
    <t>Id</t>
  </si>
  <si>
    <t>Vdss</t>
  </si>
  <si>
    <r>
      <t>Continious Drain current @Tc=100</t>
    </r>
    <r>
      <rPr>
        <sz val="11"/>
        <color theme="1"/>
        <rFont val="Calibri"/>
        <family val="2"/>
        <charset val="204"/>
      </rPr>
      <t>°C (из pdf)</t>
    </r>
  </si>
  <si>
    <t>max drain-source voltage (из pdf)</t>
  </si>
  <si>
    <t>Qgs2=</t>
  </si>
  <si>
    <t>Qgd=</t>
  </si>
  <si>
    <t>Токи</t>
  </si>
  <si>
    <t xml:space="preserve">Idav = </t>
  </si>
  <si>
    <t>ток через транзистор</t>
  </si>
  <si>
    <t>Iavr=</t>
  </si>
  <si>
    <t>средний ток нагрузки  (из расчета Дрюкова)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</si>
</sst>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"/>
    <numFmt numFmtId="165" formatCode="0.0000"/>
    <numFmt numFmtId="166" formatCode="0.00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1" applyBorder="1" applyAlignment="1" applyProtection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4" borderId="0" xfId="0" applyFill="1"/>
    <xf numFmtId="0" fontId="0" fillId="0" borderId="4" xfId="0" applyFill="1" applyBorder="1"/>
    <xf numFmtId="0" fontId="0" fillId="0" borderId="0" xfId="0" applyFill="1" applyBorder="1"/>
    <xf numFmtId="0" fontId="0" fillId="0" borderId="0" xfId="0" quotePrefix="1"/>
    <xf numFmtId="0" fontId="1" fillId="3" borderId="0" xfId="0" applyFont="1" applyFill="1"/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right" vertical="top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7" fillId="0" borderId="0" xfId="0" applyFont="1"/>
    <xf numFmtId="0" fontId="0" fillId="0" borderId="0" xfId="0" applyAlignment="1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2" fontId="0" fillId="5" borderId="0" xfId="0" applyNumberFormat="1" applyFill="1"/>
    <xf numFmtId="0" fontId="1" fillId="0" borderId="4" xfId="0" applyFont="1" applyBorder="1"/>
    <xf numFmtId="0" fontId="0" fillId="0" borderId="4" xfId="0" applyFont="1" applyBorder="1"/>
  </cellXfs>
  <cellStyles count="2">
    <cellStyle name="Гиперссылка" xfId="1" builtinId="8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92</xdr:row>
      <xdr:rowOff>0</xdr:rowOff>
    </xdr:from>
    <xdr:to>
      <xdr:col>0</xdr:col>
      <xdr:colOff>609600</xdr:colOff>
      <xdr:row>93</xdr:row>
      <xdr:rowOff>76200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239500"/>
          <a:ext cx="90487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609600</xdr:colOff>
      <xdr:row>81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572500"/>
          <a:ext cx="1257300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86</xdr:row>
      <xdr:rowOff>19050</xdr:rowOff>
    </xdr:from>
    <xdr:to>
      <xdr:col>0</xdr:col>
      <xdr:colOff>695325</xdr:colOff>
      <xdr:row>87</xdr:row>
      <xdr:rowOff>95250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0115550"/>
          <a:ext cx="188595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904875</xdr:colOff>
      <xdr:row>93</xdr:row>
      <xdr:rowOff>76200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239500"/>
          <a:ext cx="90487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</xdr:colOff>
      <xdr:row>80</xdr:row>
      <xdr:rowOff>0</xdr:rowOff>
    </xdr:from>
    <xdr:to>
      <xdr:col>0</xdr:col>
      <xdr:colOff>1285875</xdr:colOff>
      <xdr:row>81</xdr:row>
      <xdr:rowOff>114300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" y="13144500"/>
          <a:ext cx="1257300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86</xdr:row>
      <xdr:rowOff>19050</xdr:rowOff>
    </xdr:from>
    <xdr:to>
      <xdr:col>1</xdr:col>
      <xdr:colOff>85725</xdr:colOff>
      <xdr:row>87</xdr:row>
      <xdr:rowOff>95250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0115550"/>
          <a:ext cx="188595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600075</xdr:colOff>
      <xdr:row>3</xdr:row>
      <xdr:rowOff>28870</xdr:rowOff>
    </xdr:from>
    <xdr:to>
      <xdr:col>21</xdr:col>
      <xdr:colOff>103930</xdr:colOff>
      <xdr:row>32</xdr:row>
      <xdr:rowOff>151548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43950" y="600370"/>
          <a:ext cx="5599855" cy="5647178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35</xdr:row>
      <xdr:rowOff>171450</xdr:rowOff>
    </xdr:from>
    <xdr:to>
      <xdr:col>17</xdr:col>
      <xdr:colOff>494852</xdr:colOff>
      <xdr:row>60</xdr:row>
      <xdr:rowOff>18474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01100" y="6648450"/>
          <a:ext cx="3580952" cy="46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552450</xdr:colOff>
      <xdr:row>35</xdr:row>
      <xdr:rowOff>161925</xdr:rowOff>
    </xdr:from>
    <xdr:to>
      <xdr:col>23</xdr:col>
      <xdr:colOff>485326</xdr:colOff>
      <xdr:row>50</xdr:row>
      <xdr:rowOff>18711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39650" y="6638925"/>
          <a:ext cx="3590476" cy="271428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26</xdr:col>
      <xdr:colOff>247238</xdr:colOff>
      <xdr:row>15</xdr:row>
      <xdr:rowOff>114095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325600" y="1333500"/>
          <a:ext cx="3295238" cy="1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67</xdr:row>
      <xdr:rowOff>142875</xdr:rowOff>
    </xdr:from>
    <xdr:to>
      <xdr:col>0</xdr:col>
      <xdr:colOff>1133475</xdr:colOff>
      <xdr:row>69</xdr:row>
      <xdr:rowOff>178627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0" y="12715875"/>
          <a:ext cx="1038225" cy="41675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72</xdr:row>
      <xdr:rowOff>28575</xdr:rowOff>
    </xdr:from>
    <xdr:to>
      <xdr:col>0</xdr:col>
      <xdr:colOff>1647825</xdr:colOff>
      <xdr:row>74</xdr:row>
      <xdr:rowOff>40767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" y="13554075"/>
          <a:ext cx="1638300" cy="3931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21</xdr:col>
      <xdr:colOff>419100</xdr:colOff>
      <xdr:row>43</xdr:row>
      <xdr:rowOff>76200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068550"/>
          <a:ext cx="13592175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1</xdr:row>
      <xdr:rowOff>171450</xdr:rowOff>
    </xdr:from>
    <xdr:to>
      <xdr:col>20</xdr:col>
      <xdr:colOff>533400</xdr:colOff>
      <xdr:row>14</xdr:row>
      <xdr:rowOff>106203</xdr:rowOff>
    </xdr:to>
    <xdr:pic>
      <xdr:nvPicPr>
        <xdr:cNvPr id="1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86450" y="361950"/>
          <a:ext cx="7210425" cy="2411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600075</xdr:colOff>
      <xdr:row>7</xdr:row>
      <xdr:rowOff>9525</xdr:rowOff>
    </xdr:from>
    <xdr:to>
      <xdr:col>17</xdr:col>
      <xdr:colOff>399827</xdr:colOff>
      <xdr:row>8</xdr:row>
      <xdr:rowOff>167758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29900" y="1343025"/>
          <a:ext cx="1018952" cy="348733"/>
        </a:xfrm>
        <a:prstGeom prst="rect">
          <a:avLst/>
        </a:prstGeom>
      </xdr:spPr>
    </xdr:pic>
    <xdr:clientData/>
  </xdr:twoCellAnchor>
  <xdr:twoCellAnchor editAs="oneCell">
    <xdr:from>
      <xdr:col>16</xdr:col>
      <xdr:colOff>19049</xdr:colOff>
      <xdr:row>15</xdr:row>
      <xdr:rowOff>85726</xdr:rowOff>
    </xdr:from>
    <xdr:to>
      <xdr:col>20</xdr:col>
      <xdr:colOff>123824</xdr:colOff>
      <xdr:row>19</xdr:row>
      <xdr:rowOff>128614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58474" y="2943226"/>
          <a:ext cx="2543175" cy="8048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9525</xdr:colOff>
      <xdr:row>19</xdr:row>
      <xdr:rowOff>142466</xdr:rowOff>
    </xdr:from>
    <xdr:to>
      <xdr:col>25</xdr:col>
      <xdr:colOff>381000</xdr:colOff>
      <xdr:row>30</xdr:row>
      <xdr:rowOff>66675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648950" y="3761966"/>
          <a:ext cx="5857875" cy="20197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9524</xdr:colOff>
      <xdr:row>32</xdr:row>
      <xdr:rowOff>9525</xdr:rowOff>
    </xdr:from>
    <xdr:to>
      <xdr:col>27</xdr:col>
      <xdr:colOff>285749</xdr:colOff>
      <xdr:row>48</xdr:row>
      <xdr:rowOff>100068</xdr:rowOff>
    </xdr:to>
    <xdr:pic>
      <xdr:nvPicPr>
        <xdr:cNvPr id="410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648949" y="6105525"/>
          <a:ext cx="6981825" cy="31385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57150</xdr:colOff>
      <xdr:row>40</xdr:row>
      <xdr:rowOff>171450</xdr:rowOff>
    </xdr:from>
    <xdr:to>
      <xdr:col>15</xdr:col>
      <xdr:colOff>533400</xdr:colOff>
      <xdr:row>51</xdr:row>
      <xdr:rowOff>98187</xdr:rowOff>
    </xdr:to>
    <xdr:pic>
      <xdr:nvPicPr>
        <xdr:cNvPr id="410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29250" y="7791450"/>
          <a:ext cx="5133975" cy="20222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1</xdr:row>
      <xdr:rowOff>171450</xdr:rowOff>
    </xdr:from>
    <xdr:to>
      <xdr:col>15</xdr:col>
      <xdr:colOff>294600</xdr:colOff>
      <xdr:row>15</xdr:row>
      <xdr:rowOff>47307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76750" y="361950"/>
          <a:ext cx="5400000" cy="2542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17</xdr:col>
      <xdr:colOff>122971</xdr:colOff>
      <xdr:row>18</xdr:row>
      <xdr:rowOff>161524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57600" y="381000"/>
          <a:ext cx="6828571" cy="32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</xdr:row>
      <xdr:rowOff>19050</xdr:rowOff>
    </xdr:from>
    <xdr:to>
      <xdr:col>14</xdr:col>
      <xdr:colOff>199395</xdr:colOff>
      <xdr:row>26</xdr:row>
      <xdr:rowOff>189883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209550"/>
          <a:ext cx="5038095" cy="4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itsubishielectric.com/semiconductors/files/manuals/powermos3_0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Infineon-Deadtime_calculation_for_IGBT_modules-ApplicationNotes-v01_00-EN.pdf?fileId=db3a30431a5c32f2011a5daefc41005b" TargetMode="External"/><Relationship Id="rId7" Type="http://schemas.openxmlformats.org/officeDocument/2006/relationships/comments" Target="../comments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S95"/>
  <sheetViews>
    <sheetView topLeftCell="A49" workbookViewId="0">
      <selection activeCell="B71" sqref="B71"/>
    </sheetView>
  </sheetViews>
  <sheetFormatPr defaultRowHeight="15" x14ac:dyDescent="0.25"/>
  <cols>
    <col min="1" max="1" width="27" customWidth="1"/>
    <col min="2" max="2" width="12" bestFit="1" customWidth="1"/>
    <col min="3" max="3" width="10.42578125" customWidth="1"/>
    <col min="6" max="6" width="10" bestFit="1" customWidth="1"/>
  </cols>
  <sheetData>
    <row r="1" spans="1:11" x14ac:dyDescent="0.25">
      <c r="A1" t="s">
        <v>141</v>
      </c>
    </row>
    <row r="2" spans="1:11" x14ac:dyDescent="0.25">
      <c r="A2" t="s">
        <v>142</v>
      </c>
    </row>
    <row r="4" spans="1:11" x14ac:dyDescent="0.25">
      <c r="A4" s="15" t="s">
        <v>2</v>
      </c>
      <c r="B4" s="5"/>
      <c r="C4" s="5"/>
      <c r="D4" s="5"/>
      <c r="E4" s="5"/>
      <c r="F4" s="5"/>
      <c r="G4" s="5"/>
      <c r="H4" s="5"/>
      <c r="I4" s="5"/>
      <c r="J4" s="5"/>
      <c r="K4" s="6"/>
    </row>
    <row r="5" spans="1:11" x14ac:dyDescent="0.25">
      <c r="A5" s="7" t="s">
        <v>50</v>
      </c>
      <c r="B5" s="8"/>
      <c r="C5" s="9" t="s">
        <v>63</v>
      </c>
      <c r="D5" s="9"/>
      <c r="E5" s="9"/>
      <c r="F5" s="9"/>
      <c r="G5" s="9"/>
      <c r="H5" s="9"/>
      <c r="I5" s="9"/>
      <c r="J5" s="9"/>
      <c r="K5" s="10"/>
    </row>
    <row r="6" spans="1:11" x14ac:dyDescent="0.25">
      <c r="A6" s="7"/>
      <c r="B6" s="9"/>
      <c r="C6" s="9" t="s">
        <v>64</v>
      </c>
      <c r="D6" s="9" t="s">
        <v>65</v>
      </c>
      <c r="E6" s="9"/>
      <c r="F6" s="9"/>
      <c r="G6" s="9"/>
      <c r="H6" s="9"/>
      <c r="I6" s="9"/>
      <c r="J6" s="9"/>
      <c r="K6" s="10"/>
    </row>
    <row r="7" spans="1:11" x14ac:dyDescent="0.25">
      <c r="A7" s="7" t="s">
        <v>79</v>
      </c>
      <c r="B7" s="9"/>
      <c r="C7" s="9" t="s">
        <v>219</v>
      </c>
      <c r="D7" s="9"/>
      <c r="E7" s="9"/>
      <c r="F7" s="9" t="s">
        <v>220</v>
      </c>
      <c r="G7" s="9"/>
      <c r="H7" s="9"/>
      <c r="I7" s="9"/>
      <c r="J7" s="9"/>
      <c r="K7" s="10"/>
    </row>
    <row r="8" spans="1:11" x14ac:dyDescent="0.25">
      <c r="A8" s="18" t="s">
        <v>250</v>
      </c>
      <c r="B8" s="9"/>
      <c r="C8" s="18" t="s">
        <v>251</v>
      </c>
      <c r="D8" s="9"/>
      <c r="E8" s="9"/>
      <c r="F8" s="9"/>
      <c r="G8" s="9"/>
      <c r="H8" s="9"/>
      <c r="I8" s="9"/>
      <c r="J8" s="9"/>
      <c r="K8" s="10"/>
    </row>
    <row r="9" spans="1:11" x14ac:dyDescent="0.25">
      <c r="B9" s="9"/>
      <c r="C9" s="9"/>
      <c r="D9" s="9"/>
      <c r="E9" s="9"/>
      <c r="F9" s="9"/>
      <c r="G9" s="9"/>
      <c r="H9" s="9"/>
      <c r="I9" s="9"/>
      <c r="J9" s="9"/>
      <c r="K9" s="10"/>
    </row>
    <row r="10" spans="1:11" x14ac:dyDescent="0.25">
      <c r="A10" s="11" t="s">
        <v>231</v>
      </c>
      <c r="B10" s="9"/>
      <c r="C10" s="9"/>
      <c r="D10" s="9"/>
      <c r="E10" s="9"/>
      <c r="F10" s="9"/>
      <c r="G10" s="9"/>
      <c r="H10" s="9"/>
      <c r="I10" s="9"/>
      <c r="J10" s="9"/>
      <c r="K10" s="10"/>
    </row>
    <row r="11" spans="1:11" x14ac:dyDescent="0.25">
      <c r="A11" s="11"/>
      <c r="B11" s="9"/>
      <c r="C11" s="9"/>
      <c r="D11" s="9"/>
      <c r="E11" s="9"/>
      <c r="F11" s="9"/>
      <c r="G11" s="9"/>
      <c r="H11" s="9"/>
      <c r="I11" s="9"/>
      <c r="J11" s="9"/>
      <c r="K11" s="10"/>
    </row>
    <row r="12" spans="1:11" x14ac:dyDescent="0.25">
      <c r="A12" s="7" t="s">
        <v>229</v>
      </c>
      <c r="B12" s="9">
        <f>0.403</f>
        <v>0.40300000000000002</v>
      </c>
      <c r="C12" s="9" t="s">
        <v>80</v>
      </c>
      <c r="D12" s="9" t="s">
        <v>239</v>
      </c>
      <c r="E12" s="9"/>
      <c r="F12" s="9"/>
      <c r="G12" s="9"/>
      <c r="H12" s="9"/>
      <c r="I12" s="9"/>
      <c r="J12" s="9"/>
      <c r="K12" s="10"/>
    </row>
    <row r="13" spans="1:11" x14ac:dyDescent="0.25">
      <c r="A13" s="7" t="s">
        <v>230</v>
      </c>
      <c r="B13" s="9">
        <f>0.134</f>
        <v>0.13400000000000001</v>
      </c>
      <c r="C13" s="9" t="s">
        <v>80</v>
      </c>
      <c r="D13" s="9" t="s">
        <v>240</v>
      </c>
      <c r="E13" s="9"/>
      <c r="F13" s="9"/>
      <c r="G13" s="9" t="s">
        <v>88</v>
      </c>
      <c r="H13" s="9"/>
      <c r="I13" s="9"/>
      <c r="J13" s="9"/>
      <c r="K13" s="10"/>
    </row>
    <row r="14" spans="1:11" x14ac:dyDescent="0.25">
      <c r="A14" s="7" t="s">
        <v>235</v>
      </c>
      <c r="B14" s="9">
        <f>0.0438</f>
        <v>4.3799999999999999E-2</v>
      </c>
      <c r="C14" s="9" t="s">
        <v>234</v>
      </c>
      <c r="D14" s="9" t="s">
        <v>236</v>
      </c>
      <c r="E14" s="9"/>
      <c r="F14" s="9"/>
      <c r="G14" s="9"/>
      <c r="H14" s="9"/>
      <c r="I14" s="9"/>
      <c r="J14" s="9"/>
      <c r="K14" s="10"/>
    </row>
    <row r="15" spans="1:11" x14ac:dyDescent="0.25">
      <c r="A15" s="7" t="s">
        <v>232</v>
      </c>
      <c r="B15">
        <f>3.068</f>
        <v>3.0680000000000001</v>
      </c>
      <c r="C15" s="18" t="s">
        <v>233</v>
      </c>
      <c r="D15" s="18" t="s">
        <v>237</v>
      </c>
      <c r="E15" s="9"/>
      <c r="F15" s="9"/>
      <c r="G15" s="9"/>
      <c r="H15" s="9"/>
      <c r="I15" s="9"/>
      <c r="J15" s="9"/>
      <c r="K15" s="10"/>
    </row>
    <row r="16" spans="1:11" x14ac:dyDescent="0.25">
      <c r="A16" s="7" t="s">
        <v>143</v>
      </c>
      <c r="B16" s="9">
        <f>B12/B14</f>
        <v>9.2009132420091326</v>
      </c>
      <c r="C16" s="18" t="s">
        <v>233</v>
      </c>
      <c r="D16" s="18" t="s">
        <v>238</v>
      </c>
      <c r="E16" s="9"/>
      <c r="F16" s="9"/>
      <c r="G16" s="9"/>
      <c r="H16" s="9"/>
      <c r="I16" s="9"/>
      <c r="J16" s="9"/>
      <c r="K16" s="10"/>
    </row>
    <row r="17" spans="1:11" x14ac:dyDescent="0.25">
      <c r="A17" s="7" t="s">
        <v>178</v>
      </c>
      <c r="B17" s="9">
        <v>56.24</v>
      </c>
      <c r="C17" s="18" t="s">
        <v>89</v>
      </c>
      <c r="D17" s="18" t="s">
        <v>242</v>
      </c>
      <c r="E17" s="9"/>
      <c r="F17" s="9"/>
      <c r="G17" s="9"/>
      <c r="H17" s="9"/>
      <c r="I17" s="9"/>
      <c r="J17" s="9"/>
      <c r="K17" s="10"/>
    </row>
    <row r="18" spans="1:11" x14ac:dyDescent="0.25">
      <c r="B18" s="9"/>
      <c r="C18" s="9"/>
      <c r="D18" s="9"/>
      <c r="E18" s="9"/>
      <c r="F18" s="9"/>
      <c r="G18" s="9"/>
      <c r="H18" s="9"/>
      <c r="I18" s="9"/>
      <c r="J18" s="9"/>
      <c r="K18" s="10"/>
    </row>
    <row r="19" spans="1:11" x14ac:dyDescent="0.25">
      <c r="A19" s="11" t="s">
        <v>241</v>
      </c>
      <c r="B19" s="9"/>
      <c r="C19" s="9"/>
      <c r="D19" s="9"/>
      <c r="E19" s="9"/>
      <c r="F19" s="9"/>
      <c r="G19" s="9"/>
      <c r="H19" s="9"/>
      <c r="I19" s="9"/>
      <c r="J19" s="9"/>
      <c r="K19" s="10"/>
    </row>
    <row r="20" spans="1:11" x14ac:dyDescent="0.25">
      <c r="A20" s="33"/>
      <c r="B20" s="9"/>
      <c r="C20" s="9"/>
      <c r="D20" s="9"/>
      <c r="E20" s="9"/>
      <c r="F20" s="9"/>
      <c r="G20" s="9"/>
      <c r="H20" s="9"/>
      <c r="I20" s="9"/>
      <c r="J20" s="9"/>
      <c r="K20" s="10"/>
    </row>
    <row r="21" spans="1:11" x14ac:dyDescent="0.25">
      <c r="A21" s="7" t="s">
        <v>198</v>
      </c>
      <c r="B21" s="9">
        <f>47.3</f>
        <v>47.3</v>
      </c>
      <c r="C21" s="18" t="s">
        <v>89</v>
      </c>
      <c r="D21" s="18" t="s">
        <v>199</v>
      </c>
      <c r="E21" s="9"/>
      <c r="F21" s="9"/>
      <c r="G21" s="9"/>
      <c r="H21" s="9"/>
      <c r="I21" s="9"/>
      <c r="J21" s="9"/>
      <c r="K21" s="10"/>
    </row>
    <row r="22" spans="1:11" x14ac:dyDescent="0.25">
      <c r="A22" s="34" t="s">
        <v>243</v>
      </c>
      <c r="B22" s="9">
        <f>0.16*B24</f>
        <v>0.16</v>
      </c>
      <c r="C22" s="9" t="s">
        <v>80</v>
      </c>
      <c r="D22" s="9" t="s">
        <v>244</v>
      </c>
      <c r="E22" s="9"/>
      <c r="F22" s="9"/>
      <c r="G22" s="9"/>
      <c r="H22" s="9"/>
      <c r="I22" s="9"/>
      <c r="J22" s="9"/>
      <c r="K22" s="10"/>
    </row>
    <row r="23" spans="1:11" x14ac:dyDescent="0.25">
      <c r="A23" s="17" t="s">
        <v>261</v>
      </c>
      <c r="B23" s="9">
        <f>B22/B14</f>
        <v>3.6529680365296806</v>
      </c>
      <c r="C23" s="9" t="s">
        <v>233</v>
      </c>
      <c r="D23" s="18" t="s">
        <v>262</v>
      </c>
      <c r="E23" s="9"/>
      <c r="F23" s="9"/>
      <c r="G23" s="9"/>
      <c r="H23" s="9"/>
      <c r="I23" s="9"/>
      <c r="J23" s="9"/>
      <c r="K23" s="10"/>
    </row>
    <row r="24" spans="1:11" x14ac:dyDescent="0.25">
      <c r="A24" s="7" t="s">
        <v>47</v>
      </c>
      <c r="B24" s="9">
        <v>1</v>
      </c>
      <c r="C24" s="9"/>
      <c r="D24" s="9" t="s">
        <v>48</v>
      </c>
      <c r="E24" s="9"/>
      <c r="F24" s="9"/>
      <c r="G24" s="9"/>
      <c r="H24" s="9"/>
      <c r="I24" s="9"/>
      <c r="J24" s="9"/>
      <c r="K24" s="10"/>
    </row>
    <row r="25" spans="1:11" x14ac:dyDescent="0.25">
      <c r="I25" s="9"/>
      <c r="J25" s="9"/>
      <c r="K25" s="10"/>
    </row>
    <row r="26" spans="1:11" x14ac:dyDescent="0.25">
      <c r="A26" s="11" t="s">
        <v>245</v>
      </c>
      <c r="B26" s="9"/>
      <c r="C26" s="9"/>
      <c r="D26" s="9"/>
      <c r="E26" s="9"/>
      <c r="F26" s="9"/>
      <c r="G26" s="9"/>
      <c r="H26" s="9"/>
      <c r="I26" s="9"/>
      <c r="J26" s="9"/>
      <c r="K26" s="10"/>
    </row>
    <row r="27" spans="1:11" x14ac:dyDescent="0.25">
      <c r="A27" s="7"/>
      <c r="B27" s="9"/>
      <c r="C27" s="9"/>
      <c r="D27" s="9"/>
      <c r="E27" s="9"/>
      <c r="F27" s="9"/>
      <c r="G27" s="9"/>
      <c r="H27" s="9"/>
      <c r="I27" s="9"/>
      <c r="J27" s="9"/>
      <c r="K27" s="10"/>
    </row>
    <row r="28" spans="1:11" x14ac:dyDescent="0.25">
      <c r="A28" s="7" t="s">
        <v>9</v>
      </c>
      <c r="B28" s="9">
        <v>24</v>
      </c>
      <c r="C28" s="9" t="s">
        <v>247</v>
      </c>
      <c r="D28" s="9" t="s">
        <v>246</v>
      </c>
      <c r="E28" s="9"/>
      <c r="F28" s="9"/>
      <c r="G28" s="9"/>
      <c r="H28" s="9"/>
      <c r="I28" s="9"/>
      <c r="J28" s="9"/>
      <c r="K28" s="10"/>
    </row>
    <row r="29" spans="1:11" x14ac:dyDescent="0.25">
      <c r="A29" s="7" t="s">
        <v>200</v>
      </c>
      <c r="B29" s="9">
        <f>B17/B28</f>
        <v>2.3433333333333333</v>
      </c>
      <c r="C29" s="18" t="s">
        <v>7</v>
      </c>
      <c r="D29" s="18" t="s">
        <v>222</v>
      </c>
      <c r="E29" s="9"/>
      <c r="F29" s="9"/>
      <c r="G29" s="9"/>
      <c r="H29" s="9"/>
      <c r="I29" s="9"/>
      <c r="J29" s="9"/>
      <c r="K29" s="10"/>
    </row>
    <row r="30" spans="1:11" x14ac:dyDescent="0.25">
      <c r="A30" s="7" t="s">
        <v>201</v>
      </c>
      <c r="B30" s="9">
        <f>B21/B28</f>
        <v>1.9708333333333332</v>
      </c>
      <c r="C30" s="18" t="s">
        <v>7</v>
      </c>
      <c r="D30" s="18" t="s">
        <v>223</v>
      </c>
      <c r="E30" s="9"/>
      <c r="F30" s="9"/>
      <c r="G30" s="9"/>
      <c r="H30" s="9"/>
      <c r="I30" s="9"/>
      <c r="J30" s="9"/>
      <c r="K30" s="10"/>
    </row>
    <row r="31" spans="1:11" x14ac:dyDescent="0.25">
      <c r="J31" s="9"/>
      <c r="K31" s="10"/>
    </row>
    <row r="32" spans="1:11" x14ac:dyDescent="0.25">
      <c r="A32" s="11" t="s">
        <v>51</v>
      </c>
      <c r="I32" s="9"/>
      <c r="J32" s="9"/>
      <c r="K32" s="10"/>
    </row>
    <row r="33" spans="1:11" x14ac:dyDescent="0.25">
      <c r="I33" s="9"/>
      <c r="J33" s="9"/>
      <c r="K33" s="10"/>
    </row>
    <row r="34" spans="1:11" x14ac:dyDescent="0.25">
      <c r="A34" t="s">
        <v>252</v>
      </c>
      <c r="B34">
        <f>30</f>
        <v>30</v>
      </c>
      <c r="C34" t="s">
        <v>7</v>
      </c>
      <c r="D34" t="s">
        <v>254</v>
      </c>
      <c r="I34" s="9"/>
      <c r="J34" s="9"/>
      <c r="K34" s="10"/>
    </row>
    <row r="35" spans="1:11" x14ac:dyDescent="0.25">
      <c r="A35" t="s">
        <v>253</v>
      </c>
      <c r="B35">
        <v>100</v>
      </c>
      <c r="C35" t="s">
        <v>3</v>
      </c>
      <c r="D35" t="s">
        <v>255</v>
      </c>
      <c r="I35" s="9"/>
      <c r="J35" s="9"/>
      <c r="K35" s="10"/>
    </row>
    <row r="36" spans="1:11" x14ac:dyDescent="0.25">
      <c r="A36" t="s">
        <v>52</v>
      </c>
      <c r="B36">
        <f>36*10^(-3)</f>
        <v>3.6000000000000004E-2</v>
      </c>
      <c r="C36" t="s">
        <v>12</v>
      </c>
      <c r="D36" t="s">
        <v>221</v>
      </c>
      <c r="I36" s="9"/>
      <c r="J36" s="9"/>
      <c r="K36" s="10"/>
    </row>
    <row r="37" spans="1:11" x14ac:dyDescent="0.25">
      <c r="A37" s="7" t="s">
        <v>8</v>
      </c>
      <c r="B37" s="9">
        <f>B16^2*B36</f>
        <v>3.0476449615312449</v>
      </c>
      <c r="C37" s="9" t="s">
        <v>3</v>
      </c>
      <c r="D37" s="9" t="s">
        <v>66</v>
      </c>
      <c r="E37" s="9"/>
      <c r="F37" s="9"/>
      <c r="G37" s="9"/>
      <c r="H37" s="9"/>
      <c r="I37" s="9"/>
      <c r="J37" s="9"/>
      <c r="K37" s="10"/>
    </row>
    <row r="38" spans="1:11" x14ac:dyDescent="0.25">
      <c r="A38" s="7" t="s">
        <v>10</v>
      </c>
      <c r="B38" s="9">
        <f>110*10^(-9)</f>
        <v>1.1000000000000001E-7</v>
      </c>
      <c r="C38" s="18" t="s">
        <v>58</v>
      </c>
      <c r="D38" s="9" t="s">
        <v>225</v>
      </c>
      <c r="E38" s="9"/>
      <c r="F38" s="9"/>
      <c r="G38" s="9"/>
      <c r="J38" s="9"/>
      <c r="K38" s="10"/>
    </row>
    <row r="39" spans="1:11" x14ac:dyDescent="0.25">
      <c r="A39" s="7" t="s">
        <v>256</v>
      </c>
      <c r="B39" s="9"/>
      <c r="C39" s="18"/>
      <c r="D39" s="9"/>
      <c r="E39" s="9"/>
      <c r="F39" s="9"/>
      <c r="G39" s="9"/>
      <c r="J39" s="9"/>
      <c r="K39" s="10"/>
    </row>
    <row r="40" spans="1:11" x14ac:dyDescent="0.25">
      <c r="A40" s="7" t="s">
        <v>257</v>
      </c>
      <c r="B40" s="9"/>
      <c r="C40" s="18"/>
      <c r="D40" s="9"/>
      <c r="E40" s="9"/>
      <c r="F40" s="9"/>
      <c r="G40" s="9"/>
      <c r="J40" s="9"/>
      <c r="K40" s="10"/>
    </row>
    <row r="41" spans="1:11" x14ac:dyDescent="0.25">
      <c r="A41" s="7" t="s">
        <v>77</v>
      </c>
      <c r="B41" s="9">
        <v>14.5</v>
      </c>
      <c r="C41" s="18" t="s">
        <v>3</v>
      </c>
      <c r="D41" s="18" t="s">
        <v>226</v>
      </c>
      <c r="E41" s="9"/>
      <c r="F41" s="9"/>
      <c r="G41" s="9"/>
      <c r="J41" s="9"/>
      <c r="K41" s="10"/>
    </row>
    <row r="42" spans="1:11" x14ac:dyDescent="0.25">
      <c r="A42" s="7" t="s">
        <v>11</v>
      </c>
      <c r="B42" s="9">
        <v>10</v>
      </c>
      <c r="C42" s="9" t="s">
        <v>12</v>
      </c>
      <c r="D42" s="9" t="s">
        <v>32</v>
      </c>
      <c r="E42" s="9"/>
      <c r="F42" s="9"/>
      <c r="G42" s="9"/>
      <c r="H42" s="9"/>
      <c r="I42" s="9"/>
      <c r="J42" s="9"/>
      <c r="K42" s="10"/>
    </row>
    <row r="43" spans="1:11" x14ac:dyDescent="0.25">
      <c r="A43" s="7" t="s">
        <v>0</v>
      </c>
      <c r="B43" s="9">
        <v>32000</v>
      </c>
      <c r="C43" s="9" t="s">
        <v>13</v>
      </c>
      <c r="D43" s="9" t="s">
        <v>6</v>
      </c>
      <c r="E43" s="9"/>
      <c r="F43" s="9"/>
      <c r="G43" s="9"/>
      <c r="H43" s="9"/>
      <c r="I43" s="9"/>
      <c r="J43" s="9"/>
      <c r="K43" s="10"/>
    </row>
    <row r="44" spans="1:11" x14ac:dyDescent="0.25">
      <c r="A44" s="7" t="s">
        <v>53</v>
      </c>
      <c r="B44" s="9">
        <f>B38*B42/B41</f>
        <v>7.5862068965517243E-8</v>
      </c>
      <c r="C44" s="18" t="s">
        <v>54</v>
      </c>
      <c r="D44" t="s">
        <v>224</v>
      </c>
      <c r="E44" s="9"/>
      <c r="F44" s="9"/>
      <c r="G44" s="9"/>
      <c r="H44" s="9"/>
      <c r="I44" s="9"/>
      <c r="J44" s="9"/>
      <c r="K44" s="10"/>
    </row>
    <row r="45" spans="1:11" x14ac:dyDescent="0.25">
      <c r="H45" s="9"/>
      <c r="I45" s="9"/>
      <c r="J45" s="9"/>
      <c r="K45" s="10"/>
    </row>
    <row r="46" spans="1:11" x14ac:dyDescent="0.25">
      <c r="A46" s="11" t="s">
        <v>33</v>
      </c>
      <c r="B46" s="9"/>
      <c r="C46" s="9"/>
      <c r="D46" s="9"/>
      <c r="E46" s="9"/>
      <c r="F46" s="9"/>
      <c r="G46" s="9"/>
      <c r="H46" s="9"/>
      <c r="I46" s="9"/>
      <c r="J46" s="9"/>
      <c r="K46" s="10"/>
    </row>
    <row r="47" spans="1:11" x14ac:dyDescent="0.25">
      <c r="A47" s="7" t="s">
        <v>14</v>
      </c>
      <c r="B47" s="9">
        <v>1</v>
      </c>
      <c r="C47" s="9" t="s">
        <v>3</v>
      </c>
      <c r="D47" s="9" t="s">
        <v>15</v>
      </c>
      <c r="E47" s="9"/>
      <c r="F47" s="9"/>
      <c r="G47" s="9"/>
      <c r="H47" s="9"/>
      <c r="I47" s="9"/>
      <c r="J47" s="9"/>
      <c r="K47" s="10"/>
    </row>
    <row r="48" spans="1:11" x14ac:dyDescent="0.25">
      <c r="A48" s="17" t="s">
        <v>55</v>
      </c>
      <c r="B48">
        <f>180*10^(-9)</f>
        <v>1.8000000000000002E-7</v>
      </c>
      <c r="C48" s="18" t="s">
        <v>54</v>
      </c>
      <c r="D48" s="18" t="s">
        <v>56</v>
      </c>
      <c r="I48" s="9"/>
      <c r="J48" s="9"/>
      <c r="K48" s="10"/>
    </row>
    <row r="49" spans="1:19" x14ac:dyDescent="0.25">
      <c r="A49" s="7" t="s">
        <v>16</v>
      </c>
      <c r="B49" s="9">
        <f>B15</f>
        <v>3.0680000000000001</v>
      </c>
      <c r="C49" s="9" t="s">
        <v>7</v>
      </c>
      <c r="D49" s="9" t="s">
        <v>17</v>
      </c>
      <c r="E49" s="9"/>
      <c r="F49" s="9"/>
      <c r="G49" s="9"/>
      <c r="H49" s="9"/>
      <c r="I49" s="9"/>
      <c r="J49" s="9"/>
      <c r="K49" s="10"/>
    </row>
    <row r="50" spans="1:19" x14ac:dyDescent="0.25">
      <c r="A50" s="7" t="s">
        <v>57</v>
      </c>
      <c r="B50" s="9">
        <f>1.2*10^(-9)</f>
        <v>1.2E-9</v>
      </c>
      <c r="C50" s="18" t="s">
        <v>58</v>
      </c>
      <c r="D50" t="s">
        <v>59</v>
      </c>
      <c r="E50" s="9"/>
      <c r="F50" s="9"/>
      <c r="G50" s="9"/>
      <c r="H50" s="9"/>
      <c r="I50" s="9"/>
      <c r="J50" s="9"/>
      <c r="K50" s="10"/>
    </row>
    <row r="51" spans="1:19" x14ac:dyDescent="0.25">
      <c r="A51" s="7"/>
      <c r="B51" s="9"/>
      <c r="C51" s="9"/>
      <c r="D51" s="9"/>
      <c r="E51" s="9"/>
      <c r="F51" s="9"/>
      <c r="G51" s="9"/>
      <c r="H51" s="9"/>
      <c r="I51" s="9"/>
      <c r="J51" s="9"/>
      <c r="K51" s="10"/>
    </row>
    <row r="52" spans="1:19" x14ac:dyDescent="0.25">
      <c r="A52" s="11" t="s">
        <v>34</v>
      </c>
      <c r="B52" s="9"/>
      <c r="C52" s="9"/>
      <c r="D52" s="9"/>
      <c r="E52" s="9"/>
      <c r="F52" s="9"/>
      <c r="G52" s="9"/>
      <c r="H52" s="9"/>
      <c r="I52" s="9"/>
      <c r="J52" s="9"/>
      <c r="K52" s="10"/>
    </row>
    <row r="53" spans="1:19" x14ac:dyDescent="0.25">
      <c r="A53" s="7" t="s">
        <v>18</v>
      </c>
      <c r="B53" s="9">
        <v>0.9</v>
      </c>
      <c r="C53" s="9"/>
      <c r="D53" s="9" t="s">
        <v>35</v>
      </c>
      <c r="E53" s="9"/>
      <c r="F53" s="9"/>
      <c r="G53" s="9"/>
      <c r="H53" s="9"/>
      <c r="I53" s="9"/>
      <c r="J53" s="9"/>
      <c r="K53" s="10"/>
    </row>
    <row r="54" spans="1:19" x14ac:dyDescent="0.25">
      <c r="A54" s="7" t="s">
        <v>19</v>
      </c>
      <c r="B54" s="9">
        <v>0.85</v>
      </c>
      <c r="C54" s="9"/>
      <c r="D54" s="9" t="s">
        <v>20</v>
      </c>
      <c r="E54" s="9"/>
      <c r="F54" s="9"/>
      <c r="G54" s="9"/>
      <c r="H54" s="9"/>
      <c r="I54" s="9"/>
      <c r="J54" s="9"/>
      <c r="K54" s="10"/>
    </row>
    <row r="55" spans="1:19" x14ac:dyDescent="0.25">
      <c r="A55" s="7" t="s">
        <v>21</v>
      </c>
      <c r="B55" s="9">
        <v>1</v>
      </c>
      <c r="C55" s="9"/>
      <c r="D55" s="9" t="s">
        <v>22</v>
      </c>
      <c r="E55" s="9"/>
      <c r="F55" s="9"/>
      <c r="G55" s="9"/>
      <c r="H55" s="9"/>
      <c r="I55" s="9"/>
      <c r="J55" s="9"/>
      <c r="K55" s="10"/>
    </row>
    <row r="56" spans="1:19" x14ac:dyDescent="0.25">
      <c r="A56" s="7" t="s">
        <v>5</v>
      </c>
      <c r="B56" s="9">
        <v>2</v>
      </c>
      <c r="C56" s="9"/>
      <c r="D56" s="9" t="s">
        <v>60</v>
      </c>
      <c r="E56" s="9"/>
      <c r="F56" s="9"/>
      <c r="G56" s="9"/>
      <c r="H56" s="9"/>
      <c r="I56" s="9"/>
      <c r="J56" s="9"/>
      <c r="K56" s="10"/>
    </row>
    <row r="57" spans="1:19" x14ac:dyDescent="0.2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4"/>
    </row>
    <row r="60" spans="1:19" x14ac:dyDescent="0.25">
      <c r="A60" s="4" t="s">
        <v>23</v>
      </c>
    </row>
    <row r="61" spans="1:19" x14ac:dyDescent="0.25">
      <c r="S61" s="2"/>
    </row>
    <row r="62" spans="1:19" x14ac:dyDescent="0.25">
      <c r="A62" t="s">
        <v>29</v>
      </c>
    </row>
    <row r="63" spans="1:19" x14ac:dyDescent="0.25">
      <c r="A63" s="3" t="s">
        <v>30</v>
      </c>
    </row>
    <row r="65" spans="1:11" x14ac:dyDescent="0.25">
      <c r="A65" t="s">
        <v>61</v>
      </c>
      <c r="E65" t="s">
        <v>125</v>
      </c>
      <c r="I65" t="s">
        <v>126</v>
      </c>
    </row>
    <row r="67" spans="1:11" x14ac:dyDescent="0.25">
      <c r="A67" t="s">
        <v>258</v>
      </c>
      <c r="E67" s="2" t="s">
        <v>67</v>
      </c>
      <c r="F67">
        <f>B95</f>
        <v>0.53355048709490271</v>
      </c>
      <c r="G67" t="s">
        <v>4</v>
      </c>
      <c r="I67" s="2" t="s">
        <v>24</v>
      </c>
      <c r="J67" s="20">
        <f>F67*B56</f>
        <v>1.0671009741898054</v>
      </c>
      <c r="K67" t="s">
        <v>4</v>
      </c>
    </row>
    <row r="69" spans="1:11" x14ac:dyDescent="0.25">
      <c r="B69" t="s">
        <v>249</v>
      </c>
    </row>
    <row r="71" spans="1:11" x14ac:dyDescent="0.25">
      <c r="A71" t="s">
        <v>248</v>
      </c>
      <c r="B71">
        <f>SQRT(2/3)*B22/B14</f>
        <v>2.9826359120647532</v>
      </c>
      <c r="C71" t="s">
        <v>228</v>
      </c>
    </row>
    <row r="74" spans="1:11" x14ac:dyDescent="0.25">
      <c r="B74" t="s">
        <v>260</v>
      </c>
    </row>
    <row r="76" spans="1:11" x14ac:dyDescent="0.25">
      <c r="A76" t="s">
        <v>259</v>
      </c>
      <c r="B76">
        <f>SQRT(3/2)*B71</f>
        <v>3.6529680365296806</v>
      </c>
      <c r="C76" t="s">
        <v>228</v>
      </c>
    </row>
    <row r="79" spans="1:11" x14ac:dyDescent="0.25">
      <c r="A79" t="s">
        <v>31</v>
      </c>
    </row>
    <row r="81" spans="1:14" x14ac:dyDescent="0.25">
      <c r="M81" s="2"/>
      <c r="N81" s="2"/>
    </row>
    <row r="83" spans="1:14" x14ac:dyDescent="0.25">
      <c r="A83" t="s">
        <v>25</v>
      </c>
      <c r="B83">
        <f>B36*B71^2</f>
        <v>0.32026021142178035</v>
      </c>
      <c r="C83" t="s">
        <v>4</v>
      </c>
    </row>
    <row r="85" spans="1:14" ht="45" x14ac:dyDescent="0.25">
      <c r="A85" s="23" t="s">
        <v>62</v>
      </c>
      <c r="B85" s="23"/>
    </row>
    <row r="89" spans="1:14" x14ac:dyDescent="0.25">
      <c r="A89" t="s">
        <v>26</v>
      </c>
      <c r="B89">
        <f>B28*(B76*B44+0.5*B50)*B43</f>
        <v>0.21329027567312234</v>
      </c>
      <c r="C89" t="s">
        <v>4</v>
      </c>
    </row>
    <row r="91" spans="1:14" x14ac:dyDescent="0.25">
      <c r="A91" t="s">
        <v>27</v>
      </c>
    </row>
    <row r="92" spans="1:14" x14ac:dyDescent="0.25">
      <c r="E92" s="2"/>
      <c r="F92" s="2"/>
    </row>
    <row r="95" spans="1:14" x14ac:dyDescent="0.25">
      <c r="A95" s="2" t="s">
        <v>28</v>
      </c>
      <c r="B95" s="2">
        <f>B83+B89</f>
        <v>0.53355048709490271</v>
      </c>
      <c r="C95" t="s">
        <v>4</v>
      </c>
    </row>
  </sheetData>
  <customSheetViews>
    <customSheetView guid="{816D1CF2-9F52-4523-8FA1-0974D3ADE14B}" topLeftCell="A7">
      <selection activeCell="B16" sqref="B16"/>
      <pageMargins left="0.7" right="0.7" top="0.75" bottom="0.75" header="0.3" footer="0.3"/>
    </customSheetView>
    <customSheetView guid="{950CAB42-9710-43B8-BF7F-ADDD586A9B87}" topLeftCell="A7">
      <selection activeCell="B16" sqref="B16"/>
      <pageMargins left="0.7" right="0.7" top="0.75" bottom="0.75" header="0.3" footer="0.3"/>
    </customSheetView>
  </customSheetViews>
  <hyperlinks>
    <hyperlink ref="A63" r:id="rId1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H32"/>
  <sheetViews>
    <sheetView workbookViewId="0">
      <selection activeCell="B25" sqref="B25"/>
    </sheetView>
  </sheetViews>
  <sheetFormatPr defaultRowHeight="15" x14ac:dyDescent="0.25"/>
  <cols>
    <col min="2" max="2" width="11" customWidth="1"/>
    <col min="8" max="8" width="12.85546875" customWidth="1"/>
  </cols>
  <sheetData>
    <row r="1" spans="1:8" x14ac:dyDescent="0.25">
      <c r="A1" t="s">
        <v>45</v>
      </c>
    </row>
    <row r="2" spans="1:8" x14ac:dyDescent="0.25">
      <c r="A2" s="9"/>
    </row>
    <row r="3" spans="1:8" x14ac:dyDescent="0.25">
      <c r="A3" s="15" t="s">
        <v>2</v>
      </c>
      <c r="B3" s="5"/>
      <c r="C3" s="5"/>
      <c r="D3" s="5"/>
      <c r="E3" s="5"/>
      <c r="F3" s="5"/>
      <c r="G3" s="5"/>
      <c r="H3" s="6"/>
    </row>
    <row r="4" spans="1:8" x14ac:dyDescent="0.25">
      <c r="A4" s="7"/>
      <c r="B4" s="9"/>
      <c r="C4" s="9"/>
      <c r="D4" s="9"/>
      <c r="E4" s="9"/>
      <c r="F4" s="9"/>
      <c r="G4" s="9"/>
      <c r="H4" s="10"/>
    </row>
    <row r="5" spans="1:8" x14ac:dyDescent="0.25">
      <c r="A5" s="11" t="s">
        <v>51</v>
      </c>
      <c r="B5" s="9"/>
      <c r="C5" s="9"/>
      <c r="D5" s="9"/>
      <c r="E5" s="9"/>
      <c r="F5" s="9"/>
      <c r="G5" s="9"/>
      <c r="H5" s="10"/>
    </row>
    <row r="6" spans="1:8" x14ac:dyDescent="0.25">
      <c r="A6" s="7"/>
      <c r="B6" s="9"/>
      <c r="C6" s="9"/>
      <c r="D6" s="9"/>
      <c r="E6" s="9"/>
      <c r="F6" s="9"/>
      <c r="G6" s="9"/>
      <c r="H6" s="10"/>
    </row>
    <row r="7" spans="1:8" x14ac:dyDescent="0.25">
      <c r="A7" s="21" t="s">
        <v>36</v>
      </c>
      <c r="B7" s="22">
        <f>1</f>
        <v>1</v>
      </c>
      <c r="C7" s="9" t="s">
        <v>68</v>
      </c>
      <c r="D7" s="9" t="s">
        <v>73</v>
      </c>
      <c r="E7" s="9"/>
      <c r="F7" s="9"/>
      <c r="G7" s="9"/>
      <c r="H7" s="10"/>
    </row>
    <row r="8" spans="1:8" x14ac:dyDescent="0.25">
      <c r="A8" s="21" t="s">
        <v>71</v>
      </c>
      <c r="B8" s="22">
        <f>40</f>
        <v>40</v>
      </c>
      <c r="C8" s="9" t="s">
        <v>68</v>
      </c>
      <c r="D8" s="9" t="s">
        <v>72</v>
      </c>
      <c r="E8" s="9"/>
      <c r="F8" s="9"/>
      <c r="G8" s="9"/>
      <c r="H8" s="10"/>
    </row>
    <row r="9" spans="1:8" x14ac:dyDescent="0.25">
      <c r="A9" s="7" t="s">
        <v>40</v>
      </c>
      <c r="B9" s="9">
        <v>175</v>
      </c>
      <c r="C9" s="9" t="s">
        <v>44</v>
      </c>
      <c r="D9" s="9" t="s">
        <v>37</v>
      </c>
      <c r="E9" s="9"/>
      <c r="F9" s="9"/>
      <c r="G9" s="9"/>
      <c r="H9" s="10"/>
    </row>
    <row r="10" spans="1:8" x14ac:dyDescent="0.25">
      <c r="A10" s="7" t="s">
        <v>42</v>
      </c>
      <c r="B10" s="9">
        <v>1</v>
      </c>
      <c r="C10" s="9"/>
      <c r="D10" s="9" t="s">
        <v>69</v>
      </c>
      <c r="E10" s="9"/>
      <c r="F10" s="9"/>
      <c r="G10" s="9"/>
      <c r="H10" s="10"/>
    </row>
    <row r="11" spans="1:8" x14ac:dyDescent="0.25">
      <c r="A11" s="7" t="s">
        <v>43</v>
      </c>
      <c r="B11" s="9">
        <f>'Потери в MOSFET'!F67</f>
        <v>0.53355048709490271</v>
      </c>
      <c r="C11" s="9" t="s">
        <v>4</v>
      </c>
      <c r="D11" s="9" t="s">
        <v>70</v>
      </c>
      <c r="E11" s="9"/>
      <c r="F11" s="9"/>
      <c r="G11" s="9"/>
      <c r="H11" s="10"/>
    </row>
    <row r="12" spans="1:8" x14ac:dyDescent="0.25">
      <c r="A12" s="7"/>
      <c r="B12" s="9"/>
      <c r="C12" s="9"/>
      <c r="D12" s="9"/>
      <c r="E12" s="9"/>
      <c r="F12" s="9"/>
      <c r="G12" s="9"/>
      <c r="H12" s="10"/>
    </row>
    <row r="13" spans="1:8" x14ac:dyDescent="0.25">
      <c r="A13" s="7"/>
      <c r="B13" s="9"/>
      <c r="C13" s="9"/>
      <c r="D13" s="9"/>
      <c r="E13" s="9"/>
      <c r="F13" s="9"/>
      <c r="G13" s="9"/>
      <c r="H13" s="10"/>
    </row>
    <row r="14" spans="1:8" x14ac:dyDescent="0.25">
      <c r="A14" s="7"/>
      <c r="B14" s="9"/>
      <c r="C14" s="9"/>
      <c r="D14" s="9"/>
      <c r="E14" s="9"/>
      <c r="F14" s="9"/>
      <c r="G14" s="9"/>
      <c r="H14" s="10"/>
    </row>
    <row r="15" spans="1:8" x14ac:dyDescent="0.25">
      <c r="A15" s="7"/>
      <c r="B15" s="9"/>
      <c r="C15" s="9"/>
      <c r="D15" s="9"/>
      <c r="E15" s="9"/>
      <c r="F15" s="9"/>
      <c r="G15" s="9"/>
      <c r="H15" s="10"/>
    </row>
    <row r="16" spans="1:8" x14ac:dyDescent="0.25">
      <c r="A16" s="11" t="s">
        <v>34</v>
      </c>
      <c r="B16" s="9"/>
      <c r="C16" s="9"/>
      <c r="D16" s="9"/>
      <c r="E16" s="9"/>
      <c r="F16" s="9"/>
      <c r="G16" s="9"/>
      <c r="H16" s="10"/>
    </row>
    <row r="17" spans="1:8" x14ac:dyDescent="0.25">
      <c r="A17" s="7"/>
      <c r="B17" s="9"/>
      <c r="C17" s="9"/>
      <c r="D17" s="9"/>
      <c r="E17" s="9"/>
      <c r="F17" s="9"/>
      <c r="G17" s="9"/>
      <c r="H17" s="10"/>
    </row>
    <row r="18" spans="1:8" x14ac:dyDescent="0.25">
      <c r="A18" s="7" t="s">
        <v>38</v>
      </c>
      <c r="B18" s="9">
        <v>50</v>
      </c>
      <c r="C18" s="9" t="s">
        <v>44</v>
      </c>
      <c r="D18" s="9" t="s">
        <v>39</v>
      </c>
      <c r="E18" s="9"/>
      <c r="F18" s="9"/>
      <c r="G18" s="9"/>
      <c r="H18" s="10"/>
    </row>
    <row r="19" spans="1:8" x14ac:dyDescent="0.25">
      <c r="A19" s="7"/>
      <c r="B19" s="9"/>
      <c r="C19" s="9"/>
      <c r="D19" s="9"/>
      <c r="E19" s="9"/>
      <c r="F19" s="9"/>
      <c r="G19" s="9"/>
      <c r="H19" s="10"/>
    </row>
    <row r="20" spans="1:8" x14ac:dyDescent="0.25">
      <c r="F20" s="9"/>
      <c r="G20" s="9"/>
      <c r="H20" s="10"/>
    </row>
    <row r="21" spans="1:8" x14ac:dyDescent="0.25">
      <c r="A21" s="12"/>
      <c r="B21" s="13"/>
      <c r="C21" s="13"/>
      <c r="D21" s="13"/>
      <c r="E21" s="13"/>
      <c r="F21" s="13"/>
      <c r="G21" s="13"/>
      <c r="H21" s="14"/>
    </row>
    <row r="23" spans="1:8" x14ac:dyDescent="0.25">
      <c r="A23" s="4" t="s">
        <v>1</v>
      </c>
    </row>
    <row r="25" spans="1:8" x14ac:dyDescent="0.25">
      <c r="A25" t="s">
        <v>41</v>
      </c>
      <c r="B25">
        <f>B11*B8+B18</f>
        <v>71.342019483796108</v>
      </c>
      <c r="C25" t="s">
        <v>74</v>
      </c>
      <c r="D25" t="s">
        <v>75</v>
      </c>
      <c r="E25" s="19"/>
    </row>
    <row r="29" spans="1:8" x14ac:dyDescent="0.25">
      <c r="A29" s="16"/>
      <c r="B29" t="s">
        <v>49</v>
      </c>
    </row>
    <row r="30" spans="1:8" x14ac:dyDescent="0.25">
      <c r="A30" s="1"/>
      <c r="B30" t="s">
        <v>46</v>
      </c>
    </row>
    <row r="32" spans="1:8" x14ac:dyDescent="0.25">
      <c r="A32" t="s">
        <v>132</v>
      </c>
    </row>
  </sheetData>
  <customSheetViews>
    <customSheetView guid="{816D1CF2-9F52-4523-8FA1-0974D3ADE14B}">
      <selection activeCell="K16" sqref="K16"/>
      <pageMargins left="0.7" right="0.7" top="0.75" bottom="0.75" header="0.3" footer="0.3"/>
      <pageSetup paperSize="9" orientation="portrait" verticalDpi="0" r:id="rId1"/>
    </customSheetView>
    <customSheetView guid="{950CAB42-9710-43B8-BF7F-ADDD586A9B87}">
      <selection activeCell="K16" sqref="K16"/>
      <pageMargins left="0.7" right="0.7" top="0.75" bottom="0.75" header="0.3" footer="0.3"/>
      <pageSetup paperSize="9" orientation="portrait" verticalDpi="0" r:id="rId2"/>
    </customSheetView>
  </customSheetViews>
  <conditionalFormatting sqref="B25">
    <cfRule type="cellIs" dxfId="2" priority="1" operator="lessThan">
      <formula>$B$9-25</formula>
    </cfRule>
    <cfRule type="cellIs" dxfId="1" priority="2" operator="greaterThan">
      <formula>$B$9-25</formula>
    </cfRule>
  </conditionalFormatting>
  <pageMargins left="0.7" right="0.7" top="0.75" bottom="0.75" header="0.3" footer="0.3"/>
  <pageSetup paperSize="9" orientation="portrait" verticalDpi="0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R75"/>
  <sheetViews>
    <sheetView topLeftCell="H46" workbookViewId="0">
      <selection activeCell="V16" sqref="V16"/>
    </sheetView>
  </sheetViews>
  <sheetFormatPr defaultRowHeight="15" x14ac:dyDescent="0.25"/>
  <cols>
    <col min="1" max="1" width="12" customWidth="1"/>
    <col min="2" max="2" width="13.7109375" bestFit="1" customWidth="1"/>
    <col min="10" max="10" width="12.140625" customWidth="1"/>
    <col min="11" max="11" width="12" bestFit="1" customWidth="1"/>
  </cols>
  <sheetData>
    <row r="1" spans="1:13" x14ac:dyDescent="0.25">
      <c r="A1" t="s">
        <v>81</v>
      </c>
    </row>
    <row r="3" spans="1:13" x14ac:dyDescent="0.25">
      <c r="A3" s="2" t="s">
        <v>2</v>
      </c>
      <c r="J3" s="2" t="s">
        <v>1</v>
      </c>
    </row>
    <row r="4" spans="1:13" x14ac:dyDescent="0.25">
      <c r="A4" s="2"/>
      <c r="J4" s="2"/>
    </row>
    <row r="5" spans="1:13" x14ac:dyDescent="0.25">
      <c r="A5" t="s">
        <v>227</v>
      </c>
      <c r="J5" s="27" t="s">
        <v>111</v>
      </c>
    </row>
    <row r="6" spans="1:13" x14ac:dyDescent="0.25">
      <c r="A6" t="s">
        <v>133</v>
      </c>
    </row>
    <row r="8" spans="1:13" x14ac:dyDescent="0.25">
      <c r="A8" t="s">
        <v>82</v>
      </c>
      <c r="B8" s="24">
        <f>110*10^(-9)</f>
        <v>1.1000000000000001E-7</v>
      </c>
      <c r="C8" t="s">
        <v>58</v>
      </c>
      <c r="D8" t="s">
        <v>83</v>
      </c>
      <c r="H8" t="s">
        <v>88</v>
      </c>
      <c r="J8" t="s">
        <v>78</v>
      </c>
      <c r="K8" s="25">
        <f>B8*B15*B27</f>
        <v>4.9444999999999996E-2</v>
      </c>
      <c r="L8" t="s">
        <v>89</v>
      </c>
      <c r="M8" t="s">
        <v>107</v>
      </c>
    </row>
    <row r="9" spans="1:13" x14ac:dyDescent="0.25">
      <c r="A9" t="s">
        <v>93</v>
      </c>
      <c r="B9" s="24">
        <f>1*10^(-9)</f>
        <v>1.0000000000000001E-9</v>
      </c>
      <c r="C9" t="s">
        <v>58</v>
      </c>
      <c r="D9" t="s">
        <v>94</v>
      </c>
      <c r="J9" t="s">
        <v>106</v>
      </c>
      <c r="K9" s="25">
        <f>K8/2</f>
        <v>2.4722499999999998E-2</v>
      </c>
      <c r="L9" t="s">
        <v>89</v>
      </c>
      <c r="M9" t="s">
        <v>108</v>
      </c>
    </row>
    <row r="10" spans="1:13" x14ac:dyDescent="0.25">
      <c r="A10" t="s">
        <v>118</v>
      </c>
      <c r="B10" s="24">
        <f>2*B8+B11/B27+B9+B12/B27</f>
        <v>2.2809677419354839E-7</v>
      </c>
      <c r="C10" t="s">
        <v>58</v>
      </c>
      <c r="D10" s="28" t="s">
        <v>119</v>
      </c>
      <c r="K10" s="25"/>
    </row>
    <row r="11" spans="1:13" x14ac:dyDescent="0.25">
      <c r="A11" t="s">
        <v>90</v>
      </c>
      <c r="B11">
        <f>220*10^(-6)</f>
        <v>2.1999999999999998E-4</v>
      </c>
      <c r="C11" t="s">
        <v>7</v>
      </c>
      <c r="D11" t="s">
        <v>163</v>
      </c>
      <c r="K11" s="26"/>
    </row>
    <row r="12" spans="1:13" x14ac:dyDescent="0.25">
      <c r="A12" t="s">
        <v>91</v>
      </c>
      <c r="B12">
        <v>0</v>
      </c>
      <c r="C12" t="s">
        <v>7</v>
      </c>
      <c r="D12" t="s">
        <v>92</v>
      </c>
      <c r="J12" t="s">
        <v>76</v>
      </c>
      <c r="K12">
        <f>B16/B22</f>
        <v>1.45</v>
      </c>
      <c r="L12" t="s">
        <v>7</v>
      </c>
      <c r="M12" t="s">
        <v>113</v>
      </c>
    </row>
    <row r="13" spans="1:13" x14ac:dyDescent="0.25">
      <c r="J13" t="s">
        <v>127</v>
      </c>
      <c r="K13">
        <f>K12/B24*100</f>
        <v>72.5</v>
      </c>
      <c r="L13" t="s">
        <v>128</v>
      </c>
      <c r="M13" t="s">
        <v>131</v>
      </c>
    </row>
    <row r="15" spans="1:13" x14ac:dyDescent="0.25">
      <c r="A15" t="s">
        <v>84</v>
      </c>
      <c r="B15">
        <v>14.5</v>
      </c>
      <c r="C15" t="s">
        <v>3</v>
      </c>
      <c r="D15" t="s">
        <v>85</v>
      </c>
    </row>
    <row r="16" spans="1:13" x14ac:dyDescent="0.25">
      <c r="A16" t="s">
        <v>95</v>
      </c>
      <c r="B16">
        <f>B15</f>
        <v>14.5</v>
      </c>
      <c r="C16" t="s">
        <v>3</v>
      </c>
      <c r="D16" t="s">
        <v>96</v>
      </c>
      <c r="J16" s="27" t="s">
        <v>205</v>
      </c>
    </row>
    <row r="17" spans="1:13" x14ac:dyDescent="0.25">
      <c r="A17" t="s">
        <v>97</v>
      </c>
      <c r="B17">
        <f>1</f>
        <v>1</v>
      </c>
      <c r="C17" t="s">
        <v>3</v>
      </c>
      <c r="D17" t="s">
        <v>98</v>
      </c>
    </row>
    <row r="18" spans="1:13" x14ac:dyDescent="0.25">
      <c r="A18" t="s">
        <v>99</v>
      </c>
      <c r="B18">
        <f>0</f>
        <v>0</v>
      </c>
      <c r="C18" t="s">
        <v>3</v>
      </c>
      <c r="D18" t="s">
        <v>100</v>
      </c>
      <c r="J18" t="s">
        <v>102</v>
      </c>
      <c r="K18">
        <f>2*(2*B8+B11/B27+B9+B12/B27)/(B16-B17-B18-B19)*10^6*K19</f>
        <v>1.800764006791171</v>
      </c>
      <c r="L18" t="s">
        <v>104</v>
      </c>
      <c r="M18" t="s">
        <v>112</v>
      </c>
    </row>
    <row r="19" spans="1:13" x14ac:dyDescent="0.25">
      <c r="A19" t="s">
        <v>101</v>
      </c>
      <c r="B19">
        <v>9.6999999999999993</v>
      </c>
      <c r="C19" t="s">
        <v>3</v>
      </c>
      <c r="D19" t="s">
        <v>105</v>
      </c>
      <c r="J19" t="s">
        <v>103</v>
      </c>
      <c r="K19">
        <v>15</v>
      </c>
      <c r="M19" t="s">
        <v>187</v>
      </c>
    </row>
    <row r="20" spans="1:13" x14ac:dyDescent="0.25">
      <c r="J20" t="s">
        <v>134</v>
      </c>
      <c r="K20">
        <f>B38/(2*3.14*B27*1*10^(-6))</f>
        <v>0.17978220669817138</v>
      </c>
      <c r="L20" t="s">
        <v>12</v>
      </c>
      <c r="M20" t="s">
        <v>137</v>
      </c>
    </row>
    <row r="22" spans="1:13" x14ac:dyDescent="0.25">
      <c r="A22" t="s">
        <v>11</v>
      </c>
      <c r="B22">
        <f>'Потери в MOSFET'!B42</f>
        <v>10</v>
      </c>
      <c r="C22" t="s">
        <v>109</v>
      </c>
      <c r="D22" t="s">
        <v>110</v>
      </c>
      <c r="J22" s="27" t="s">
        <v>206</v>
      </c>
    </row>
    <row r="23" spans="1:13" x14ac:dyDescent="0.25">
      <c r="A23" t="s">
        <v>138</v>
      </c>
      <c r="B23">
        <f>0.1*20.25</f>
        <v>2.0249999999999999</v>
      </c>
      <c r="C23" t="s">
        <v>89</v>
      </c>
      <c r="D23" t="s">
        <v>139</v>
      </c>
    </row>
    <row r="24" spans="1:13" x14ac:dyDescent="0.25">
      <c r="A24" t="s">
        <v>129</v>
      </c>
      <c r="B24">
        <v>2</v>
      </c>
      <c r="C24" t="s">
        <v>7</v>
      </c>
      <c r="D24" t="s">
        <v>130</v>
      </c>
      <c r="J24" t="s">
        <v>114</v>
      </c>
      <c r="K24">
        <v>100</v>
      </c>
      <c r="L24" t="s">
        <v>3</v>
      </c>
      <c r="M24" t="s">
        <v>121</v>
      </c>
    </row>
    <row r="25" spans="1:13" x14ac:dyDescent="0.25">
      <c r="A25" t="s">
        <v>167</v>
      </c>
      <c r="B25">
        <f>1.5</f>
        <v>1.5</v>
      </c>
      <c r="C25" t="s">
        <v>7</v>
      </c>
      <c r="D25" t="s">
        <v>168</v>
      </c>
    </row>
    <row r="26" spans="1:13" x14ac:dyDescent="0.25">
      <c r="J26" t="s">
        <v>115</v>
      </c>
      <c r="K26">
        <v>100</v>
      </c>
      <c r="L26" t="s">
        <v>116</v>
      </c>
      <c r="M26" t="s">
        <v>56</v>
      </c>
    </row>
    <row r="27" spans="1:13" x14ac:dyDescent="0.25">
      <c r="A27" t="s">
        <v>86</v>
      </c>
      <c r="B27">
        <v>31000</v>
      </c>
      <c r="C27" t="s">
        <v>13</v>
      </c>
      <c r="D27" t="s">
        <v>87</v>
      </c>
      <c r="J27" t="s">
        <v>117</v>
      </c>
      <c r="K27" s="30">
        <f>B10*B27*1000*K19</f>
        <v>106.065</v>
      </c>
      <c r="L27" t="s">
        <v>120</v>
      </c>
      <c r="M27" t="s">
        <v>179</v>
      </c>
    </row>
    <row r="28" spans="1:13" x14ac:dyDescent="0.25">
      <c r="J28" t="s">
        <v>180</v>
      </c>
      <c r="K28" s="30">
        <f>(B15-B17)/K30</f>
        <v>1.5</v>
      </c>
      <c r="L28" t="s">
        <v>7</v>
      </c>
      <c r="M28" t="s">
        <v>181</v>
      </c>
    </row>
    <row r="29" spans="1:13" x14ac:dyDescent="0.25">
      <c r="A29" t="s">
        <v>175</v>
      </c>
      <c r="B29">
        <f>1/B27*10^6</f>
        <v>32.258064516129032</v>
      </c>
      <c r="C29" t="s">
        <v>176</v>
      </c>
      <c r="D29" t="s">
        <v>177</v>
      </c>
      <c r="J29" t="s">
        <v>164</v>
      </c>
      <c r="K29" s="31">
        <f>1/2*B8*B27*B17</f>
        <v>1.7050000000000001E-3</v>
      </c>
      <c r="L29" t="s">
        <v>89</v>
      </c>
      <c r="M29" t="s">
        <v>165</v>
      </c>
    </row>
    <row r="30" spans="1:13" x14ac:dyDescent="0.25">
      <c r="J30" t="s">
        <v>166</v>
      </c>
      <c r="K30" s="31">
        <f>(B15-B17)/B25</f>
        <v>9</v>
      </c>
      <c r="L30" t="s">
        <v>12</v>
      </c>
      <c r="M30" t="s">
        <v>169</v>
      </c>
    </row>
    <row r="31" spans="1:13" x14ac:dyDescent="0.25">
      <c r="A31" t="s">
        <v>215</v>
      </c>
      <c r="B31">
        <v>125</v>
      </c>
      <c r="C31" t="s">
        <v>116</v>
      </c>
      <c r="D31" t="s">
        <v>217</v>
      </c>
      <c r="J31" t="s">
        <v>170</v>
      </c>
      <c r="K31" s="24">
        <f>(K18/10^6)*(B15-B17)^2/2 * (3 * K30 * K18/10^6)</f>
        <v>7.9783835116883551E-9</v>
      </c>
      <c r="L31" t="s">
        <v>89</v>
      </c>
      <c r="M31" t="s">
        <v>171</v>
      </c>
    </row>
    <row r="32" spans="1:13" x14ac:dyDescent="0.25">
      <c r="A32" t="s">
        <v>216</v>
      </c>
      <c r="B32">
        <v>150</v>
      </c>
      <c r="C32" t="s">
        <v>116</v>
      </c>
      <c r="D32" t="s">
        <v>218</v>
      </c>
      <c r="J32" t="s">
        <v>172</v>
      </c>
      <c r="K32">
        <f>3*K18*K30</f>
        <v>48.620628183361617</v>
      </c>
      <c r="L32" t="s">
        <v>173</v>
      </c>
      <c r="M32" t="s">
        <v>174</v>
      </c>
    </row>
    <row r="34" spans="1:13" x14ac:dyDescent="0.25">
      <c r="A34" t="s">
        <v>211</v>
      </c>
      <c r="B34">
        <v>45</v>
      </c>
      <c r="C34" t="s">
        <v>116</v>
      </c>
      <c r="D34" t="s">
        <v>213</v>
      </c>
    </row>
    <row r="35" spans="1:13" x14ac:dyDescent="0.25">
      <c r="A35" t="s">
        <v>212</v>
      </c>
      <c r="B35">
        <v>11</v>
      </c>
      <c r="C35" t="s">
        <v>116</v>
      </c>
      <c r="D35" t="s">
        <v>214</v>
      </c>
    </row>
    <row r="36" spans="1:13" x14ac:dyDescent="0.25">
      <c r="J36" s="27" t="s">
        <v>122</v>
      </c>
    </row>
    <row r="38" spans="1:13" x14ac:dyDescent="0.25">
      <c r="A38" t="s">
        <v>135</v>
      </c>
      <c r="B38">
        <v>3.5000000000000003E-2</v>
      </c>
      <c r="D38" t="s">
        <v>136</v>
      </c>
      <c r="J38" t="s">
        <v>123</v>
      </c>
      <c r="K38" s="29">
        <f>B8*B22/B15*10^(9)</f>
        <v>75.862068965517238</v>
      </c>
      <c r="L38" t="s">
        <v>116</v>
      </c>
      <c r="M38" t="s">
        <v>124</v>
      </c>
    </row>
    <row r="39" spans="1:13" x14ac:dyDescent="0.25">
      <c r="J39" t="s">
        <v>204</v>
      </c>
      <c r="K39">
        <f>((B34-B35)+(B31-B32))*1.2</f>
        <v>10.799999999999999</v>
      </c>
      <c r="L39" t="s">
        <v>116</v>
      </c>
    </row>
    <row r="75" spans="18:18" x14ac:dyDescent="0.25">
      <c r="R75" s="3" t="s">
        <v>207</v>
      </c>
    </row>
  </sheetData>
  <customSheetViews>
    <customSheetView guid="{816D1CF2-9F52-4523-8FA1-0974D3ADE14B}">
      <selection activeCell="A3" sqref="A3"/>
      <pageMargins left="0.7" right="0.7" top="0.75" bottom="0.75" header="0.3" footer="0.3"/>
      <pageSetup paperSize="9" orientation="portrait" r:id="rId1"/>
    </customSheetView>
    <customSheetView guid="{950CAB42-9710-43B8-BF7F-ADDD586A9B87}">
      <selection activeCell="A3" sqref="A3"/>
      <pageMargins left="0.7" right="0.7" top="0.75" bottom="0.75" header="0.3" footer="0.3"/>
      <pageSetup paperSize="9" orientation="portrait" r:id="rId2"/>
    </customSheetView>
  </customSheetViews>
  <hyperlinks>
    <hyperlink ref="R75" r:id="rId3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D9" sqref="D9"/>
    </sheetView>
  </sheetViews>
  <sheetFormatPr defaultRowHeight="15" x14ac:dyDescent="0.25"/>
  <cols>
    <col min="1" max="1" width="12.5703125" customWidth="1"/>
    <col min="4" max="4" width="14" customWidth="1"/>
    <col min="9" max="9" width="11.28515625" customWidth="1"/>
    <col min="10" max="10" width="10.140625" customWidth="1"/>
  </cols>
  <sheetData>
    <row r="1" spans="1:4" x14ac:dyDescent="0.25">
      <c r="A1" t="s">
        <v>140</v>
      </c>
    </row>
    <row r="3" spans="1:4" x14ac:dyDescent="0.25">
      <c r="A3" s="2" t="s">
        <v>2</v>
      </c>
    </row>
    <row r="6" spans="1:4" x14ac:dyDescent="0.25">
      <c r="A6" t="s">
        <v>143</v>
      </c>
      <c r="B6">
        <f>'Потери в MOSFET'!B16</f>
        <v>9.2009132420091326</v>
      </c>
      <c r="C6" t="s">
        <v>233</v>
      </c>
      <c r="D6" t="s">
        <v>147</v>
      </c>
    </row>
    <row r="7" spans="1:4" x14ac:dyDescent="0.25">
      <c r="A7" t="s">
        <v>144</v>
      </c>
      <c r="B7">
        <f>1.2*B6</f>
        <v>11.04109589041096</v>
      </c>
      <c r="C7" t="s">
        <v>7</v>
      </c>
      <c r="D7" t="s">
        <v>148</v>
      </c>
    </row>
    <row r="9" spans="1:4" x14ac:dyDescent="0.25">
      <c r="A9" t="s">
        <v>145</v>
      </c>
      <c r="B9">
        <f>'Потери в MOSFET'!B71</f>
        <v>2.9826359120647532</v>
      </c>
      <c r="C9" t="s">
        <v>228</v>
      </c>
      <c r="D9" t="s">
        <v>146</v>
      </c>
    </row>
    <row r="11" spans="1:4" x14ac:dyDescent="0.25">
      <c r="A11" t="s">
        <v>149</v>
      </c>
      <c r="B11">
        <f>0.056/2</f>
        <v>2.8000000000000001E-2</v>
      </c>
      <c r="C11" t="s">
        <v>109</v>
      </c>
      <c r="D11" t="s">
        <v>150</v>
      </c>
    </row>
    <row r="15" spans="1:4" x14ac:dyDescent="0.25">
      <c r="A15" s="2" t="s">
        <v>1</v>
      </c>
    </row>
    <row r="16" spans="1:4" x14ac:dyDescent="0.25">
      <c r="A16" t="s">
        <v>162</v>
      </c>
      <c r="B16" s="32">
        <v>1</v>
      </c>
      <c r="C16" t="s">
        <v>7</v>
      </c>
    </row>
    <row r="17" spans="1:4" x14ac:dyDescent="0.25">
      <c r="A17" t="s">
        <v>151</v>
      </c>
      <c r="B17" s="30">
        <f>B16*B11</f>
        <v>2.8000000000000001E-2</v>
      </c>
      <c r="C17" t="s">
        <v>153</v>
      </c>
    </row>
    <row r="19" spans="1:4" x14ac:dyDescent="0.25">
      <c r="A19" t="s">
        <v>152</v>
      </c>
      <c r="B19" s="30">
        <f>B7^2*B11</f>
        <v>3.4133623569149938</v>
      </c>
      <c r="C19" t="s">
        <v>89</v>
      </c>
    </row>
    <row r="20" spans="1:4" x14ac:dyDescent="0.25">
      <c r="A20" t="s">
        <v>154</v>
      </c>
      <c r="B20">
        <f>B9^2*B11</f>
        <v>0.24909127555027358</v>
      </c>
      <c r="C20" t="s">
        <v>89</v>
      </c>
    </row>
    <row r="22" spans="1:4" x14ac:dyDescent="0.25">
      <c r="A22" t="s">
        <v>155</v>
      </c>
      <c r="B22">
        <v>4020</v>
      </c>
      <c r="C22" t="s">
        <v>12</v>
      </c>
      <c r="D22" t="s">
        <v>157</v>
      </c>
    </row>
    <row r="23" spans="1:4" x14ac:dyDescent="0.25">
      <c r="A23" t="s">
        <v>156</v>
      </c>
      <c r="B23">
        <v>1100</v>
      </c>
      <c r="C23" t="s">
        <v>12</v>
      </c>
      <c r="D23" t="s">
        <v>158</v>
      </c>
    </row>
    <row r="24" spans="1:4" x14ac:dyDescent="0.25">
      <c r="A24" t="s">
        <v>159</v>
      </c>
      <c r="B24">
        <f>B22/B23</f>
        <v>3.6545454545454548</v>
      </c>
      <c r="D24" t="s">
        <v>160</v>
      </c>
    </row>
    <row r="26" spans="1:4" x14ac:dyDescent="0.25">
      <c r="A26" t="s">
        <v>161</v>
      </c>
      <c r="B26">
        <f>B17*B24</f>
        <v>0.10232727272727274</v>
      </c>
    </row>
    <row r="28" spans="1:4" x14ac:dyDescent="0.25">
      <c r="A28" t="s">
        <v>188</v>
      </c>
    </row>
    <row r="30" spans="1:4" x14ac:dyDescent="0.25">
      <c r="A30" t="s">
        <v>155</v>
      </c>
      <c r="B30">
        <v>1000</v>
      </c>
      <c r="C30" t="s">
        <v>109</v>
      </c>
      <c r="D30" t="s">
        <v>196</v>
      </c>
    </row>
    <row r="31" spans="1:4" x14ac:dyDescent="0.25">
      <c r="A31" t="s">
        <v>156</v>
      </c>
      <c r="B31">
        <v>1000</v>
      </c>
      <c r="C31" t="s">
        <v>109</v>
      </c>
      <c r="D31" t="s">
        <v>195</v>
      </c>
    </row>
    <row r="32" spans="1:4" x14ac:dyDescent="0.25">
      <c r="A32" t="s">
        <v>95</v>
      </c>
      <c r="B32">
        <f>5</f>
        <v>5</v>
      </c>
      <c r="C32" t="s">
        <v>3</v>
      </c>
      <c r="D32" t="s">
        <v>197</v>
      </c>
    </row>
    <row r="33" spans="1:4" x14ac:dyDescent="0.25">
      <c r="A33" t="s">
        <v>192</v>
      </c>
      <c r="B33">
        <f>B32-1.5</f>
        <v>3.5</v>
      </c>
      <c r="C33" t="s">
        <v>3</v>
      </c>
      <c r="D33" t="s">
        <v>191</v>
      </c>
    </row>
    <row r="34" spans="1:4" x14ac:dyDescent="0.25">
      <c r="A34" t="s">
        <v>193</v>
      </c>
      <c r="B34">
        <f>3.3</f>
        <v>3.3</v>
      </c>
      <c r="C34" t="s">
        <v>3</v>
      </c>
      <c r="D34" t="s">
        <v>194</v>
      </c>
    </row>
    <row r="36" spans="1:4" x14ac:dyDescent="0.25">
      <c r="A36" t="s">
        <v>189</v>
      </c>
      <c r="B36">
        <f>B31/(B30+B31)*B34</f>
        <v>1.65</v>
      </c>
      <c r="C36" t="s">
        <v>3</v>
      </c>
      <c r="D36" t="s">
        <v>190</v>
      </c>
    </row>
  </sheetData>
  <customSheetViews>
    <customSheetView guid="{816D1CF2-9F52-4523-8FA1-0974D3ADE14B}">
      <selection activeCell="B7" sqref="B7"/>
      <pageMargins left="0.7" right="0.7" top="0.75" bottom="0.75" header="0.3" footer="0.3"/>
      <pageSetup paperSize="9" orientation="portrait" verticalDpi="0" r:id="rId1"/>
    </customSheetView>
    <customSheetView guid="{950CAB42-9710-43B8-BF7F-ADDD586A9B87}">
      <selection activeCell="I10" sqref="I10"/>
      <pageMargins left="0.7" right="0.7" top="0.75" bottom="0.75" header="0.3" footer="0.3"/>
      <pageSetup paperSize="9" orientation="portrait" verticalDpi="0" r:id="rId2"/>
    </customSheetView>
  </customSheetViews>
  <conditionalFormatting sqref="B36">
    <cfRule type="cellIs" dxfId="0" priority="1" operator="greaterThan">
      <formula>$B$33</formula>
    </cfRule>
  </conditionalFormatting>
  <pageMargins left="0.7" right="0.7" top="0.75" bottom="0.75" header="0.3" footer="0.3"/>
  <pageSetup paperSize="9" orientation="portrait" verticalDpi="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J23" sqref="J23"/>
    </sheetView>
  </sheetViews>
  <sheetFormatPr defaultRowHeight="15" x14ac:dyDescent="0.25"/>
  <sheetData>
    <row r="2" spans="1:4" x14ac:dyDescent="0.25">
      <c r="A2" t="s">
        <v>182</v>
      </c>
    </row>
    <row r="4" spans="1:4" x14ac:dyDescent="0.25">
      <c r="A4" t="s">
        <v>155</v>
      </c>
      <c r="B4">
        <v>28000</v>
      </c>
      <c r="C4" t="s">
        <v>12</v>
      </c>
      <c r="D4" t="s">
        <v>186</v>
      </c>
    </row>
    <row r="5" spans="1:4" x14ac:dyDescent="0.25">
      <c r="A5" t="s">
        <v>156</v>
      </c>
      <c r="B5">
        <v>1000</v>
      </c>
      <c r="C5" t="s">
        <v>12</v>
      </c>
      <c r="D5" t="s">
        <v>186</v>
      </c>
    </row>
    <row r="6" spans="1:4" x14ac:dyDescent="0.25">
      <c r="A6" t="s">
        <v>183</v>
      </c>
      <c r="B6">
        <v>27</v>
      </c>
      <c r="C6" t="s">
        <v>3</v>
      </c>
      <c r="D6" t="s">
        <v>185</v>
      </c>
    </row>
    <row r="9" spans="1:4" x14ac:dyDescent="0.25">
      <c r="A9" t="s">
        <v>184</v>
      </c>
      <c r="B9">
        <f>B6*B5/(B5+B4)</f>
        <v>0.93103448275862066</v>
      </c>
      <c r="C9" t="s">
        <v>153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opLeftCell="A7" workbookViewId="0">
      <selection activeCell="Q12" sqref="Q12"/>
    </sheetView>
  </sheetViews>
  <sheetFormatPr defaultRowHeight="15" x14ac:dyDescent="0.25"/>
  <sheetData>
    <row r="2" spans="1:4" x14ac:dyDescent="0.25">
      <c r="A2" t="s">
        <v>202</v>
      </c>
    </row>
    <row r="3" spans="1:4" x14ac:dyDescent="0.25">
      <c r="A3" t="s">
        <v>203</v>
      </c>
    </row>
    <row r="6" spans="1:4" x14ac:dyDescent="0.25">
      <c r="A6" t="s">
        <v>209</v>
      </c>
      <c r="B6">
        <v>28000</v>
      </c>
      <c r="C6" t="s">
        <v>12</v>
      </c>
      <c r="D6" t="s">
        <v>186</v>
      </c>
    </row>
    <row r="7" spans="1:4" x14ac:dyDescent="0.25">
      <c r="A7" t="s">
        <v>210</v>
      </c>
      <c r="B7">
        <v>4020</v>
      </c>
      <c r="C7" t="s">
        <v>12</v>
      </c>
      <c r="D7" t="s">
        <v>186</v>
      </c>
    </row>
    <row r="8" spans="1:4" x14ac:dyDescent="0.25">
      <c r="A8" t="s">
        <v>183</v>
      </c>
      <c r="B8">
        <f>14.5</f>
        <v>14.5</v>
      </c>
      <c r="C8" t="s">
        <v>3</v>
      </c>
      <c r="D8" t="s">
        <v>208</v>
      </c>
    </row>
    <row r="11" spans="1:4" x14ac:dyDescent="0.25">
      <c r="A11" t="s">
        <v>161</v>
      </c>
      <c r="B11">
        <f>B8*B7/(B7+B6)</f>
        <v>1.8204247345409119</v>
      </c>
      <c r="C11" t="s">
        <v>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Потери в MOSFET</vt:lpstr>
      <vt:lpstr>Тепловой расчет</vt:lpstr>
      <vt:lpstr>Драйвер</vt:lpstr>
      <vt:lpstr>Защита</vt:lpstr>
      <vt:lpstr>27DVC</vt:lpstr>
      <vt:lpstr>15VDC</vt:lpstr>
    </vt:vector>
  </TitlesOfParts>
  <Company>ZAO Diakont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Tihonov</dc:creator>
  <cp:lastModifiedBy>Eugene</cp:lastModifiedBy>
  <cp:lastPrinted>2018-05-18T07:40:58Z</cp:lastPrinted>
  <dcterms:created xsi:type="dcterms:W3CDTF">2017-12-25T11:57:50Z</dcterms:created>
  <dcterms:modified xsi:type="dcterms:W3CDTF">2019-11-24T19:13:06Z</dcterms:modified>
</cp:coreProperties>
</file>