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120" yWindow="45" windowWidth="20370" windowHeight="8220" activeTab="3"/>
  </bookViews>
  <sheets>
    <sheet name="Потери в MOSFET" sheetId="1" r:id="rId1"/>
    <sheet name="Тепловой расчет" sheetId="2" r:id="rId2"/>
    <sheet name="Драйвер" sheetId="3" r:id="rId3"/>
    <sheet name="Защита" sheetId="4" r:id="rId4"/>
    <sheet name="27DVC" sheetId="5" r:id="rId5"/>
    <sheet name="15VDC" sheetId="6" r:id="rId6"/>
  </sheets>
  <calcPr calcId="125725"/>
  <customWorkbookViews>
    <customWorkbookView name="Tikhonov Eugene - Личное представление" guid="{816D1CF2-9F52-4523-8FA1-0974D3ADE14B}" mergeInterval="0" personalView="1" maximized="1" xWindow="1" yWindow="1" windowWidth="1200" windowHeight="625" activeSheetId="4"/>
    <customWorkbookView name="Eugene - Личное представление" guid="{950CAB42-9710-43B8-BF7F-ADDD586A9B87}" mergeInterval="0" personalView="1" yWindow="71" windowWidth="1593" windowHeight="766" activeSheetId="4"/>
  </customWorkbookViews>
</workbook>
</file>

<file path=xl/calcChain.xml><?xml version="1.0" encoding="utf-8"?>
<calcChain xmlns="http://schemas.openxmlformats.org/spreadsheetml/2006/main">
  <c r="B66" i="4"/>
  <c r="B67"/>
  <c r="B63"/>
  <c r="B68" l="1"/>
  <c r="B7" l="1"/>
  <c r="B15" i="1" l="1"/>
  <c r="B14"/>
  <c r="B12"/>
  <c r="B13"/>
  <c r="B45" l="1"/>
  <c r="B44"/>
  <c r="B18" i="3"/>
  <c r="K34"/>
  <c r="K46"/>
  <c r="K45"/>
  <c r="B38" i="1"/>
  <c r="B11" i="4" l="1"/>
  <c r="B23"/>
  <c r="B10" i="3" l="1"/>
  <c r="K42" s="1"/>
  <c r="B36" i="1"/>
  <c r="B22" l="1"/>
  <c r="B23" l="1"/>
  <c r="B75"/>
  <c r="B9" i="4" s="1"/>
  <c r="B16" i="1"/>
  <c r="B6" i="4" s="1"/>
  <c r="K48" i="3"/>
  <c r="B80" i="1" l="1"/>
  <c r="B8" i="6"/>
  <c r="B11" s="1"/>
  <c r="B21" i="1" l="1"/>
  <c r="B30" s="1"/>
  <c r="B37" i="4"/>
  <c r="B39" s="1"/>
  <c r="B35"/>
  <c r="B36" s="1"/>
  <c r="B9" i="5" l="1"/>
  <c r="B29" i="1"/>
  <c r="B32" i="3" l="1"/>
  <c r="B28"/>
  <c r="K10"/>
  <c r="K11" s="1"/>
  <c r="B20" i="4" l="1"/>
  <c r="B27"/>
  <c r="B26" i="3"/>
  <c r="K22"/>
  <c r="B20"/>
  <c r="B19"/>
  <c r="B11"/>
  <c r="B13"/>
  <c r="B29" i="4" l="1"/>
  <c r="K20" i="3"/>
  <c r="K32"/>
  <c r="K14"/>
  <c r="K12" s="1"/>
  <c r="B52" i="1"/>
  <c r="B50"/>
  <c r="B87"/>
  <c r="B93" l="1"/>
  <c r="B99" s="1"/>
  <c r="K35" i="3"/>
  <c r="K36"/>
  <c r="K31"/>
  <c r="K15"/>
  <c r="B12"/>
  <c r="K30" s="1"/>
  <c r="B37" i="1" l="1"/>
  <c r="B22" i="4"/>
  <c r="B51" i="1"/>
  <c r="F71" l="1"/>
  <c r="J71" s="1"/>
  <c r="B11" i="2" l="1"/>
  <c r="B25" s="1"/>
</calcChain>
</file>

<file path=xl/comments1.xml><?xml version="1.0" encoding="utf-8"?>
<comments xmlns="http://schemas.openxmlformats.org/spreadsheetml/2006/main">
  <authors>
    <author>Eugene</author>
  </authors>
  <commentList>
    <comment ref="B29" authorId="0">
      <text>
        <r>
          <rPr>
            <b/>
            <sz val="8"/>
            <color indexed="81"/>
            <rFont val="Tahoma"/>
            <family val="2"/>
            <charset val="204"/>
          </rPr>
          <t>Eugene:</t>
        </r>
        <r>
          <rPr>
            <sz val="8"/>
            <color indexed="81"/>
            <rFont val="Tahoma"/>
            <family val="2"/>
            <charset val="204"/>
          </rPr>
          <t xml:space="preserve">
исходя из возможностей мотора</t>
        </r>
      </text>
    </comment>
    <comment ref="B30" authorId="0">
      <text>
        <r>
          <rPr>
            <b/>
            <sz val="8"/>
            <color indexed="81"/>
            <rFont val="Tahoma"/>
            <family val="2"/>
            <charset val="204"/>
          </rPr>
          <t>Eugene:</t>
        </r>
        <r>
          <rPr>
            <sz val="8"/>
            <color indexed="81"/>
            <rFont val="Tahoma"/>
            <family val="2"/>
            <charset val="204"/>
          </rPr>
          <t xml:space="preserve">
из расчета Дрюкова</t>
        </r>
      </text>
    </comment>
    <comment ref="A41" authorId="0">
      <text>
        <r>
          <rPr>
            <b/>
            <sz val="8"/>
            <color indexed="81"/>
            <rFont val="Tahoma"/>
            <charset val="1"/>
          </rPr>
          <t>Eugene:</t>
        </r>
        <r>
          <rPr>
            <sz val="8"/>
            <color indexed="81"/>
            <rFont val="Tahoma"/>
            <charset val="1"/>
          </rPr>
          <t xml:space="preserve">
Напряжение драйвера</t>
        </r>
      </text>
    </comment>
    <comment ref="A42" authorId="0">
      <text>
        <r>
          <rPr>
            <b/>
            <sz val="8"/>
            <color indexed="81"/>
            <rFont val="Tahoma"/>
            <charset val="1"/>
          </rPr>
          <t>Eugene:</t>
        </r>
        <r>
          <rPr>
            <sz val="8"/>
            <color indexed="81"/>
            <rFont val="Tahoma"/>
            <charset val="1"/>
          </rPr>
          <t xml:space="preserve">
Ugm определяется по графику Vgs = f(Qg) на горизонтальном участке.</t>
        </r>
      </text>
    </comment>
    <comment ref="B43" authorId="0">
      <text>
        <r>
          <rPr>
            <b/>
            <sz val="8"/>
            <color indexed="81"/>
            <rFont val="Tahoma"/>
            <charset val="1"/>
          </rPr>
          <t>Eugene:</t>
        </r>
        <r>
          <rPr>
            <sz val="8"/>
            <color indexed="81"/>
            <rFont val="Tahoma"/>
            <charset val="1"/>
          </rPr>
          <t xml:space="preserve">
Жанна Полохова из Ангстрем рекомендует ставить 20 Ом
Допускается поставить 22 Ом со из Imbase</t>
        </r>
      </text>
    </comment>
    <comment ref="A44" authorId="0">
      <text>
        <r>
          <rPr>
            <b/>
            <sz val="8"/>
            <color indexed="81"/>
            <rFont val="Tahoma"/>
            <charset val="1"/>
          </rPr>
          <t>Eugene:</t>
        </r>
        <r>
          <rPr>
            <sz val="8"/>
            <color indexed="81"/>
            <rFont val="Tahoma"/>
            <charset val="1"/>
          </rPr>
          <t xml:space="preserve">
Ig = (Ugs - Ugm) / Rg</t>
        </r>
      </text>
    </comment>
    <comment ref="A45" authorId="0">
      <text>
        <r>
          <rPr>
            <b/>
            <sz val="8"/>
            <color indexed="81"/>
            <rFont val="Tahoma"/>
            <charset val="1"/>
          </rPr>
          <t>Eugene:</t>
        </r>
        <r>
          <rPr>
            <sz val="8"/>
            <color indexed="81"/>
            <rFont val="Tahoma"/>
            <charset val="1"/>
          </rPr>
          <t xml:space="preserve">
ton = Qg/Ig</t>
        </r>
      </text>
    </comment>
    <comment ref="B78" authorId="0">
      <text>
        <r>
          <rPr>
            <b/>
            <sz val="8"/>
            <color indexed="81"/>
            <rFont val="Tahoma"/>
            <family val="2"/>
            <charset val="204"/>
          </rPr>
          <t>Eugene:</t>
        </r>
        <r>
          <rPr>
            <sz val="8"/>
            <color indexed="81"/>
            <rFont val="Tahoma"/>
            <family val="2"/>
            <charset val="204"/>
          </rPr>
          <t xml:space="preserve">
при 120 градусной коммутации
так считают в Texas</t>
        </r>
      </text>
    </comment>
    <comment ref="B99" authorId="0">
      <text>
        <r>
          <rPr>
            <b/>
            <sz val="8"/>
            <color indexed="81"/>
            <rFont val="Tahoma"/>
            <charset val="1"/>
          </rPr>
          <t>Eugene:</t>
        </r>
        <r>
          <rPr>
            <sz val="8"/>
            <color indexed="81"/>
            <rFont val="Tahoma"/>
            <charset val="1"/>
          </rPr>
          <t xml:space="preserve">
с учетом коэфф. Запаса по мощности Kpow
лучше брать 1.2</t>
        </r>
      </text>
    </comment>
  </commentList>
</comments>
</file>

<file path=xl/comments2.xml><?xml version="1.0" encoding="utf-8"?>
<comments xmlns="http://schemas.openxmlformats.org/spreadsheetml/2006/main">
  <authors>
    <author>Tikhonov Eugene</author>
  </authors>
  <commentList>
    <comment ref="B25" authorId="0">
      <text>
        <r>
          <rPr>
            <b/>
            <sz val="8"/>
            <color indexed="81"/>
            <rFont val="Tahoma"/>
            <family val="2"/>
            <charset val="204"/>
          </rPr>
          <t>Tikhonov Eugene:</t>
        </r>
        <r>
          <rPr>
            <sz val="8"/>
            <color indexed="81"/>
            <rFont val="Tahoma"/>
            <family val="2"/>
            <charset val="204"/>
          </rPr>
          <t xml:space="preserve">
Tj=Ptr*RthJA+Tamb</t>
        </r>
      </text>
    </comment>
  </commentList>
</comments>
</file>

<file path=xl/comments3.xml><?xml version="1.0" encoding="utf-8"?>
<comments xmlns="http://schemas.openxmlformats.org/spreadsheetml/2006/main">
  <authors>
    <author>Eugene</author>
    <author>Tikhonov Eugene</author>
  </authors>
  <commentList>
    <comment ref="A10" authorId="0">
      <text>
        <r>
          <rPr>
            <b/>
            <sz val="8"/>
            <color indexed="81"/>
            <rFont val="Tahoma"/>
            <charset val="1"/>
          </rPr>
          <t>Eugene:</t>
        </r>
        <r>
          <rPr>
            <sz val="8"/>
            <color indexed="81"/>
            <rFont val="Tahoma"/>
            <charset val="1"/>
          </rPr>
          <t xml:space="preserve">
из графика</t>
        </r>
      </text>
    </comment>
    <comment ref="J10" authorId="0">
      <text>
        <r>
          <rPr>
            <b/>
            <sz val="8"/>
            <color indexed="81"/>
            <rFont val="Tahoma"/>
            <charset val="1"/>
          </rPr>
          <t>Eugene:</t>
        </r>
        <r>
          <rPr>
            <sz val="8"/>
            <color indexed="81"/>
            <rFont val="Tahoma"/>
            <charset val="1"/>
          </rPr>
          <t xml:space="preserve">
по Семенову</t>
        </r>
      </text>
    </comment>
    <comment ref="A11" authorId="0">
      <text>
        <r>
          <rPr>
            <b/>
            <sz val="8"/>
            <color indexed="81"/>
            <rFont val="Tahoma"/>
            <charset val="1"/>
          </rPr>
          <t>Eugene:</t>
        </r>
        <r>
          <rPr>
            <sz val="8"/>
            <color indexed="81"/>
            <rFont val="Tahoma"/>
            <charset val="1"/>
          </rPr>
          <t xml:space="preserve">
Пренебрежимо мало</t>
        </r>
      </text>
    </comment>
    <comment ref="A12" authorId="0">
      <text>
        <r>
          <rPr>
            <b/>
            <sz val="8"/>
            <color indexed="81"/>
            <rFont val="Tahoma"/>
            <charset val="1"/>
          </rPr>
          <t>Eugene:</t>
        </r>
        <r>
          <rPr>
            <sz val="8"/>
            <color indexed="81"/>
            <rFont val="Tahoma"/>
            <charset val="1"/>
          </rPr>
          <t xml:space="preserve">
см. Application Note AN-978 на драйвер IR2113</t>
        </r>
      </text>
    </comment>
    <comment ref="K12" authorId="1">
      <text>
        <r>
          <rPr>
            <b/>
            <sz val="8"/>
            <color indexed="81"/>
            <rFont val="Tahoma"/>
            <family val="2"/>
            <charset val="204"/>
          </rPr>
          <t>Tikhonov Eugene:</t>
        </r>
        <r>
          <rPr>
            <sz val="8"/>
            <color indexed="81"/>
            <rFont val="Tahoma"/>
            <family val="2"/>
            <charset val="204"/>
          </rPr>
          <t xml:space="preserve">
Делим на 2 потому что половина енергии уйдет на конденсатор затвора мосфета.
См. ликбез от Федорова</t>
        </r>
      </text>
    </comment>
    <comment ref="A14" authorId="0">
      <text>
        <r>
          <rPr>
            <b/>
            <sz val="8"/>
            <color indexed="81"/>
            <rFont val="Tahoma"/>
            <charset val="1"/>
          </rPr>
          <t>Eugene:</t>
        </r>
        <r>
          <rPr>
            <sz val="8"/>
            <color indexed="81"/>
            <rFont val="Tahoma"/>
            <charset val="1"/>
          </rPr>
          <t xml:space="preserve">
Пренебрежимо мало</t>
        </r>
      </text>
    </comment>
    <comment ref="K14" authorId="1">
      <text>
        <r>
          <rPr>
            <b/>
            <sz val="8"/>
            <color indexed="81"/>
            <rFont val="Tahoma"/>
            <family val="2"/>
            <charset val="204"/>
          </rPr>
          <t>Tikhonov Eugene:</t>
        </r>
        <r>
          <rPr>
            <sz val="8"/>
            <color indexed="81"/>
            <rFont val="Tahoma"/>
            <family val="2"/>
            <charset val="204"/>
          </rPr>
          <t xml:space="preserve">
хорошо, когда 70-80% от номинала микросхемы, чтобы гарантированно не было защелкивания драйвера
по Семенову и IR</t>
        </r>
      </text>
    </comment>
    <comment ref="J22" authorId="1">
      <text>
        <r>
          <rPr>
            <b/>
            <sz val="8"/>
            <color indexed="81"/>
            <rFont val="Tahoma"/>
            <family val="2"/>
            <charset val="204"/>
          </rPr>
          <t>Tikhonov Eugene:</t>
        </r>
        <r>
          <rPr>
            <sz val="8"/>
            <color indexed="81"/>
            <rFont val="Tahoma"/>
            <family val="2"/>
            <charset val="204"/>
          </rPr>
          <t xml:space="preserve">
E.S.R. = tg ∂ / (2•pi•f•C)</t>
        </r>
      </text>
    </comment>
    <comment ref="B25" authorId="0">
      <text>
        <r>
          <rPr>
            <b/>
            <sz val="8"/>
            <color indexed="81"/>
            <rFont val="Tahoma"/>
            <charset val="1"/>
          </rPr>
          <t>Eugene:</t>
        </r>
        <r>
          <rPr>
            <sz val="8"/>
            <color indexed="81"/>
            <rFont val="Tahoma"/>
            <charset val="1"/>
          </rPr>
          <t xml:space="preserve">
Жанна Полохова из Ангстрем рекомендует ставить 20 Ом</t>
        </r>
      </text>
    </comment>
    <comment ref="J32" authorId="0">
      <text>
        <r>
          <rPr>
            <b/>
            <sz val="8"/>
            <color indexed="81"/>
            <rFont val="Tahoma"/>
            <family val="2"/>
            <charset val="204"/>
          </rPr>
          <t>Eugene:</t>
        </r>
        <r>
          <rPr>
            <sz val="8"/>
            <color indexed="81"/>
            <rFont val="Tahoma"/>
            <family val="2"/>
            <charset val="204"/>
          </rPr>
          <t xml:space="preserve">
0.5*Qg*fsw*Vf</t>
        </r>
      </text>
    </comment>
    <comment ref="J34" authorId="0">
      <text>
        <r>
          <rPr>
            <b/>
            <sz val="8"/>
            <color indexed="81"/>
            <rFont val="Tahoma"/>
            <family val="2"/>
            <charset val="204"/>
          </rPr>
          <t>Eugene:</t>
        </r>
        <r>
          <rPr>
            <sz val="8"/>
            <color indexed="81"/>
            <rFont val="Tahoma"/>
            <family val="2"/>
            <charset val="204"/>
          </rPr>
          <t xml:space="preserve">
Vdd-Vf / Idboot</t>
        </r>
      </text>
    </comment>
    <comment ref="A38" authorId="0">
      <text>
        <r>
          <rPr>
            <b/>
            <sz val="8"/>
            <color indexed="81"/>
            <rFont val="Tahoma"/>
            <charset val="1"/>
          </rPr>
          <t>Eugene:</t>
        </r>
        <r>
          <rPr>
            <sz val="8"/>
            <color indexed="81"/>
            <rFont val="Tahoma"/>
            <charset val="1"/>
          </rPr>
          <t xml:space="preserve">
Это все с резистором Rg = 5 Ом</t>
        </r>
      </text>
    </comment>
    <comment ref="J42" authorId="1">
      <text>
        <r>
          <rPr>
            <b/>
            <sz val="8"/>
            <color indexed="81"/>
            <rFont val="Tahoma"/>
            <family val="2"/>
            <charset val="204"/>
          </rPr>
          <t>Tikhonov Eugene:</t>
        </r>
        <r>
          <rPr>
            <sz val="8"/>
            <color indexed="81"/>
            <rFont val="Tahoma"/>
            <family val="2"/>
            <charset val="204"/>
          </rPr>
          <t xml:space="preserve">
По Семенову
Qg*Rg/Ug</t>
        </r>
      </text>
    </comment>
    <comment ref="J45" authorId="1">
      <text>
        <r>
          <rPr>
            <b/>
            <sz val="8"/>
            <color indexed="81"/>
            <rFont val="Tahoma"/>
            <family val="2"/>
            <charset val="204"/>
          </rPr>
          <t>Tikhonov Eugene:</t>
        </r>
        <r>
          <rPr>
            <sz val="8"/>
            <color indexed="81"/>
            <rFont val="Tahoma"/>
            <family val="2"/>
            <charset val="204"/>
          </rPr>
          <t xml:space="preserve">
По графику
td(on) + tr</t>
        </r>
      </text>
    </comment>
    <comment ref="J46" authorId="0">
      <text>
        <r>
          <rPr>
            <b/>
            <sz val="8"/>
            <color indexed="81"/>
            <rFont val="Tahoma"/>
            <charset val="1"/>
          </rPr>
          <t>Eugene:</t>
        </r>
        <r>
          <rPr>
            <sz val="8"/>
            <color indexed="81"/>
            <rFont val="Tahoma"/>
            <charset val="1"/>
          </rPr>
          <t xml:space="preserve">
По графику
td(off) + tf</t>
        </r>
      </text>
    </comment>
    <comment ref="J48" authorId="0">
      <text>
        <r>
          <rPr>
            <b/>
            <sz val="8"/>
            <color indexed="81"/>
            <rFont val="Tahoma"/>
            <family val="2"/>
            <charset val="204"/>
          </rPr>
          <t>Eugene:</t>
        </r>
        <r>
          <rPr>
            <sz val="8"/>
            <color indexed="81"/>
            <rFont val="Tahoma"/>
            <family val="2"/>
            <charset val="204"/>
          </rPr>
          <t xml:space="preserve">
Tdead = [(Td_off_max - Td_on_min) + (Tpdd_max - Tpdd_min)]x1.2</t>
        </r>
      </text>
    </comment>
  </commentList>
</comments>
</file>

<file path=xl/sharedStrings.xml><?xml version="1.0" encoding="utf-8"?>
<sst xmlns="http://schemas.openxmlformats.org/spreadsheetml/2006/main" count="432" uniqueCount="316">
  <si>
    <t>F=</t>
  </si>
  <si>
    <t>Расчеты</t>
  </si>
  <si>
    <t>Исходные данные</t>
  </si>
  <si>
    <t>V</t>
  </si>
  <si>
    <t>W</t>
  </si>
  <si>
    <t>N=</t>
  </si>
  <si>
    <t>частота ШИМ</t>
  </si>
  <si>
    <t>A</t>
  </si>
  <si>
    <t>Uce=</t>
  </si>
  <si>
    <t>Uline=</t>
  </si>
  <si>
    <t>Qg=</t>
  </si>
  <si>
    <t>Rg=</t>
  </si>
  <si>
    <t>Ом</t>
  </si>
  <si>
    <t>Hz</t>
  </si>
  <si>
    <t>Vfm</t>
  </si>
  <si>
    <t>падение на антипараллельном диоде</t>
  </si>
  <si>
    <t>Ifm</t>
  </si>
  <si>
    <t>средний ток диода</t>
  </si>
  <si>
    <t>Dm=</t>
  </si>
  <si>
    <t>cosfi=</t>
  </si>
  <si>
    <t>косинус угла между током и напряжением</t>
  </si>
  <si>
    <t>Kpow=</t>
  </si>
  <si>
    <t>коэфф. запаса по мощности</t>
  </si>
  <si>
    <t>Расчеты:</t>
  </si>
  <si>
    <t>Psumm=</t>
  </si>
  <si>
    <t>Pd=</t>
  </si>
  <si>
    <t>Psw=</t>
  </si>
  <si>
    <t>1.3 Суммарные потери</t>
  </si>
  <si>
    <t>Pdm=</t>
  </si>
  <si>
    <t>ссылка</t>
  </si>
  <si>
    <t>1.1 Статические потери 1-го ключа</t>
  </si>
  <si>
    <t>Diode</t>
  </si>
  <si>
    <t>Other</t>
  </si>
  <si>
    <t>глубина модуляции</t>
  </si>
  <si>
    <t>RthJC</t>
  </si>
  <si>
    <t>максимальная рабочая температура кристалла</t>
  </si>
  <si>
    <t>Tamb=</t>
  </si>
  <si>
    <t>температура окр. воздуха</t>
  </si>
  <si>
    <t>Tj op=</t>
  </si>
  <si>
    <t>Tj=</t>
  </si>
  <si>
    <t>ns=</t>
  </si>
  <si>
    <t>Ptr=</t>
  </si>
  <si>
    <r>
      <rPr>
        <sz val="11"/>
        <color theme="1"/>
        <rFont val="Calibri"/>
        <family val="2"/>
        <charset val="204"/>
      </rPr>
      <t>°</t>
    </r>
    <r>
      <rPr>
        <sz val="11"/>
        <color theme="1"/>
        <rFont val="Calibri"/>
        <family val="2"/>
        <charset val="204"/>
        <scheme val="minor"/>
      </rPr>
      <t>С</t>
    </r>
  </si>
  <si>
    <t>перегрев (Tj&gt;150)</t>
  </si>
  <si>
    <t>Pfactor=</t>
  </si>
  <si>
    <t>коэфф. перегрузки</t>
  </si>
  <si>
    <t>нормально* (Tj&lt;150)</t>
  </si>
  <si>
    <t>транзисторы</t>
  </si>
  <si>
    <t>MOSFET</t>
  </si>
  <si>
    <t>Rds=</t>
  </si>
  <si>
    <t>s</t>
  </si>
  <si>
    <t>trr=</t>
  </si>
  <si>
    <t>reverse recovery time</t>
  </si>
  <si>
    <t>Qrr=</t>
  </si>
  <si>
    <t>C</t>
  </si>
  <si>
    <t>recovered charge</t>
  </si>
  <si>
    <t>кол-во одновременно работающих ключей в инверторе</t>
  </si>
  <si>
    <t>1. Потери MOSFET</t>
  </si>
  <si>
    <t>1.2 Динамические потери с учетом тока обратного диода</t>
  </si>
  <si>
    <t xml:space="preserve">аналог: </t>
  </si>
  <si>
    <t>падение на переходе MOSFET</t>
  </si>
  <si>
    <t>Pone=</t>
  </si>
  <si>
    <t>°С/W</t>
  </si>
  <si>
    <t>кол-во ключей</t>
  </si>
  <si>
    <t>потери в одном транзисторе (+diode)</t>
  </si>
  <si>
    <t>RthJA</t>
  </si>
  <si>
    <t>Thermalresistance,junction-to-ambient</t>
  </si>
  <si>
    <t>Thermalresistance,junctiontocase (не используется)</t>
  </si>
  <si>
    <t>°С</t>
  </si>
  <si>
    <t>Ig=</t>
  </si>
  <si>
    <t>Ugs=</t>
  </si>
  <si>
    <t>Pупр=</t>
  </si>
  <si>
    <t>движок</t>
  </si>
  <si>
    <t>Nm</t>
  </si>
  <si>
    <t>Qg =</t>
  </si>
  <si>
    <t>total gate charge</t>
  </si>
  <si>
    <t xml:space="preserve">Ug = </t>
  </si>
  <si>
    <t>gate voltage</t>
  </si>
  <si>
    <t>f =</t>
  </si>
  <si>
    <t xml:space="preserve"> </t>
  </si>
  <si>
    <t>Вт</t>
  </si>
  <si>
    <t>Iqbs=</t>
  </si>
  <si>
    <t>Icbs=</t>
  </si>
  <si>
    <t>bootstrap capacitor leakage current</t>
  </si>
  <si>
    <t>Qls=</t>
  </si>
  <si>
    <t>level shift charge required per cycle</t>
  </si>
  <si>
    <t>Vcc=</t>
  </si>
  <si>
    <t>Logic section voltage source</t>
  </si>
  <si>
    <t>Vf=</t>
  </si>
  <si>
    <t>Forward voltage drop across the bootstrap diode</t>
  </si>
  <si>
    <t>Vls=</t>
  </si>
  <si>
    <t>Voltage drop across the low-side FET or load</t>
  </si>
  <si>
    <t>Vmin=</t>
  </si>
  <si>
    <t>Cbs=</t>
  </si>
  <si>
    <t>k=</t>
  </si>
  <si>
    <t>mkF</t>
  </si>
  <si>
    <t>VBS supply undervoltage positive going threshold</t>
  </si>
  <si>
    <t>Prgg=</t>
  </si>
  <si>
    <t>средняя мощность драйвера</t>
  </si>
  <si>
    <t>средняя мощность на Rgg</t>
  </si>
  <si>
    <t>Ohm</t>
  </si>
  <si>
    <t>gate resistor</t>
  </si>
  <si>
    <t>Затворный резистор</t>
  </si>
  <si>
    <t>Bootstrap Capacitor * k</t>
  </si>
  <si>
    <t>пиковый ток через Rg</t>
  </si>
  <si>
    <t>Vrpm=</t>
  </si>
  <si>
    <t>max trr=</t>
  </si>
  <si>
    <t>ns</t>
  </si>
  <si>
    <t>If=</t>
  </si>
  <si>
    <t>Qbs=</t>
  </si>
  <si>
    <t>minimum charge for bootstrap capacitor</t>
  </si>
  <si>
    <t>mA</t>
  </si>
  <si>
    <t>reverse voltage</t>
  </si>
  <si>
    <t>Динамика</t>
  </si>
  <si>
    <t>ton(off)=</t>
  </si>
  <si>
    <t>время включения(выкл) MOSFET</t>
  </si>
  <si>
    <t>2. Суммарные потери на ключе</t>
  </si>
  <si>
    <t>3. Суммарные потери на инверторе</t>
  </si>
  <si>
    <t>Ig/Icc=</t>
  </si>
  <si>
    <t>%</t>
  </si>
  <si>
    <t>Iic=</t>
  </si>
  <si>
    <t>driver nominal current</t>
  </si>
  <si>
    <t>процент от номинала драйвера</t>
  </si>
  <si>
    <r>
      <t xml:space="preserve">* рекомендуемая температура кристалла &lt;120-125 </t>
    </r>
    <r>
      <rPr>
        <sz val="11"/>
        <color theme="1"/>
        <rFont val="Calibri"/>
        <family val="2"/>
        <charset val="204"/>
      </rPr>
      <t>°C //по Колпакову</t>
    </r>
  </si>
  <si>
    <t>Пример использования здесь: ИТЦЯ.468362.049</t>
  </si>
  <si>
    <t>ESR =</t>
  </si>
  <si>
    <t>tan=</t>
  </si>
  <si>
    <t>тангенс угла потерь bootstrap cap</t>
  </si>
  <si>
    <t>конденсатора</t>
  </si>
  <si>
    <t>Prg=</t>
  </si>
  <si>
    <t>peak gate res power</t>
  </si>
  <si>
    <t>Расчет аппаратной защиты ключей по току</t>
  </si>
  <si>
    <t>Тихонов Е. 03.11.19</t>
  </si>
  <si>
    <t>Ipeak=</t>
  </si>
  <si>
    <t>I_LIM=</t>
  </si>
  <si>
    <t>Inom=</t>
  </si>
  <si>
    <t>номинальный ток (RMS)</t>
  </si>
  <si>
    <t>сраб. Защиты (peak)</t>
  </si>
  <si>
    <t>Rshunt=</t>
  </si>
  <si>
    <t>шунт на ток</t>
  </si>
  <si>
    <t>Usense=</t>
  </si>
  <si>
    <t>Pres_max=</t>
  </si>
  <si>
    <t>В</t>
  </si>
  <si>
    <t>R1=</t>
  </si>
  <si>
    <t>R2=</t>
  </si>
  <si>
    <t>рез. ОС ОУ</t>
  </si>
  <si>
    <t>G=</t>
  </si>
  <si>
    <t>Uadc=</t>
  </si>
  <si>
    <t>Isense=</t>
  </si>
  <si>
    <t>Driver Quiescent VBS supply current</t>
  </si>
  <si>
    <t>Pdboot=</t>
  </si>
  <si>
    <t>мощность потерь</t>
  </si>
  <si>
    <t>Rboot=</t>
  </si>
  <si>
    <t>Idboot=</t>
  </si>
  <si>
    <t>boot diode max current</t>
  </si>
  <si>
    <t>limit resistor</t>
  </si>
  <si>
    <t>Prboot=</t>
  </si>
  <si>
    <t>мощность на limit resistor</t>
  </si>
  <si>
    <t>tcharge=</t>
  </si>
  <si>
    <t>mks</t>
  </si>
  <si>
    <t>время заряда Cbs</t>
  </si>
  <si>
    <t>T=</t>
  </si>
  <si>
    <t>мкс</t>
  </si>
  <si>
    <t>период ШИМ</t>
  </si>
  <si>
    <t>Pmot=</t>
  </si>
  <si>
    <t>средний ток через диод</t>
  </si>
  <si>
    <t>Ifpeak=</t>
  </si>
  <si>
    <t>пиковый ток черед диод</t>
  </si>
  <si>
    <t>Цепь измерения напряжения DC-bus</t>
  </si>
  <si>
    <t>Udc=</t>
  </si>
  <si>
    <t>Udac=</t>
  </si>
  <si>
    <t>напряжение в ЗПТ</t>
  </si>
  <si>
    <t>делитель</t>
  </si>
  <si>
    <t>запас. The rule of thumb from IR</t>
  </si>
  <si>
    <t>опора компаратора</t>
  </si>
  <si>
    <t>max Vinput common range</t>
  </si>
  <si>
    <t>Vic=</t>
  </si>
  <si>
    <t>Vref+=</t>
  </si>
  <si>
    <t>ref for voltage devider</t>
  </si>
  <si>
    <t>нижнее плечо делителя</t>
  </si>
  <si>
    <t>верхнее плечо делителя</t>
  </si>
  <si>
    <t>питание компаратора</t>
  </si>
  <si>
    <t>Pmmax=</t>
  </si>
  <si>
    <t>пиковая мощн. Движка (из расчета Дрюкова)</t>
  </si>
  <si>
    <t>I27_rated=</t>
  </si>
  <si>
    <t>I27_max=</t>
  </si>
  <si>
    <t>Цепь измерения напряжения питания драйверов</t>
  </si>
  <si>
    <t>для самодиагностики</t>
  </si>
  <si>
    <t>Dead time =</t>
  </si>
  <si>
    <t>Бутстрепный конденсатор</t>
  </si>
  <si>
    <t>Бутстрепный диод</t>
  </si>
  <si>
    <t>методика расчета dead time здесь</t>
  </si>
  <si>
    <t>напряжение</t>
  </si>
  <si>
    <t>R15=</t>
  </si>
  <si>
    <t>R18=</t>
  </si>
  <si>
    <t>Td_off_max=</t>
  </si>
  <si>
    <t>Td_on_min=</t>
  </si>
  <si>
    <t>Tpdd_max=</t>
  </si>
  <si>
    <t>Tpdd_min=</t>
  </si>
  <si>
    <t>Driver max propogation delay</t>
  </si>
  <si>
    <t>Driver min propogation delay</t>
  </si>
  <si>
    <t>//Артем Бормотов</t>
  </si>
  <si>
    <t>номинальное потребление блока управления по 27V</t>
  </si>
  <si>
    <t>максимальное потребление блока управления по 27V в приводе</t>
  </si>
  <si>
    <t>напряжение на затворе транзистора</t>
  </si>
  <si>
    <t>Драйвер 1308ЕУ4БУ КремнийЭл (IR2113)</t>
  </si>
  <si>
    <t>Arms</t>
  </si>
  <si>
    <t>Tmax =</t>
  </si>
  <si>
    <t>Tr =</t>
  </si>
  <si>
    <t>Двигатель</t>
  </si>
  <si>
    <t>Ir=</t>
  </si>
  <si>
    <t>Adc</t>
  </si>
  <si>
    <t>Nm/Adc</t>
  </si>
  <si>
    <t>Kt=</t>
  </si>
  <si>
    <t>Torque constant, Kt (@Tamb, ±10%)</t>
  </si>
  <si>
    <t>Rated current движка (из pdf)</t>
  </si>
  <si>
    <t>Peak current движка (из pdf)</t>
  </si>
  <si>
    <t>Peak torque движка (из pdf)</t>
  </si>
  <si>
    <t>Rated torque движка (из pdf)</t>
  </si>
  <si>
    <t>Нагрузка</t>
  </si>
  <si>
    <t>номинальная мощность двигателя из pdf</t>
  </si>
  <si>
    <t>Tavr=</t>
  </si>
  <si>
    <t>средний момент на движке  (из расчета Дрюкова)</t>
  </si>
  <si>
    <t>Электропитание</t>
  </si>
  <si>
    <t>минимальное напряжение сети</t>
  </si>
  <si>
    <t>Vdc</t>
  </si>
  <si>
    <t>Irms=</t>
  </si>
  <si>
    <t>RMS ток нагрузки</t>
  </si>
  <si>
    <t>Тип коммутации</t>
  </si>
  <si>
    <t>120 градусная, трапецеидальная ЭДС</t>
  </si>
  <si>
    <t>Id</t>
  </si>
  <si>
    <t>Vdss</t>
  </si>
  <si>
    <t>max drain-source voltage (из pdf)</t>
  </si>
  <si>
    <t>Qgs2=</t>
  </si>
  <si>
    <t>Qgd=</t>
  </si>
  <si>
    <t>Токи</t>
  </si>
  <si>
    <t xml:space="preserve">Idav = </t>
  </si>
  <si>
    <t>ток через транзистор</t>
  </si>
  <si>
    <t>Iavr=</t>
  </si>
  <si>
    <t>средний ток нагрузки  (из расчета Дрюкова)</t>
  </si>
  <si>
    <t>AnD28N10</t>
  </si>
  <si>
    <t>среднее сопротивление перехода транзистора  (из  в pdf)</t>
  </si>
  <si>
    <r>
      <t>Continious Drain current @Tc=25</t>
    </r>
    <r>
      <rPr>
        <sz val="11"/>
        <color theme="1"/>
        <rFont val="Calibri"/>
        <family val="2"/>
        <charset val="204"/>
      </rPr>
      <t>°C (из pdf)</t>
    </r>
  </si>
  <si>
    <t>Pres_now=</t>
  </si>
  <si>
    <t>R22=</t>
  </si>
  <si>
    <t>R24=</t>
  </si>
  <si>
    <t>R19=</t>
  </si>
  <si>
    <t>R23=</t>
  </si>
  <si>
    <t>Напряжение на АЦП</t>
  </si>
  <si>
    <t>ток через шунт</t>
  </si>
  <si>
    <t>Напряжение на шунте</t>
  </si>
  <si>
    <t>мощность на шунте при Isense</t>
  </si>
  <si>
    <t>мощность на шунте при I_LIM</t>
  </si>
  <si>
    <t>входной рез. ОУ</t>
  </si>
  <si>
    <t>усиление ОУ</t>
  </si>
  <si>
    <t>пиковый ток движка на старте (peak)</t>
  </si>
  <si>
    <t>//Adc - амплитудное значение тока</t>
  </si>
  <si>
    <t>ОУ на силовой плате</t>
  </si>
  <si>
    <t>Компаратор на плате управления</t>
  </si>
  <si>
    <t>данные для ввода</t>
  </si>
  <si>
    <t>резистор затвора (внешний + внутренний). 20 Ом рекомендует Ангстрем</t>
  </si>
  <si>
    <t>//норм, но на всякий случай нужно доп. охлаждение</t>
  </si>
  <si>
    <t>Охлаждение только за счет pcb</t>
  </si>
  <si>
    <t>PWM//взял из драйвера движка МЭЛ</t>
  </si>
  <si>
    <t>Тепловой расчет ключей</t>
  </si>
  <si>
    <t>температура кристалла ключа</t>
  </si>
  <si>
    <t>Для приблизительной оценки мощности потерь по методике Колпакова</t>
  </si>
  <si>
    <t>(это для 120 градусной коммутации и трапец. противоЭДС мотора)</t>
  </si>
  <si>
    <t>Движок Артема Бормотова</t>
  </si>
  <si>
    <t>Ключи Ангстрем</t>
  </si>
  <si>
    <t>2ПЕ208В92 (DPAK)</t>
  </si>
  <si>
    <t>//Ангстрем</t>
  </si>
  <si>
    <t>Файл расчетов силовой части по проекту id5351 Дагдизель-2</t>
  </si>
  <si>
    <t>Расчет бутстрепной схемы драйвера</t>
  </si>
  <si>
    <t>//норм, когда примерно 60-70%</t>
  </si>
  <si>
    <t>Prgg_max=</t>
  </si>
  <si>
    <t>пиковая мощность на резисторе //надо ставить 0805</t>
  </si>
  <si>
    <t>//используем, если нет графика от производителя</t>
  </si>
  <si>
    <t>//используем, если есть график от производителя</t>
  </si>
  <si>
    <t>ton=</t>
  </si>
  <si>
    <t>toff=</t>
  </si>
  <si>
    <t>Данные для расчета DeadTime</t>
  </si>
  <si>
    <t>Находим из графика для нашего резистора Rg</t>
  </si>
  <si>
    <t>td(on)=</t>
  </si>
  <si>
    <t>Данные времени включения и выключения</t>
  </si>
  <si>
    <t>tf=</t>
  </si>
  <si>
    <t>td(off)=</t>
  </si>
  <si>
    <t>tr=</t>
  </si>
  <si>
    <t>время включения</t>
  </si>
  <si>
    <t>время выключения</t>
  </si>
  <si>
    <t>max turn off delay time (transistor) из pdf</t>
  </si>
  <si>
    <t>min turn on delay time (transistor) из pdf</t>
  </si>
  <si>
    <t>Много формул из Application Note AN-978 "IR" и книг Семенова Б.Ю.</t>
  </si>
  <si>
    <t>Графики по ключам получены от конструктора Ангстрема Полоховой Жанны</t>
  </si>
  <si>
    <t xml:space="preserve">"Особенности теплового расчета импульсных силовых каскадов" из журнала </t>
  </si>
  <si>
    <t>Компоненты и Технологии №1'2002</t>
  </si>
  <si>
    <t>Ugm=</t>
  </si>
  <si>
    <t>напряжение соотв-е заряду емкости Миллера</t>
  </si>
  <si>
    <t>ток затвора по Колпакову</t>
  </si>
  <si>
    <t>время включения транзистора@Rg по Колпакову</t>
  </si>
  <si>
    <t xml:space="preserve">total gate charge транзистора из графика </t>
  </si>
  <si>
    <t>Расчет компаратора с гистерезисом</t>
  </si>
  <si>
    <t>Uоп=</t>
  </si>
  <si>
    <t>Расчет</t>
  </si>
  <si>
    <t>нижний порог сраб.</t>
  </si>
  <si>
    <t>верхний порог сраб.</t>
  </si>
  <si>
    <t>delta =</t>
  </si>
  <si>
    <t>разница</t>
  </si>
  <si>
    <t>JCM38x12 @24Vdc "KUBO" 3 стака</t>
  </si>
  <si>
    <t>R3=</t>
  </si>
  <si>
    <t>Uнас-=</t>
  </si>
  <si>
    <t>минус напряж. Питания</t>
  </si>
  <si>
    <t>плюс напряж. Питания</t>
  </si>
  <si>
    <t>Uнас+=</t>
  </si>
  <si>
    <t>Uвп=</t>
  </si>
  <si>
    <t>Uнп=</t>
  </si>
</sst>
</file>

<file path=xl/styles.xml><?xml version="1.0" encoding="utf-8"?>
<styleSheet xmlns="http://schemas.openxmlformats.org/spreadsheetml/2006/main">
  <numFmts count="3">
    <numFmt numFmtId="164" formatCode="0.00000000"/>
    <numFmt numFmtId="165" formatCode="0.0000"/>
    <numFmt numFmtId="166" formatCode="0.00000"/>
  </numFmts>
  <fonts count="1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i/>
      <sz val="11"/>
      <color theme="1"/>
      <name val="Calibri"/>
      <family val="2"/>
      <charset val="204"/>
      <scheme val="minor"/>
    </font>
    <font>
      <strike/>
      <sz val="11"/>
      <color theme="1"/>
      <name val="Calibri"/>
      <family val="2"/>
      <charset val="204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7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1" applyAlignment="1" applyProtection="1"/>
    <xf numFmtId="0" fontId="3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0" xfId="1" applyBorder="1" applyAlignment="1" applyProtection="1"/>
    <xf numFmtId="0" fontId="0" fillId="0" borderId="0" xfId="0" applyBorder="1"/>
    <xf numFmtId="0" fontId="0" fillId="0" borderId="5" xfId="0" applyBorder="1"/>
    <xf numFmtId="0" fontId="3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/>
    <xf numFmtId="0" fontId="0" fillId="4" borderId="0" xfId="0" applyFill="1"/>
    <xf numFmtId="0" fontId="0" fillId="0" borderId="4" xfId="0" applyFill="1" applyBorder="1"/>
    <xf numFmtId="0" fontId="0" fillId="0" borderId="0" xfId="0" applyFill="1" applyBorder="1"/>
    <xf numFmtId="0" fontId="0" fillId="0" borderId="0" xfId="0" quotePrefix="1"/>
    <xf numFmtId="0" fontId="1" fillId="3" borderId="0" xfId="0" applyFont="1" applyFill="1"/>
    <xf numFmtId="0" fontId="0" fillId="0" borderId="4" xfId="0" applyBorder="1" applyAlignment="1">
      <alignment horizontal="left" vertical="top"/>
    </xf>
    <xf numFmtId="0" fontId="0" fillId="0" borderId="0" xfId="0" applyBorder="1" applyAlignment="1">
      <alignment horizontal="right" vertical="top"/>
    </xf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/>
    <xf numFmtId="11" fontId="0" fillId="0" borderId="0" xfId="0" applyNumberFormat="1"/>
    <xf numFmtId="0" fontId="7" fillId="0" borderId="0" xfId="0" applyFont="1"/>
    <xf numFmtId="0" fontId="0" fillId="0" borderId="0" xfId="0" applyAlignment="1"/>
    <xf numFmtId="0" fontId="0" fillId="0" borderId="0" xfId="0" applyNumberFormat="1"/>
    <xf numFmtId="2" fontId="0" fillId="0" borderId="0" xfId="0" applyNumberFormat="1"/>
    <xf numFmtId="166" fontId="0" fillId="0" borderId="0" xfId="0" applyNumberFormat="1"/>
    <xf numFmtId="0" fontId="1" fillId="0" borderId="4" xfId="0" applyFont="1" applyBorder="1"/>
    <xf numFmtId="0" fontId="0" fillId="0" borderId="4" xfId="0" applyFont="1" applyBorder="1"/>
    <xf numFmtId="0" fontId="0" fillId="5" borderId="0" xfId="0" applyFill="1"/>
    <xf numFmtId="0" fontId="8" fillId="0" borderId="0" xfId="0" applyNumberFormat="1" applyFont="1"/>
    <xf numFmtId="165" fontId="0" fillId="5" borderId="0" xfId="0" applyNumberFormat="1" applyFill="1"/>
  </cellXfs>
  <cellStyles count="2">
    <cellStyle name="Гиперссылка" xfId="1" builtinId="8"/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7" Type="http://schemas.openxmlformats.org/officeDocument/2006/relationships/image" Target="../media/image21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6" Type="http://schemas.openxmlformats.org/officeDocument/2006/relationships/image" Target="../media/image20.png"/><Relationship Id="rId5" Type="http://schemas.openxmlformats.org/officeDocument/2006/relationships/image" Target="../media/image19.png"/><Relationship Id="rId4" Type="http://schemas.openxmlformats.org/officeDocument/2006/relationships/image" Target="../media/image1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Relationship Id="rId5" Type="http://schemas.openxmlformats.org/officeDocument/2006/relationships/image" Target="../media/image26.png"/><Relationship Id="rId4" Type="http://schemas.openxmlformats.org/officeDocument/2006/relationships/image" Target="../media/image2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96</xdr:row>
      <xdr:rowOff>0</xdr:rowOff>
    </xdr:from>
    <xdr:to>
      <xdr:col>0</xdr:col>
      <xdr:colOff>609600</xdr:colOff>
      <xdr:row>97</xdr:row>
      <xdr:rowOff>76200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1239500"/>
          <a:ext cx="904875" cy="266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609600</xdr:colOff>
      <xdr:row>85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8572500"/>
          <a:ext cx="1257300" cy="304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90</xdr:row>
      <xdr:rowOff>19050</xdr:rowOff>
    </xdr:from>
    <xdr:to>
      <xdr:col>0</xdr:col>
      <xdr:colOff>695325</xdr:colOff>
      <xdr:row>91</xdr:row>
      <xdr:rowOff>95250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10115550"/>
          <a:ext cx="1885950" cy="266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904875</xdr:colOff>
      <xdr:row>97</xdr:row>
      <xdr:rowOff>76200</xdr:rowOff>
    </xdr:to>
    <xdr:pic>
      <xdr:nvPicPr>
        <xdr:cNvPr id="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1239500"/>
          <a:ext cx="904875" cy="266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28575</xdr:colOff>
      <xdr:row>84</xdr:row>
      <xdr:rowOff>0</xdr:rowOff>
    </xdr:from>
    <xdr:to>
      <xdr:col>0</xdr:col>
      <xdr:colOff>1285875</xdr:colOff>
      <xdr:row>85</xdr:row>
      <xdr:rowOff>114300</xdr:rowOff>
    </xdr:to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8575" y="13144500"/>
          <a:ext cx="1257300" cy="304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90</xdr:row>
      <xdr:rowOff>19050</xdr:rowOff>
    </xdr:from>
    <xdr:to>
      <xdr:col>1</xdr:col>
      <xdr:colOff>85725</xdr:colOff>
      <xdr:row>91</xdr:row>
      <xdr:rowOff>95250</xdr:rowOff>
    </xdr:to>
    <xdr:pic>
      <xdr:nvPicPr>
        <xdr:cNvPr id="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10115550"/>
          <a:ext cx="1885950" cy="266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542925</xdr:colOff>
      <xdr:row>5</xdr:row>
      <xdr:rowOff>114300</xdr:rowOff>
    </xdr:from>
    <xdr:to>
      <xdr:col>17</xdr:col>
      <xdr:colOff>466277</xdr:colOff>
      <xdr:row>29</xdr:row>
      <xdr:rowOff>151824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8772525" y="1066800"/>
          <a:ext cx="3580952" cy="46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552450</xdr:colOff>
      <xdr:row>6</xdr:row>
      <xdr:rowOff>38100</xdr:rowOff>
    </xdr:from>
    <xdr:to>
      <xdr:col>23</xdr:col>
      <xdr:colOff>485326</xdr:colOff>
      <xdr:row>20</xdr:row>
      <xdr:rowOff>85386</xdr:rowOff>
    </xdr:to>
    <xdr:pic>
      <xdr:nvPicPr>
        <xdr:cNvPr id="12" name="Рисунок 11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439650" y="1181100"/>
          <a:ext cx="3590476" cy="27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71</xdr:row>
      <xdr:rowOff>142875</xdr:rowOff>
    </xdr:from>
    <xdr:to>
      <xdr:col>0</xdr:col>
      <xdr:colOff>1133475</xdr:colOff>
      <xdr:row>73</xdr:row>
      <xdr:rowOff>178627</xdr:rowOff>
    </xdr:to>
    <xdr:pic>
      <xdr:nvPicPr>
        <xdr:cNvPr id="19" name="Рисунок 18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95250" y="12715875"/>
          <a:ext cx="1038225" cy="416752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76</xdr:row>
      <xdr:rowOff>28575</xdr:rowOff>
    </xdr:from>
    <xdr:to>
      <xdr:col>0</xdr:col>
      <xdr:colOff>1647825</xdr:colOff>
      <xdr:row>78</xdr:row>
      <xdr:rowOff>40767</xdr:rowOff>
    </xdr:to>
    <xdr:pic>
      <xdr:nvPicPr>
        <xdr:cNvPr id="20" name="Рисунок 19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9525" y="13554075"/>
          <a:ext cx="1638300" cy="393192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</xdr:colOff>
      <xdr:row>34</xdr:row>
      <xdr:rowOff>18987</xdr:rowOff>
    </xdr:from>
    <xdr:to>
      <xdr:col>18</xdr:col>
      <xdr:colOff>552450</xdr:colOff>
      <xdr:row>46</xdr:row>
      <xdr:rowOff>153157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8848725" y="6495987"/>
          <a:ext cx="4200525" cy="2420170"/>
        </a:xfrm>
        <a:prstGeom prst="rect">
          <a:avLst/>
        </a:prstGeom>
      </xdr:spPr>
    </xdr:pic>
    <xdr:clientData/>
  </xdr:twoCellAnchor>
  <xdr:twoCellAnchor>
    <xdr:from>
      <xdr:col>19</xdr:col>
      <xdr:colOff>523875</xdr:colOff>
      <xdr:row>33</xdr:row>
      <xdr:rowOff>95250</xdr:rowOff>
    </xdr:from>
    <xdr:to>
      <xdr:col>27</xdr:col>
      <xdr:colOff>219075</xdr:colOff>
      <xdr:row>49</xdr:row>
      <xdr:rowOff>171450</xdr:rowOff>
    </xdr:to>
    <xdr:pic>
      <xdr:nvPicPr>
        <xdr:cNvPr id="2055" name="Рисунок 2" descr="cid:image002.png@01D5A926.C7D7D5C0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3630275" y="6381750"/>
          <a:ext cx="4572000" cy="2743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19</xdr:col>
      <xdr:colOff>581025</xdr:colOff>
      <xdr:row>50</xdr:row>
      <xdr:rowOff>19050</xdr:rowOff>
    </xdr:from>
    <xdr:to>
      <xdr:col>26</xdr:col>
      <xdr:colOff>581025</xdr:colOff>
      <xdr:row>70</xdr:row>
      <xdr:rowOff>152400</xdr:rowOff>
    </xdr:to>
    <xdr:pic>
      <xdr:nvPicPr>
        <xdr:cNvPr id="2056" name="Рисунок 4" descr="cid:image006.png@01D5A926.C7D7D5C0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3687425" y="9163050"/>
          <a:ext cx="4267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19</xdr:col>
      <xdr:colOff>600075</xdr:colOff>
      <xdr:row>71</xdr:row>
      <xdr:rowOff>66675</xdr:rowOff>
    </xdr:from>
    <xdr:to>
      <xdr:col>26</xdr:col>
      <xdr:colOff>571500</xdr:colOff>
      <xdr:row>88</xdr:row>
      <xdr:rowOff>276225</xdr:rowOff>
    </xdr:to>
    <xdr:pic>
      <xdr:nvPicPr>
        <xdr:cNvPr id="2057" name="Рисунок 3" descr="cid:image009.png@01D5A926.C7D7D5C0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13706475" y="12830175"/>
          <a:ext cx="4238625" cy="3448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19050</xdr:colOff>
      <xdr:row>88</xdr:row>
      <xdr:rowOff>561975</xdr:rowOff>
    </xdr:from>
    <xdr:to>
      <xdr:col>31</xdr:col>
      <xdr:colOff>38100</xdr:colOff>
      <xdr:row>102</xdr:row>
      <xdr:rowOff>114300</xdr:rowOff>
    </xdr:to>
    <xdr:pic>
      <xdr:nvPicPr>
        <xdr:cNvPr id="205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13735050" y="16563975"/>
          <a:ext cx="6724650" cy="2600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33</xdr:row>
      <xdr:rowOff>0</xdr:rowOff>
    </xdr:from>
    <xdr:to>
      <xdr:col>21</xdr:col>
      <xdr:colOff>419100</xdr:colOff>
      <xdr:row>43</xdr:row>
      <xdr:rowOff>76200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5068550"/>
          <a:ext cx="13592175" cy="1981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28575</xdr:colOff>
      <xdr:row>1</xdr:row>
      <xdr:rowOff>171450</xdr:rowOff>
    </xdr:from>
    <xdr:to>
      <xdr:col>20</xdr:col>
      <xdr:colOff>533400</xdr:colOff>
      <xdr:row>14</xdr:row>
      <xdr:rowOff>106203</xdr:rowOff>
    </xdr:to>
    <xdr:pic>
      <xdr:nvPicPr>
        <xdr:cNvPr id="1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886450" y="361950"/>
          <a:ext cx="7210425" cy="241125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600075</xdr:colOff>
      <xdr:row>9</xdr:row>
      <xdr:rowOff>9525</xdr:rowOff>
    </xdr:from>
    <xdr:to>
      <xdr:col>17</xdr:col>
      <xdr:colOff>399827</xdr:colOff>
      <xdr:row>10</xdr:row>
      <xdr:rowOff>167758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629900" y="1343025"/>
          <a:ext cx="1018952" cy="348733"/>
        </a:xfrm>
        <a:prstGeom prst="rect">
          <a:avLst/>
        </a:prstGeom>
      </xdr:spPr>
    </xdr:pic>
    <xdr:clientData/>
  </xdr:twoCellAnchor>
  <xdr:twoCellAnchor editAs="oneCell">
    <xdr:from>
      <xdr:col>16</xdr:col>
      <xdr:colOff>19049</xdr:colOff>
      <xdr:row>17</xdr:row>
      <xdr:rowOff>85726</xdr:rowOff>
    </xdr:from>
    <xdr:to>
      <xdr:col>20</xdr:col>
      <xdr:colOff>123824</xdr:colOff>
      <xdr:row>21</xdr:row>
      <xdr:rowOff>128614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658474" y="2943226"/>
          <a:ext cx="2543175" cy="80488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16</xdr:col>
      <xdr:colOff>9525</xdr:colOff>
      <xdr:row>21</xdr:row>
      <xdr:rowOff>142466</xdr:rowOff>
    </xdr:from>
    <xdr:to>
      <xdr:col>25</xdr:col>
      <xdr:colOff>381000</xdr:colOff>
      <xdr:row>32</xdr:row>
      <xdr:rowOff>66675</xdr:rowOff>
    </xdr:to>
    <xdr:pic>
      <xdr:nvPicPr>
        <xdr:cNvPr id="409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0648950" y="3761966"/>
          <a:ext cx="5857875" cy="201970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16</xdr:col>
      <xdr:colOff>9524</xdr:colOff>
      <xdr:row>36</xdr:row>
      <xdr:rowOff>9525</xdr:rowOff>
    </xdr:from>
    <xdr:to>
      <xdr:col>27</xdr:col>
      <xdr:colOff>285749</xdr:colOff>
      <xdr:row>52</xdr:row>
      <xdr:rowOff>100068</xdr:rowOff>
    </xdr:to>
    <xdr:pic>
      <xdr:nvPicPr>
        <xdr:cNvPr id="410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0648949" y="6105525"/>
          <a:ext cx="6981825" cy="313854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57150</xdr:colOff>
      <xdr:row>49</xdr:row>
      <xdr:rowOff>171450</xdr:rowOff>
    </xdr:from>
    <xdr:to>
      <xdr:col>15</xdr:col>
      <xdr:colOff>533400</xdr:colOff>
      <xdr:row>60</xdr:row>
      <xdr:rowOff>98187</xdr:rowOff>
    </xdr:to>
    <xdr:pic>
      <xdr:nvPicPr>
        <xdr:cNvPr id="410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429250" y="7791450"/>
          <a:ext cx="5133975" cy="202223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16</xdr:col>
      <xdr:colOff>22412</xdr:colOff>
      <xdr:row>53</xdr:row>
      <xdr:rowOff>172570</xdr:rowOff>
    </xdr:from>
    <xdr:to>
      <xdr:col>25</xdr:col>
      <xdr:colOff>127187</xdr:colOff>
      <xdr:row>79</xdr:row>
      <xdr:rowOff>58270</xdr:rowOff>
    </xdr:to>
    <xdr:pic>
      <xdr:nvPicPr>
        <xdr:cNvPr id="8" name="Рисунок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600765" y="9507070"/>
          <a:ext cx="5550834" cy="483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81</xdr:row>
      <xdr:rowOff>0</xdr:rowOff>
    </xdr:from>
    <xdr:to>
      <xdr:col>25</xdr:col>
      <xdr:colOff>344417</xdr:colOff>
      <xdr:row>101</xdr:row>
      <xdr:rowOff>37619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10578353" y="15049500"/>
          <a:ext cx="5790476" cy="38476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590550</xdr:colOff>
      <xdr:row>3</xdr:row>
      <xdr:rowOff>38100</xdr:rowOff>
    </xdr:from>
    <xdr:to>
      <xdr:col>19</xdr:col>
      <xdr:colOff>408581</xdr:colOff>
      <xdr:row>23</xdr:row>
      <xdr:rowOff>28100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800600" y="609600"/>
          <a:ext cx="7952381" cy="3800000"/>
        </a:xfrm>
        <a:prstGeom prst="rect">
          <a:avLst/>
        </a:prstGeom>
      </xdr:spPr>
    </xdr:pic>
    <xdr:clientData/>
  </xdr:twoCellAnchor>
  <xdr:twoCellAnchor editAs="oneCell">
    <xdr:from>
      <xdr:col>5</xdr:col>
      <xdr:colOff>561975</xdr:colOff>
      <xdr:row>53</xdr:row>
      <xdr:rowOff>0</xdr:rowOff>
    </xdr:from>
    <xdr:to>
      <xdr:col>11</xdr:col>
      <xdr:colOff>247650</xdr:colOff>
      <xdr:row>64</xdr:row>
      <xdr:rowOff>180975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62425" y="10096500"/>
          <a:ext cx="3552825" cy="2276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571500</xdr:colOff>
      <xdr:row>64</xdr:row>
      <xdr:rowOff>133350</xdr:rowOff>
    </xdr:from>
    <xdr:to>
      <xdr:col>11</xdr:col>
      <xdr:colOff>523875</xdr:colOff>
      <xdr:row>69</xdr:row>
      <xdr:rowOff>104775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171950" y="12325350"/>
          <a:ext cx="3819525" cy="9239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581025</xdr:colOff>
      <xdr:row>69</xdr:row>
      <xdr:rowOff>142875</xdr:rowOff>
    </xdr:from>
    <xdr:to>
      <xdr:col>11</xdr:col>
      <xdr:colOff>466725</xdr:colOff>
      <xdr:row>74</xdr:row>
      <xdr:rowOff>0</xdr:rowOff>
    </xdr:to>
    <xdr:pic>
      <xdr:nvPicPr>
        <xdr:cNvPr id="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181475" y="13287375"/>
          <a:ext cx="3752850" cy="809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533400</xdr:colOff>
      <xdr:row>24</xdr:row>
      <xdr:rowOff>49861</xdr:rowOff>
    </xdr:from>
    <xdr:to>
      <xdr:col>19</xdr:col>
      <xdr:colOff>581025</xdr:colOff>
      <xdr:row>49</xdr:row>
      <xdr:rowOff>0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4743450" y="4621861"/>
          <a:ext cx="8181975" cy="471263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17</xdr:col>
      <xdr:colOff>122971</xdr:colOff>
      <xdr:row>18</xdr:row>
      <xdr:rowOff>161524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57600" y="381000"/>
          <a:ext cx="6828571" cy="320952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1</xdr:row>
      <xdr:rowOff>19050</xdr:rowOff>
    </xdr:from>
    <xdr:to>
      <xdr:col>14</xdr:col>
      <xdr:colOff>199395</xdr:colOff>
      <xdr:row>26</xdr:row>
      <xdr:rowOff>189883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95700" y="209550"/>
          <a:ext cx="5038095" cy="49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it-e.ru/assets/files/pdf/2002_01_46.pdf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www.angstrem.ru/ru/catalog/mikroshemy-vysokoy-stoykosti/silovaya-elektronika" TargetMode="External"/><Relationship Id="rId1" Type="http://schemas.openxmlformats.org/officeDocument/2006/relationships/hyperlink" Target="https://kubotechnologies.com/ru/kubo-technologies/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fineon.com/dgdl/Infineon-Deadtime_calculation_for_IGBT_modules-ApplicationNotes-v01_00-EN.pdf?fileId=db3a30431a5c32f2011a5daefc41005b" TargetMode="External"/><Relationship Id="rId7" Type="http://schemas.openxmlformats.org/officeDocument/2006/relationships/comments" Target="../comments3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3.v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 tint="0.39997558519241921"/>
  </sheetPr>
  <dimension ref="A1:S99"/>
  <sheetViews>
    <sheetView topLeftCell="A46" workbookViewId="0">
      <selection activeCell="B71" sqref="B71"/>
    </sheetView>
  </sheetViews>
  <sheetFormatPr defaultRowHeight="15"/>
  <cols>
    <col min="1" max="1" width="27" customWidth="1"/>
    <col min="2" max="2" width="12" bestFit="1" customWidth="1"/>
    <col min="3" max="3" width="8.28515625" bestFit="1" customWidth="1"/>
    <col min="6" max="6" width="10" bestFit="1" customWidth="1"/>
  </cols>
  <sheetData>
    <row r="1" spans="1:13">
      <c r="A1" t="s">
        <v>272</v>
      </c>
    </row>
    <row r="2" spans="1:13">
      <c r="A2" t="s">
        <v>132</v>
      </c>
    </row>
    <row r="4" spans="1:13">
      <c r="A4" s="15" t="s">
        <v>2</v>
      </c>
      <c r="B4" s="5"/>
      <c r="C4" s="5"/>
      <c r="D4" s="5"/>
      <c r="E4" s="5"/>
      <c r="F4" s="5"/>
      <c r="G4" s="5"/>
      <c r="H4" s="5"/>
      <c r="I4" s="5"/>
      <c r="J4" s="5"/>
      <c r="K4" s="6"/>
      <c r="M4" t="s">
        <v>268</v>
      </c>
    </row>
    <row r="5" spans="1:13">
      <c r="A5" s="7" t="s">
        <v>47</v>
      </c>
      <c r="B5" s="9" t="s">
        <v>270</v>
      </c>
      <c r="E5" s="9"/>
      <c r="F5" s="8" t="s">
        <v>271</v>
      </c>
      <c r="G5" s="9"/>
      <c r="H5" s="9"/>
      <c r="I5" s="9"/>
      <c r="J5" s="9"/>
      <c r="K5" s="10"/>
    </row>
    <row r="6" spans="1:13">
      <c r="A6" s="7"/>
      <c r="B6" s="9" t="s">
        <v>59</v>
      </c>
      <c r="D6" s="9" t="s">
        <v>240</v>
      </c>
      <c r="E6" s="9"/>
      <c r="F6" s="9"/>
      <c r="G6" s="9"/>
      <c r="H6" s="9"/>
      <c r="I6" s="9"/>
      <c r="J6" s="9"/>
      <c r="K6" s="10"/>
    </row>
    <row r="7" spans="1:13">
      <c r="A7" s="7" t="s">
        <v>72</v>
      </c>
      <c r="B7" s="9" t="s">
        <v>308</v>
      </c>
      <c r="D7" s="9"/>
      <c r="E7" s="9"/>
      <c r="F7" s="8" t="s">
        <v>201</v>
      </c>
      <c r="G7" s="9"/>
      <c r="H7" s="9"/>
      <c r="I7" s="9"/>
      <c r="J7" s="9"/>
      <c r="K7" s="10"/>
    </row>
    <row r="8" spans="1:13">
      <c r="A8" s="18" t="s">
        <v>228</v>
      </c>
      <c r="B8" s="18" t="s">
        <v>229</v>
      </c>
      <c r="D8" s="9"/>
      <c r="E8" s="9"/>
      <c r="F8" s="9"/>
      <c r="G8" s="9"/>
      <c r="H8" s="9"/>
      <c r="I8" s="9"/>
      <c r="J8" s="9"/>
      <c r="K8" s="10"/>
    </row>
    <row r="9" spans="1:13">
      <c r="B9" s="9"/>
      <c r="C9" s="9"/>
      <c r="D9" s="9"/>
      <c r="E9" s="9"/>
      <c r="F9" s="9"/>
      <c r="G9" s="9"/>
      <c r="H9" s="9"/>
      <c r="I9" s="9"/>
      <c r="J9" s="9"/>
      <c r="K9" s="10"/>
    </row>
    <row r="10" spans="1:13">
      <c r="A10" s="11" t="s">
        <v>209</v>
      </c>
      <c r="B10" s="9"/>
      <c r="C10" s="9"/>
      <c r="D10" s="9"/>
      <c r="E10" s="9"/>
      <c r="F10" s="9"/>
      <c r="G10" s="9"/>
      <c r="H10" s="9"/>
      <c r="I10" s="9"/>
      <c r="J10" s="9"/>
      <c r="K10" s="10"/>
    </row>
    <row r="11" spans="1:13">
      <c r="A11" s="11"/>
      <c r="B11" s="9"/>
      <c r="C11" s="9"/>
      <c r="D11" s="9"/>
      <c r="E11" s="9"/>
      <c r="F11" s="9"/>
      <c r="G11" s="9"/>
      <c r="H11" s="9"/>
      <c r="I11" s="9"/>
      <c r="J11" s="9"/>
      <c r="K11" s="10"/>
    </row>
    <row r="12" spans="1:13">
      <c r="A12" s="7" t="s">
        <v>207</v>
      </c>
      <c r="B12" s="9">
        <f>0.621</f>
        <v>0.621</v>
      </c>
      <c r="C12" s="9" t="s">
        <v>73</v>
      </c>
      <c r="D12" s="9" t="s">
        <v>217</v>
      </c>
      <c r="E12" s="9"/>
      <c r="F12" s="9"/>
      <c r="G12" s="9"/>
      <c r="H12" s="9"/>
      <c r="I12" s="9"/>
      <c r="J12" s="9"/>
      <c r="K12" s="10"/>
    </row>
    <row r="13" spans="1:13">
      <c r="A13" s="7" t="s">
        <v>208</v>
      </c>
      <c r="B13" s="9">
        <f>0.207</f>
        <v>0.20699999999999999</v>
      </c>
      <c r="C13" s="9" t="s">
        <v>73</v>
      </c>
      <c r="D13" s="9" t="s">
        <v>218</v>
      </c>
      <c r="E13" s="9"/>
      <c r="F13" s="9"/>
      <c r="G13" s="9" t="s">
        <v>79</v>
      </c>
      <c r="H13" s="9"/>
      <c r="I13" s="9"/>
      <c r="J13" s="9"/>
      <c r="K13" s="10"/>
    </row>
    <row r="14" spans="1:13">
      <c r="A14" s="7" t="s">
        <v>213</v>
      </c>
      <c r="B14" s="9">
        <f>0.0363</f>
        <v>3.6299999999999999E-2</v>
      </c>
      <c r="C14" s="9" t="s">
        <v>212</v>
      </c>
      <c r="D14" s="9" t="s">
        <v>214</v>
      </c>
      <c r="E14" s="9"/>
      <c r="F14" s="9"/>
      <c r="G14" s="9"/>
      <c r="H14" s="9"/>
      <c r="I14" s="9"/>
      <c r="J14" s="9"/>
      <c r="K14" s="10"/>
    </row>
    <row r="15" spans="1:13">
      <c r="A15" s="7" t="s">
        <v>210</v>
      </c>
      <c r="B15">
        <f>5.697</f>
        <v>5.6970000000000001</v>
      </c>
      <c r="C15" s="18" t="s">
        <v>211</v>
      </c>
      <c r="D15" s="18" t="s">
        <v>215</v>
      </c>
      <c r="E15" s="9"/>
      <c r="F15" s="9"/>
      <c r="G15" s="9"/>
      <c r="H15" s="9"/>
      <c r="I15" s="9"/>
      <c r="J15" s="9"/>
      <c r="K15" s="10"/>
    </row>
    <row r="16" spans="1:13">
      <c r="A16" s="7" t="s">
        <v>133</v>
      </c>
      <c r="B16" s="9">
        <f>B12/B14</f>
        <v>17.107438016528928</v>
      </c>
      <c r="C16" s="18" t="s">
        <v>211</v>
      </c>
      <c r="D16" s="18" t="s">
        <v>216</v>
      </c>
      <c r="E16" s="9"/>
      <c r="F16" s="9"/>
      <c r="G16" s="9"/>
      <c r="H16" s="9"/>
      <c r="I16" s="9"/>
      <c r="J16" s="9"/>
      <c r="K16" s="10"/>
    </row>
    <row r="17" spans="1:11">
      <c r="A17" s="7" t="s">
        <v>164</v>
      </c>
      <c r="B17" s="9">
        <v>97.56</v>
      </c>
      <c r="C17" s="18" t="s">
        <v>80</v>
      </c>
      <c r="D17" s="18" t="s">
        <v>220</v>
      </c>
      <c r="E17" s="9"/>
      <c r="F17" s="9"/>
      <c r="G17" s="9"/>
      <c r="H17" s="9"/>
      <c r="I17" s="9"/>
      <c r="J17" s="9"/>
      <c r="K17" s="10"/>
    </row>
    <row r="18" spans="1:11">
      <c r="B18" s="9"/>
      <c r="C18" s="9"/>
      <c r="D18" s="9"/>
      <c r="E18" s="9"/>
      <c r="F18" s="9"/>
      <c r="G18" s="9"/>
      <c r="H18" s="9"/>
      <c r="I18" s="9"/>
      <c r="J18" s="9"/>
      <c r="K18" s="10"/>
    </row>
    <row r="19" spans="1:11">
      <c r="A19" s="11" t="s">
        <v>219</v>
      </c>
      <c r="B19" s="9"/>
      <c r="C19" s="9"/>
      <c r="D19" s="9"/>
      <c r="E19" s="9"/>
      <c r="F19" s="9"/>
      <c r="G19" s="9"/>
      <c r="H19" s="9"/>
      <c r="I19" s="9"/>
      <c r="J19" s="9"/>
      <c r="K19" s="10"/>
    </row>
    <row r="20" spans="1:11">
      <c r="A20" s="32"/>
      <c r="B20" s="9"/>
      <c r="C20" s="9"/>
      <c r="D20" s="9"/>
      <c r="E20" s="9"/>
      <c r="F20" s="9"/>
      <c r="G20" s="9"/>
      <c r="H20" s="9"/>
      <c r="I20" s="9"/>
      <c r="J20" s="9"/>
      <c r="K20" s="10"/>
    </row>
    <row r="21" spans="1:11">
      <c r="A21" s="7" t="s">
        <v>182</v>
      </c>
      <c r="B21" s="9">
        <f>47.3</f>
        <v>47.3</v>
      </c>
      <c r="C21" s="18" t="s">
        <v>80</v>
      </c>
      <c r="D21" s="18" t="s">
        <v>183</v>
      </c>
      <c r="E21" s="9"/>
      <c r="F21" s="9"/>
      <c r="G21" s="9"/>
      <c r="H21" s="9"/>
      <c r="I21" s="9"/>
      <c r="J21" s="9"/>
      <c r="K21" s="10"/>
    </row>
    <row r="22" spans="1:11">
      <c r="A22" s="33" t="s">
        <v>221</v>
      </c>
      <c r="B22" s="9">
        <f>0.16*B24</f>
        <v>0.16</v>
      </c>
      <c r="C22" s="9" t="s">
        <v>73</v>
      </c>
      <c r="D22" s="9" t="s">
        <v>222</v>
      </c>
      <c r="E22" s="9"/>
      <c r="F22" s="9"/>
      <c r="G22" s="9"/>
      <c r="H22" s="9"/>
      <c r="I22" s="9"/>
      <c r="J22" s="9"/>
      <c r="K22" s="10"/>
    </row>
    <row r="23" spans="1:11">
      <c r="A23" s="17" t="s">
        <v>238</v>
      </c>
      <c r="B23" s="9">
        <f>B22/B14</f>
        <v>4.4077134986225897</v>
      </c>
      <c r="C23" s="9" t="s">
        <v>211</v>
      </c>
      <c r="D23" s="18" t="s">
        <v>239</v>
      </c>
      <c r="E23" s="9"/>
      <c r="F23" s="9"/>
      <c r="G23" s="9"/>
      <c r="H23" s="9"/>
      <c r="I23" s="9"/>
      <c r="J23" s="9"/>
      <c r="K23" s="10"/>
    </row>
    <row r="24" spans="1:11">
      <c r="A24" s="7" t="s">
        <v>44</v>
      </c>
      <c r="B24" s="9">
        <v>1</v>
      </c>
      <c r="C24" s="9"/>
      <c r="D24" s="9" t="s">
        <v>45</v>
      </c>
      <c r="E24" s="9"/>
      <c r="F24" s="9"/>
      <c r="G24" s="9"/>
      <c r="H24" s="9"/>
      <c r="I24" s="9"/>
      <c r="J24" s="9"/>
      <c r="K24" s="10"/>
    </row>
    <row r="25" spans="1:11">
      <c r="I25" s="9"/>
      <c r="J25" s="9"/>
      <c r="K25" s="10"/>
    </row>
    <row r="26" spans="1:11">
      <c r="A26" s="11" t="s">
        <v>223</v>
      </c>
      <c r="B26" s="9"/>
      <c r="C26" s="9"/>
      <c r="D26" s="9"/>
      <c r="E26" s="9"/>
      <c r="F26" s="9"/>
      <c r="G26" s="9"/>
      <c r="H26" s="9"/>
      <c r="I26" s="9"/>
      <c r="J26" s="9"/>
      <c r="K26" s="10"/>
    </row>
    <row r="27" spans="1:11">
      <c r="A27" s="7"/>
      <c r="B27" s="9"/>
      <c r="C27" s="9"/>
      <c r="D27" s="9"/>
      <c r="E27" s="9"/>
      <c r="F27" s="9"/>
      <c r="G27" s="9"/>
      <c r="H27" s="9"/>
      <c r="I27" s="9"/>
      <c r="J27" s="9"/>
      <c r="K27" s="10"/>
    </row>
    <row r="28" spans="1:11">
      <c r="A28" s="7" t="s">
        <v>9</v>
      </c>
      <c r="B28" s="9">
        <v>24</v>
      </c>
      <c r="C28" s="9" t="s">
        <v>225</v>
      </c>
      <c r="D28" s="9" t="s">
        <v>224</v>
      </c>
      <c r="E28" s="9"/>
      <c r="F28" s="9"/>
      <c r="G28" s="9"/>
      <c r="H28" s="9"/>
      <c r="I28" s="9"/>
      <c r="J28" s="9"/>
      <c r="K28" s="10"/>
    </row>
    <row r="29" spans="1:11">
      <c r="A29" s="7" t="s">
        <v>184</v>
      </c>
      <c r="B29" s="9">
        <f>B17/B28</f>
        <v>4.0650000000000004</v>
      </c>
      <c r="C29" s="18" t="s">
        <v>7</v>
      </c>
      <c r="D29" s="18" t="s">
        <v>202</v>
      </c>
      <c r="E29" s="9"/>
      <c r="F29" s="9"/>
      <c r="G29" s="9"/>
      <c r="H29" s="9"/>
      <c r="I29" s="9"/>
      <c r="J29" s="9"/>
      <c r="K29" s="10"/>
    </row>
    <row r="30" spans="1:11">
      <c r="A30" s="7" t="s">
        <v>185</v>
      </c>
      <c r="B30" s="9">
        <f>B21/B28</f>
        <v>1.9708333333333332</v>
      </c>
      <c r="C30" s="18" t="s">
        <v>7</v>
      </c>
      <c r="D30" s="18" t="s">
        <v>203</v>
      </c>
      <c r="E30" s="9"/>
      <c r="F30" s="9"/>
      <c r="G30" s="9"/>
      <c r="H30" s="9"/>
      <c r="I30" s="9"/>
      <c r="J30" s="9"/>
      <c r="K30" s="10"/>
    </row>
    <row r="31" spans="1:11">
      <c r="J31" s="9"/>
      <c r="K31" s="10"/>
    </row>
    <row r="32" spans="1:11">
      <c r="A32" s="11" t="s">
        <v>48</v>
      </c>
      <c r="I32" s="9"/>
      <c r="J32" s="9"/>
      <c r="K32" s="10"/>
    </row>
    <row r="33" spans="1:13">
      <c r="I33" s="9"/>
      <c r="J33" s="9"/>
      <c r="K33" s="10"/>
      <c r="M33" t="s">
        <v>269</v>
      </c>
    </row>
    <row r="34" spans="1:13">
      <c r="A34" t="s">
        <v>230</v>
      </c>
      <c r="B34">
        <v>28</v>
      </c>
      <c r="C34" t="s">
        <v>7</v>
      </c>
      <c r="D34" t="s">
        <v>242</v>
      </c>
      <c r="I34" s="9"/>
      <c r="J34" s="9"/>
      <c r="K34" s="10"/>
    </row>
    <row r="35" spans="1:13">
      <c r="A35" t="s">
        <v>231</v>
      </c>
      <c r="B35">
        <v>100</v>
      </c>
      <c r="C35" t="s">
        <v>3</v>
      </c>
      <c r="D35" t="s">
        <v>232</v>
      </c>
      <c r="I35" s="9"/>
      <c r="J35" s="9"/>
      <c r="K35" s="10"/>
    </row>
    <row r="36" spans="1:13">
      <c r="A36" t="s">
        <v>49</v>
      </c>
      <c r="B36">
        <f>45*10^(-3)</f>
        <v>4.4999999999999998E-2</v>
      </c>
      <c r="C36" t="s">
        <v>12</v>
      </c>
      <c r="D36" t="s">
        <v>241</v>
      </c>
      <c r="I36" s="9"/>
      <c r="J36" s="9"/>
      <c r="K36" s="10"/>
    </row>
    <row r="37" spans="1:13">
      <c r="A37" s="7" t="s">
        <v>8</v>
      </c>
      <c r="B37" s="9">
        <f>B16^2*B36</f>
        <v>13.169899597022065</v>
      </c>
      <c r="C37" s="9" t="s">
        <v>3</v>
      </c>
      <c r="D37" s="9" t="s">
        <v>60</v>
      </c>
      <c r="E37" s="9"/>
      <c r="F37" s="9"/>
      <c r="G37" s="9"/>
      <c r="H37" s="9"/>
      <c r="I37" s="9"/>
      <c r="J37" s="9"/>
      <c r="K37" s="10"/>
    </row>
    <row r="38" spans="1:13">
      <c r="A38" s="7" t="s">
        <v>10</v>
      </c>
      <c r="B38" s="9">
        <f>70*10^(-9)</f>
        <v>7.0000000000000005E-8</v>
      </c>
      <c r="C38" s="18" t="s">
        <v>54</v>
      </c>
      <c r="D38" s="9" t="s">
        <v>300</v>
      </c>
      <c r="E38" s="9"/>
      <c r="F38" s="9"/>
      <c r="G38" s="9"/>
      <c r="J38" s="9"/>
      <c r="K38" s="10"/>
    </row>
    <row r="39" spans="1:13">
      <c r="A39" s="7" t="s">
        <v>233</v>
      </c>
      <c r="B39" s="9"/>
      <c r="C39" s="18"/>
      <c r="D39" s="9"/>
      <c r="E39" s="9"/>
      <c r="F39" s="9"/>
      <c r="G39" s="9"/>
      <c r="J39" s="9"/>
      <c r="K39" s="10"/>
    </row>
    <row r="40" spans="1:13">
      <c r="A40" s="7" t="s">
        <v>234</v>
      </c>
      <c r="B40" s="9"/>
      <c r="C40" s="18"/>
      <c r="D40" s="9"/>
      <c r="E40" s="9"/>
      <c r="F40" s="9"/>
      <c r="G40" s="9"/>
      <c r="J40" s="9"/>
      <c r="K40" s="10"/>
    </row>
    <row r="41" spans="1:13">
      <c r="A41" s="7" t="s">
        <v>70</v>
      </c>
      <c r="B41" s="9">
        <v>14.5</v>
      </c>
      <c r="C41" s="18" t="s">
        <v>3</v>
      </c>
      <c r="D41" s="18" t="s">
        <v>204</v>
      </c>
      <c r="E41" s="9"/>
      <c r="F41" s="9"/>
      <c r="G41" s="9"/>
      <c r="J41" s="9"/>
      <c r="K41" s="10"/>
    </row>
    <row r="42" spans="1:13">
      <c r="A42" s="7" t="s">
        <v>296</v>
      </c>
      <c r="B42" s="9">
        <v>5</v>
      </c>
      <c r="C42" s="18" t="s">
        <v>3</v>
      </c>
      <c r="D42" s="18" t="s">
        <v>297</v>
      </c>
      <c r="E42" s="9"/>
      <c r="F42" s="9"/>
      <c r="G42" s="9"/>
      <c r="J42" s="9"/>
      <c r="K42" s="10"/>
    </row>
    <row r="43" spans="1:13">
      <c r="A43" s="7" t="s">
        <v>11</v>
      </c>
      <c r="B43" s="9">
        <v>20</v>
      </c>
      <c r="C43" s="9" t="s">
        <v>12</v>
      </c>
      <c r="D43" s="9" t="s">
        <v>260</v>
      </c>
      <c r="E43" s="9"/>
      <c r="F43" s="9"/>
      <c r="G43" s="9"/>
      <c r="H43" s="9"/>
      <c r="I43" s="9"/>
      <c r="J43" s="9"/>
      <c r="K43" s="10"/>
    </row>
    <row r="44" spans="1:13">
      <c r="A44" s="7" t="s">
        <v>69</v>
      </c>
      <c r="B44" s="9">
        <f>(B41-B42)/B43</f>
        <v>0.47499999999999998</v>
      </c>
      <c r="C44" s="18" t="s">
        <v>7</v>
      </c>
      <c r="D44" s="18" t="s">
        <v>298</v>
      </c>
      <c r="E44" s="9"/>
      <c r="F44" s="9"/>
      <c r="G44" s="9"/>
      <c r="H44" s="9"/>
      <c r="I44" s="9"/>
      <c r="J44" s="9"/>
      <c r="K44" s="10"/>
    </row>
    <row r="45" spans="1:13">
      <c r="A45" s="7" t="s">
        <v>283</v>
      </c>
      <c r="B45" s="9">
        <f>B38/B44</f>
        <v>1.473684210526316E-7</v>
      </c>
      <c r="C45" s="18" t="s">
        <v>50</v>
      </c>
      <c r="D45" t="s">
        <v>299</v>
      </c>
      <c r="E45" s="9"/>
      <c r="F45" s="9"/>
      <c r="G45" s="9"/>
      <c r="H45" s="9"/>
      <c r="I45" s="9"/>
      <c r="J45" s="9"/>
      <c r="K45" s="10"/>
    </row>
    <row r="46" spans="1:13">
      <c r="A46" s="7" t="s">
        <v>0</v>
      </c>
      <c r="B46" s="9">
        <v>31000</v>
      </c>
      <c r="C46" s="9" t="s">
        <v>13</v>
      </c>
      <c r="D46" s="9" t="s">
        <v>6</v>
      </c>
      <c r="E46" s="9"/>
      <c r="J46" s="9"/>
      <c r="K46" s="10"/>
    </row>
    <row r="47" spans="1:13">
      <c r="H47" s="9"/>
      <c r="I47" s="9"/>
      <c r="J47" s="9"/>
      <c r="K47" s="10"/>
    </row>
    <row r="48" spans="1:13">
      <c r="A48" s="11" t="s">
        <v>31</v>
      </c>
      <c r="B48" s="9"/>
      <c r="C48" s="9"/>
      <c r="D48" s="9"/>
      <c r="E48" s="9"/>
      <c r="F48" s="9"/>
      <c r="G48" s="9"/>
      <c r="H48" s="9"/>
      <c r="I48" s="9"/>
      <c r="J48" s="9"/>
      <c r="K48" s="10"/>
    </row>
    <row r="49" spans="1:19">
      <c r="A49" s="7" t="s">
        <v>14</v>
      </c>
      <c r="B49" s="9">
        <v>0.82</v>
      </c>
      <c r="C49" s="9" t="s">
        <v>3</v>
      </c>
      <c r="D49" s="9" t="s">
        <v>15</v>
      </c>
      <c r="E49" s="9"/>
      <c r="F49" s="9"/>
      <c r="G49" s="9"/>
      <c r="H49" s="9"/>
      <c r="I49" s="9"/>
      <c r="J49" s="9"/>
      <c r="K49" s="10"/>
    </row>
    <row r="50" spans="1:19">
      <c r="A50" s="17" t="s">
        <v>51</v>
      </c>
      <c r="B50">
        <f>180*10^(-9)</f>
        <v>1.8000000000000002E-7</v>
      </c>
      <c r="C50" s="18" t="s">
        <v>50</v>
      </c>
      <c r="D50" s="18" t="s">
        <v>52</v>
      </c>
      <c r="I50" s="9"/>
      <c r="J50" s="9"/>
      <c r="K50" s="10"/>
    </row>
    <row r="51" spans="1:19">
      <c r="A51" s="7" t="s">
        <v>16</v>
      </c>
      <c r="B51" s="9">
        <f>B15</f>
        <v>5.6970000000000001</v>
      </c>
      <c r="C51" s="9" t="s">
        <v>7</v>
      </c>
      <c r="D51" s="9" t="s">
        <v>17</v>
      </c>
      <c r="E51" s="9"/>
      <c r="F51" s="9"/>
      <c r="G51" s="9"/>
      <c r="H51" s="9"/>
      <c r="I51" s="9"/>
      <c r="J51" s="9"/>
      <c r="K51" s="10"/>
    </row>
    <row r="52" spans="1:19">
      <c r="A52" s="7" t="s">
        <v>53</v>
      </c>
      <c r="B52" s="9">
        <f>1.2*10^(-9)</f>
        <v>1.2E-9</v>
      </c>
      <c r="C52" s="18" t="s">
        <v>54</v>
      </c>
      <c r="D52" t="s">
        <v>55</v>
      </c>
      <c r="E52" s="9"/>
      <c r="F52" s="9"/>
      <c r="G52" s="9"/>
      <c r="H52" s="9"/>
      <c r="I52" s="9"/>
      <c r="J52" s="9"/>
      <c r="K52" s="10"/>
    </row>
    <row r="53" spans="1:19">
      <c r="A53" s="7"/>
      <c r="B53" s="9"/>
      <c r="C53" s="9"/>
      <c r="D53" s="9"/>
      <c r="E53" s="9"/>
      <c r="F53" s="9"/>
      <c r="G53" s="9"/>
      <c r="H53" s="9"/>
      <c r="I53" s="9"/>
      <c r="J53" s="9"/>
      <c r="K53" s="10"/>
    </row>
    <row r="54" spans="1:19">
      <c r="A54" s="11" t="s">
        <v>32</v>
      </c>
      <c r="B54" s="9"/>
      <c r="C54" s="9"/>
      <c r="D54" s="9"/>
      <c r="E54" s="9"/>
      <c r="F54" s="9"/>
      <c r="G54" s="9"/>
      <c r="H54" s="9"/>
      <c r="I54" s="9"/>
      <c r="J54" s="9"/>
      <c r="K54" s="10"/>
    </row>
    <row r="55" spans="1:19">
      <c r="A55" s="7" t="s">
        <v>18</v>
      </c>
      <c r="B55" s="9">
        <v>0.95</v>
      </c>
      <c r="C55" s="9"/>
      <c r="D55" s="9" t="s">
        <v>33</v>
      </c>
      <c r="E55" s="9"/>
      <c r="F55" s="9"/>
      <c r="G55" s="9"/>
      <c r="H55" s="9"/>
      <c r="I55" s="9"/>
      <c r="J55" s="9"/>
      <c r="K55" s="10"/>
    </row>
    <row r="56" spans="1:19">
      <c r="A56" s="7" t="s">
        <v>19</v>
      </c>
      <c r="B56" s="9">
        <v>0.85</v>
      </c>
      <c r="C56" s="9"/>
      <c r="D56" s="9" t="s">
        <v>20</v>
      </c>
      <c r="E56" s="9"/>
      <c r="F56" s="9"/>
      <c r="G56" s="9"/>
      <c r="H56" s="9"/>
      <c r="I56" s="9"/>
      <c r="J56" s="9"/>
      <c r="K56" s="10"/>
    </row>
    <row r="57" spans="1:19">
      <c r="A57" s="7" t="s">
        <v>21</v>
      </c>
      <c r="B57" s="9">
        <v>1</v>
      </c>
      <c r="C57" s="9"/>
      <c r="D57" s="9" t="s">
        <v>22</v>
      </c>
      <c r="E57" s="9"/>
      <c r="F57" s="9"/>
      <c r="G57" s="9"/>
      <c r="H57" s="9"/>
      <c r="I57" s="9"/>
      <c r="J57" s="9"/>
      <c r="K57" s="10"/>
    </row>
    <row r="58" spans="1:19">
      <c r="A58" s="7" t="s">
        <v>5</v>
      </c>
      <c r="B58" s="9">
        <v>2</v>
      </c>
      <c r="C58" s="9"/>
      <c r="D58" s="9" t="s">
        <v>56</v>
      </c>
      <c r="E58" s="9"/>
      <c r="F58" s="9"/>
      <c r="G58" s="9"/>
      <c r="H58" s="9"/>
      <c r="I58" s="9"/>
      <c r="J58" s="9"/>
      <c r="K58" s="10"/>
    </row>
    <row r="59" spans="1:19">
      <c r="A59" s="12"/>
      <c r="B59" s="13"/>
      <c r="C59" s="13"/>
      <c r="D59" s="13" t="s">
        <v>267</v>
      </c>
      <c r="E59" s="13"/>
      <c r="F59" s="13"/>
      <c r="G59" s="13"/>
      <c r="H59" s="13"/>
      <c r="I59" s="13"/>
      <c r="J59" s="13"/>
      <c r="K59" s="14"/>
    </row>
    <row r="62" spans="1:19">
      <c r="A62" s="4" t="s">
        <v>23</v>
      </c>
    </row>
    <row r="63" spans="1:19">
      <c r="S63" s="2"/>
    </row>
    <row r="64" spans="1:19">
      <c r="A64" t="s">
        <v>266</v>
      </c>
    </row>
    <row r="65" spans="1:11">
      <c r="A65" t="s">
        <v>294</v>
      </c>
    </row>
    <row r="66" spans="1:11">
      <c r="A66" t="s">
        <v>295</v>
      </c>
    </row>
    <row r="67" spans="1:11">
      <c r="A67" s="3" t="s">
        <v>29</v>
      </c>
    </row>
    <row r="69" spans="1:11">
      <c r="A69" t="s">
        <v>57</v>
      </c>
      <c r="E69" t="s">
        <v>116</v>
      </c>
      <c r="I69" t="s">
        <v>117</v>
      </c>
    </row>
    <row r="71" spans="1:11">
      <c r="A71" t="s">
        <v>235</v>
      </c>
      <c r="E71" s="2" t="s">
        <v>61</v>
      </c>
      <c r="F71">
        <f>B99</f>
        <v>1.0665555359640138</v>
      </c>
      <c r="G71" t="s">
        <v>4</v>
      </c>
      <c r="I71" s="2" t="s">
        <v>24</v>
      </c>
      <c r="J71" s="20">
        <f>F71*B58</f>
        <v>2.1331110719280275</v>
      </c>
      <c r="K71" t="s">
        <v>4</v>
      </c>
    </row>
    <row r="73" spans="1:11">
      <c r="B73" t="s">
        <v>227</v>
      </c>
    </row>
    <row r="75" spans="1:11">
      <c r="A75" t="s">
        <v>226</v>
      </c>
      <c r="B75">
        <f>SQRT(2/3)*B22/B14</f>
        <v>3.5988830013343303</v>
      </c>
      <c r="C75" t="s">
        <v>206</v>
      </c>
    </row>
    <row r="78" spans="1:11">
      <c r="B78" t="s">
        <v>237</v>
      </c>
    </row>
    <row r="80" spans="1:11">
      <c r="A80" t="s">
        <v>236</v>
      </c>
      <c r="B80">
        <f>SQRT(3/2)*B75</f>
        <v>4.4077134986225897</v>
      </c>
      <c r="C80" t="s">
        <v>206</v>
      </c>
    </row>
    <row r="83" spans="1:14">
      <c r="A83" t="s">
        <v>30</v>
      </c>
    </row>
    <row r="85" spans="1:14">
      <c r="M85" s="2"/>
      <c r="N85" s="2"/>
    </row>
    <row r="87" spans="1:14">
      <c r="A87" t="s">
        <v>25</v>
      </c>
      <c r="B87">
        <f>B36*B75^2</f>
        <v>0.58283814857819383</v>
      </c>
      <c r="C87" t="s">
        <v>4</v>
      </c>
    </row>
    <row r="89" spans="1:14" ht="45">
      <c r="A89" s="23" t="s">
        <v>58</v>
      </c>
      <c r="B89" s="23"/>
    </row>
    <row r="93" spans="1:14">
      <c r="A93" t="s">
        <v>26</v>
      </c>
      <c r="B93">
        <f>B28*(B80*B45+0.5*B52)*B46</f>
        <v>0.48371738738581999</v>
      </c>
      <c r="C93" t="s">
        <v>4</v>
      </c>
    </row>
    <row r="95" spans="1:14">
      <c r="A95" t="s">
        <v>27</v>
      </c>
    </row>
    <row r="96" spans="1:14">
      <c r="E96" s="2"/>
      <c r="F96" s="2"/>
    </row>
    <row r="99" spans="1:3">
      <c r="A99" s="2" t="s">
        <v>28</v>
      </c>
      <c r="B99" s="2">
        <f>(B87+B93)*B57</f>
        <v>1.0665555359640138</v>
      </c>
      <c r="C99" t="s">
        <v>4</v>
      </c>
    </row>
  </sheetData>
  <customSheetViews>
    <customSheetView guid="{816D1CF2-9F52-4523-8FA1-0974D3ADE14B}" topLeftCell="A7">
      <selection activeCell="B16" sqref="B16"/>
      <pageMargins left="0.7" right="0.7" top="0.75" bottom="0.75" header="0.3" footer="0.3"/>
    </customSheetView>
    <customSheetView guid="{950CAB42-9710-43B8-BF7F-ADDD586A9B87}" topLeftCell="A7">
      <selection activeCell="B16" sqref="B16"/>
      <pageMargins left="0.7" right="0.7" top="0.75" bottom="0.75" header="0.3" footer="0.3"/>
    </customSheetView>
  </customSheetViews>
  <hyperlinks>
    <hyperlink ref="F7" r:id="rId1"/>
    <hyperlink ref="F5" r:id="rId2"/>
    <hyperlink ref="A67" r:id="rId3"/>
  </hyperlinks>
  <pageMargins left="0.7" right="0.7" top="0.75" bottom="0.75" header="0.3" footer="0.3"/>
  <pageSetup paperSize="9" orientation="portrait" r:id="rId4"/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H32"/>
  <sheetViews>
    <sheetView workbookViewId="0">
      <selection activeCell="J20" sqref="J20"/>
    </sheetView>
  </sheetViews>
  <sheetFormatPr defaultRowHeight="15"/>
  <cols>
    <col min="2" max="2" width="11" customWidth="1"/>
    <col min="8" max="8" width="12.85546875" customWidth="1"/>
  </cols>
  <sheetData>
    <row r="1" spans="1:8">
      <c r="A1" t="s">
        <v>264</v>
      </c>
    </row>
    <row r="2" spans="1:8">
      <c r="A2" s="9"/>
    </row>
    <row r="3" spans="1:8">
      <c r="A3" s="15" t="s">
        <v>2</v>
      </c>
      <c r="B3" s="5"/>
      <c r="C3" s="5"/>
      <c r="D3" s="5"/>
      <c r="E3" s="5"/>
      <c r="F3" s="5"/>
      <c r="G3" s="5"/>
      <c r="H3" s="6"/>
    </row>
    <row r="4" spans="1:8">
      <c r="A4" s="7"/>
      <c r="B4" s="9"/>
      <c r="C4" s="9"/>
      <c r="D4" s="9"/>
      <c r="E4" s="9"/>
      <c r="F4" s="9"/>
      <c r="G4" s="9"/>
      <c r="H4" s="10"/>
    </row>
    <row r="5" spans="1:8">
      <c r="A5" s="11" t="s">
        <v>48</v>
      </c>
      <c r="B5" s="9"/>
      <c r="C5" s="9"/>
      <c r="D5" s="9"/>
      <c r="E5" s="9"/>
      <c r="F5" s="9"/>
      <c r="G5" s="9"/>
      <c r="H5" s="10"/>
    </row>
    <row r="6" spans="1:8">
      <c r="A6" s="7"/>
      <c r="B6" s="9"/>
      <c r="C6" s="9"/>
      <c r="D6" s="9"/>
      <c r="E6" s="9"/>
      <c r="F6" s="9"/>
      <c r="G6" s="9"/>
      <c r="H6" s="10"/>
    </row>
    <row r="7" spans="1:8">
      <c r="A7" s="21" t="s">
        <v>34</v>
      </c>
      <c r="B7" s="22">
        <v>4</v>
      </c>
      <c r="C7" s="9" t="s">
        <v>62</v>
      </c>
      <c r="D7" s="9" t="s">
        <v>67</v>
      </c>
      <c r="E7" s="9"/>
      <c r="F7" s="9"/>
      <c r="G7" s="9"/>
      <c r="H7" s="10"/>
    </row>
    <row r="8" spans="1:8">
      <c r="A8" s="21" t="s">
        <v>65</v>
      </c>
      <c r="B8" s="22">
        <v>62</v>
      </c>
      <c r="C8" s="9" t="s">
        <v>62</v>
      </c>
      <c r="D8" s="9" t="s">
        <v>66</v>
      </c>
      <c r="E8" s="9"/>
      <c r="F8" s="9"/>
      <c r="G8" s="9"/>
      <c r="H8" s="10"/>
    </row>
    <row r="9" spans="1:8">
      <c r="A9" s="7" t="s">
        <v>38</v>
      </c>
      <c r="B9" s="9">
        <v>150</v>
      </c>
      <c r="C9" s="9" t="s">
        <v>42</v>
      </c>
      <c r="D9" s="9" t="s">
        <v>35</v>
      </c>
      <c r="E9" s="9"/>
      <c r="F9" s="9"/>
      <c r="G9" s="9"/>
      <c r="H9" s="10"/>
    </row>
    <row r="10" spans="1:8">
      <c r="A10" s="7" t="s">
        <v>40</v>
      </c>
      <c r="B10" s="9">
        <v>1</v>
      </c>
      <c r="C10" s="9"/>
      <c r="D10" s="9" t="s">
        <v>63</v>
      </c>
      <c r="E10" s="9"/>
      <c r="F10" s="9"/>
      <c r="G10" s="9"/>
      <c r="H10" s="10"/>
    </row>
    <row r="11" spans="1:8">
      <c r="A11" s="7" t="s">
        <v>41</v>
      </c>
      <c r="B11" s="9">
        <f>'Потери в MOSFET'!F71</f>
        <v>1.0665555359640138</v>
      </c>
      <c r="C11" s="9" t="s">
        <v>4</v>
      </c>
      <c r="D11" s="9" t="s">
        <v>64</v>
      </c>
      <c r="E11" s="9"/>
      <c r="F11" s="9"/>
      <c r="G11" s="9"/>
      <c r="H11" s="10"/>
    </row>
    <row r="12" spans="1:8">
      <c r="A12" s="7"/>
      <c r="B12" s="9"/>
      <c r="C12" s="9"/>
      <c r="D12" s="9"/>
      <c r="E12" s="9"/>
      <c r="F12" s="9"/>
      <c r="G12" s="9"/>
      <c r="H12" s="10"/>
    </row>
    <row r="13" spans="1:8">
      <c r="A13" s="7"/>
      <c r="B13" s="9"/>
      <c r="C13" s="9"/>
      <c r="D13" s="9"/>
      <c r="E13" s="9"/>
      <c r="F13" s="9"/>
      <c r="G13" s="9"/>
      <c r="H13" s="10"/>
    </row>
    <row r="14" spans="1:8">
      <c r="A14" s="7"/>
      <c r="B14" s="9"/>
      <c r="C14" s="9"/>
      <c r="D14" s="9"/>
      <c r="E14" s="9"/>
      <c r="F14" s="9"/>
      <c r="G14" s="9"/>
      <c r="H14" s="10"/>
    </row>
    <row r="15" spans="1:8">
      <c r="A15" s="7"/>
      <c r="B15" s="9"/>
      <c r="C15" s="9"/>
      <c r="D15" s="9"/>
      <c r="E15" s="9"/>
      <c r="F15" s="9"/>
      <c r="G15" s="9"/>
      <c r="H15" s="10"/>
    </row>
    <row r="16" spans="1:8">
      <c r="A16" s="11" t="s">
        <v>32</v>
      </c>
      <c r="B16" s="9"/>
      <c r="C16" s="9"/>
      <c r="D16" s="9"/>
      <c r="E16" s="9"/>
      <c r="F16" s="9"/>
      <c r="G16" s="9"/>
      <c r="H16" s="10"/>
    </row>
    <row r="17" spans="1:8">
      <c r="A17" s="7"/>
      <c r="B17" s="9"/>
      <c r="C17" s="9"/>
      <c r="D17" s="9"/>
      <c r="E17" s="9"/>
      <c r="F17" s="9"/>
      <c r="G17" s="9"/>
      <c r="H17" s="10"/>
    </row>
    <row r="18" spans="1:8">
      <c r="A18" s="7" t="s">
        <v>36</v>
      </c>
      <c r="B18" s="9">
        <v>50</v>
      </c>
      <c r="C18" s="9" t="s">
        <v>42</v>
      </c>
      <c r="D18" s="9" t="s">
        <v>37</v>
      </c>
      <c r="E18" s="9"/>
      <c r="F18" s="9"/>
      <c r="G18" s="9"/>
      <c r="H18" s="10"/>
    </row>
    <row r="19" spans="1:8">
      <c r="A19" s="7" t="s">
        <v>262</v>
      </c>
      <c r="B19" s="9"/>
      <c r="C19" s="9"/>
      <c r="D19" s="9"/>
      <c r="E19" s="9"/>
      <c r="F19" s="9"/>
      <c r="G19" s="9"/>
      <c r="H19" s="10"/>
    </row>
    <row r="20" spans="1:8">
      <c r="F20" s="9"/>
      <c r="G20" s="9"/>
      <c r="H20" s="10"/>
    </row>
    <row r="21" spans="1:8">
      <c r="A21" s="12"/>
      <c r="B21" s="13"/>
      <c r="C21" s="13"/>
      <c r="D21" s="13"/>
      <c r="E21" s="13"/>
      <c r="F21" s="13"/>
      <c r="G21" s="13"/>
      <c r="H21" s="14"/>
    </row>
    <row r="23" spans="1:8">
      <c r="A23" s="4" t="s">
        <v>1</v>
      </c>
    </row>
    <row r="25" spans="1:8">
      <c r="A25" t="s">
        <v>39</v>
      </c>
      <c r="B25">
        <f>B11*B8+B18</f>
        <v>116.12644322976885</v>
      </c>
      <c r="C25" t="s">
        <v>68</v>
      </c>
      <c r="D25" t="s">
        <v>265</v>
      </c>
      <c r="E25" s="19"/>
      <c r="H25" t="s">
        <v>261</v>
      </c>
    </row>
    <row r="29" spans="1:8">
      <c r="A29" s="16"/>
      <c r="B29" t="s">
        <v>46</v>
      </c>
    </row>
    <row r="30" spans="1:8">
      <c r="A30" s="1"/>
      <c r="B30" t="s">
        <v>43</v>
      </c>
    </row>
    <row r="32" spans="1:8">
      <c r="A32" t="s">
        <v>123</v>
      </c>
    </row>
  </sheetData>
  <customSheetViews>
    <customSheetView guid="{816D1CF2-9F52-4523-8FA1-0974D3ADE14B}">
      <selection activeCell="K16" sqref="K16"/>
      <pageMargins left="0.7" right="0.7" top="0.75" bottom="0.75" header="0.3" footer="0.3"/>
      <pageSetup paperSize="9" orientation="portrait" verticalDpi="0" r:id="rId1"/>
    </customSheetView>
    <customSheetView guid="{950CAB42-9710-43B8-BF7F-ADDD586A9B87}">
      <selection activeCell="K16" sqref="K16"/>
      <pageMargins left="0.7" right="0.7" top="0.75" bottom="0.75" header="0.3" footer="0.3"/>
      <pageSetup paperSize="9" orientation="portrait" verticalDpi="0" r:id="rId2"/>
    </customSheetView>
  </customSheetViews>
  <conditionalFormatting sqref="B25">
    <cfRule type="cellIs" dxfId="2" priority="1" operator="lessThan">
      <formula>$B$9-25</formula>
    </cfRule>
    <cfRule type="cellIs" dxfId="1" priority="2" operator="greaterThan">
      <formula>$B$9-25</formula>
    </cfRule>
  </conditionalFormatting>
  <pageMargins left="0.7" right="0.7" top="0.75" bottom="0.75" header="0.3" footer="0.3"/>
  <pageSetup paperSize="9" orientation="portrait" verticalDpi="0" r:id="rId3"/>
  <drawing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Q49"/>
  <sheetViews>
    <sheetView topLeftCell="A31" zoomScale="85" zoomScaleNormal="85" workbookViewId="0">
      <selection activeCell="L48" sqref="L48"/>
    </sheetView>
  </sheetViews>
  <sheetFormatPr defaultRowHeight="15"/>
  <cols>
    <col min="1" max="1" width="12" customWidth="1"/>
    <col min="2" max="2" width="13.7109375" bestFit="1" customWidth="1"/>
    <col min="10" max="10" width="12.140625" customWidth="1"/>
    <col min="11" max="11" width="12" bestFit="1" customWidth="1"/>
  </cols>
  <sheetData>
    <row r="1" spans="1:17">
      <c r="A1" t="s">
        <v>273</v>
      </c>
    </row>
    <row r="3" spans="1:17">
      <c r="A3" t="s">
        <v>205</v>
      </c>
      <c r="J3" s="2" t="s">
        <v>1</v>
      </c>
    </row>
    <row r="4" spans="1:17">
      <c r="A4" t="s">
        <v>124</v>
      </c>
      <c r="J4" t="s">
        <v>292</v>
      </c>
    </row>
    <row r="5" spans="1:17">
      <c r="J5" t="s">
        <v>293</v>
      </c>
    </row>
    <row r="8" spans="1:17">
      <c r="A8" s="2" t="s">
        <v>2</v>
      </c>
      <c r="J8" s="27" t="s">
        <v>102</v>
      </c>
    </row>
    <row r="10" spans="1:17">
      <c r="A10" t="s">
        <v>74</v>
      </c>
      <c r="B10" s="24">
        <f>'Потери в MOSFET'!B38</f>
        <v>7.0000000000000005E-8</v>
      </c>
      <c r="C10" t="s">
        <v>54</v>
      </c>
      <c r="D10" t="s">
        <v>75</v>
      </c>
      <c r="H10" t="s">
        <v>79</v>
      </c>
      <c r="J10" t="s">
        <v>71</v>
      </c>
      <c r="K10" s="25">
        <f>B10*B17*B30</f>
        <v>3.1465E-2</v>
      </c>
      <c r="L10" t="s">
        <v>80</v>
      </c>
      <c r="M10" t="s">
        <v>98</v>
      </c>
    </row>
    <row r="11" spans="1:17">
      <c r="A11" t="s">
        <v>84</v>
      </c>
      <c r="B11" s="24">
        <f>1*10^(-9)</f>
        <v>1.0000000000000001E-9</v>
      </c>
      <c r="C11" t="s">
        <v>54</v>
      </c>
      <c r="D11" t="s">
        <v>85</v>
      </c>
      <c r="J11" t="s">
        <v>97</v>
      </c>
      <c r="K11" s="25">
        <f>K10/2</f>
        <v>1.57325E-2</v>
      </c>
      <c r="L11" t="s">
        <v>80</v>
      </c>
      <c r="M11" t="s">
        <v>99</v>
      </c>
    </row>
    <row r="12" spans="1:17">
      <c r="A12" t="s">
        <v>109</v>
      </c>
      <c r="B12" s="24">
        <f>2*B10+B13/B30+B11+B14/B30</f>
        <v>1.4809677419354839E-7</v>
      </c>
      <c r="C12" t="s">
        <v>54</v>
      </c>
      <c r="D12" s="28" t="s">
        <v>110</v>
      </c>
      <c r="J12" t="s">
        <v>275</v>
      </c>
      <c r="K12" s="25">
        <f>K14^2*B25/2</f>
        <v>5.2562499999999996</v>
      </c>
      <c r="L12" t="s">
        <v>80</v>
      </c>
      <c r="M12" t="s">
        <v>276</v>
      </c>
    </row>
    <row r="13" spans="1:17">
      <c r="A13" t="s">
        <v>81</v>
      </c>
      <c r="B13">
        <f>220*10^(-6)</f>
        <v>2.1999999999999998E-4</v>
      </c>
      <c r="C13" t="s">
        <v>7</v>
      </c>
      <c r="D13" t="s">
        <v>149</v>
      </c>
      <c r="K13" s="26"/>
    </row>
    <row r="14" spans="1:17">
      <c r="A14" t="s">
        <v>82</v>
      </c>
      <c r="B14">
        <v>0</v>
      </c>
      <c r="C14" t="s">
        <v>7</v>
      </c>
      <c r="D14" t="s">
        <v>83</v>
      </c>
      <c r="J14" t="s">
        <v>69</v>
      </c>
      <c r="K14">
        <f>B18/B25</f>
        <v>0.72499999999999998</v>
      </c>
      <c r="L14" t="s">
        <v>7</v>
      </c>
      <c r="M14" t="s">
        <v>104</v>
      </c>
    </row>
    <row r="15" spans="1:17">
      <c r="J15" t="s">
        <v>118</v>
      </c>
      <c r="K15">
        <f>K14/B27*100</f>
        <v>36.25</v>
      </c>
      <c r="L15" t="s">
        <v>119</v>
      </c>
      <c r="M15" t="s">
        <v>122</v>
      </c>
      <c r="Q15" t="s">
        <v>274</v>
      </c>
    </row>
    <row r="17" spans="1:13">
      <c r="A17" t="s">
        <v>76</v>
      </c>
      <c r="B17">
        <v>14.5</v>
      </c>
      <c r="C17" t="s">
        <v>3</v>
      </c>
      <c r="D17" t="s">
        <v>77</v>
      </c>
    </row>
    <row r="18" spans="1:13">
      <c r="A18" t="s">
        <v>86</v>
      </c>
      <c r="B18">
        <f>B17</f>
        <v>14.5</v>
      </c>
      <c r="C18" t="s">
        <v>3</v>
      </c>
      <c r="D18" t="s">
        <v>87</v>
      </c>
      <c r="J18" s="27" t="s">
        <v>189</v>
      </c>
    </row>
    <row r="19" spans="1:13">
      <c r="A19" t="s">
        <v>88</v>
      </c>
      <c r="B19">
        <f>1</f>
        <v>1</v>
      </c>
      <c r="C19" t="s">
        <v>3</v>
      </c>
      <c r="D19" t="s">
        <v>89</v>
      </c>
    </row>
    <row r="20" spans="1:13">
      <c r="A20" t="s">
        <v>90</v>
      </c>
      <c r="B20">
        <f>0</f>
        <v>0</v>
      </c>
      <c r="C20" t="s">
        <v>3</v>
      </c>
      <c r="D20" t="s">
        <v>91</v>
      </c>
      <c r="J20" t="s">
        <v>93</v>
      </c>
      <c r="K20">
        <f>2*(2*B10+B13/B30+B11+B14/B30)/(B18-B19-B20-B21)*10^6*K21</f>
        <v>1.1691850594227502</v>
      </c>
      <c r="L20" t="s">
        <v>95</v>
      </c>
      <c r="M20" t="s">
        <v>103</v>
      </c>
    </row>
    <row r="21" spans="1:13">
      <c r="A21" t="s">
        <v>92</v>
      </c>
      <c r="B21">
        <v>9.6999999999999993</v>
      </c>
      <c r="C21" t="s">
        <v>3</v>
      </c>
      <c r="D21" t="s">
        <v>96</v>
      </c>
      <c r="J21" t="s">
        <v>94</v>
      </c>
      <c r="K21">
        <v>15</v>
      </c>
      <c r="M21" t="s">
        <v>173</v>
      </c>
    </row>
    <row r="22" spans="1:13">
      <c r="J22" t="s">
        <v>125</v>
      </c>
      <c r="K22">
        <f>K23/(2*3.14*B30*1*10^(-6))</f>
        <v>0.17978220669817138</v>
      </c>
      <c r="L22" t="s">
        <v>12</v>
      </c>
      <c r="M22" t="s">
        <v>128</v>
      </c>
    </row>
    <row r="23" spans="1:13">
      <c r="J23" t="s">
        <v>126</v>
      </c>
      <c r="K23">
        <v>3.5000000000000003E-2</v>
      </c>
      <c r="M23" t="s">
        <v>127</v>
      </c>
    </row>
    <row r="25" spans="1:13">
      <c r="A25" t="s">
        <v>11</v>
      </c>
      <c r="B25">
        <v>20</v>
      </c>
      <c r="C25" t="s">
        <v>100</v>
      </c>
      <c r="D25" t="s">
        <v>101</v>
      </c>
      <c r="J25" s="27" t="s">
        <v>190</v>
      </c>
    </row>
    <row r="26" spans="1:13">
      <c r="A26" t="s">
        <v>129</v>
      </c>
      <c r="B26">
        <f>0.1*20.25</f>
        <v>2.0249999999999999</v>
      </c>
      <c r="C26" t="s">
        <v>80</v>
      </c>
      <c r="D26" t="s">
        <v>130</v>
      </c>
    </row>
    <row r="27" spans="1:13">
      <c r="A27" t="s">
        <v>120</v>
      </c>
      <c r="B27">
        <v>2</v>
      </c>
      <c r="C27" t="s">
        <v>7</v>
      </c>
      <c r="D27" t="s">
        <v>121</v>
      </c>
      <c r="J27" t="s">
        <v>105</v>
      </c>
      <c r="K27">
        <v>100</v>
      </c>
      <c r="L27" t="s">
        <v>3</v>
      </c>
      <c r="M27" t="s">
        <v>112</v>
      </c>
    </row>
    <row r="28" spans="1:13">
      <c r="A28" t="s">
        <v>153</v>
      </c>
      <c r="B28">
        <f>1.5</f>
        <v>1.5</v>
      </c>
      <c r="C28" t="s">
        <v>7</v>
      </c>
      <c r="D28" t="s">
        <v>154</v>
      </c>
    </row>
    <row r="29" spans="1:13">
      <c r="J29" t="s">
        <v>106</v>
      </c>
      <c r="K29">
        <v>100</v>
      </c>
      <c r="L29" t="s">
        <v>107</v>
      </c>
      <c r="M29" t="s">
        <v>52</v>
      </c>
    </row>
    <row r="30" spans="1:13">
      <c r="A30" t="s">
        <v>78</v>
      </c>
      <c r="B30">
        <v>31000</v>
      </c>
      <c r="C30" t="s">
        <v>13</v>
      </c>
      <c r="D30" t="s">
        <v>263</v>
      </c>
      <c r="J30" t="s">
        <v>108</v>
      </c>
      <c r="K30" s="30">
        <f>B12*B30*1000*K21</f>
        <v>68.864999999999995</v>
      </c>
      <c r="L30" t="s">
        <v>111</v>
      </c>
      <c r="M30" t="s">
        <v>165</v>
      </c>
    </row>
    <row r="31" spans="1:13">
      <c r="J31" t="s">
        <v>166</v>
      </c>
      <c r="K31" s="30">
        <f>(B17-B19)/K34</f>
        <v>1.5</v>
      </c>
      <c r="L31" t="s">
        <v>7</v>
      </c>
      <c r="M31" t="s">
        <v>167</v>
      </c>
    </row>
    <row r="32" spans="1:13">
      <c r="A32" t="s">
        <v>161</v>
      </c>
      <c r="B32">
        <f>1/B30*10^6</f>
        <v>32.258064516129032</v>
      </c>
      <c r="C32" t="s">
        <v>162</v>
      </c>
      <c r="D32" t="s">
        <v>163</v>
      </c>
      <c r="J32" t="s">
        <v>150</v>
      </c>
      <c r="K32" s="31">
        <f>1/2*B10*B30*B19</f>
        <v>1.085E-3</v>
      </c>
      <c r="L32" t="s">
        <v>80</v>
      </c>
      <c r="M32" t="s">
        <v>151</v>
      </c>
    </row>
    <row r="33" spans="1:13">
      <c r="K33" s="31"/>
    </row>
    <row r="34" spans="1:13">
      <c r="A34" t="s">
        <v>281</v>
      </c>
      <c r="J34" t="s">
        <v>152</v>
      </c>
      <c r="K34" s="31">
        <f>(B17-B19)/B28</f>
        <v>9</v>
      </c>
      <c r="L34" t="s">
        <v>12</v>
      </c>
      <c r="M34" t="s">
        <v>155</v>
      </c>
    </row>
    <row r="35" spans="1:13">
      <c r="A35" t="s">
        <v>197</v>
      </c>
      <c r="B35">
        <v>180</v>
      </c>
      <c r="C35" t="s">
        <v>107</v>
      </c>
      <c r="D35" t="s">
        <v>199</v>
      </c>
      <c r="J35" t="s">
        <v>156</v>
      </c>
      <c r="K35" s="24">
        <f>(K20/10^6)*(B17-B19)^2/2 * (3 * K34 * K20/10^6)</f>
        <v>3.3633171324550458E-9</v>
      </c>
      <c r="L35" t="s">
        <v>80</v>
      </c>
      <c r="M35" t="s">
        <v>157</v>
      </c>
    </row>
    <row r="36" spans="1:13">
      <c r="A36" t="s">
        <v>198</v>
      </c>
      <c r="B36">
        <v>150</v>
      </c>
      <c r="C36" t="s">
        <v>107</v>
      </c>
      <c r="D36" t="s">
        <v>200</v>
      </c>
      <c r="J36" t="s">
        <v>158</v>
      </c>
      <c r="K36">
        <f>3*K20*K34</f>
        <v>31.567996604414258</v>
      </c>
      <c r="L36" t="s">
        <v>159</v>
      </c>
      <c r="M36" t="s">
        <v>160</v>
      </c>
    </row>
    <row r="38" spans="1:13">
      <c r="A38" t="s">
        <v>195</v>
      </c>
      <c r="B38">
        <v>52</v>
      </c>
      <c r="C38" t="s">
        <v>107</v>
      </c>
      <c r="D38" t="s">
        <v>290</v>
      </c>
    </row>
    <row r="39" spans="1:13">
      <c r="A39" t="s">
        <v>196</v>
      </c>
      <c r="B39">
        <v>32</v>
      </c>
      <c r="C39" t="s">
        <v>107</v>
      </c>
      <c r="D39" t="s">
        <v>291</v>
      </c>
    </row>
    <row r="40" spans="1:13">
      <c r="J40" s="27" t="s">
        <v>113</v>
      </c>
    </row>
    <row r="41" spans="1:13">
      <c r="A41" t="s">
        <v>284</v>
      </c>
      <c r="K41" t="s">
        <v>277</v>
      </c>
    </row>
    <row r="42" spans="1:13">
      <c r="A42" t="s">
        <v>282</v>
      </c>
      <c r="J42" t="s">
        <v>114</v>
      </c>
      <c r="K42" s="35">
        <f>B10*B25/B17*10^(9)*1.2</f>
        <v>115.86206896551724</v>
      </c>
      <c r="L42" t="s">
        <v>107</v>
      </c>
      <c r="M42" t="s">
        <v>115</v>
      </c>
    </row>
    <row r="43" spans="1:13">
      <c r="A43" t="s">
        <v>283</v>
      </c>
      <c r="B43">
        <v>90</v>
      </c>
      <c r="C43" t="s">
        <v>107</v>
      </c>
      <c r="K43" s="35"/>
    </row>
    <row r="44" spans="1:13">
      <c r="A44" t="s">
        <v>287</v>
      </c>
      <c r="B44">
        <v>85</v>
      </c>
      <c r="C44" t="s">
        <v>107</v>
      </c>
      <c r="K44" t="s">
        <v>278</v>
      </c>
    </row>
    <row r="45" spans="1:13">
      <c r="A45" t="s">
        <v>286</v>
      </c>
      <c r="B45">
        <v>105</v>
      </c>
      <c r="C45" t="s">
        <v>107</v>
      </c>
      <c r="J45" t="s">
        <v>279</v>
      </c>
      <c r="K45" s="29">
        <f>B43+B44</f>
        <v>175</v>
      </c>
      <c r="L45" t="s">
        <v>107</v>
      </c>
      <c r="M45" t="s">
        <v>288</v>
      </c>
    </row>
    <row r="46" spans="1:13">
      <c r="A46" t="s">
        <v>285</v>
      </c>
      <c r="B46">
        <v>50</v>
      </c>
      <c r="C46" t="s">
        <v>107</v>
      </c>
      <c r="J46" t="s">
        <v>280</v>
      </c>
      <c r="K46" s="29">
        <f>B45+B46</f>
        <v>155</v>
      </c>
      <c r="L46" t="s">
        <v>107</v>
      </c>
      <c r="M46" t="s">
        <v>289</v>
      </c>
    </row>
    <row r="47" spans="1:13">
      <c r="K47" s="29"/>
    </row>
    <row r="48" spans="1:13">
      <c r="J48" t="s">
        <v>188</v>
      </c>
      <c r="K48">
        <f>((B38-B39)+(B35-B36))*1.2</f>
        <v>60</v>
      </c>
      <c r="L48" t="s">
        <v>107</v>
      </c>
    </row>
    <row r="49" spans="10:10">
      <c r="J49" s="3" t="s">
        <v>191</v>
      </c>
    </row>
  </sheetData>
  <customSheetViews>
    <customSheetView guid="{816D1CF2-9F52-4523-8FA1-0974D3ADE14B}">
      <selection activeCell="A3" sqref="A3"/>
      <pageMargins left="0.7" right="0.7" top="0.75" bottom="0.75" header="0.3" footer="0.3"/>
      <pageSetup paperSize="9" orientation="portrait" r:id="rId1"/>
    </customSheetView>
    <customSheetView guid="{950CAB42-9710-43B8-BF7F-ADDD586A9B87}">
      <selection activeCell="A3" sqref="A3"/>
      <pageMargins left="0.7" right="0.7" top="0.75" bottom="0.75" header="0.3" footer="0.3"/>
      <pageSetup paperSize="9" orientation="portrait" r:id="rId2"/>
    </customSheetView>
  </customSheetViews>
  <hyperlinks>
    <hyperlink ref="J49" r:id="rId3"/>
  </hyperlinks>
  <pageMargins left="0.7" right="0.7" top="0.75" bottom="0.75" header="0.3" footer="0.3"/>
  <pageSetup paperSize="9" orientation="portrait" r:id="rId4"/>
  <drawing r:id="rId5"/>
  <legacyDrawing r:id="rId6"/>
</worksheet>
</file>

<file path=xl/worksheets/sheet4.xml><?xml version="1.0" encoding="utf-8"?>
<worksheet xmlns="http://schemas.openxmlformats.org/spreadsheetml/2006/main" xmlns:r="http://schemas.openxmlformats.org/officeDocument/2006/relationships">
  <dimension ref="A1:D68"/>
  <sheetViews>
    <sheetView tabSelected="1" topLeftCell="A22" workbookViewId="0">
      <selection activeCell="G32" sqref="G32"/>
    </sheetView>
  </sheetViews>
  <sheetFormatPr defaultRowHeight="15"/>
  <cols>
    <col min="1" max="1" width="12.5703125" customWidth="1"/>
    <col min="4" max="4" width="14" customWidth="1"/>
    <col min="9" max="9" width="11.28515625" customWidth="1"/>
    <col min="10" max="10" width="10.140625" customWidth="1"/>
  </cols>
  <sheetData>
    <row r="1" spans="1:4">
      <c r="A1" t="s">
        <v>131</v>
      </c>
    </row>
    <row r="3" spans="1:4">
      <c r="A3" s="2" t="s">
        <v>2</v>
      </c>
    </row>
    <row r="6" spans="1:4">
      <c r="A6" t="s">
        <v>133</v>
      </c>
      <c r="B6">
        <f>'Потери в MOSFET'!B16</f>
        <v>17.107438016528928</v>
      </c>
      <c r="C6" t="s">
        <v>211</v>
      </c>
      <c r="D6" t="s">
        <v>255</v>
      </c>
    </row>
    <row r="7" spans="1:4">
      <c r="A7" t="s">
        <v>134</v>
      </c>
      <c r="B7">
        <f>1.2*B6</f>
        <v>20.528925619834713</v>
      </c>
      <c r="C7" t="s">
        <v>211</v>
      </c>
      <c r="D7" t="s">
        <v>137</v>
      </c>
    </row>
    <row r="9" spans="1:4">
      <c r="A9" t="s">
        <v>135</v>
      </c>
      <c r="B9">
        <f>'Потери в MOSFET'!B75</f>
        <v>3.5988830013343303</v>
      </c>
      <c r="C9" t="s">
        <v>206</v>
      </c>
      <c r="D9" t="s">
        <v>136</v>
      </c>
    </row>
    <row r="11" spans="1:4">
      <c r="A11" t="s">
        <v>138</v>
      </c>
      <c r="B11">
        <f>0.056</f>
        <v>5.6000000000000001E-2</v>
      </c>
      <c r="C11" t="s">
        <v>100</v>
      </c>
      <c r="D11" t="s">
        <v>139</v>
      </c>
    </row>
    <row r="15" spans="1:4">
      <c r="A15" s="2" t="s">
        <v>1</v>
      </c>
    </row>
    <row r="16" spans="1:4">
      <c r="A16" s="2"/>
    </row>
    <row r="17" spans="1:4">
      <c r="A17" s="4" t="s">
        <v>257</v>
      </c>
    </row>
    <row r="18" spans="1:4">
      <c r="A18" s="2"/>
    </row>
    <row r="19" spans="1:4">
      <c r="A19" t="s">
        <v>148</v>
      </c>
      <c r="B19" s="36">
        <v>18</v>
      </c>
      <c r="C19" t="s">
        <v>7</v>
      </c>
      <c r="D19" t="s">
        <v>249</v>
      </c>
    </row>
    <row r="20" spans="1:4">
      <c r="A20" t="s">
        <v>140</v>
      </c>
      <c r="B20" s="30">
        <f>B19*B11</f>
        <v>1.008</v>
      </c>
      <c r="C20" t="s">
        <v>142</v>
      </c>
      <c r="D20" t="s">
        <v>250</v>
      </c>
    </row>
    <row r="22" spans="1:4">
      <c r="A22" t="s">
        <v>141</v>
      </c>
      <c r="B22" s="30">
        <f>B7^2*B11</f>
        <v>23.600460077863538</v>
      </c>
      <c r="C22" t="s">
        <v>80</v>
      </c>
      <c r="D22" t="s">
        <v>252</v>
      </c>
    </row>
    <row r="23" spans="1:4">
      <c r="A23" t="s">
        <v>243</v>
      </c>
      <c r="B23">
        <f>B19^2*B11</f>
        <v>18.144000000000002</v>
      </c>
      <c r="C23" t="s">
        <v>80</v>
      </c>
      <c r="D23" t="s">
        <v>251</v>
      </c>
    </row>
    <row r="25" spans="1:4">
      <c r="A25" t="s">
        <v>244</v>
      </c>
      <c r="B25">
        <v>2610</v>
      </c>
      <c r="C25" t="s">
        <v>12</v>
      </c>
      <c r="D25" t="s">
        <v>145</v>
      </c>
    </row>
    <row r="26" spans="1:4">
      <c r="A26" t="s">
        <v>245</v>
      </c>
      <c r="B26">
        <v>1100</v>
      </c>
      <c r="C26" t="s">
        <v>12</v>
      </c>
      <c r="D26" t="s">
        <v>253</v>
      </c>
    </row>
    <row r="27" spans="1:4">
      <c r="A27" t="s">
        <v>146</v>
      </c>
      <c r="B27">
        <f>B25/B26</f>
        <v>2.3727272727272726</v>
      </c>
      <c r="D27" t="s">
        <v>254</v>
      </c>
    </row>
    <row r="29" spans="1:4">
      <c r="A29" t="s">
        <v>147</v>
      </c>
      <c r="B29">
        <f>B20*B27</f>
        <v>2.3917090909090906</v>
      </c>
      <c r="C29" t="s">
        <v>142</v>
      </c>
      <c r="D29" t="s">
        <v>248</v>
      </c>
    </row>
    <row r="31" spans="1:4">
      <c r="A31" s="4" t="s">
        <v>258</v>
      </c>
    </row>
    <row r="33" spans="1:4">
      <c r="A33" t="s">
        <v>246</v>
      </c>
      <c r="B33">
        <v>1000</v>
      </c>
      <c r="C33" t="s">
        <v>100</v>
      </c>
      <c r="D33" t="s">
        <v>180</v>
      </c>
    </row>
    <row r="34" spans="1:4">
      <c r="A34" t="s">
        <v>247</v>
      </c>
      <c r="B34">
        <v>4020</v>
      </c>
      <c r="C34" t="s">
        <v>100</v>
      </c>
      <c r="D34" t="s">
        <v>179</v>
      </c>
    </row>
    <row r="35" spans="1:4">
      <c r="A35" t="s">
        <v>86</v>
      </c>
      <c r="B35">
        <f>5</f>
        <v>5</v>
      </c>
      <c r="C35" t="s">
        <v>3</v>
      </c>
      <c r="D35" t="s">
        <v>181</v>
      </c>
    </row>
    <row r="36" spans="1:4">
      <c r="A36" t="s">
        <v>176</v>
      </c>
      <c r="B36">
        <f>B35-1.5</f>
        <v>3.5</v>
      </c>
      <c r="C36" t="s">
        <v>3</v>
      </c>
      <c r="D36" t="s">
        <v>175</v>
      </c>
    </row>
    <row r="37" spans="1:4">
      <c r="A37" t="s">
        <v>177</v>
      </c>
      <c r="B37">
        <f>3.3</f>
        <v>3.3</v>
      </c>
      <c r="C37" t="s">
        <v>3</v>
      </c>
      <c r="D37" t="s">
        <v>178</v>
      </c>
    </row>
    <row r="39" spans="1:4">
      <c r="A39" t="s">
        <v>302</v>
      </c>
      <c r="B39">
        <f>B34/(B33+B34)*B37</f>
        <v>2.6426294820717127</v>
      </c>
      <c r="C39" t="s">
        <v>3</v>
      </c>
      <c r="D39" t="s">
        <v>174</v>
      </c>
    </row>
    <row r="42" spans="1:4">
      <c r="A42" t="s">
        <v>256</v>
      </c>
    </row>
    <row r="44" spans="1:4">
      <c r="A44" s="34"/>
      <c r="B44" t="s">
        <v>259</v>
      </c>
    </row>
    <row r="54" spans="1:4">
      <c r="A54" t="s">
        <v>301</v>
      </c>
    </row>
    <row r="56" spans="1:4">
      <c r="A56" s="2" t="s">
        <v>2</v>
      </c>
    </row>
    <row r="57" spans="1:4">
      <c r="A57" t="s">
        <v>143</v>
      </c>
      <c r="B57">
        <v>10000</v>
      </c>
      <c r="C57" t="s">
        <v>100</v>
      </c>
    </row>
    <row r="58" spans="1:4">
      <c r="A58" t="s">
        <v>144</v>
      </c>
      <c r="B58">
        <v>10000</v>
      </c>
      <c r="C58" t="s">
        <v>100</v>
      </c>
    </row>
    <row r="59" spans="1:4">
      <c r="A59" t="s">
        <v>309</v>
      </c>
      <c r="B59">
        <v>100000</v>
      </c>
      <c r="C59" t="s">
        <v>100</v>
      </c>
    </row>
    <row r="60" spans="1:4">
      <c r="A60" t="s">
        <v>310</v>
      </c>
      <c r="B60">
        <v>0</v>
      </c>
      <c r="C60" t="s">
        <v>3</v>
      </c>
      <c r="D60" t="s">
        <v>311</v>
      </c>
    </row>
    <row r="61" spans="1:4">
      <c r="A61" t="s">
        <v>313</v>
      </c>
      <c r="B61">
        <v>3.3</v>
      </c>
      <c r="C61" t="s">
        <v>3</v>
      </c>
      <c r="D61" t="s">
        <v>312</v>
      </c>
    </row>
    <row r="63" spans="1:4">
      <c r="A63" t="s">
        <v>302</v>
      </c>
      <c r="B63">
        <f>B39</f>
        <v>2.6426294820717127</v>
      </c>
      <c r="C63" t="s">
        <v>3</v>
      </c>
    </row>
    <row r="65" spans="1:4">
      <c r="A65" s="2" t="s">
        <v>303</v>
      </c>
    </row>
    <row r="66" spans="1:4">
      <c r="A66" t="s">
        <v>315</v>
      </c>
      <c r="B66">
        <f>B63-B58*(B60+B63)/(B58+B59)</f>
        <v>2.4023904382470116</v>
      </c>
      <c r="C66" t="s">
        <v>142</v>
      </c>
      <c r="D66" t="s">
        <v>304</v>
      </c>
    </row>
    <row r="67" spans="1:4">
      <c r="A67" t="s">
        <v>314</v>
      </c>
      <c r="B67">
        <f>B63+B58*(B61-B63)/(B58+B59)</f>
        <v>2.7023904382470114</v>
      </c>
      <c r="C67" t="s">
        <v>142</v>
      </c>
      <c r="D67" t="s">
        <v>305</v>
      </c>
    </row>
    <row r="68" spans="1:4">
      <c r="A68" t="s">
        <v>306</v>
      </c>
      <c r="B68">
        <f>B67-B66</f>
        <v>0.29999999999999982</v>
      </c>
      <c r="C68" t="s">
        <v>142</v>
      </c>
      <c r="D68" t="s">
        <v>307</v>
      </c>
    </row>
  </sheetData>
  <customSheetViews>
    <customSheetView guid="{816D1CF2-9F52-4523-8FA1-0974D3ADE14B}">
      <selection activeCell="B7" sqref="B7"/>
      <pageMargins left="0.7" right="0.7" top="0.75" bottom="0.75" header="0.3" footer="0.3"/>
      <pageSetup paperSize="9" orientation="portrait" verticalDpi="0" r:id="rId1"/>
    </customSheetView>
    <customSheetView guid="{950CAB42-9710-43B8-BF7F-ADDD586A9B87}">
      <selection activeCell="I10" sqref="I10"/>
      <pageMargins left="0.7" right="0.7" top="0.75" bottom="0.75" header="0.3" footer="0.3"/>
      <pageSetup paperSize="9" orientation="portrait" verticalDpi="0" r:id="rId2"/>
    </customSheetView>
  </customSheetViews>
  <conditionalFormatting sqref="B39">
    <cfRule type="cellIs" dxfId="0" priority="1" operator="greaterThan">
      <formula>$B$36</formula>
    </cfRule>
  </conditionalFormatting>
  <pageMargins left="0.7" right="0.7" top="0.75" bottom="0.75" header="0.3" footer="0.3"/>
  <pageSetup paperSize="9" orientation="portrait" verticalDpi="0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>
  <dimension ref="A2:D9"/>
  <sheetViews>
    <sheetView workbookViewId="0">
      <selection activeCell="J23" sqref="J23"/>
    </sheetView>
  </sheetViews>
  <sheetFormatPr defaultRowHeight="15"/>
  <sheetData>
    <row r="2" spans="1:4">
      <c r="A2" t="s">
        <v>168</v>
      </c>
    </row>
    <row r="4" spans="1:4">
      <c r="A4" t="s">
        <v>143</v>
      </c>
      <c r="B4">
        <v>28000</v>
      </c>
      <c r="C4" t="s">
        <v>12</v>
      </c>
      <c r="D4" t="s">
        <v>172</v>
      </c>
    </row>
    <row r="5" spans="1:4">
      <c r="A5" t="s">
        <v>144</v>
      </c>
      <c r="B5">
        <v>1000</v>
      </c>
      <c r="C5" t="s">
        <v>12</v>
      </c>
      <c r="D5" t="s">
        <v>172</v>
      </c>
    </row>
    <row r="6" spans="1:4">
      <c r="A6" t="s">
        <v>169</v>
      </c>
      <c r="B6">
        <v>27</v>
      </c>
      <c r="C6" t="s">
        <v>3</v>
      </c>
      <c r="D6" t="s">
        <v>171</v>
      </c>
    </row>
    <row r="9" spans="1:4">
      <c r="A9" t="s">
        <v>170</v>
      </c>
      <c r="B9">
        <f>B6*B5/(B5+B4)</f>
        <v>0.93103448275862066</v>
      </c>
      <c r="C9" t="s">
        <v>142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D11"/>
  <sheetViews>
    <sheetView workbookViewId="0">
      <selection activeCell="Q12" sqref="Q12"/>
    </sheetView>
  </sheetViews>
  <sheetFormatPr defaultRowHeight="15"/>
  <sheetData>
    <row r="2" spans="1:4">
      <c r="A2" t="s">
        <v>186</v>
      </c>
    </row>
    <row r="3" spans="1:4">
      <c r="A3" t="s">
        <v>187</v>
      </c>
    </row>
    <row r="6" spans="1:4">
      <c r="A6" t="s">
        <v>193</v>
      </c>
      <c r="B6">
        <v>28000</v>
      </c>
      <c r="C6" t="s">
        <v>12</v>
      </c>
      <c r="D6" t="s">
        <v>172</v>
      </c>
    </row>
    <row r="7" spans="1:4">
      <c r="A7" t="s">
        <v>194</v>
      </c>
      <c r="B7">
        <v>4020</v>
      </c>
      <c r="C7" t="s">
        <v>12</v>
      </c>
      <c r="D7" t="s">
        <v>172</v>
      </c>
    </row>
    <row r="8" spans="1:4">
      <c r="A8" t="s">
        <v>169</v>
      </c>
      <c r="B8">
        <f>14.5</f>
        <v>14.5</v>
      </c>
      <c r="C8" t="s">
        <v>3</v>
      </c>
      <c r="D8" t="s">
        <v>192</v>
      </c>
    </row>
    <row r="11" spans="1:4">
      <c r="A11" t="s">
        <v>147</v>
      </c>
      <c r="B11">
        <f>B8*B7/(B7+B6)</f>
        <v>1.8204247345409119</v>
      </c>
      <c r="C11" t="s">
        <v>142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Потери в MOSFET</vt:lpstr>
      <vt:lpstr>Тепловой расчет</vt:lpstr>
      <vt:lpstr>Драйвер</vt:lpstr>
      <vt:lpstr>Защита</vt:lpstr>
      <vt:lpstr>27DVC</vt:lpstr>
      <vt:lpstr>15VDC</vt:lpstr>
    </vt:vector>
  </TitlesOfParts>
  <Company>ZAO Diakont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Tihonov</dc:creator>
  <cp:lastModifiedBy>Tikhonov Eugene</cp:lastModifiedBy>
  <cp:lastPrinted>2018-05-18T07:40:58Z</cp:lastPrinted>
  <dcterms:created xsi:type="dcterms:W3CDTF">2017-12-25T11:57:50Z</dcterms:created>
  <dcterms:modified xsi:type="dcterms:W3CDTF">2019-12-13T07:10:15Z</dcterms:modified>
</cp:coreProperties>
</file>