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2C9D8C13-3A09-4A09-AC03-B75C28F88750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owerPart" sheetId="1" r:id="rId1"/>
    <sheet name="Температура корпуса" sheetId="5" r:id="rId2"/>
    <sheet name="Nordic" sheetId="2" r:id="rId3"/>
    <sheet name="Расчет радиатора" sheetId="3" r:id="rId4"/>
    <sheet name="Расчет диода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7" i="1" l="1"/>
  <c r="B96" i="1" l="1"/>
  <c r="B176" i="1"/>
  <c r="B194" i="1" s="1"/>
  <c r="B195" i="1" s="1"/>
  <c r="B186" i="1" l="1"/>
  <c r="B189" i="1" s="1"/>
  <c r="B147" i="1" l="1"/>
  <c r="B142" i="1"/>
  <c r="B148" i="1" l="1"/>
  <c r="B141" i="1"/>
  <c r="B15" i="1"/>
  <c r="B14" i="1"/>
  <c r="B12" i="1"/>
  <c r="B111" i="1" l="1"/>
  <c r="B135" i="1"/>
  <c r="B144" i="1"/>
  <c r="B146" i="1" s="1"/>
  <c r="B158" i="1" s="1"/>
  <c r="B156" i="1" s="1"/>
  <c r="B162" i="1" l="1"/>
  <c r="B160" i="1"/>
  <c r="B208" i="1"/>
  <c r="B10" i="2" l="1"/>
  <c r="B9" i="2"/>
  <c r="B46" i="1"/>
  <c r="B38" i="1"/>
  <c r="B78" i="1" s="1"/>
  <c r="B80" i="1" s="1"/>
  <c r="B16" i="4" l="1"/>
  <c r="B19" i="4"/>
  <c r="B22" i="4" s="1"/>
  <c r="B13" i="4"/>
  <c r="B13" i="3"/>
  <c r="B19" i="3"/>
  <c r="B16" i="3"/>
  <c r="B22" i="3" s="1"/>
  <c r="B38" i="3" s="1"/>
  <c r="B14" i="3"/>
  <c r="B68" i="1"/>
  <c r="B35" i="3" l="1"/>
  <c r="B24" i="3"/>
  <c r="B25" i="3" s="1"/>
  <c r="B39" i="3"/>
  <c r="B40" i="3" s="1"/>
  <c r="B183" i="1"/>
  <c r="B180" i="1"/>
  <c r="B175" i="1"/>
  <c r="B205" i="1"/>
  <c r="B221" i="1" l="1"/>
  <c r="B211" i="1"/>
  <c r="B190" i="1"/>
  <c r="B36" i="2" l="1"/>
  <c r="B8" i="2"/>
  <c r="B26" i="1" l="1"/>
  <c r="B23" i="1"/>
  <c r="B87" i="1" s="1"/>
  <c r="B34" i="1"/>
  <c r="B92" i="1" l="1"/>
  <c r="B122" i="1"/>
  <c r="B108" i="1"/>
  <c r="B104" i="1"/>
  <c r="B52" i="1"/>
  <c r="B56" i="1" s="1"/>
  <c r="B129" i="1"/>
  <c r="B133" i="1" l="1"/>
  <c r="B114" i="1"/>
  <c r="B128" i="1" s="1"/>
  <c r="B22" i="2"/>
  <c r="B29" i="2" s="1"/>
  <c r="B61" i="1"/>
  <c r="B127" i="1"/>
  <c r="B132" i="1" l="1"/>
  <c r="B1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1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Используем в расчете Input Feedback Resistor Network</t>
        </r>
      </text>
    </comment>
    <comment ref="A17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расчетный ток при номинальной мощности панели или источника питания</t>
        </r>
      </text>
    </comment>
    <comment ref="B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Реальный выходной ток: Vpanel*Ipanel*0.98/Vout
с небольшим запасом</t>
        </r>
      </text>
    </comment>
    <comment ref="B18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частота преобразования</t>
        </r>
      </text>
    </comment>
    <comment ref="B26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для ключей 150В</t>
        </r>
      </text>
    </comment>
    <comment ref="B74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допустимо 33</t>
        </r>
      </text>
    </comment>
    <comment ref="A76" authorId="0" shapeId="0" xr:uid="{00000000-0006-0000-0000-000008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Когда знаешь индуктивность</t>
        </r>
      </text>
    </comment>
    <comment ref="B81" authorId="0" shapeId="0" xr:uid="{00000000-0006-0000-0000-000009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выбираем вручную из стандартных значений</t>
        </r>
      </text>
    </comment>
    <comment ref="A90" authorId="0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постоянно открыт в режиме boost</t>
        </r>
      </text>
    </comment>
    <comment ref="B97" authorId="0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ноль, потому что у нас бустер</t>
        </r>
      </text>
    </comment>
    <comment ref="A106" authorId="0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бустер</t>
        </r>
      </text>
    </comment>
    <comment ref="A120" authorId="0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выпрямитель</t>
        </r>
      </text>
    </comment>
    <comment ref="B127" authorId="0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8" authorId="0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9" authorId="0" shapeId="0" xr:uid="{00000000-0006-0000-0000-000010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31" authorId="0" shapeId="0" xr:uid="{00000000-0006-0000-0000-000011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Tjm - P*RthJC</t>
        </r>
      </text>
    </comment>
    <comment ref="B135" authorId="0" shapeId="0" xr:uid="{00000000-0006-0000-0000-000012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When solar charging a lithium-ion battery without
time limits it is recommended that the Stage 2 voltage
limit NOT exceed 95% of the lithium-ion maximum cell
voltage. Since this configuration can charge indefinitely,
following this guideline keeps the lifetime of the batteries
from degrading quickly.</t>
        </r>
      </text>
    </comment>
    <comment ref="A139" authorId="0" shapeId="0" xr:uid="{00000000-0006-0000-0000-000013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RFBOUT2 is often selected to be between 4.99kΩ and
49.9kΩ. Choosing higher values for RFBOUT2 reduces
the amount of current draw from the battery through the
feedback network.</t>
        </r>
      </text>
    </comment>
    <comment ref="A156" authorId="0" shapeId="0" xr:uid="{00000000-0006-0000-0000-000014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VX3 indicates the actual 25°C VS2 voltage using the
selected resistors</t>
        </r>
      </text>
    </comment>
    <comment ref="A172" authorId="0" shapeId="0" xr:uid="{00000000-0006-0000-0000-000015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Берем значения из таблицы 22 для напряжения 40В</t>
        </r>
      </text>
    </comment>
    <comment ref="B208" authorId="0" shapeId="0" xr:uid="{00000000-0006-0000-0000-000016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  <comment ref="B221" authorId="0" shapeId="0" xr:uid="{00000000-0006-0000-0000-000017000000}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с запасом 30%</t>
        </r>
      </text>
    </comment>
  </commentList>
</comments>
</file>

<file path=xl/sharedStrings.xml><?xml version="1.0" encoding="utf-8"?>
<sst xmlns="http://schemas.openxmlformats.org/spreadsheetml/2006/main" count="302" uniqueCount="185">
  <si>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</si>
  <si>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</si>
  <si>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</si>
  <si>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</si>
  <si>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</si>
  <si>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</si>
  <si>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</si>
  <si>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</si>
  <si>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</si>
  <si>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</si>
  <si>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</si>
  <si>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</si>
  <si>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</si>
  <si>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</si>
  <si>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</si>
  <si>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</si>
  <si>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</si>
  <si>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</si>
  <si>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</si>
  <si>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</si>
  <si>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</si>
  <si>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</si>
  <si>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</si>
  <si>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</si>
  <si>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</si>
  <si>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</si>
  <si>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</si>
  <si>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</si>
  <si>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</si>
  <si>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uH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</si>
  <si>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</si>
  <si>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</si>
  <si>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</si>
  <si>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</si>
  <si>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</si>
  <si>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</si>
  <si>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</si>
  <si>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</si>
  <si>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</si>
  <si>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</si>
  <si>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</si>
  <si>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</si>
  <si>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</si>
  <si>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</si>
  <si>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</si>
  <si>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</si>
  <si>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</si>
  <si>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</si>
  <si>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</si>
  <si>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</si>
  <si>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</si>
  <si>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</si>
  <si>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</si>
  <si>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</si>
  <si>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</si>
  <si>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</si>
  <si>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</si>
  <si>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</si>
  <si>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</si>
  <si>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</si>
  <si>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</si>
  <si>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</si>
  <si>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</si>
  <si>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</si>
  <si>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</si>
  <si>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</si>
  <si>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</si>
  <si>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</si>
  <si>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</si>
  <si>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</si>
  <si>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</si>
  <si>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</si>
  <si>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k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</si>
  <si>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</si>
  <si>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</si>
  <si>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</si>
  <si>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</si>
  <si>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</si>
  <si>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</si>
  <si>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</si>
  <si>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</si>
  <si>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</si>
  <si>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</si>
  <si>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</si>
  <si>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</si>
  <si>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CDACO=</t>
  </si>
  <si>
    <t>nF</t>
  </si>
  <si>
    <t>Vin(max)=</t>
  </si>
  <si>
    <t>Input Feedback Resistor Network</t>
  </si>
  <si>
    <t>Cdaci=</t>
  </si>
  <si>
    <t>mkF</t>
  </si>
  <si>
    <t>HW Config: Output Current Sense and Limit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</si>
  <si>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</si>
  <si>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</si>
  <si>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</si>
  <si>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</si>
  <si>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</si>
  <si>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</si>
  <si>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</si>
  <si>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</si>
  <si>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</si>
  <si>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</si>
  <si>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</si>
  <si>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</si>
  <si>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</si>
  <si>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</si>
  <si>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</si>
  <si>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</si>
  <si>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</si>
  <si>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</si>
  <si>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</si>
  <si>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</si>
  <si>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</si>
  <si>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</si>
  <si>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</si>
  <si>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</si>
  <si>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</si>
  <si>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</si>
  <si>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</si>
  <si>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</si>
  <si>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</si>
  <si>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</si>
  <si>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</si>
  <si>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</si>
  <si>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</si>
  <si>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</si>
  <si>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</si>
  <si>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</si>
  <si>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</si>
  <si>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</si>
  <si>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</si>
  <si>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</si>
  <si>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</si>
  <si>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exclude</t>
  </si>
  <si>
    <t>RthJC=</t>
  </si>
  <si>
    <t>K/W</t>
  </si>
  <si>
    <t>//Thermal resistance, junction - case</t>
  </si>
  <si>
    <t>Tcm1=</t>
  </si>
  <si>
    <t>//case temperature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</si>
  <si>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</si>
  <si>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</si>
  <si>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</si>
  <si>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</si>
  <si>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Расчет температуры кристалла транзистора</t>
  </si>
  <si>
    <t>по температуре его корпуса</t>
  </si>
  <si>
    <t xml:space="preserve">Tj = </t>
  </si>
  <si>
    <t>Пересчет Rsense (стр. 22 LT8705)</t>
  </si>
  <si>
    <t xml:space="preserve">Rsense = </t>
  </si>
  <si>
    <t>Ohm</t>
  </si>
  <si>
    <t>//от источника питания</t>
  </si>
  <si>
    <t>N=</t>
  </si>
  <si>
    <t>//число ячеек АКБ</t>
  </si>
  <si>
    <t>//nominal voltage 3.7V*Ncells</t>
  </si>
  <si>
    <t>//full charge 4.2V*Ncells</t>
  </si>
  <si>
    <t>Tсm3=</t>
  </si>
  <si>
    <t>Tсm4=</t>
  </si>
  <si>
    <t>Проверка</t>
  </si>
  <si>
    <t>Vx3=</t>
  </si>
  <si>
    <t>X=</t>
  </si>
  <si>
    <t>N1=</t>
  </si>
  <si>
    <t>N2=</t>
  </si>
  <si>
    <t>RFBOUT1 (R18)=</t>
  </si>
  <si>
    <t>RFBOUT2 (R27)=</t>
  </si>
  <si>
    <t>RDACO1(R22)=</t>
  </si>
  <si>
    <t>RDACO2(R23)=</t>
  </si>
  <si>
    <t>Универсальный вход</t>
  </si>
  <si>
    <t>Rfbin1 (R17+R20)=</t>
  </si>
  <si>
    <t>Rdaci2 (R24)=</t>
  </si>
  <si>
    <t>Rfbin2(R29)=</t>
  </si>
  <si>
    <t>Rdaci1(R25)=</t>
  </si>
  <si>
    <t>Vx2=</t>
  </si>
  <si>
    <t>actual Vmax</t>
  </si>
  <si>
    <t>Vx1=</t>
  </si>
  <si>
    <t>should be as close to 6V as possible</t>
  </si>
  <si>
    <t>//max ограничение тока зарядки</t>
  </si>
  <si>
    <t>Iout(actual)=</t>
  </si>
  <si>
    <t>//расчетный выходной ток</t>
  </si>
  <si>
    <t>//номинал от малой солнечной панели</t>
  </si>
  <si>
    <t>//номинал от большой солнечной панели</t>
  </si>
  <si>
    <t>Vin(max)_DC=</t>
  </si>
  <si>
    <t>Vin(MIN)_PV1=</t>
  </si>
  <si>
    <t>Vin(MIN)_PV2=</t>
  </si>
  <si>
    <t>//from the Power Stage Designer Tool</t>
  </si>
  <si>
    <t>//120kHz</t>
  </si>
  <si>
    <t>08.07.2020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</si>
</sst>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9"/>
      <color rgb="FF444444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0" fillId="0" borderId="0" xfId="0" quotePrefix="1"/>
    <xf numFmtId="0" fontId="9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image" Target="../media/image3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1.png"/><Relationship Id="rId2" Type="http://schemas.openxmlformats.org/officeDocument/2006/relationships/image" Target="../media/image40.png"/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image" Target="../media/image4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32</xdr:row>
      <xdr:rowOff>38100</xdr:rowOff>
    </xdr:from>
    <xdr:to>
      <xdr:col>8</xdr:col>
      <xdr:colOff>57150</xdr:colOff>
      <xdr:row>35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36</xdr:row>
      <xdr:rowOff>57150</xdr:rowOff>
    </xdr:from>
    <xdr:to>
      <xdr:col>6</xdr:col>
      <xdr:colOff>571500</xdr:colOff>
      <xdr:row>38</xdr:row>
      <xdr:rowOff>171450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44</xdr:row>
      <xdr:rowOff>104775</xdr:rowOff>
    </xdr:from>
    <xdr:to>
      <xdr:col>7</xdr:col>
      <xdr:colOff>247650</xdr:colOff>
      <xdr:row>48</xdr:row>
      <xdr:rowOff>66675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50</xdr:row>
      <xdr:rowOff>85725</xdr:rowOff>
    </xdr:from>
    <xdr:to>
      <xdr:col>9</xdr:col>
      <xdr:colOff>561975</xdr:colOff>
      <xdr:row>53</xdr:row>
      <xdr:rowOff>129418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57</xdr:row>
      <xdr:rowOff>133350</xdr:rowOff>
    </xdr:from>
    <xdr:to>
      <xdr:col>9</xdr:col>
      <xdr:colOff>361950</xdr:colOff>
      <xdr:row>63</xdr:row>
      <xdr:rowOff>164235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65</xdr:row>
      <xdr:rowOff>1142999</xdr:rowOff>
    </xdr:from>
    <xdr:to>
      <xdr:col>10</xdr:col>
      <xdr:colOff>200025</xdr:colOff>
      <xdr:row>70</xdr:row>
      <xdr:rowOff>180974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52725" y="12763499"/>
          <a:ext cx="4495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85</xdr:row>
      <xdr:rowOff>19050</xdr:rowOff>
    </xdr:from>
    <xdr:to>
      <xdr:col>5</xdr:col>
      <xdr:colOff>542925</xdr:colOff>
      <xdr:row>88</xdr:row>
      <xdr:rowOff>16341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90</xdr:row>
      <xdr:rowOff>114301</xdr:rowOff>
    </xdr:from>
    <xdr:to>
      <xdr:col>7</xdr:col>
      <xdr:colOff>209550</xdr:colOff>
      <xdr:row>93</xdr:row>
      <xdr:rowOff>188787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94</xdr:row>
      <xdr:rowOff>57150</xdr:rowOff>
    </xdr:from>
    <xdr:to>
      <xdr:col>8</xdr:col>
      <xdr:colOff>219075</xdr:colOff>
      <xdr:row>97</xdr:row>
      <xdr:rowOff>46293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102</xdr:row>
      <xdr:rowOff>142875</xdr:rowOff>
    </xdr:from>
    <xdr:to>
      <xdr:col>5</xdr:col>
      <xdr:colOff>219075</xdr:colOff>
      <xdr:row>104</xdr:row>
      <xdr:rowOff>36458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105</xdr:row>
      <xdr:rowOff>180976</xdr:rowOff>
    </xdr:from>
    <xdr:to>
      <xdr:col>7</xdr:col>
      <xdr:colOff>28574</xdr:colOff>
      <xdr:row>109</xdr:row>
      <xdr:rowOff>41306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109</xdr:row>
      <xdr:rowOff>104776</xdr:rowOff>
    </xdr:from>
    <xdr:to>
      <xdr:col>5</xdr:col>
      <xdr:colOff>238125</xdr:colOff>
      <xdr:row>111</xdr:row>
      <xdr:rowOff>189140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112</xdr:row>
      <xdr:rowOff>161926</xdr:rowOff>
    </xdr:from>
    <xdr:to>
      <xdr:col>5</xdr:col>
      <xdr:colOff>57150</xdr:colOff>
      <xdr:row>114</xdr:row>
      <xdr:rowOff>31638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119</xdr:row>
      <xdr:rowOff>179326</xdr:rowOff>
    </xdr:from>
    <xdr:to>
      <xdr:col>7</xdr:col>
      <xdr:colOff>552449</xdr:colOff>
      <xdr:row>123</xdr:row>
      <xdr:rowOff>19050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172</xdr:row>
      <xdr:rowOff>66676</xdr:rowOff>
    </xdr:from>
    <xdr:to>
      <xdr:col>6</xdr:col>
      <xdr:colOff>390526</xdr:colOff>
      <xdr:row>177</xdr:row>
      <xdr:rowOff>85726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178</xdr:row>
      <xdr:rowOff>19050</xdr:rowOff>
    </xdr:from>
    <xdr:to>
      <xdr:col>6</xdr:col>
      <xdr:colOff>9525</xdr:colOff>
      <xdr:row>180</xdr:row>
      <xdr:rowOff>152816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171</xdr:row>
      <xdr:rowOff>0</xdr:rowOff>
    </xdr:from>
    <xdr:to>
      <xdr:col>12</xdr:col>
      <xdr:colOff>285750</xdr:colOff>
      <xdr:row>182</xdr:row>
      <xdr:rowOff>19050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135</xdr:row>
      <xdr:rowOff>47625</xdr:rowOff>
    </xdr:from>
    <xdr:to>
      <xdr:col>12</xdr:col>
      <xdr:colOff>323850</xdr:colOff>
      <xdr:row>146</xdr:row>
      <xdr:rowOff>0</xdr:rowOff>
    </xdr:to>
    <xdr:pic>
      <xdr:nvPicPr>
        <xdr:cNvPr id="1045" name="Picture 2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181</xdr:row>
      <xdr:rowOff>0</xdr:rowOff>
    </xdr:from>
    <xdr:to>
      <xdr:col>6</xdr:col>
      <xdr:colOff>409574</xdr:colOff>
      <xdr:row>184</xdr:row>
      <xdr:rowOff>94780</xdr:rowOff>
    </xdr:to>
    <xdr:pic>
      <xdr:nvPicPr>
        <xdr:cNvPr id="1046" name="Picture 22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185</xdr:row>
      <xdr:rowOff>9525</xdr:rowOff>
    </xdr:from>
    <xdr:to>
      <xdr:col>5</xdr:col>
      <xdr:colOff>66674</xdr:colOff>
      <xdr:row>188</xdr:row>
      <xdr:rowOff>103133</xdr:rowOff>
    </xdr:to>
    <xdr:pic>
      <xdr:nvPicPr>
        <xdr:cNvPr id="1047" name="Picture 23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201</xdr:row>
      <xdr:rowOff>19307</xdr:rowOff>
    </xdr:from>
    <xdr:to>
      <xdr:col>13</xdr:col>
      <xdr:colOff>428051</xdr:colOff>
      <xdr:row>216</xdr:row>
      <xdr:rowOff>66195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838824" y="37928807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203</xdr:row>
      <xdr:rowOff>24170</xdr:rowOff>
    </xdr:from>
    <xdr:to>
      <xdr:col>7</xdr:col>
      <xdr:colOff>352013</xdr:colOff>
      <xdr:row>211</xdr:row>
      <xdr:rowOff>112948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218</xdr:row>
      <xdr:rowOff>6927</xdr:rowOff>
    </xdr:from>
    <xdr:to>
      <xdr:col>13</xdr:col>
      <xdr:colOff>294699</xdr:colOff>
      <xdr:row>232</xdr:row>
      <xdr:rowOff>75730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219</xdr:row>
      <xdr:rowOff>28575</xdr:rowOff>
    </xdr:from>
    <xdr:to>
      <xdr:col>7</xdr:col>
      <xdr:colOff>570992</xdr:colOff>
      <xdr:row>222</xdr:row>
      <xdr:rowOff>127954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49</xdr:row>
      <xdr:rowOff>114300</xdr:rowOff>
    </xdr:from>
    <xdr:to>
      <xdr:col>15</xdr:col>
      <xdr:colOff>542555</xdr:colOff>
      <xdr:row>56</xdr:row>
      <xdr:rowOff>95086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22</xdr:row>
      <xdr:rowOff>0</xdr:rowOff>
    </xdr:from>
    <xdr:to>
      <xdr:col>17</xdr:col>
      <xdr:colOff>523355</xdr:colOff>
      <xdr:row>47</xdr:row>
      <xdr:rowOff>47024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77150" y="3810000"/>
          <a:ext cx="4161905" cy="48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75</xdr:row>
      <xdr:rowOff>19050</xdr:rowOff>
    </xdr:from>
    <xdr:to>
      <xdr:col>9</xdr:col>
      <xdr:colOff>37515</xdr:colOff>
      <xdr:row>79</xdr:row>
      <xdr:rowOff>117064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38525" y="13925550"/>
          <a:ext cx="3037890" cy="86001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79</xdr:row>
      <xdr:rowOff>76200</xdr:rowOff>
    </xdr:from>
    <xdr:to>
      <xdr:col>9</xdr:col>
      <xdr:colOff>418371</xdr:colOff>
      <xdr:row>83</xdr:row>
      <xdr:rowOff>96199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33775" y="14744700"/>
          <a:ext cx="3323496" cy="78199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88</xdr:row>
      <xdr:rowOff>0</xdr:rowOff>
    </xdr:from>
    <xdr:to>
      <xdr:col>17</xdr:col>
      <xdr:colOff>323060</xdr:colOff>
      <xdr:row>99</xdr:row>
      <xdr:rowOff>76338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49" y="16383000"/>
          <a:ext cx="3923511" cy="2171838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135</xdr:row>
      <xdr:rowOff>85725</xdr:rowOff>
    </xdr:from>
    <xdr:to>
      <xdr:col>18</xdr:col>
      <xdr:colOff>513874</xdr:colOff>
      <xdr:row>145</xdr:row>
      <xdr:rowOff>114058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29650" y="25422225"/>
          <a:ext cx="3809524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139</xdr:row>
      <xdr:rowOff>152401</xdr:rowOff>
    </xdr:from>
    <xdr:to>
      <xdr:col>8</xdr:col>
      <xdr:colOff>18614</xdr:colOff>
      <xdr:row>150</xdr:row>
      <xdr:rowOff>7661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48000" y="26250901"/>
          <a:ext cx="2799914" cy="19507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155</xdr:row>
      <xdr:rowOff>9525</xdr:rowOff>
    </xdr:from>
    <xdr:to>
      <xdr:col>6</xdr:col>
      <xdr:colOff>133009</xdr:colOff>
      <xdr:row>157</xdr:row>
      <xdr:rowOff>149845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81300" y="29156025"/>
          <a:ext cx="1961809" cy="521320"/>
        </a:xfrm>
        <a:prstGeom prst="rect">
          <a:avLst/>
        </a:prstGeom>
      </xdr:spPr>
    </xdr:pic>
    <xdr:clientData/>
  </xdr:twoCellAnchor>
  <xdr:twoCellAnchor editAs="oneCell">
    <xdr:from>
      <xdr:col>2</xdr:col>
      <xdr:colOff>595499</xdr:colOff>
      <xdr:row>157</xdr:row>
      <xdr:rowOff>171450</xdr:rowOff>
    </xdr:from>
    <xdr:to>
      <xdr:col>7</xdr:col>
      <xdr:colOff>513858</xdr:colOff>
      <xdr:row>171</xdr:row>
      <xdr:rowOff>75774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767199" y="29698950"/>
          <a:ext cx="2966359" cy="2571324"/>
        </a:xfrm>
        <a:prstGeom prst="rect">
          <a:avLst/>
        </a:prstGeom>
      </xdr:spPr>
    </xdr:pic>
    <xdr:clientData/>
  </xdr:twoCellAnchor>
  <xdr:twoCellAnchor editAs="oneCell">
    <xdr:from>
      <xdr:col>7</xdr:col>
      <xdr:colOff>585247</xdr:colOff>
      <xdr:row>183</xdr:row>
      <xdr:rowOff>66675</xdr:rowOff>
    </xdr:from>
    <xdr:to>
      <xdr:col>13</xdr:col>
      <xdr:colOff>361329</xdr:colOff>
      <xdr:row>200</xdr:row>
      <xdr:rowOff>18473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804947" y="34547175"/>
          <a:ext cx="3433682" cy="3190298"/>
        </a:xfrm>
        <a:prstGeom prst="rect">
          <a:avLst/>
        </a:prstGeom>
      </xdr:spPr>
    </xdr:pic>
    <xdr:clientData/>
  </xdr:twoCellAnchor>
  <xdr:twoCellAnchor editAs="oneCell">
    <xdr:from>
      <xdr:col>12</xdr:col>
      <xdr:colOff>314325</xdr:colOff>
      <xdr:row>171</xdr:row>
      <xdr:rowOff>133350</xdr:rowOff>
    </xdr:from>
    <xdr:to>
      <xdr:col>19</xdr:col>
      <xdr:colOff>75569</xdr:colOff>
      <xdr:row>179</xdr:row>
      <xdr:rowOff>159921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582025" y="32327850"/>
          <a:ext cx="4028444" cy="1550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3</xdr:col>
      <xdr:colOff>342900</xdr:colOff>
      <xdr:row>4</xdr:row>
      <xdr:rowOff>180975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013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</xdr:row>
      <xdr:rowOff>180975</xdr:rowOff>
    </xdr:from>
    <xdr:to>
      <xdr:col>2</xdr:col>
      <xdr:colOff>333375</xdr:colOff>
      <xdr:row>10</xdr:row>
      <xdr:rowOff>85725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14204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123825</xdr:colOff>
      <xdr:row>6</xdr:row>
      <xdr:rowOff>28575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6680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"/>
  <sheetViews>
    <sheetView tabSelected="1" zoomScaleNormal="100" workbookViewId="0">
      <selection activeCell="D4" sqref="D4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 t="s">
        <v>184</v>
      </c>
    </row>
    <row r="5" spans="1:4" x14ac:dyDescent="0.25">
      <c r="A5" s="5" t="s">
        <v>39</v>
      </c>
    </row>
    <row r="6" spans="1:4" x14ac:dyDescent="0.25">
      <c r="A6" s="5"/>
    </row>
    <row r="7" spans="1:4" x14ac:dyDescent="0.25">
      <c r="A7" s="10" t="s">
        <v>165</v>
      </c>
    </row>
    <row r="9" spans="1:4" x14ac:dyDescent="0.25">
      <c r="A9" t="s">
        <v>180</v>
      </c>
      <c r="B9">
        <v>7.87</v>
      </c>
      <c r="C9" t="s">
        <v>4</v>
      </c>
      <c r="D9" t="s">
        <v>177</v>
      </c>
    </row>
    <row r="10" spans="1:4" x14ac:dyDescent="0.25">
      <c r="A10" t="s">
        <v>181</v>
      </c>
      <c r="B10">
        <v>21</v>
      </c>
      <c r="C10" t="s">
        <v>4</v>
      </c>
      <c r="D10" t="s">
        <v>178</v>
      </c>
    </row>
    <row r="11" spans="1:4" x14ac:dyDescent="0.25">
      <c r="A11" t="s">
        <v>179</v>
      </c>
      <c r="B11">
        <v>40</v>
      </c>
      <c r="C11" t="s">
        <v>4</v>
      </c>
      <c r="D11" t="s">
        <v>149</v>
      </c>
    </row>
    <row r="12" spans="1:4" x14ac:dyDescent="0.25">
      <c r="A12" t="s">
        <v>74</v>
      </c>
      <c r="B12">
        <f>8.22</f>
        <v>8.2200000000000006</v>
      </c>
      <c r="C12" t="s">
        <v>5</v>
      </c>
      <c r="D12" t="s">
        <v>97</v>
      </c>
    </row>
    <row r="13" spans="1:4" x14ac:dyDescent="0.25">
      <c r="A13" t="s">
        <v>150</v>
      </c>
      <c r="B13">
        <v>11</v>
      </c>
      <c r="D13" t="s">
        <v>151</v>
      </c>
    </row>
    <row r="14" spans="1:4" x14ac:dyDescent="0.25">
      <c r="A14" t="s">
        <v>21</v>
      </c>
      <c r="B14">
        <f>3.7*B13</f>
        <v>40.700000000000003</v>
      </c>
      <c r="C14" t="s">
        <v>4</v>
      </c>
      <c r="D14" t="s">
        <v>152</v>
      </c>
    </row>
    <row r="15" spans="1:4" x14ac:dyDescent="0.25">
      <c r="A15" t="s">
        <v>22</v>
      </c>
      <c r="B15">
        <f>4.2*B13</f>
        <v>46.2</v>
      </c>
      <c r="C15" t="s">
        <v>4</v>
      </c>
      <c r="D15" t="s">
        <v>153</v>
      </c>
    </row>
    <row r="16" spans="1:4" x14ac:dyDescent="0.25">
      <c r="A16" t="s">
        <v>2</v>
      </c>
      <c r="B16">
        <v>4</v>
      </c>
      <c r="C16" t="s">
        <v>5</v>
      </c>
      <c r="D16" t="s">
        <v>174</v>
      </c>
    </row>
    <row r="17" spans="1:4" x14ac:dyDescent="0.25">
      <c r="A17" t="s">
        <v>175</v>
      </c>
      <c r="B17">
        <f>B10*B12*0.95/B15</f>
        <v>3.5495454545454543</v>
      </c>
      <c r="C17" t="s">
        <v>5</v>
      </c>
      <c r="D17" t="s">
        <v>176</v>
      </c>
    </row>
    <row r="18" spans="1:4" x14ac:dyDescent="0.25">
      <c r="A18" t="s">
        <v>3</v>
      </c>
      <c r="B18">
        <v>120</v>
      </c>
      <c r="C18" t="s">
        <v>28</v>
      </c>
    </row>
    <row r="19" spans="1:4" x14ac:dyDescent="0.25">
      <c r="A19" t="s">
        <v>36</v>
      </c>
      <c r="B19">
        <v>40</v>
      </c>
      <c r="C19" t="s">
        <v>44</v>
      </c>
      <c r="D19" t="s">
        <v>38</v>
      </c>
    </row>
    <row r="21" spans="1:4" x14ac:dyDescent="0.25">
      <c r="A21" s="5" t="s">
        <v>34</v>
      </c>
      <c r="B21" t="s">
        <v>41</v>
      </c>
    </row>
    <row r="23" spans="1:4" x14ac:dyDescent="0.25">
      <c r="A23" t="s">
        <v>35</v>
      </c>
      <c r="B23">
        <f>150</f>
        <v>150</v>
      </c>
      <c r="C23" t="s">
        <v>44</v>
      </c>
      <c r="D23" t="s">
        <v>37</v>
      </c>
    </row>
    <row r="24" spans="1:4" x14ac:dyDescent="0.25">
      <c r="A24" t="s">
        <v>134</v>
      </c>
      <c r="B24">
        <v>0.6</v>
      </c>
      <c r="C24" t="s">
        <v>135</v>
      </c>
      <c r="D24" t="s">
        <v>136</v>
      </c>
    </row>
    <row r="25" spans="1:4" x14ac:dyDescent="0.25">
      <c r="A25" t="s">
        <v>42</v>
      </c>
      <c r="B25">
        <v>50</v>
      </c>
      <c r="C25" s="6" t="s">
        <v>43</v>
      </c>
      <c r="D25" t="s">
        <v>45</v>
      </c>
    </row>
    <row r="26" spans="1:4" x14ac:dyDescent="0.25">
      <c r="A26" t="s">
        <v>47</v>
      </c>
      <c r="B26">
        <f>12.5</f>
        <v>12.5</v>
      </c>
      <c r="C26" t="s">
        <v>20</v>
      </c>
      <c r="D26" t="s">
        <v>48</v>
      </c>
    </row>
    <row r="30" spans="1:4" x14ac:dyDescent="0.25">
      <c r="A30" s="3" t="s">
        <v>40</v>
      </c>
    </row>
    <row r="32" spans="1:4" x14ac:dyDescent="0.25">
      <c r="A32" s="3" t="s">
        <v>6</v>
      </c>
    </row>
    <row r="34" spans="1:4" x14ac:dyDescent="0.25">
      <c r="A34" t="s">
        <v>7</v>
      </c>
      <c r="B34">
        <f>(43750/B18-1)</f>
        <v>363.58333333333331</v>
      </c>
      <c r="C34" t="s">
        <v>8</v>
      </c>
      <c r="D34" s="2" t="s">
        <v>183</v>
      </c>
    </row>
    <row r="36" spans="1:4" x14ac:dyDescent="0.25">
      <c r="A36" s="3" t="s">
        <v>9</v>
      </c>
    </row>
    <row r="38" spans="1:4" x14ac:dyDescent="0.25">
      <c r="A38" t="s">
        <v>11</v>
      </c>
      <c r="B38">
        <f>(1-B9/B15)*100</f>
        <v>82.96536796536796</v>
      </c>
      <c r="C38" t="s">
        <v>10</v>
      </c>
    </row>
    <row r="41" spans="1:4" x14ac:dyDescent="0.25">
      <c r="A41" t="s">
        <v>12</v>
      </c>
      <c r="B41">
        <v>90</v>
      </c>
      <c r="C41" t="s">
        <v>13</v>
      </c>
      <c r="D41" s="4" t="s">
        <v>14</v>
      </c>
    </row>
    <row r="42" spans="1:4" x14ac:dyDescent="0.25">
      <c r="D42" s="4"/>
    </row>
    <row r="43" spans="1:4" x14ac:dyDescent="0.25">
      <c r="A43" s="3" t="s">
        <v>15</v>
      </c>
      <c r="D43" s="4"/>
    </row>
    <row r="44" spans="1:4" x14ac:dyDescent="0.25">
      <c r="A44" s="3" t="s">
        <v>16</v>
      </c>
      <c r="D44" s="4"/>
    </row>
    <row r="45" spans="1:4" x14ac:dyDescent="0.25">
      <c r="D45" s="4"/>
    </row>
    <row r="46" spans="1:4" x14ac:dyDescent="0.25">
      <c r="A46" t="s">
        <v>17</v>
      </c>
      <c r="B46">
        <f>(B15*B16)/(B9*(100/40-0.5))</f>
        <v>11.740787801778907</v>
      </c>
      <c r="C46" t="s">
        <v>5</v>
      </c>
    </row>
    <row r="50" spans="1:3" x14ac:dyDescent="0.25">
      <c r="A50" s="3" t="s">
        <v>18</v>
      </c>
    </row>
    <row r="52" spans="1:3" x14ac:dyDescent="0.25">
      <c r="A52" t="s">
        <v>19</v>
      </c>
      <c r="B52" s="14">
        <f>2*B41*B9/((2*B16*B15)+(B46*B9))</f>
        <v>3.0662337662337662</v>
      </c>
      <c r="C52" t="s">
        <v>20</v>
      </c>
    </row>
    <row r="54" spans="1:3" x14ac:dyDescent="0.25">
      <c r="A54" t="s">
        <v>25</v>
      </c>
    </row>
    <row r="56" spans="1:3" x14ac:dyDescent="0.25">
      <c r="A56" t="s">
        <v>19</v>
      </c>
      <c r="B56" s="14">
        <f>B52/1.3</f>
        <v>2.3586413586413584</v>
      </c>
      <c r="C56" t="s">
        <v>20</v>
      </c>
    </row>
    <row r="57" spans="1:3" x14ac:dyDescent="0.25">
      <c r="B57" s="14">
        <v>15</v>
      </c>
      <c r="C57" t="s">
        <v>20</v>
      </c>
    </row>
    <row r="59" spans="1:3" x14ac:dyDescent="0.25">
      <c r="A59" s="3" t="s">
        <v>26</v>
      </c>
    </row>
    <row r="61" spans="1:3" x14ac:dyDescent="0.25">
      <c r="A61" t="s">
        <v>27</v>
      </c>
      <c r="B61" s="14">
        <f>B9*B38/100  /  (2*B18*1000*(B41/B57/1000-B16*B15/B9))  * 10^6</f>
        <v>-1.1588949881958923</v>
      </c>
      <c r="C61" t="s">
        <v>29</v>
      </c>
    </row>
    <row r="66" spans="1:4" x14ac:dyDescent="0.25">
      <c r="A66" s="4" t="s">
        <v>31</v>
      </c>
    </row>
    <row r="68" spans="1:4" x14ac:dyDescent="0.25">
      <c r="A68" t="s">
        <v>30</v>
      </c>
      <c r="B68" s="14">
        <f>(B15-(B9*B15/(B15-B9))*B57/1000)/(0.08*B18*1000)  * 10^6</f>
        <v>4797.6783035481349</v>
      </c>
      <c r="C68" t="s">
        <v>29</v>
      </c>
    </row>
    <row r="74" spans="1:4" x14ac:dyDescent="0.25">
      <c r="A74" t="s">
        <v>27</v>
      </c>
      <c r="B74" s="3">
        <v>33</v>
      </c>
      <c r="C74" t="s">
        <v>29</v>
      </c>
      <c r="D74" t="s">
        <v>182</v>
      </c>
    </row>
    <row r="76" spans="1:4" x14ac:dyDescent="0.25">
      <c r="A76" s="3" t="s">
        <v>146</v>
      </c>
    </row>
    <row r="78" spans="1:4" x14ac:dyDescent="0.25">
      <c r="A78" t="s">
        <v>17</v>
      </c>
      <c r="B78">
        <f>(B38/100)*B10 / (B18*1000*B74*10^(-6))</f>
        <v>4.399678604224059</v>
      </c>
      <c r="C78" t="s">
        <v>5</v>
      </c>
    </row>
    <row r="80" spans="1:4" x14ac:dyDescent="0.25">
      <c r="A80" t="s">
        <v>147</v>
      </c>
      <c r="B80">
        <f>(2*B41/1000*B10)/((2*B16*B14)+(1.3*B78*B10))*1000</f>
        <v>8.4808274514669737</v>
      </c>
      <c r="C80" t="s">
        <v>20</v>
      </c>
    </row>
    <row r="81" spans="1:4" x14ac:dyDescent="0.25">
      <c r="B81" s="3">
        <v>10</v>
      </c>
      <c r="C81" t="s">
        <v>20</v>
      </c>
      <c r="D81" s="11"/>
    </row>
    <row r="85" spans="1:4" x14ac:dyDescent="0.25">
      <c r="A85" t="s">
        <v>32</v>
      </c>
    </row>
    <row r="87" spans="1:4" x14ac:dyDescent="0.25">
      <c r="A87" t="s">
        <v>33</v>
      </c>
      <c r="B87">
        <f>(B23-B19)/B25</f>
        <v>2.2000000000000002</v>
      </c>
      <c r="C87" t="s">
        <v>46</v>
      </c>
    </row>
    <row r="90" spans="1:4" x14ac:dyDescent="0.25">
      <c r="A90" s="3" t="s">
        <v>55</v>
      </c>
    </row>
    <row r="91" spans="1:4" x14ac:dyDescent="0.25">
      <c r="A91" t="s">
        <v>59</v>
      </c>
    </row>
    <row r="92" spans="1:4" x14ac:dyDescent="0.25">
      <c r="A92" t="s">
        <v>57</v>
      </c>
      <c r="B92">
        <f>(B15/B10*B16)^2*B26/1000*1.5</f>
        <v>1.4520000000000002</v>
      </c>
      <c r="C92" t="s">
        <v>46</v>
      </c>
    </row>
    <row r="94" spans="1:4" x14ac:dyDescent="0.25">
      <c r="A94" t="s">
        <v>49</v>
      </c>
    </row>
    <row r="96" spans="1:4" x14ac:dyDescent="0.25">
      <c r="A96" t="s">
        <v>50</v>
      </c>
      <c r="B96">
        <f>B10*B16*B18*1000*20*10^(-9)</f>
        <v>0.2016</v>
      </c>
      <c r="C96" t="s">
        <v>46</v>
      </c>
    </row>
    <row r="97" spans="1:3" x14ac:dyDescent="0.25">
      <c r="B97">
        <v>0</v>
      </c>
    </row>
    <row r="99" spans="1:3" x14ac:dyDescent="0.25">
      <c r="A99" t="s">
        <v>51</v>
      </c>
    </row>
    <row r="100" spans="1:3" x14ac:dyDescent="0.25">
      <c r="A100" t="s">
        <v>52</v>
      </c>
    </row>
    <row r="103" spans="1:3" x14ac:dyDescent="0.25">
      <c r="A103" t="s">
        <v>54</v>
      </c>
    </row>
    <row r="104" spans="1:3" x14ac:dyDescent="0.25">
      <c r="A104" t="s">
        <v>53</v>
      </c>
      <c r="B104">
        <f>B92+B97</f>
        <v>1.4520000000000002</v>
      </c>
      <c r="C104" t="s">
        <v>46</v>
      </c>
    </row>
    <row r="106" spans="1:3" x14ac:dyDescent="0.25">
      <c r="A106" s="3" t="s">
        <v>56</v>
      </c>
    </row>
    <row r="107" spans="1:3" x14ac:dyDescent="0.25">
      <c r="A107" t="s">
        <v>59</v>
      </c>
    </row>
    <row r="108" spans="1:3" x14ac:dyDescent="0.25">
      <c r="A108" t="s">
        <v>58</v>
      </c>
      <c r="B108">
        <f>(B15-B10)*B15*B16^2*B26/1000*1.5 / B10^2</f>
        <v>0.79200000000000026</v>
      </c>
      <c r="C108" t="s">
        <v>46</v>
      </c>
    </row>
    <row r="111" spans="1:3" x14ac:dyDescent="0.25">
      <c r="A111" t="s">
        <v>50</v>
      </c>
      <c r="B111">
        <f>B15^2*B16*B18*1000*20^(-9)/B10</f>
        <v>9.5287500000000019E-5</v>
      </c>
      <c r="C111" t="s">
        <v>46</v>
      </c>
    </row>
    <row r="114" spans="1:4" x14ac:dyDescent="0.25">
      <c r="A114" t="s">
        <v>60</v>
      </c>
      <c r="B114">
        <f>B108+B111</f>
        <v>0.79209528750000024</v>
      </c>
      <c r="C114" t="s">
        <v>46</v>
      </c>
    </row>
    <row r="116" spans="1:4" x14ac:dyDescent="0.25">
      <c r="A116" t="s">
        <v>61</v>
      </c>
    </row>
    <row r="117" spans="1:4" x14ac:dyDescent="0.25">
      <c r="A117" t="s">
        <v>62</v>
      </c>
    </row>
    <row r="120" spans="1:4" x14ac:dyDescent="0.25">
      <c r="A120" s="3" t="s">
        <v>63</v>
      </c>
    </row>
    <row r="122" spans="1:4" x14ac:dyDescent="0.25">
      <c r="A122" t="s">
        <v>64</v>
      </c>
      <c r="B122">
        <f>B15/B10*B16^2*1.5*B26/1000</f>
        <v>0.66</v>
      </c>
      <c r="C122" t="s">
        <v>46</v>
      </c>
    </row>
    <row r="125" spans="1:4" x14ac:dyDescent="0.25">
      <c r="A125" s="3" t="s">
        <v>67</v>
      </c>
    </row>
    <row r="127" spans="1:4" x14ac:dyDescent="0.25">
      <c r="A127" t="s">
        <v>65</v>
      </c>
      <c r="B127">
        <f>B104*B25+B19</f>
        <v>112.60000000000001</v>
      </c>
      <c r="C127" t="s">
        <v>44</v>
      </c>
      <c r="D127" t="s">
        <v>66</v>
      </c>
    </row>
    <row r="128" spans="1:4" x14ac:dyDescent="0.25">
      <c r="A128" t="s">
        <v>68</v>
      </c>
      <c r="B128">
        <f>B114*B25+B19</f>
        <v>79.604764375000002</v>
      </c>
      <c r="C128" t="s">
        <v>44</v>
      </c>
    </row>
    <row r="129" spans="1:4" x14ac:dyDescent="0.25">
      <c r="A129" t="s">
        <v>69</v>
      </c>
      <c r="B129">
        <f>B122*B25+B19</f>
        <v>73</v>
      </c>
      <c r="C129" t="s">
        <v>44</v>
      </c>
    </row>
    <row r="131" spans="1:4" x14ac:dyDescent="0.25">
      <c r="A131" t="s">
        <v>137</v>
      </c>
      <c r="B131">
        <f>B127-B104*$B$24</f>
        <v>111.72880000000001</v>
      </c>
      <c r="C131" t="s">
        <v>44</v>
      </c>
      <c r="D131" t="s">
        <v>138</v>
      </c>
    </row>
    <row r="132" spans="1:4" x14ac:dyDescent="0.25">
      <c r="A132" t="s">
        <v>154</v>
      </c>
      <c r="B132">
        <f>B128-B114*$B$24</f>
        <v>79.129507202500008</v>
      </c>
      <c r="C132" t="s">
        <v>44</v>
      </c>
    </row>
    <row r="133" spans="1:4" x14ac:dyDescent="0.25">
      <c r="A133" t="s">
        <v>155</v>
      </c>
      <c r="B133">
        <f>B129-B122*$B$24</f>
        <v>72.603999999999999</v>
      </c>
      <c r="C133" t="s">
        <v>44</v>
      </c>
    </row>
    <row r="135" spans="1:4" x14ac:dyDescent="0.25">
      <c r="A135" s="3" t="s">
        <v>70</v>
      </c>
      <c r="B135">
        <f>B15</f>
        <v>46.2</v>
      </c>
      <c r="C135" t="s">
        <v>4</v>
      </c>
    </row>
    <row r="137" spans="1:4" x14ac:dyDescent="0.25">
      <c r="A137" t="s">
        <v>71</v>
      </c>
    </row>
    <row r="139" spans="1:4" x14ac:dyDescent="0.25">
      <c r="A139" t="s">
        <v>162</v>
      </c>
      <c r="B139">
        <v>20000</v>
      </c>
      <c r="C139" t="s">
        <v>148</v>
      </c>
      <c r="D139" t="s">
        <v>84</v>
      </c>
    </row>
    <row r="141" spans="1:4" x14ac:dyDescent="0.25">
      <c r="A141" t="s">
        <v>161</v>
      </c>
      <c r="B141">
        <f>B139*((B15*(1.241/1.211-0.128)-1))</f>
        <v>808618.17341040459</v>
      </c>
      <c r="C141" t="s">
        <v>148</v>
      </c>
    </row>
    <row r="142" spans="1:4" x14ac:dyDescent="0.25">
      <c r="B142">
        <f>820000</f>
        <v>820000</v>
      </c>
      <c r="C142" t="s">
        <v>148</v>
      </c>
    </row>
    <row r="144" spans="1:4" x14ac:dyDescent="0.25">
      <c r="A144" t="s">
        <v>164</v>
      </c>
      <c r="B144">
        <f>B142*B139*0.833/((B139*B15*1.241/1.211)-B139-B142)</f>
        <v>127805.94851827821</v>
      </c>
      <c r="C144" t="s">
        <v>148</v>
      </c>
    </row>
    <row r="145" spans="1:3" x14ac:dyDescent="0.25">
      <c r="B145">
        <v>120000</v>
      </c>
      <c r="C145" t="s">
        <v>148</v>
      </c>
    </row>
    <row r="146" spans="1:3" x14ac:dyDescent="0.25">
      <c r="A146" t="s">
        <v>163</v>
      </c>
      <c r="B146">
        <f>0.2*B145</f>
        <v>24000</v>
      </c>
      <c r="C146" t="s">
        <v>148</v>
      </c>
    </row>
    <row r="147" spans="1:3" x14ac:dyDescent="0.25">
      <c r="B147">
        <f>24000</f>
        <v>24000</v>
      </c>
      <c r="C147" t="s">
        <v>148</v>
      </c>
    </row>
    <row r="148" spans="1:3" x14ac:dyDescent="0.25">
      <c r="A148" t="s">
        <v>85</v>
      </c>
      <c r="B148">
        <f>1/(500*B147)*10^(9)</f>
        <v>83.333333333333343</v>
      </c>
      <c r="C148" t="s">
        <v>86</v>
      </c>
    </row>
    <row r="154" spans="1:3" x14ac:dyDescent="0.25">
      <c r="A154" s="15" t="s">
        <v>156</v>
      </c>
    </row>
    <row r="155" spans="1:3" x14ac:dyDescent="0.25">
      <c r="A155" s="10"/>
    </row>
    <row r="156" spans="1:3" x14ac:dyDescent="0.25">
      <c r="A156" s="10" t="s">
        <v>157</v>
      </c>
      <c r="B156">
        <f>B142/(B147+B145)*(B158-1.89)</f>
        <v>46.995472222222219</v>
      </c>
      <c r="C156" t="s">
        <v>4</v>
      </c>
    </row>
    <row r="157" spans="1:3" x14ac:dyDescent="0.25">
      <c r="A157" s="10"/>
    </row>
    <row r="158" spans="1:3" x14ac:dyDescent="0.25">
      <c r="A158" s="10" t="s">
        <v>158</v>
      </c>
      <c r="B158">
        <f>1.211*(1+(B147+B145)/B139+(B147+B145)/B142)</f>
        <v>10.142863414634146</v>
      </c>
    </row>
    <row r="159" spans="1:3" x14ac:dyDescent="0.25">
      <c r="A159" s="10"/>
    </row>
    <row r="160" spans="1:3" x14ac:dyDescent="0.25">
      <c r="A160" s="10" t="s">
        <v>159</v>
      </c>
      <c r="B160">
        <f>(B158-1.89)/(B158-3.3)</f>
        <v>1.2060540908919173</v>
      </c>
    </row>
    <row r="161" spans="1:3" x14ac:dyDescent="0.25">
      <c r="A161" s="10"/>
    </row>
    <row r="162" spans="1:3" x14ac:dyDescent="0.25">
      <c r="A162" s="10" t="s">
        <v>160</v>
      </c>
      <c r="B162">
        <f>1-1.89/B158</f>
        <v>0.81366208705195575</v>
      </c>
    </row>
    <row r="163" spans="1:3" x14ac:dyDescent="0.25">
      <c r="A163" s="10"/>
    </row>
    <row r="164" spans="1:3" x14ac:dyDescent="0.25">
      <c r="A164" s="10"/>
    </row>
    <row r="165" spans="1:3" x14ac:dyDescent="0.25">
      <c r="A165" s="10"/>
    </row>
    <row r="166" spans="1:3" x14ac:dyDescent="0.25">
      <c r="A166" s="10"/>
    </row>
    <row r="167" spans="1:3" x14ac:dyDescent="0.25">
      <c r="A167" s="10"/>
    </row>
    <row r="168" spans="1:3" x14ac:dyDescent="0.25">
      <c r="A168" s="10"/>
    </row>
    <row r="169" spans="1:3" x14ac:dyDescent="0.25">
      <c r="A169" s="10"/>
    </row>
    <row r="170" spans="1:3" x14ac:dyDescent="0.25">
      <c r="A170" s="10"/>
    </row>
    <row r="171" spans="1:3" x14ac:dyDescent="0.25">
      <c r="A171" s="10"/>
    </row>
    <row r="172" spans="1:3" x14ac:dyDescent="0.25">
      <c r="A172" s="3" t="s">
        <v>88</v>
      </c>
    </row>
    <row r="173" spans="1:3" x14ac:dyDescent="0.25">
      <c r="A173" s="3"/>
    </row>
    <row r="175" spans="1:3" x14ac:dyDescent="0.25">
      <c r="A175" t="s">
        <v>166</v>
      </c>
      <c r="B175">
        <f>100*((1+4.47/(B11-6))/(1+5.593/(B11-6)))</f>
        <v>97.163640037380333</v>
      </c>
      <c r="C175" t="s">
        <v>72</v>
      </c>
    </row>
    <row r="176" spans="1:3" x14ac:dyDescent="0.25">
      <c r="B176" s="10">
        <f>107+0</f>
        <v>107</v>
      </c>
      <c r="C176" t="s">
        <v>72</v>
      </c>
    </row>
    <row r="180" spans="1:3" x14ac:dyDescent="0.25">
      <c r="A180" t="s">
        <v>167</v>
      </c>
      <c r="B180">
        <f>2.75*B176/(B11-6)</f>
        <v>8.6544117647058822</v>
      </c>
      <c r="C180" t="s">
        <v>72</v>
      </c>
    </row>
    <row r="181" spans="1:3" x14ac:dyDescent="0.25">
      <c r="B181">
        <v>8.66</v>
      </c>
      <c r="C181" t="s">
        <v>72</v>
      </c>
    </row>
    <row r="183" spans="1:3" x14ac:dyDescent="0.25">
      <c r="A183" t="s">
        <v>168</v>
      </c>
      <c r="B183">
        <f>1/(1/(100-B176)-1/B181)</f>
        <v>-3.8710089399744576</v>
      </c>
      <c r="C183" t="s">
        <v>72</v>
      </c>
    </row>
    <row r="184" spans="1:3" x14ac:dyDescent="0.25">
      <c r="B184">
        <v>4.87</v>
      </c>
    </row>
    <row r="186" spans="1:3" x14ac:dyDescent="0.25">
      <c r="A186" t="s">
        <v>169</v>
      </c>
      <c r="B186">
        <f>0.2*B181</f>
        <v>1.7320000000000002</v>
      </c>
      <c r="C186" t="s">
        <v>72</v>
      </c>
    </row>
    <row r="187" spans="1:3" x14ac:dyDescent="0.25">
      <c r="B187">
        <v>1.69</v>
      </c>
    </row>
    <row r="189" spans="1:3" x14ac:dyDescent="0.25">
      <c r="A189" t="s">
        <v>89</v>
      </c>
      <c r="B189">
        <f>1/(1000*B186*1000)*10^6</f>
        <v>0.57736720554272503</v>
      </c>
      <c r="C189" t="s">
        <v>90</v>
      </c>
    </row>
    <row r="190" spans="1:3" x14ac:dyDescent="0.25">
      <c r="B190">
        <f>0.47</f>
        <v>0.47</v>
      </c>
      <c r="C190" t="s">
        <v>90</v>
      </c>
    </row>
    <row r="192" spans="1:3" x14ac:dyDescent="0.25">
      <c r="A192" s="3" t="s">
        <v>156</v>
      </c>
    </row>
    <row r="194" spans="1:4" x14ac:dyDescent="0.25">
      <c r="A194" t="s">
        <v>170</v>
      </c>
      <c r="B194">
        <f>1.205*(B176/(B187+B181)+B176/B184+1)</f>
        <v>40.137847265621133</v>
      </c>
      <c r="C194" t="s">
        <v>4</v>
      </c>
      <c r="D194" t="s">
        <v>171</v>
      </c>
    </row>
    <row r="195" spans="1:4" x14ac:dyDescent="0.25">
      <c r="A195" t="s">
        <v>172</v>
      </c>
      <c r="B195">
        <f>B194-3.3*(B176/(B187+B181))</f>
        <v>6.0219052366356252</v>
      </c>
      <c r="C195" t="s">
        <v>4</v>
      </c>
      <c r="D195" t="s">
        <v>173</v>
      </c>
    </row>
    <row r="202" spans="1:4" x14ac:dyDescent="0.25">
      <c r="A202" s="3" t="s">
        <v>91</v>
      </c>
    </row>
    <row r="205" spans="1:4" x14ac:dyDescent="0.25">
      <c r="A205" t="s">
        <v>93</v>
      </c>
      <c r="B205">
        <f>0.0497/B16*1000</f>
        <v>12.425000000000001</v>
      </c>
      <c r="C205" t="s">
        <v>20</v>
      </c>
    </row>
    <row r="206" spans="1:4" x14ac:dyDescent="0.25">
      <c r="B206">
        <v>12</v>
      </c>
      <c r="C206" t="s">
        <v>20</v>
      </c>
    </row>
    <row r="208" spans="1:4" x14ac:dyDescent="0.25">
      <c r="A208" t="s">
        <v>92</v>
      </c>
      <c r="B208">
        <f>1208/(B16*1*B206/1000)/1000</f>
        <v>25.166666666666668</v>
      </c>
      <c r="C208" t="s">
        <v>72</v>
      </c>
    </row>
    <row r="209" spans="1:3" x14ac:dyDescent="0.25">
      <c r="B209">
        <v>25</v>
      </c>
      <c r="C209" t="s">
        <v>72</v>
      </c>
    </row>
    <row r="211" spans="1:3" x14ac:dyDescent="0.25">
      <c r="A211" t="s">
        <v>94</v>
      </c>
      <c r="B211">
        <f>24.3*B209/(B209-24.3)</f>
        <v>867.85714285714369</v>
      </c>
      <c r="C211" t="s">
        <v>72</v>
      </c>
    </row>
    <row r="212" spans="1:3" x14ac:dyDescent="0.25">
      <c r="B212" t="s">
        <v>133</v>
      </c>
    </row>
    <row r="219" spans="1:3" x14ac:dyDescent="0.25">
      <c r="A219" s="3" t="s">
        <v>95</v>
      </c>
    </row>
    <row r="221" spans="1:3" x14ac:dyDescent="0.25">
      <c r="A221" t="s">
        <v>96</v>
      </c>
      <c r="B221">
        <f>0.0505/(1.3*B12) * 1000</f>
        <v>4.725809470335018</v>
      </c>
      <c r="C221" t="s">
        <v>20</v>
      </c>
    </row>
    <row r="222" spans="1:3" x14ac:dyDescent="0.25">
      <c r="B222">
        <v>5</v>
      </c>
      <c r="C222" t="s">
        <v>20</v>
      </c>
    </row>
  </sheetData>
  <hyperlinks>
    <hyperlink ref="D34" r:id="rId1" display="//215kOhm@202kHz" xr:uid="{00000000-0004-0000-0000-000000000000}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t="s">
        <v>143</v>
      </c>
    </row>
    <row r="2" spans="1:7" x14ac:dyDescent="0.25">
      <c r="A2" t="s">
        <v>144</v>
      </c>
    </row>
    <row r="5" spans="1:7" x14ac:dyDescent="0.25">
      <c r="E5" s="11"/>
      <c r="G5" t="s">
        <v>139</v>
      </c>
    </row>
    <row r="6" spans="1:7" x14ac:dyDescent="0.25">
      <c r="A6" s="12"/>
    </row>
    <row r="7" spans="1:7" x14ac:dyDescent="0.25">
      <c r="A7" s="3" t="s">
        <v>140</v>
      </c>
      <c r="B7" s="13">
        <v>50</v>
      </c>
      <c r="C7" t="s">
        <v>141</v>
      </c>
    </row>
    <row r="10" spans="1:7" x14ac:dyDescent="0.25">
      <c r="E10" t="s">
        <v>142</v>
      </c>
    </row>
    <row r="12" spans="1:7" x14ac:dyDescent="0.25">
      <c r="A12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6"/>
  <sheetViews>
    <sheetView topLeftCell="A7" workbookViewId="0">
      <selection activeCell="C14" sqref="C14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75</v>
      </c>
    </row>
    <row r="2" spans="1:4" x14ac:dyDescent="0.25">
      <c r="A2" s="2" t="s">
        <v>76</v>
      </c>
    </row>
    <row r="4" spans="1:4" x14ac:dyDescent="0.25">
      <c r="A4" s="5" t="s">
        <v>39</v>
      </c>
    </row>
    <row r="6" spans="1:4" x14ac:dyDescent="0.25">
      <c r="A6" t="s">
        <v>73</v>
      </c>
      <c r="B6">
        <v>18</v>
      </c>
      <c r="C6" t="s">
        <v>4</v>
      </c>
    </row>
    <row r="7" spans="1:4" x14ac:dyDescent="0.25">
      <c r="A7" t="s">
        <v>87</v>
      </c>
      <c r="B7">
        <v>24</v>
      </c>
      <c r="C7" t="s">
        <v>4</v>
      </c>
    </row>
    <row r="8" spans="1:4" x14ac:dyDescent="0.25">
      <c r="A8" t="s">
        <v>74</v>
      </c>
      <c r="B8">
        <f>8.5</f>
        <v>8.5</v>
      </c>
      <c r="C8" t="s">
        <v>5</v>
      </c>
    </row>
    <row r="9" spans="1:4" x14ac:dyDescent="0.25">
      <c r="A9" t="s">
        <v>21</v>
      </c>
      <c r="B9">
        <f>3.7*11</f>
        <v>40.700000000000003</v>
      </c>
      <c r="C9" t="s">
        <v>4</v>
      </c>
      <c r="D9" t="s">
        <v>23</v>
      </c>
    </row>
    <row r="10" spans="1:4" x14ac:dyDescent="0.25">
      <c r="A10" t="s">
        <v>22</v>
      </c>
      <c r="B10">
        <f>4.2*11</f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4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36</v>
      </c>
      <c r="B13">
        <v>60</v>
      </c>
      <c r="C13" t="s">
        <v>44</v>
      </c>
      <c r="D13" t="s">
        <v>38</v>
      </c>
    </row>
    <row r="19" spans="1:3" ht="15.75" x14ac:dyDescent="0.25">
      <c r="A19" s="7" t="s">
        <v>77</v>
      </c>
    </row>
    <row r="22" spans="1:3" x14ac:dyDescent="0.25">
      <c r="A22" t="s">
        <v>78</v>
      </c>
      <c r="B22">
        <f>0.3*B11/(1-PowerPart!B38/100)</f>
        <v>7.0444726810673437</v>
      </c>
      <c r="C22" t="s">
        <v>5</v>
      </c>
    </row>
    <row r="26" spans="1:3" x14ac:dyDescent="0.25">
      <c r="A26" t="s">
        <v>79</v>
      </c>
    </row>
    <row r="29" spans="1:3" x14ac:dyDescent="0.25">
      <c r="A29" t="s">
        <v>80</v>
      </c>
      <c r="B29">
        <f>B6*PowerPart!B38/100/((Nordic!B12*1000)*Nordic!B22)*10^6</f>
        <v>10.494686991890283</v>
      </c>
      <c r="C29" t="s">
        <v>29</v>
      </c>
    </row>
    <row r="32" spans="1:3" ht="15.75" x14ac:dyDescent="0.25">
      <c r="A32" s="7" t="s">
        <v>82</v>
      </c>
    </row>
    <row r="36" spans="1:3" x14ac:dyDescent="0.25">
      <c r="A36" t="s">
        <v>81</v>
      </c>
      <c r="B36">
        <f>(B10-B6)*B11/(B10*B12*1000*0.1)*10^6</f>
        <v>120.86922978012085</v>
      </c>
      <c r="C36" t="s">
        <v>83</v>
      </c>
    </row>
  </sheetData>
  <hyperlinks>
    <hyperlink ref="A2" r:id="rId1" xr:uid="{00000000-0004-0000-0200-000000000000}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128</v>
      </c>
    </row>
    <row r="2" spans="1:4" x14ac:dyDescent="0.25">
      <c r="A2" t="s">
        <v>126</v>
      </c>
    </row>
    <row r="5" spans="1:4" x14ac:dyDescent="0.25">
      <c r="A5" s="5" t="s">
        <v>39</v>
      </c>
    </row>
    <row r="7" spans="1:4" x14ac:dyDescent="0.25">
      <c r="A7" t="s">
        <v>2</v>
      </c>
      <c r="B7" s="8">
        <v>5</v>
      </c>
      <c r="C7" t="s">
        <v>5</v>
      </c>
    </row>
    <row r="8" spans="1:4" x14ac:dyDescent="0.25">
      <c r="A8" t="s">
        <v>36</v>
      </c>
      <c r="B8" s="8">
        <v>40</v>
      </c>
      <c r="C8" t="s">
        <v>44</v>
      </c>
      <c r="D8" t="s">
        <v>38</v>
      </c>
    </row>
    <row r="10" spans="1:4" x14ac:dyDescent="0.25">
      <c r="A10" s="3" t="s">
        <v>98</v>
      </c>
    </row>
    <row r="11" spans="1:4" x14ac:dyDescent="0.25">
      <c r="A11" t="s">
        <v>101</v>
      </c>
    </row>
    <row r="13" spans="1:4" x14ac:dyDescent="0.25">
      <c r="A13" t="s">
        <v>118</v>
      </c>
      <c r="B13">
        <f>150</f>
        <v>150</v>
      </c>
      <c r="C13" t="s">
        <v>44</v>
      </c>
    </row>
    <row r="14" spans="1:4" x14ac:dyDescent="0.25">
      <c r="A14" t="s">
        <v>99</v>
      </c>
      <c r="B14">
        <f>1.6</f>
        <v>1.6</v>
      </c>
      <c r="C14" t="s">
        <v>43</v>
      </c>
      <c r="D14" t="s">
        <v>100</v>
      </c>
    </row>
    <row r="15" spans="1:4" x14ac:dyDescent="0.25">
      <c r="A15" t="s">
        <v>114</v>
      </c>
      <c r="B15">
        <v>70</v>
      </c>
      <c r="C15" t="s">
        <v>43</v>
      </c>
      <c r="D15" t="s">
        <v>129</v>
      </c>
    </row>
    <row r="16" spans="1:4" x14ac:dyDescent="0.25">
      <c r="A16" t="s">
        <v>102</v>
      </c>
      <c r="B16">
        <f>0.56</f>
        <v>0.56000000000000005</v>
      </c>
      <c r="C16" t="s">
        <v>4</v>
      </c>
      <c r="D16" t="s">
        <v>103</v>
      </c>
    </row>
    <row r="18" spans="1:4" x14ac:dyDescent="0.25">
      <c r="A18" s="3" t="s">
        <v>105</v>
      </c>
      <c r="B18" t="s">
        <v>127</v>
      </c>
    </row>
    <row r="19" spans="1:4" x14ac:dyDescent="0.25">
      <c r="A19" t="s">
        <v>121</v>
      </c>
      <c r="B19">
        <f>0.5</f>
        <v>0.5</v>
      </c>
      <c r="C19" t="s">
        <v>43</v>
      </c>
      <c r="D19" t="s">
        <v>119</v>
      </c>
    </row>
    <row r="20" spans="1:4" x14ac:dyDescent="0.25">
      <c r="A20" t="s">
        <v>122</v>
      </c>
      <c r="B20">
        <v>1</v>
      </c>
      <c r="C20" t="s">
        <v>43</v>
      </c>
      <c r="D20" t="s">
        <v>113</v>
      </c>
    </row>
    <row r="22" spans="1:4" x14ac:dyDescent="0.25">
      <c r="A22" t="s">
        <v>104</v>
      </c>
      <c r="B22">
        <f>B16*B7</f>
        <v>2.8000000000000003</v>
      </c>
      <c r="C22" t="s">
        <v>46</v>
      </c>
    </row>
    <row r="24" spans="1:4" x14ac:dyDescent="0.25">
      <c r="A24" t="s">
        <v>115</v>
      </c>
      <c r="B24">
        <f>B22*B15+B8</f>
        <v>236.00000000000003</v>
      </c>
      <c r="C24" t="s">
        <v>44</v>
      </c>
      <c r="D24" t="s">
        <v>116</v>
      </c>
    </row>
    <row r="25" spans="1:4" x14ac:dyDescent="0.25">
      <c r="A25" t="s">
        <v>106</v>
      </c>
      <c r="B25">
        <f>B22*B14+B24</f>
        <v>240.48000000000002</v>
      </c>
      <c r="C25" t="s">
        <v>44</v>
      </c>
      <c r="D25" t="s">
        <v>117</v>
      </c>
    </row>
    <row r="27" spans="1:4" x14ac:dyDescent="0.25">
      <c r="A27" s="3" t="s">
        <v>120</v>
      </c>
    </row>
    <row r="35" spans="1:4" x14ac:dyDescent="0.25">
      <c r="A35" t="s">
        <v>125</v>
      </c>
      <c r="B35">
        <f>(B13-B8)/B22-B14-B19</f>
        <v>37.185714285714283</v>
      </c>
      <c r="C35" t="s">
        <v>43</v>
      </c>
      <c r="D35" t="s">
        <v>123</v>
      </c>
    </row>
    <row r="36" spans="1:4" x14ac:dyDescent="0.25">
      <c r="B36" s="8">
        <v>15</v>
      </c>
      <c r="C36" t="s">
        <v>43</v>
      </c>
      <c r="D36" t="s">
        <v>124</v>
      </c>
    </row>
    <row r="38" spans="1:4" x14ac:dyDescent="0.25">
      <c r="A38" t="s">
        <v>107</v>
      </c>
      <c r="B38">
        <f>B22*B36+B8</f>
        <v>82</v>
      </c>
      <c r="C38" t="s">
        <v>44</v>
      </c>
      <c r="D38" t="s">
        <v>108</v>
      </c>
    </row>
    <row r="39" spans="1:4" x14ac:dyDescent="0.25">
      <c r="A39" t="s">
        <v>109</v>
      </c>
      <c r="B39">
        <f>B22*B19+B38</f>
        <v>83.4</v>
      </c>
      <c r="C39" t="s">
        <v>44</v>
      </c>
      <c r="D39" t="s">
        <v>111</v>
      </c>
    </row>
    <row r="40" spans="1:4" x14ac:dyDescent="0.25">
      <c r="A40" t="s">
        <v>110</v>
      </c>
      <c r="B40">
        <f>B22*B14+B39</f>
        <v>87.88000000000001</v>
      </c>
      <c r="C40" t="s">
        <v>44</v>
      </c>
      <c r="D40" t="s">
        <v>112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128</v>
      </c>
    </row>
    <row r="2" spans="1:4" x14ac:dyDescent="0.25">
      <c r="A2" t="s">
        <v>126</v>
      </c>
    </row>
    <row r="5" spans="1:4" x14ac:dyDescent="0.25">
      <c r="A5" s="5" t="s">
        <v>39</v>
      </c>
    </row>
    <row r="7" spans="1:4" x14ac:dyDescent="0.25">
      <c r="A7" t="s">
        <v>2</v>
      </c>
      <c r="B7" s="8">
        <v>4</v>
      </c>
      <c r="C7" t="s">
        <v>5</v>
      </c>
    </row>
    <row r="8" spans="1:4" x14ac:dyDescent="0.25">
      <c r="A8" t="s">
        <v>36</v>
      </c>
      <c r="B8" s="8">
        <v>40</v>
      </c>
      <c r="C8" t="s">
        <v>44</v>
      </c>
      <c r="D8" t="s">
        <v>38</v>
      </c>
    </row>
    <row r="10" spans="1:4" x14ac:dyDescent="0.25">
      <c r="A10" s="3" t="s">
        <v>98</v>
      </c>
    </row>
    <row r="11" spans="1:4" x14ac:dyDescent="0.25">
      <c r="A11" t="s">
        <v>131</v>
      </c>
      <c r="C11" s="9" t="s">
        <v>132</v>
      </c>
    </row>
    <row r="13" spans="1:4" x14ac:dyDescent="0.25">
      <c r="A13" t="s">
        <v>118</v>
      </c>
      <c r="B13">
        <f>150</f>
        <v>150</v>
      </c>
      <c r="C13" t="s">
        <v>44</v>
      </c>
    </row>
    <row r="15" spans="1:4" x14ac:dyDescent="0.25">
      <c r="A15" t="s">
        <v>42</v>
      </c>
      <c r="B15">
        <v>50</v>
      </c>
      <c r="C15" s="6" t="s">
        <v>43</v>
      </c>
      <c r="D15" t="s">
        <v>45</v>
      </c>
    </row>
    <row r="16" spans="1:4" x14ac:dyDescent="0.25">
      <c r="A16" t="s">
        <v>102</v>
      </c>
      <c r="B16">
        <f>0.45</f>
        <v>0.45</v>
      </c>
      <c r="C16" t="s">
        <v>4</v>
      </c>
      <c r="D16" t="s">
        <v>130</v>
      </c>
    </row>
    <row r="19" spans="1:4" x14ac:dyDescent="0.25">
      <c r="A19" t="s">
        <v>104</v>
      </c>
      <c r="B19">
        <f>B16*B7</f>
        <v>1.8</v>
      </c>
      <c r="C19" t="s">
        <v>46</v>
      </c>
    </row>
    <row r="22" spans="1:4" x14ac:dyDescent="0.25">
      <c r="A22" t="s">
        <v>106</v>
      </c>
      <c r="B22">
        <f>B19*B15+B8</f>
        <v>130</v>
      </c>
      <c r="C22" t="s">
        <v>44</v>
      </c>
      <c r="D22" t="s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PowerPart</vt:lpstr>
      <vt:lpstr>Температура корпуса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2020-07-15T21:28:56Z</dcterms:modified>
</cp:coreProperties>
</file>