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PowerPart" sheetId="1" r:id="rId1"/>
    <sheet name="Nordic" sheetId="2" r:id="rId2"/>
    <sheet name="Расчет радиатора" sheetId="3" r:id="rId3"/>
    <sheet name="Расчет диода" sheetId="4" r:id="rId4"/>
  </sheets>
  <calcPr calcId="152511"/>
</workbook>
</file>

<file path=xl/calcChain.xml><?xml version="1.0" encoding="utf-8"?>
<calcChain xmlns="http://schemas.openxmlformats.org/spreadsheetml/2006/main">
  <c r="B144" i="1" l="1"/>
  <c r="B11" i="1" l="1"/>
  <c r="B10" i="1"/>
  <c r="B165" i="1"/>
  <c r="B16" i="4" l="1"/>
  <c r="B19" i="4" s="1"/>
  <c r="B22" i="4" s="1"/>
  <c r="B13" i="4"/>
  <c r="B13" i="3"/>
  <c r="B19" i="3"/>
  <c r="B16" i="3"/>
  <c r="B22" i="3" s="1"/>
  <c r="B38" i="3" s="1"/>
  <c r="B14" i="3"/>
  <c r="B35" i="3" s="1"/>
  <c r="B71" i="1"/>
  <c r="B24" i="3" l="1"/>
  <c r="B25" i="3" s="1"/>
  <c r="B39" i="3"/>
  <c r="B40" i="3" s="1"/>
  <c r="B154" i="1"/>
  <c r="B151" i="1"/>
  <c r="B148" i="1"/>
  <c r="B143" i="1"/>
  <c r="B162" i="1"/>
  <c r="B168" i="1" l="1"/>
  <c r="B157" i="1"/>
  <c r="B136" i="1"/>
  <c r="B135" i="1"/>
  <c r="B156" i="1" l="1"/>
  <c r="B36" i="2"/>
  <c r="B8" i="2"/>
  <c r="B9" i="1"/>
  <c r="B178" i="1" s="1"/>
  <c r="B20" i="1" l="1"/>
  <c r="B18" i="1"/>
  <c r="B82" i="1" s="1"/>
  <c r="B28" i="1"/>
  <c r="B87" i="1" l="1"/>
  <c r="B102" i="1"/>
  <c r="B132" i="1"/>
  <c r="B40" i="1"/>
  <c r="B46" i="1" s="1"/>
  <c r="B32" i="1"/>
  <c r="B54" i="1" s="1"/>
  <c r="B56" i="1" s="1"/>
  <c r="B105" i="1"/>
  <c r="B91" i="1"/>
  <c r="B116" i="1"/>
  <c r="B123" i="1" s="1"/>
  <c r="B22" i="2" l="1"/>
  <c r="B29" i="2" s="1"/>
  <c r="B64" i="1"/>
  <c r="B50" i="1"/>
  <c r="B108" i="1"/>
  <c r="B122" i="1" s="1"/>
  <c r="B98" i="1"/>
  <c r="B121" i="1" s="1"/>
</calcChain>
</file>

<file path=xl/comments1.xml><?xml version="1.0" encoding="utf-8"?>
<comments xmlns="http://schemas.openxmlformats.org/spreadsheetml/2006/main">
  <authors>
    <author>Автор</author>
  </authors>
  <commentList>
    <comment ref="A52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Когда знаешь индуктивность</t>
        </r>
      </text>
    </comment>
    <comment ref="B57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выбираем вручную из стандартных значений</t>
        </r>
      </text>
    </comment>
    <comment ref="B121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22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23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65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I_MAX(S0) = 1*Imax</t>
        </r>
      </text>
    </comment>
  </commentList>
</comments>
</file>

<file path=xl/sharedStrings.xml><?xml version="1.0" encoding="utf-8"?>
<sst xmlns="http://schemas.openxmlformats.org/spreadsheetml/2006/main" count="265" uniqueCount="152">
  <si>
    <t>Расчет boost конвертера на LT8490</t>
  </si>
  <si>
    <t>автор: Тихонов Е.Н.</t>
  </si>
  <si>
    <t>Iout(max)=</t>
  </si>
  <si>
    <t>f=</t>
  </si>
  <si>
    <t>V</t>
  </si>
  <si>
    <t>A</t>
  </si>
  <si>
    <t>RT Selection:</t>
  </si>
  <si>
    <t>Rt=</t>
  </si>
  <si>
    <t>kOhm</t>
  </si>
  <si>
    <t>RSENSE Selection:</t>
  </si>
  <si>
    <t>%</t>
  </si>
  <si>
    <t>DC(maxM3Boost)=</t>
  </si>
  <si>
    <t>VRSENSE(MAX,BOOST,MAX)=</t>
  </si>
  <si>
    <t>mV</t>
  </si>
  <si>
    <t>//from the Maximum Inductor Current Sense Voltage
vs Duty Cycle graph</t>
  </si>
  <si>
    <t>estimate the maximum and minimum inductor current</t>
  </si>
  <si>
    <t>ripple in the boost and buck regions respectively</t>
  </si>
  <si>
    <t>ΔIL(MAX,BOOST)=</t>
  </si>
  <si>
    <t>calculate the maximum RSENSE</t>
  </si>
  <si>
    <t>Rense(max,boost)=</t>
  </si>
  <si>
    <t>mOhm</t>
  </si>
  <si>
    <t>Vout(min)=</t>
  </si>
  <si>
    <t>Vout(max)=</t>
  </si>
  <si>
    <t>//nominal voltage 3.7V*13cells</t>
  </si>
  <si>
    <t>//full charge 4.2V*13cells</t>
  </si>
  <si>
    <t>Adding an additional 30% margin</t>
  </si>
  <si>
    <t>Inductor Selection</t>
  </si>
  <si>
    <t>L(MIN1,BOOST) ≅</t>
  </si>
  <si>
    <t>kHz</t>
  </si>
  <si>
    <t>//215kOhm@202kHz</t>
  </si>
  <si>
    <t>uH</t>
  </si>
  <si>
    <t>Берем с запасом</t>
  </si>
  <si>
    <t>L(MIN2,BOOST) ≅</t>
  </si>
  <si>
    <t>To avoid subharmonic oscillations in the inductor current,
choose the minimum inductance according to:</t>
  </si>
  <si>
    <t>calculate the maximum MOSFET power dissipation</t>
  </si>
  <si>
    <t>PD(MAX) =</t>
  </si>
  <si>
    <t>MOSFET</t>
  </si>
  <si>
    <t>TJ(MAX)=</t>
  </si>
  <si>
    <t>TA(MAX)=</t>
  </si>
  <si>
    <t>//max junction temp</t>
  </si>
  <si>
    <t>//max ambient temp</t>
  </si>
  <si>
    <t>GENERAL</t>
  </si>
  <si>
    <t>CALCULATIONS</t>
  </si>
  <si>
    <t>//BSC110N15NS5 Infenion</t>
  </si>
  <si>
    <t>RthJA=</t>
  </si>
  <si>
    <t>°C/W</t>
  </si>
  <si>
    <t>°C</t>
  </si>
  <si>
    <t>//6 cm2 cooling area</t>
  </si>
  <si>
    <t>W</t>
  </si>
  <si>
    <t>Rds(on)=</t>
  </si>
  <si>
    <t>//&lt;10A</t>
  </si>
  <si>
    <t>//ρτ is a normalization factor=1.5</t>
  </si>
  <si>
    <t>Pswitching=</t>
  </si>
  <si>
    <t>tRF1 is the average of the SW1 pin rise and fall times</t>
  </si>
  <si>
    <t>Typical values are 20ns to 40ns</t>
  </si>
  <si>
    <t>Pm1=</t>
  </si>
  <si>
    <t>The maximum dissipation M1</t>
  </si>
  <si>
    <t>Select M1</t>
  </si>
  <si>
    <t>Select M3</t>
  </si>
  <si>
    <t>PI2R ≅</t>
  </si>
  <si>
    <t>PI2R=</t>
  </si>
  <si>
    <t>conduction looses</t>
  </si>
  <si>
    <t>Pm3=</t>
  </si>
  <si>
    <t>tRF2 is the average of the SW2 pin rise and fall times and,</t>
  </si>
  <si>
    <t>similar to tRF1, is typically 20ns to 40ns.</t>
  </si>
  <si>
    <t>Select M4</t>
  </si>
  <si>
    <t>P(M4,BOOST)=</t>
  </si>
  <si>
    <t>Tjm1=</t>
  </si>
  <si>
    <t>//junction temperature</t>
  </si>
  <si>
    <t>MOSFET TEMPERATURE</t>
  </si>
  <si>
    <t>Tjm3=</t>
  </si>
  <si>
    <t>Tjm4=</t>
  </si>
  <si>
    <t>Output Voltage:</t>
  </si>
  <si>
    <t>Select RFBOUT2</t>
  </si>
  <si>
    <t>RFBOUT2=</t>
  </si>
  <si>
    <t>k</t>
  </si>
  <si>
    <t>RFBOUT1=</t>
  </si>
  <si>
    <t>Vin(min)=</t>
  </si>
  <si>
    <t>Iin(max)=</t>
  </si>
  <si>
    <t>Расчет силовых компонентов по методике Nordic Energy</t>
  </si>
  <si>
    <t>https://habr.com/ru/post/442374/</t>
  </si>
  <si>
    <t>пульсации тока в дросселе</t>
  </si>
  <si>
    <t xml:space="preserve">dI = </t>
  </si>
  <si>
    <t>минимальное значение индуктивности, которая потребуется, чтобы оставаться в режиме неразрывных токов</t>
  </si>
  <si>
    <t>Lmin=</t>
  </si>
  <si>
    <t>Cout=</t>
  </si>
  <si>
    <t>минимальное значение емкости для конденсатора</t>
  </si>
  <si>
    <t>uF</t>
  </si>
  <si>
    <t>//из таблицы</t>
  </si>
  <si>
    <t>RDACO1=</t>
  </si>
  <si>
    <t>RDACO2=</t>
  </si>
  <si>
    <t>//берем из таблицы</t>
  </si>
  <si>
    <t>CDACO=</t>
  </si>
  <si>
    <t>nF</t>
  </si>
  <si>
    <t>Vin(max)=</t>
  </si>
  <si>
    <t>//от солнечной панели</t>
  </si>
  <si>
    <t>Input Feedback Resistor Network</t>
  </si>
  <si>
    <t>Cdaci=</t>
  </si>
  <si>
    <t>mkF</t>
  </si>
  <si>
    <t>HW Config: Output Current Sense and Limit</t>
  </si>
  <si>
    <t>//max ток зарядки</t>
  </si>
  <si>
    <t>R_IMON_OUT=</t>
  </si>
  <si>
    <t>R_SENSE2=</t>
  </si>
  <si>
    <t>R_IOW=</t>
  </si>
  <si>
    <t>The input current limit</t>
  </si>
  <si>
    <t>R_SENSE1=</t>
  </si>
  <si>
    <t>//ток в рабочей точке панели</t>
  </si>
  <si>
    <t>//от источника питания, nom = 12V</t>
  </si>
  <si>
    <t>//input 7.8V - 15V</t>
  </si>
  <si>
    <t>M</t>
  </si>
  <si>
    <t>DIODE</t>
  </si>
  <si>
    <t xml:space="preserve">Rth(j-c) = </t>
  </si>
  <si>
    <t>//Junction to case</t>
  </si>
  <si>
    <t>STPS8H100, TO-220</t>
  </si>
  <si>
    <t>Vf=</t>
  </si>
  <si>
    <t>at 8A @Tj=125</t>
  </si>
  <si>
    <t>Pdiss=</t>
  </si>
  <si>
    <t>HEATSINK</t>
  </si>
  <si>
    <t>Tj0=</t>
  </si>
  <si>
    <t>Theatsink=</t>
  </si>
  <si>
    <t>//темп. Радиатора</t>
  </si>
  <si>
    <t>Tcase=</t>
  </si>
  <si>
    <t>Tj=</t>
  </si>
  <si>
    <t>//темп. Корпуса диода</t>
  </si>
  <si>
    <t>//темп. Кристалла</t>
  </si>
  <si>
    <t>//heatsink to ambient</t>
  </si>
  <si>
    <t xml:space="preserve">Rth(c-a) = </t>
  </si>
  <si>
    <t>Tcase0=</t>
  </si>
  <si>
    <t>//темп. корпуса без радиатора</t>
  </si>
  <si>
    <t>//темп. кристалла без радиатора</t>
  </si>
  <si>
    <t>Tjmax=</t>
  </si>
  <si>
    <t>//case to heatsink силиконовой изолирующей прокладки</t>
  </si>
  <si>
    <t>HEATSINK CALCULATION</t>
  </si>
  <si>
    <t>Rth(c-r) =</t>
  </si>
  <si>
    <t>Rth(r-a) =</t>
  </si>
  <si>
    <t>//необходимое тепловое сопротивление радиатор-окружающая среда</t>
  </si>
  <si>
    <t>//наш выбор</t>
  </si>
  <si>
    <t>Rr-a(max)=</t>
  </si>
  <si>
    <t>Тихонов Е.Н. 27.02.20</t>
  </si>
  <si>
    <t>7-340-3PP-BA "CTS"</t>
  </si>
  <si>
    <t>Тепловой расчет радиатора для диода</t>
  </si>
  <si>
    <t>//case to ambient</t>
  </si>
  <si>
    <t>at 5A @Tj=125</t>
  </si>
  <si>
    <t>NTS10100MFST3G</t>
  </si>
  <si>
    <t>8-PowerTDFN, 5 Leads</t>
  </si>
  <si>
    <t>exclude</t>
  </si>
  <si>
    <t>Пересчет Rsense (стр. 22 LT8705)</t>
  </si>
  <si>
    <t xml:space="preserve">Rsense = </t>
  </si>
  <si>
    <t>Rfbin1(R20+R17)=</t>
  </si>
  <si>
    <t>Rdaci2 (R24)=</t>
  </si>
  <si>
    <t>Rfbin2(R29)=</t>
  </si>
  <si>
    <t>Rdaci1(R25)=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</si>
</sst>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2"/>
      <color rgb="FF222222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rgb="FF444444"/>
      <name val="Arial"/>
      <family val="2"/>
      <charset val="204"/>
    </font>
    <font>
      <strike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14" fontId="0" fillId="0" borderId="0" xfId="0" applyNumberFormat="1"/>
    <xf numFmtId="0" fontId="2" fillId="0" borderId="0" xfId="1" applyAlignment="1" applyProtection="1"/>
    <xf numFmtId="0" fontId="1" fillId="0" borderId="0" xfId="0" applyFont="1"/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0" fillId="2" borderId="1" xfId="0" applyFill="1" applyBorder="1"/>
    <xf numFmtId="0" fontId="9" fillId="0" borderId="0" xfId="0" applyFont="1"/>
    <xf numFmtId="0" fontId="0" fillId="0" borderId="0" xfId="0" quotePrefix="1"/>
    <xf numFmtId="0" fontId="10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26</xdr:row>
      <xdr:rowOff>38100</xdr:rowOff>
    </xdr:from>
    <xdr:to>
      <xdr:col>8</xdr:col>
      <xdr:colOff>57150</xdr:colOff>
      <xdr:row>29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86200" y="2324100"/>
          <a:ext cx="124777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600075</xdr:colOff>
      <xdr:row>30</xdr:row>
      <xdr:rowOff>57150</xdr:rowOff>
    </xdr:from>
    <xdr:to>
      <xdr:col>6</xdr:col>
      <xdr:colOff>571500</xdr:colOff>
      <xdr:row>32</xdr:row>
      <xdr:rowOff>171450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0" y="3105150"/>
          <a:ext cx="2409825" cy="49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19050</xdr:colOff>
      <xdr:row>38</xdr:row>
      <xdr:rowOff>104775</xdr:rowOff>
    </xdr:from>
    <xdr:to>
      <xdr:col>7</xdr:col>
      <xdr:colOff>247650</xdr:colOff>
      <xdr:row>42</xdr:row>
      <xdr:rowOff>66675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114675" y="4676775"/>
          <a:ext cx="2667000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28575</xdr:colOff>
      <xdr:row>44</xdr:row>
      <xdr:rowOff>85725</xdr:rowOff>
    </xdr:from>
    <xdr:to>
      <xdr:col>9</xdr:col>
      <xdr:colOff>561975</xdr:colOff>
      <xdr:row>47</xdr:row>
      <xdr:rowOff>129418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124200" y="5991225"/>
          <a:ext cx="4191000" cy="6151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581025</xdr:colOff>
      <xdr:row>60</xdr:row>
      <xdr:rowOff>133350</xdr:rowOff>
    </xdr:from>
    <xdr:to>
      <xdr:col>9</xdr:col>
      <xdr:colOff>361950</xdr:colOff>
      <xdr:row>66</xdr:row>
      <xdr:rowOff>164235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067050" y="7372350"/>
          <a:ext cx="4048125" cy="11738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561975</xdr:colOff>
      <xdr:row>68</xdr:row>
      <xdr:rowOff>1152525</xdr:rowOff>
    </xdr:from>
    <xdr:to>
      <xdr:col>9</xdr:col>
      <xdr:colOff>561975</xdr:colOff>
      <xdr:row>71</xdr:row>
      <xdr:rowOff>57150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343275" y="12392025"/>
          <a:ext cx="3657600" cy="809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80</xdr:row>
      <xdr:rowOff>19050</xdr:rowOff>
    </xdr:from>
    <xdr:to>
      <xdr:col>5</xdr:col>
      <xdr:colOff>542925</xdr:colOff>
      <xdr:row>83</xdr:row>
      <xdr:rowOff>16341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143250" y="11830050"/>
          <a:ext cx="1714500" cy="5687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</xdr:colOff>
      <xdr:row>85</xdr:row>
      <xdr:rowOff>114301</xdr:rowOff>
    </xdr:from>
    <xdr:to>
      <xdr:col>7</xdr:col>
      <xdr:colOff>209550</xdr:colOff>
      <xdr:row>88</xdr:row>
      <xdr:rowOff>188787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105150" y="14973301"/>
          <a:ext cx="2638425" cy="6459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89</xdr:row>
      <xdr:rowOff>57150</xdr:rowOff>
    </xdr:from>
    <xdr:to>
      <xdr:col>8</xdr:col>
      <xdr:colOff>219075</xdr:colOff>
      <xdr:row>92</xdr:row>
      <xdr:rowOff>46293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143250" y="15678150"/>
          <a:ext cx="3219450" cy="5606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600075</xdr:colOff>
      <xdr:row>96</xdr:row>
      <xdr:rowOff>142875</xdr:rowOff>
    </xdr:from>
    <xdr:to>
      <xdr:col>5</xdr:col>
      <xdr:colOff>219075</xdr:colOff>
      <xdr:row>98</xdr:row>
      <xdr:rowOff>36458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086100" y="16716375"/>
          <a:ext cx="1447800" cy="2745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571499</xdr:colOff>
      <xdr:row>99</xdr:row>
      <xdr:rowOff>180976</xdr:rowOff>
    </xdr:from>
    <xdr:to>
      <xdr:col>7</xdr:col>
      <xdr:colOff>28574</xdr:colOff>
      <xdr:row>103</xdr:row>
      <xdr:rowOff>41306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057524" y="17706976"/>
          <a:ext cx="2505075" cy="6223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</xdr:colOff>
      <xdr:row>103</xdr:row>
      <xdr:rowOff>104776</xdr:rowOff>
    </xdr:from>
    <xdr:to>
      <xdr:col>5</xdr:col>
      <xdr:colOff>238125</xdr:colOff>
      <xdr:row>105</xdr:row>
      <xdr:rowOff>189140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105150" y="18392776"/>
          <a:ext cx="1447800" cy="4653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106</xdr:row>
      <xdr:rowOff>161926</xdr:rowOff>
    </xdr:from>
    <xdr:to>
      <xdr:col>5</xdr:col>
      <xdr:colOff>57150</xdr:colOff>
      <xdr:row>108</xdr:row>
      <xdr:rowOff>31638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095625" y="19021426"/>
          <a:ext cx="1276350" cy="2507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600074</xdr:colOff>
      <xdr:row>113</xdr:row>
      <xdr:rowOff>179326</xdr:rowOff>
    </xdr:from>
    <xdr:to>
      <xdr:col>7</xdr:col>
      <xdr:colOff>552449</xdr:colOff>
      <xdr:row>117</xdr:row>
      <xdr:rowOff>19050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086099" y="20372326"/>
          <a:ext cx="3000375" cy="6017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561974</xdr:colOff>
      <xdr:row>130</xdr:row>
      <xdr:rowOff>9525</xdr:rowOff>
    </xdr:from>
    <xdr:to>
      <xdr:col>7</xdr:col>
      <xdr:colOff>476249</xdr:colOff>
      <xdr:row>132</xdr:row>
      <xdr:rowOff>132912</xdr:rowOff>
    </xdr:to>
    <xdr:pic>
      <xdr:nvPicPr>
        <xdr:cNvPr id="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047999" y="23631525"/>
          <a:ext cx="2962275" cy="50438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110350</xdr:colOff>
      <xdr:row>140</xdr:row>
      <xdr:rowOff>66676</xdr:rowOff>
    </xdr:from>
    <xdr:to>
      <xdr:col>6</xdr:col>
      <xdr:colOff>390526</xdr:colOff>
      <xdr:row>145</xdr:row>
      <xdr:rowOff>85726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3205975" y="25784176"/>
          <a:ext cx="2108976" cy="971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104775</xdr:colOff>
      <xdr:row>146</xdr:row>
      <xdr:rowOff>19050</xdr:rowOff>
    </xdr:from>
    <xdr:to>
      <xdr:col>6</xdr:col>
      <xdr:colOff>9525</xdr:colOff>
      <xdr:row>148</xdr:row>
      <xdr:rowOff>152816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3200400" y="26879550"/>
          <a:ext cx="1733550" cy="5147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139</xdr:row>
      <xdr:rowOff>0</xdr:rowOff>
    </xdr:from>
    <xdr:to>
      <xdr:col>12</xdr:col>
      <xdr:colOff>285750</xdr:colOff>
      <xdr:row>150</xdr:row>
      <xdr:rowOff>19050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43625" y="25527000"/>
          <a:ext cx="2724150" cy="2114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47625</xdr:colOff>
      <xdr:row>126</xdr:row>
      <xdr:rowOff>47625</xdr:rowOff>
    </xdr:from>
    <xdr:to>
      <xdr:col>12</xdr:col>
      <xdr:colOff>323850</xdr:colOff>
      <xdr:row>137</xdr:row>
      <xdr:rowOff>0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191250" y="23098125"/>
          <a:ext cx="2714625" cy="2047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38099</xdr:colOff>
      <xdr:row>149</xdr:row>
      <xdr:rowOff>0</xdr:rowOff>
    </xdr:from>
    <xdr:to>
      <xdr:col>6</xdr:col>
      <xdr:colOff>409574</xdr:colOff>
      <xdr:row>152</xdr:row>
      <xdr:rowOff>94780</xdr:rowOff>
    </xdr:to>
    <xdr:pic>
      <xdr:nvPicPr>
        <xdr:cNvPr id="10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3133724" y="27432000"/>
          <a:ext cx="2200275" cy="6662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609599</xdr:colOff>
      <xdr:row>153</xdr:row>
      <xdr:rowOff>9525</xdr:rowOff>
    </xdr:from>
    <xdr:to>
      <xdr:col>5</xdr:col>
      <xdr:colOff>66674</xdr:colOff>
      <xdr:row>156</xdr:row>
      <xdr:rowOff>103133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3095624" y="28203525"/>
          <a:ext cx="1285875" cy="665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9524</xdr:colOff>
      <xdr:row>157</xdr:row>
      <xdr:rowOff>181232</xdr:rowOff>
    </xdr:from>
    <xdr:to>
      <xdr:col>13</xdr:col>
      <xdr:colOff>428051</xdr:colOff>
      <xdr:row>173</xdr:row>
      <xdr:rowOff>37620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343649" y="29137232"/>
          <a:ext cx="3466527" cy="2904388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160</xdr:row>
      <xdr:rowOff>24170</xdr:rowOff>
    </xdr:from>
    <xdr:to>
      <xdr:col>7</xdr:col>
      <xdr:colOff>352013</xdr:colOff>
      <xdr:row>168</xdr:row>
      <xdr:rowOff>112948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352800" y="29551670"/>
          <a:ext cx="2171288" cy="1612778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175</xdr:row>
      <xdr:rowOff>6927</xdr:rowOff>
    </xdr:from>
    <xdr:to>
      <xdr:col>13</xdr:col>
      <xdr:colOff>294699</xdr:colOff>
      <xdr:row>189</xdr:row>
      <xdr:rowOff>75730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772150" y="32391927"/>
          <a:ext cx="3352224" cy="273580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176</xdr:row>
      <xdr:rowOff>28575</xdr:rowOff>
    </xdr:from>
    <xdr:to>
      <xdr:col>7</xdr:col>
      <xdr:colOff>570992</xdr:colOff>
      <xdr:row>179</xdr:row>
      <xdr:rowOff>127954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162300" y="32604075"/>
          <a:ext cx="2580767" cy="670879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43</xdr:row>
      <xdr:rowOff>114300</xdr:rowOff>
    </xdr:from>
    <xdr:to>
      <xdr:col>15</xdr:col>
      <xdr:colOff>542555</xdr:colOff>
      <xdr:row>50</xdr:row>
      <xdr:rowOff>95086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629525" y="8305800"/>
          <a:ext cx="2961905" cy="1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49</xdr:row>
      <xdr:rowOff>123825</xdr:rowOff>
    </xdr:from>
    <xdr:to>
      <xdr:col>8</xdr:col>
      <xdr:colOff>18465</xdr:colOff>
      <xdr:row>54</xdr:row>
      <xdr:rowOff>31339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809875" y="9458325"/>
          <a:ext cx="3037890" cy="86001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54</xdr:row>
      <xdr:rowOff>38100</xdr:rowOff>
    </xdr:from>
    <xdr:to>
      <xdr:col>8</xdr:col>
      <xdr:colOff>304071</xdr:colOff>
      <xdr:row>58</xdr:row>
      <xdr:rowOff>58099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809875" y="10325100"/>
          <a:ext cx="3323496" cy="781999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83</xdr:row>
      <xdr:rowOff>142875</xdr:rowOff>
    </xdr:from>
    <xdr:to>
      <xdr:col>15</xdr:col>
      <xdr:colOff>275436</xdr:colOff>
      <xdr:row>95</xdr:row>
      <xdr:rowOff>28713</xdr:rowOff>
    </xdr:to>
    <xdr:pic>
      <xdr:nvPicPr>
        <xdr:cNvPr id="30" name="Рисунок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448425" y="17287875"/>
          <a:ext cx="3923511" cy="21718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19</xdr:row>
      <xdr:rowOff>114300</xdr:rowOff>
    </xdr:from>
    <xdr:to>
      <xdr:col>6</xdr:col>
      <xdr:colOff>171122</xdr:colOff>
      <xdr:row>23</xdr:row>
      <xdr:rowOff>180665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47849" y="885825"/>
          <a:ext cx="1980873" cy="82836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27</xdr:row>
      <xdr:rowOff>0</xdr:rowOff>
    </xdr:from>
    <xdr:to>
      <xdr:col>5</xdr:col>
      <xdr:colOff>533111</xdr:colOff>
      <xdr:row>30</xdr:row>
      <xdr:rowOff>98051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57374" y="2295525"/>
          <a:ext cx="1723737" cy="66955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33</xdr:row>
      <xdr:rowOff>1</xdr:rowOff>
    </xdr:from>
    <xdr:to>
      <xdr:col>6</xdr:col>
      <xdr:colOff>513998</xdr:colOff>
      <xdr:row>37</xdr:row>
      <xdr:rowOff>1043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57400" y="6115051"/>
          <a:ext cx="2304698" cy="7630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190499</xdr:rowOff>
    </xdr:from>
    <xdr:to>
      <xdr:col>3</xdr:col>
      <xdr:colOff>205800</xdr:colOff>
      <xdr:row>32</xdr:row>
      <xdr:rowOff>104774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9"/>
          <a:ext cx="2272725" cy="8667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3</xdr:row>
      <xdr:rowOff>47625</xdr:rowOff>
    </xdr:from>
    <xdr:to>
      <xdr:col>8</xdr:col>
      <xdr:colOff>114057</xdr:colOff>
      <xdr:row>11</xdr:row>
      <xdr:rowOff>87446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" y="619125"/>
          <a:ext cx="1323732" cy="1563821"/>
        </a:xfrm>
        <a:prstGeom prst="rect">
          <a:avLst/>
        </a:prstGeom>
      </xdr:spPr>
    </xdr:pic>
    <xdr:clientData/>
  </xdr:twoCellAnchor>
  <xdr:twoCellAnchor editAs="oneCell">
    <xdr:from>
      <xdr:col>9</xdr:col>
      <xdr:colOff>9524</xdr:colOff>
      <xdr:row>3</xdr:row>
      <xdr:rowOff>47626</xdr:rowOff>
    </xdr:from>
    <xdr:to>
      <xdr:col>12</xdr:col>
      <xdr:colOff>475767</xdr:colOff>
      <xdr:row>12</xdr:row>
      <xdr:rowOff>78492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4049" y="619126"/>
          <a:ext cx="2295043" cy="17453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142875</xdr:rowOff>
    </xdr:from>
    <xdr:to>
      <xdr:col>10</xdr:col>
      <xdr:colOff>514059</xdr:colOff>
      <xdr:row>11</xdr:row>
      <xdr:rowOff>18804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142875"/>
          <a:ext cx="2323809" cy="1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15kOhm@202kHz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abr.com/ru/post/442374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9"/>
  <sheetViews>
    <sheetView tabSelected="1" topLeftCell="A70" zoomScaleNormal="100" workbookViewId="0">
      <selection activeCell="B77" sqref="B77"/>
    </sheetView>
  </sheetViews>
  <sheetFormatPr defaultRowHeight="15" x14ac:dyDescent="0.25"/>
  <cols>
    <col min="1" max="1" width="19.85546875" customWidth="1"/>
    <col min="2" max="2" width="12.710937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s="1">
        <v>43879</v>
      </c>
    </row>
    <row r="5" spans="1:4" x14ac:dyDescent="0.25">
      <c r="A5" s="6" t="s">
        <v>41</v>
      </c>
    </row>
    <row r="7" spans="1:4" x14ac:dyDescent="0.25">
      <c r="A7" t="s">
        <v>77</v>
      </c>
      <c r="B7">
        <v>7.81</v>
      </c>
      <c r="C7" t="s">
        <v>4</v>
      </c>
      <c r="D7" t="s">
        <v>95</v>
      </c>
    </row>
    <row r="8" spans="1:4" x14ac:dyDescent="0.25">
      <c r="A8" t="s">
        <v>94</v>
      </c>
      <c r="B8">
        <v>24</v>
      </c>
      <c r="C8" t="s">
        <v>4</v>
      </c>
      <c r="D8" t="s">
        <v>107</v>
      </c>
    </row>
    <row r="9" spans="1:4" x14ac:dyDescent="0.25">
      <c r="A9" t="s">
        <v>78</v>
      </c>
      <c r="B9">
        <f>8.5</f>
        <v>8.5</v>
      </c>
      <c r="C9" t="s">
        <v>5</v>
      </c>
      <c r="D9" t="s">
        <v>106</v>
      </c>
    </row>
    <row r="10" spans="1:4" x14ac:dyDescent="0.25">
      <c r="A10" t="s">
        <v>21</v>
      </c>
      <c r="B10">
        <f>3.7*11</f>
        <v>40.700000000000003</v>
      </c>
      <c r="C10" t="s">
        <v>4</v>
      </c>
      <c r="D10" t="s">
        <v>23</v>
      </c>
    </row>
    <row r="11" spans="1:4" x14ac:dyDescent="0.25">
      <c r="A11" t="s">
        <v>22</v>
      </c>
      <c r="B11">
        <f>4.2*11</f>
        <v>46.2</v>
      </c>
      <c r="C11" t="s">
        <v>4</v>
      </c>
      <c r="D11" t="s">
        <v>24</v>
      </c>
    </row>
    <row r="12" spans="1:4" x14ac:dyDescent="0.25">
      <c r="A12" t="s">
        <v>2</v>
      </c>
      <c r="B12">
        <v>2</v>
      </c>
      <c r="C12" t="s">
        <v>5</v>
      </c>
      <c r="D12" t="s">
        <v>100</v>
      </c>
    </row>
    <row r="13" spans="1:4" x14ac:dyDescent="0.25">
      <c r="A13" t="s">
        <v>3</v>
      </c>
      <c r="B13">
        <v>202</v>
      </c>
      <c r="C13" t="s">
        <v>28</v>
      </c>
    </row>
    <row r="14" spans="1:4" x14ac:dyDescent="0.25">
      <c r="A14" t="s">
        <v>38</v>
      </c>
      <c r="B14">
        <v>40</v>
      </c>
      <c r="C14" t="s">
        <v>46</v>
      </c>
      <c r="D14" t="s">
        <v>40</v>
      </c>
    </row>
    <row r="16" spans="1:4" x14ac:dyDescent="0.25">
      <c r="A16" s="6" t="s">
        <v>36</v>
      </c>
      <c r="B16" t="s">
        <v>43</v>
      </c>
    </row>
    <row r="18" spans="1:4" x14ac:dyDescent="0.25">
      <c r="A18" t="s">
        <v>37</v>
      </c>
      <c r="B18">
        <f>150</f>
        <v>150</v>
      </c>
      <c r="C18" t="s">
        <v>46</v>
      </c>
      <c r="D18" t="s">
        <v>39</v>
      </c>
    </row>
    <row r="19" spans="1:4" x14ac:dyDescent="0.25">
      <c r="A19" t="s">
        <v>44</v>
      </c>
      <c r="B19">
        <v>25</v>
      </c>
      <c r="C19" s="7" t="s">
        <v>45</v>
      </c>
      <c r="D19" t="s">
        <v>47</v>
      </c>
    </row>
    <row r="20" spans="1:4" x14ac:dyDescent="0.25">
      <c r="A20" t="s">
        <v>49</v>
      </c>
      <c r="B20">
        <f>12.5</f>
        <v>12.5</v>
      </c>
      <c r="C20" t="s">
        <v>20</v>
      </c>
      <c r="D20" t="s">
        <v>50</v>
      </c>
    </row>
    <row r="24" spans="1:4" x14ac:dyDescent="0.25">
      <c r="A24" s="3" t="s">
        <v>42</v>
      </c>
    </row>
    <row r="26" spans="1:4" x14ac:dyDescent="0.25">
      <c r="A26" s="3" t="s">
        <v>6</v>
      </c>
    </row>
    <row r="28" spans="1:4" x14ac:dyDescent="0.25">
      <c r="A28" t="s">
        <v>7</v>
      </c>
      <c r="B28">
        <f>(43750/B13-1)</f>
        <v>215.58415841584159</v>
      </c>
      <c r="C28" t="s">
        <v>8</v>
      </c>
      <c r="D28" s="2" t="s">
        <v>29</v>
      </c>
    </row>
    <row r="30" spans="1:4" x14ac:dyDescent="0.25">
      <c r="A30" s="3" t="s">
        <v>9</v>
      </c>
    </row>
    <row r="32" spans="1:4" x14ac:dyDescent="0.25">
      <c r="A32" t="s">
        <v>11</v>
      </c>
      <c r="B32">
        <f>(1-B7/B11)*100</f>
        <v>83.095238095238102</v>
      </c>
      <c r="C32" t="s">
        <v>10</v>
      </c>
    </row>
    <row r="35" spans="1:4" x14ac:dyDescent="0.25">
      <c r="A35" t="s">
        <v>12</v>
      </c>
      <c r="B35">
        <v>80</v>
      </c>
      <c r="C35" t="s">
        <v>13</v>
      </c>
      <c r="D35" s="4" t="s">
        <v>14</v>
      </c>
    </row>
    <row r="36" spans="1:4" x14ac:dyDescent="0.25">
      <c r="D36" s="4"/>
    </row>
    <row r="37" spans="1:4" x14ac:dyDescent="0.25">
      <c r="A37" s="3" t="s">
        <v>15</v>
      </c>
      <c r="D37" s="4"/>
    </row>
    <row r="38" spans="1:4" x14ac:dyDescent="0.25">
      <c r="A38" s="3" t="s">
        <v>16</v>
      </c>
      <c r="D38" s="4"/>
    </row>
    <row r="39" spans="1:4" x14ac:dyDescent="0.25">
      <c r="D39" s="4"/>
    </row>
    <row r="40" spans="1:4" x14ac:dyDescent="0.25">
      <c r="A40" t="s">
        <v>17</v>
      </c>
      <c r="B40">
        <f>(B11*B12)/(B7*(100/40-0.5))</f>
        <v>5.9154929577464799</v>
      </c>
      <c r="C40" t="s">
        <v>5</v>
      </c>
    </row>
    <row r="44" spans="1:4" x14ac:dyDescent="0.25">
      <c r="A44" s="3" t="s">
        <v>18</v>
      </c>
    </row>
    <row r="46" spans="1:4" x14ac:dyDescent="0.25">
      <c r="A46" s="13" t="s">
        <v>19</v>
      </c>
      <c r="B46" s="13">
        <f>2*B35*B7/((2*B12*B11)+(B40*B7))</f>
        <v>5.409523809523809</v>
      </c>
      <c r="C46" s="13" t="s">
        <v>20</v>
      </c>
    </row>
    <row r="48" spans="1:4" x14ac:dyDescent="0.25">
      <c r="A48" t="s">
        <v>25</v>
      </c>
    </row>
    <row r="50" spans="1:4" x14ac:dyDescent="0.25">
      <c r="A50" t="s">
        <v>19</v>
      </c>
      <c r="B50">
        <f>B46*1.3</f>
        <v>7.0323809523809517</v>
      </c>
      <c r="C50" t="s">
        <v>20</v>
      </c>
    </row>
    <row r="51" spans="1:4" x14ac:dyDescent="0.25">
      <c r="B51">
        <v>6</v>
      </c>
      <c r="C51" t="s">
        <v>20</v>
      </c>
    </row>
    <row r="52" spans="1:4" x14ac:dyDescent="0.25">
      <c r="A52" s="3" t="s">
        <v>146</v>
      </c>
    </row>
    <row r="54" spans="1:4" x14ac:dyDescent="0.25">
      <c r="A54" t="s">
        <v>17</v>
      </c>
      <c r="B54">
        <f>(B32/100*B7)/(B13*1000*B77*10^(-6))</f>
        <v>0.97355807009272366</v>
      </c>
      <c r="C54" t="s">
        <v>5</v>
      </c>
    </row>
    <row r="56" spans="1:4" x14ac:dyDescent="0.25">
      <c r="A56" t="s">
        <v>147</v>
      </c>
      <c r="B56">
        <f>(2*B35/1000*B7)/((2*B12*B11)+(B54*B7))*1000</f>
        <v>6.4946847355207318</v>
      </c>
      <c r="C56" t="s">
        <v>20</v>
      </c>
    </row>
    <row r="57" spans="1:4" x14ac:dyDescent="0.25">
      <c r="B57" s="3">
        <v>6</v>
      </c>
      <c r="C57" t="s">
        <v>20</v>
      </c>
      <c r="D57" s="12"/>
    </row>
    <row r="62" spans="1:4" x14ac:dyDescent="0.25">
      <c r="A62" s="3" t="s">
        <v>26</v>
      </c>
    </row>
    <row r="64" spans="1:4" x14ac:dyDescent="0.25">
      <c r="A64" t="s">
        <v>27</v>
      </c>
      <c r="B64">
        <f>B7*B32/100  /  (2*B13*1000*(B35/B51/1000-B12*B11/B7))  * 10^6</f>
        <v>-1.3592977154177235</v>
      </c>
      <c r="C64" t="s">
        <v>30</v>
      </c>
    </row>
    <row r="69" spans="1:4" ht="120" x14ac:dyDescent="0.25">
      <c r="A69" s="5" t="s">
        <v>33</v>
      </c>
    </row>
    <row r="71" spans="1:4" x14ac:dyDescent="0.25">
      <c r="A71" t="s">
        <v>32</v>
      </c>
      <c r="B71">
        <f>(B11-(B7*B11/(B11-B7))*B51/1000)/(0.08*B13*1000)  * 10^6</f>
        <v>2855.4212176231949</v>
      </c>
      <c r="C71" t="s">
        <v>30</v>
      </c>
    </row>
    <row r="76" spans="1:4" x14ac:dyDescent="0.25">
      <c r="A76" t="s">
        <v>31</v>
      </c>
    </row>
    <row r="77" spans="1:4" x14ac:dyDescent="0.25">
      <c r="A77" t="s">
        <v>27</v>
      </c>
      <c r="B77" s="3">
        <v>33</v>
      </c>
      <c r="C77" t="s">
        <v>30</v>
      </c>
      <c r="D77" t="s">
        <v>108</v>
      </c>
    </row>
    <row r="80" spans="1:4" x14ac:dyDescent="0.25">
      <c r="A80" t="s">
        <v>34</v>
      </c>
    </row>
    <row r="82" spans="1:3" x14ac:dyDescent="0.25">
      <c r="A82" t="s">
        <v>35</v>
      </c>
      <c r="B82">
        <f>(B18-B14)/B19</f>
        <v>4.4000000000000004</v>
      </c>
      <c r="C82" t="s">
        <v>48</v>
      </c>
    </row>
    <row r="85" spans="1:3" x14ac:dyDescent="0.25">
      <c r="A85" s="3" t="s">
        <v>57</v>
      </c>
    </row>
    <row r="86" spans="1:3" x14ac:dyDescent="0.25">
      <c r="A86" t="s">
        <v>61</v>
      </c>
    </row>
    <row r="87" spans="1:3" x14ac:dyDescent="0.25">
      <c r="A87" t="s">
        <v>59</v>
      </c>
      <c r="B87">
        <f>(B11/B7*B12)^2*B20/1000*1.5</f>
        <v>2.6244792699861144</v>
      </c>
      <c r="C87" t="s">
        <v>48</v>
      </c>
    </row>
    <row r="89" spans="1:3" x14ac:dyDescent="0.25">
      <c r="A89" t="s">
        <v>51</v>
      </c>
    </row>
    <row r="91" spans="1:3" x14ac:dyDescent="0.25">
      <c r="A91" t="s">
        <v>52</v>
      </c>
      <c r="B91">
        <f>B7*B12*B13*1000*20*10^(-9)</f>
        <v>6.3104800000000003E-2</v>
      </c>
      <c r="C91" t="s">
        <v>48</v>
      </c>
    </row>
    <row r="93" spans="1:3" x14ac:dyDescent="0.25">
      <c r="A93" t="s">
        <v>53</v>
      </c>
    </row>
    <row r="94" spans="1:3" x14ac:dyDescent="0.25">
      <c r="A94" t="s">
        <v>54</v>
      </c>
    </row>
    <row r="97" spans="1:3" x14ac:dyDescent="0.25">
      <c r="A97" t="s">
        <v>56</v>
      </c>
    </row>
    <row r="98" spans="1:3" x14ac:dyDescent="0.25">
      <c r="A98" t="s">
        <v>55</v>
      </c>
      <c r="B98">
        <f>B87+B91</f>
        <v>2.6875840699861144</v>
      </c>
      <c r="C98" t="s">
        <v>48</v>
      </c>
    </row>
    <row r="100" spans="1:3" x14ac:dyDescent="0.25">
      <c r="A100" s="3" t="s">
        <v>58</v>
      </c>
    </row>
    <row r="101" spans="1:3" x14ac:dyDescent="0.25">
      <c r="A101" t="s">
        <v>61</v>
      </c>
    </row>
    <row r="102" spans="1:3" x14ac:dyDescent="0.25">
      <c r="A102" t="s">
        <v>60</v>
      </c>
      <c r="B102">
        <f>(B11-B7)*B11*B12^2*B20/1000*1.5 / B7^2</f>
        <v>2.1808172981551284</v>
      </c>
      <c r="C102" t="s">
        <v>48</v>
      </c>
    </row>
    <row r="105" spans="1:3" x14ac:dyDescent="0.25">
      <c r="A105" t="s">
        <v>52</v>
      </c>
      <c r="B105">
        <f>B11^2*B12*B13*1000*20^(-9)/B7</f>
        <v>2.1564744718309862E-4</v>
      </c>
      <c r="C105" t="s">
        <v>48</v>
      </c>
    </row>
    <row r="108" spans="1:3" x14ac:dyDescent="0.25">
      <c r="A108" t="s">
        <v>62</v>
      </c>
      <c r="B108">
        <f>B102+B105</f>
        <v>2.1810329456023116</v>
      </c>
      <c r="C108" t="s">
        <v>48</v>
      </c>
    </row>
    <row r="110" spans="1:3" x14ac:dyDescent="0.25">
      <c r="A110" t="s">
        <v>63</v>
      </c>
    </row>
    <row r="111" spans="1:3" x14ac:dyDescent="0.25">
      <c r="A111" t="s">
        <v>64</v>
      </c>
    </row>
    <row r="114" spans="1:4" x14ac:dyDescent="0.25">
      <c r="A114" s="3" t="s">
        <v>65</v>
      </c>
    </row>
    <row r="116" spans="1:4" x14ac:dyDescent="0.25">
      <c r="A116" t="s">
        <v>66</v>
      </c>
      <c r="B116">
        <f>B11/B7*B12^2*1.5*B20/1000</f>
        <v>0.44366197183098599</v>
      </c>
      <c r="C116" t="s">
        <v>48</v>
      </c>
    </row>
    <row r="119" spans="1:4" x14ac:dyDescent="0.25">
      <c r="A119" s="3" t="s">
        <v>69</v>
      </c>
    </row>
    <row r="121" spans="1:4" x14ac:dyDescent="0.25">
      <c r="A121" t="s">
        <v>67</v>
      </c>
      <c r="B121">
        <f>B98*B19+B14</f>
        <v>107.18960174965287</v>
      </c>
      <c r="C121" t="s">
        <v>46</v>
      </c>
      <c r="D121" t="s">
        <v>68</v>
      </c>
    </row>
    <row r="122" spans="1:4" x14ac:dyDescent="0.25">
      <c r="A122" t="s">
        <v>70</v>
      </c>
      <c r="B122">
        <f>B108*B19+B14</f>
        <v>94.525823640057794</v>
      </c>
      <c r="C122" t="s">
        <v>46</v>
      </c>
    </row>
    <row r="123" spans="1:4" x14ac:dyDescent="0.25">
      <c r="A123" t="s">
        <v>71</v>
      </c>
      <c r="B123">
        <f>B116*B19+B14</f>
        <v>51.091549295774648</v>
      </c>
      <c r="C123" t="s">
        <v>46</v>
      </c>
    </row>
    <row r="126" spans="1:4" x14ac:dyDescent="0.25">
      <c r="A126" s="3" t="s">
        <v>72</v>
      </c>
    </row>
    <row r="128" spans="1:4" x14ac:dyDescent="0.25">
      <c r="A128" t="s">
        <v>73</v>
      </c>
    </row>
    <row r="130" spans="1:4" x14ac:dyDescent="0.25">
      <c r="A130" t="s">
        <v>74</v>
      </c>
      <c r="B130">
        <v>20</v>
      </c>
      <c r="C130" t="s">
        <v>75</v>
      </c>
      <c r="D130" t="s">
        <v>88</v>
      </c>
    </row>
    <row r="132" spans="1:4" x14ac:dyDescent="0.25">
      <c r="A132" t="s">
        <v>76</v>
      </c>
      <c r="B132">
        <f>B130*((B11*1.241/1.211-0.128)-1)</f>
        <v>924.33017341040465</v>
      </c>
      <c r="C132" t="s">
        <v>75</v>
      </c>
    </row>
    <row r="133" spans="1:4" x14ac:dyDescent="0.25">
      <c r="A133" t="s">
        <v>76</v>
      </c>
      <c r="B133">
        <v>1</v>
      </c>
      <c r="C133" t="s">
        <v>109</v>
      </c>
    </row>
    <row r="135" spans="1:4" x14ac:dyDescent="0.25">
      <c r="A135" t="s">
        <v>90</v>
      </c>
      <c r="B135">
        <f>115</f>
        <v>115</v>
      </c>
      <c r="C135" t="s">
        <v>75</v>
      </c>
      <c r="D135" t="s">
        <v>91</v>
      </c>
    </row>
    <row r="136" spans="1:4" x14ac:dyDescent="0.25">
      <c r="A136" t="s">
        <v>89</v>
      </c>
      <c r="B136">
        <f>22.6</f>
        <v>22.6</v>
      </c>
      <c r="C136" t="s">
        <v>75</v>
      </c>
      <c r="D136" t="s">
        <v>91</v>
      </c>
    </row>
    <row r="137" spans="1:4" x14ac:dyDescent="0.25">
      <c r="A137" t="s">
        <v>92</v>
      </c>
      <c r="B137">
        <v>100</v>
      </c>
      <c r="C137" t="s">
        <v>93</v>
      </c>
      <c r="D137" t="s">
        <v>91</v>
      </c>
    </row>
    <row r="140" spans="1:4" x14ac:dyDescent="0.25">
      <c r="A140" s="3" t="s">
        <v>96</v>
      </c>
    </row>
    <row r="141" spans="1:4" x14ac:dyDescent="0.25">
      <c r="A141" s="3"/>
    </row>
    <row r="143" spans="1:4" x14ac:dyDescent="0.25">
      <c r="A143" t="s">
        <v>148</v>
      </c>
      <c r="B143">
        <f>100*((1+4.47/(B8-6))/(1+5.593/(B8-6)))</f>
        <v>95.240113593014883</v>
      </c>
      <c r="C143" t="s">
        <v>75</v>
      </c>
    </row>
    <row r="144" spans="1:4" x14ac:dyDescent="0.25">
      <c r="B144" s="9">
        <f>91+3.9</f>
        <v>94.9</v>
      </c>
      <c r="C144" t="s">
        <v>75</v>
      </c>
    </row>
    <row r="148" spans="1:3" x14ac:dyDescent="0.25">
      <c r="A148" t="s">
        <v>149</v>
      </c>
      <c r="B148">
        <f>2.75*B144/(B8-6)</f>
        <v>14.498611111111112</v>
      </c>
      <c r="C148" t="s">
        <v>75</v>
      </c>
    </row>
    <row r="149" spans="1:3" x14ac:dyDescent="0.25">
      <c r="B149">
        <v>15</v>
      </c>
      <c r="C149" t="s">
        <v>75</v>
      </c>
    </row>
    <row r="151" spans="1:3" x14ac:dyDescent="0.25">
      <c r="A151" t="s">
        <v>150</v>
      </c>
      <c r="B151">
        <f>1/(1/(100-B144)-1/B149)</f>
        <v>7.7272727272727151</v>
      </c>
      <c r="C151" t="s">
        <v>75</v>
      </c>
    </row>
    <row r="152" spans="1:3" x14ac:dyDescent="0.25">
      <c r="B152">
        <v>7.5</v>
      </c>
    </row>
    <row r="154" spans="1:3" x14ac:dyDescent="0.25">
      <c r="A154" t="s">
        <v>151</v>
      </c>
      <c r="B154">
        <f>0.2*B149</f>
        <v>3</v>
      </c>
      <c r="C154" t="s">
        <v>75</v>
      </c>
    </row>
    <row r="156" spans="1:3" x14ac:dyDescent="0.25">
      <c r="A156" t="s">
        <v>97</v>
      </c>
      <c r="B156">
        <f>1/(1000*B154*1000)*10^6</f>
        <v>0.33333333333333337</v>
      </c>
      <c r="C156" t="s">
        <v>98</v>
      </c>
    </row>
    <row r="157" spans="1:3" x14ac:dyDescent="0.25">
      <c r="B157">
        <f>0.47</f>
        <v>0.47</v>
      </c>
      <c r="C157" t="s">
        <v>98</v>
      </c>
    </row>
    <row r="159" spans="1:3" x14ac:dyDescent="0.25">
      <c r="A159" s="3" t="s">
        <v>99</v>
      </c>
    </row>
    <row r="162" spans="1:3" x14ac:dyDescent="0.25">
      <c r="A162" t="s">
        <v>102</v>
      </c>
      <c r="B162">
        <f>0.0497/B12*1000</f>
        <v>24.85</v>
      </c>
      <c r="C162" t="s">
        <v>20</v>
      </c>
    </row>
    <row r="163" spans="1:3" x14ac:dyDescent="0.25">
      <c r="B163">
        <v>25</v>
      </c>
      <c r="C163" t="s">
        <v>20</v>
      </c>
    </row>
    <row r="165" spans="1:3" x14ac:dyDescent="0.25">
      <c r="A165" t="s">
        <v>101</v>
      </c>
      <c r="B165">
        <f>1208/(B12*1*B163/1000)/1000</f>
        <v>24.16</v>
      </c>
      <c r="C165" t="s">
        <v>75</v>
      </c>
    </row>
    <row r="166" spans="1:3" x14ac:dyDescent="0.25">
      <c r="B166">
        <v>25</v>
      </c>
      <c r="C166" t="s">
        <v>75</v>
      </c>
    </row>
    <row r="168" spans="1:3" x14ac:dyDescent="0.25">
      <c r="A168" t="s">
        <v>103</v>
      </c>
      <c r="B168">
        <f>24.3*B166/(B166-24.3)</f>
        <v>867.85714285714369</v>
      </c>
      <c r="C168" t="s">
        <v>75</v>
      </c>
    </row>
    <row r="169" spans="1:3" x14ac:dyDescent="0.25">
      <c r="B169" t="s">
        <v>145</v>
      </c>
      <c r="C169" t="s">
        <v>75</v>
      </c>
    </row>
    <row r="176" spans="1:3" x14ac:dyDescent="0.25">
      <c r="A176" s="3" t="s">
        <v>104</v>
      </c>
    </row>
    <row r="178" spans="1:3" x14ac:dyDescent="0.25">
      <c r="A178" t="s">
        <v>105</v>
      </c>
      <c r="B178">
        <f>0.0505/(1.3*B9) * 1000</f>
        <v>4.5701357466063355</v>
      </c>
      <c r="C178" t="s">
        <v>20</v>
      </c>
    </row>
    <row r="179" spans="1:3" x14ac:dyDescent="0.25">
      <c r="B179">
        <v>5</v>
      </c>
      <c r="C179" t="s">
        <v>20</v>
      </c>
    </row>
  </sheetData>
  <hyperlinks>
    <hyperlink ref="D28" r:id="rId1"/>
  </hyperlinks>
  <pageMargins left="0.7" right="0.7" top="0.75" bottom="0.75" header="0.3" footer="0.3"/>
  <pageSetup paperSize="9" orientation="portrait" horizontalDpi="180" verticalDpi="18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14" workbookViewId="0">
      <selection activeCell="B6" sqref="B6"/>
    </sheetView>
  </sheetViews>
  <sheetFormatPr defaultRowHeight="15" x14ac:dyDescent="0.25"/>
  <cols>
    <col min="1" max="1" width="15.42578125" customWidth="1"/>
    <col min="2" max="2" width="12" bestFit="1" customWidth="1"/>
  </cols>
  <sheetData>
    <row r="1" spans="1:4" x14ac:dyDescent="0.25">
      <c r="A1" t="s">
        <v>79</v>
      </c>
    </row>
    <row r="2" spans="1:4" x14ac:dyDescent="0.25">
      <c r="A2" s="2" t="s">
        <v>80</v>
      </c>
    </row>
    <row r="4" spans="1:4" x14ac:dyDescent="0.25">
      <c r="A4" s="6" t="s">
        <v>41</v>
      </c>
    </row>
    <row r="6" spans="1:4" x14ac:dyDescent="0.25">
      <c r="A6" t="s">
        <v>77</v>
      </c>
      <c r="B6">
        <v>7.81</v>
      </c>
      <c r="C6" t="s">
        <v>4</v>
      </c>
    </row>
    <row r="7" spans="1:4" x14ac:dyDescent="0.25">
      <c r="A7" t="s">
        <v>94</v>
      </c>
      <c r="B7">
        <v>24</v>
      </c>
      <c r="C7" t="s">
        <v>4</v>
      </c>
    </row>
    <row r="8" spans="1:4" x14ac:dyDescent="0.25">
      <c r="A8" t="s">
        <v>78</v>
      </c>
      <c r="B8">
        <f>8.5</f>
        <v>8.5</v>
      </c>
      <c r="C8" t="s">
        <v>5</v>
      </c>
    </row>
    <row r="9" spans="1:4" x14ac:dyDescent="0.25">
      <c r="A9" t="s">
        <v>21</v>
      </c>
      <c r="B9">
        <v>46.2</v>
      </c>
      <c r="C9" t="s">
        <v>4</v>
      </c>
      <c r="D9" t="s">
        <v>23</v>
      </c>
    </row>
    <row r="10" spans="1:4" x14ac:dyDescent="0.25">
      <c r="A10" t="s">
        <v>22</v>
      </c>
      <c r="B10">
        <v>46.2</v>
      </c>
      <c r="C10" t="s">
        <v>4</v>
      </c>
      <c r="D10" t="s">
        <v>24</v>
      </c>
    </row>
    <row r="11" spans="1:4" x14ac:dyDescent="0.25">
      <c r="A11" t="s">
        <v>2</v>
      </c>
      <c r="B11">
        <v>2</v>
      </c>
      <c r="C11" t="s">
        <v>5</v>
      </c>
    </row>
    <row r="12" spans="1:4" x14ac:dyDescent="0.25">
      <c r="A12" t="s">
        <v>3</v>
      </c>
      <c r="B12">
        <v>202</v>
      </c>
      <c r="C12" t="s">
        <v>28</v>
      </c>
    </row>
    <row r="13" spans="1:4" x14ac:dyDescent="0.25">
      <c r="A13" t="s">
        <v>38</v>
      </c>
      <c r="B13">
        <v>60</v>
      </c>
      <c r="C13" t="s">
        <v>46</v>
      </c>
      <c r="D13" t="s">
        <v>40</v>
      </c>
    </row>
    <row r="19" spans="1:3" ht="15.75" x14ac:dyDescent="0.25">
      <c r="A19" s="8" t="s">
        <v>81</v>
      </c>
    </row>
    <row r="22" spans="1:3" x14ac:dyDescent="0.25">
      <c r="A22" t="s">
        <v>82</v>
      </c>
      <c r="B22">
        <f>0.3*B11/(1-PowerPart!B32/100)</f>
        <v>3.5492957746478884</v>
      </c>
      <c r="C22" t="s">
        <v>5</v>
      </c>
    </row>
    <row r="26" spans="1:3" x14ac:dyDescent="0.25">
      <c r="A26" t="s">
        <v>83</v>
      </c>
    </row>
    <row r="29" spans="1:3" x14ac:dyDescent="0.25">
      <c r="A29" t="s">
        <v>84</v>
      </c>
      <c r="B29">
        <f>B6*PowerPart!B32/100/((Nordic!B12*1000)*Nordic!B22)*10^6</f>
        <v>9.0517720564573452</v>
      </c>
      <c r="C29" t="s">
        <v>30</v>
      </c>
    </row>
    <row r="32" spans="1:3" ht="15.75" x14ac:dyDescent="0.25">
      <c r="A32" s="8" t="s">
        <v>86</v>
      </c>
    </row>
    <row r="36" spans="1:3" x14ac:dyDescent="0.25">
      <c r="A36" t="s">
        <v>85</v>
      </c>
      <c r="B36">
        <f>(B10-B6)*B11/(B10*B12*1000*0.1)*10^6</f>
        <v>82.272512965582251</v>
      </c>
      <c r="C36" t="s">
        <v>87</v>
      </c>
    </row>
  </sheetData>
  <hyperlinks>
    <hyperlink ref="A2" r:id="rId1"/>
  </hyperlinks>
  <pageMargins left="0.7" right="0.7" top="0.75" bottom="0.75" header="0.3" footer="0.3"/>
  <pageSetup paperSize="9" orientation="portrait" horizontalDpi="180" verticalDpi="18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2" workbookViewId="0">
      <selection activeCell="L20" sqref="L20"/>
    </sheetView>
  </sheetViews>
  <sheetFormatPr defaultRowHeight="15" x14ac:dyDescent="0.25"/>
  <cols>
    <col min="1" max="1" width="12.7109375" customWidth="1"/>
  </cols>
  <sheetData>
    <row r="1" spans="1:4" x14ac:dyDescent="0.25">
      <c r="A1" t="s">
        <v>140</v>
      </c>
    </row>
    <row r="2" spans="1:4" x14ac:dyDescent="0.25">
      <c r="A2" t="s">
        <v>138</v>
      </c>
    </row>
    <row r="5" spans="1:4" x14ac:dyDescent="0.25">
      <c r="A5" s="6" t="s">
        <v>41</v>
      </c>
    </row>
    <row r="7" spans="1:4" x14ac:dyDescent="0.25">
      <c r="A7" t="s">
        <v>2</v>
      </c>
      <c r="B7" s="10">
        <v>5</v>
      </c>
      <c r="C7" t="s">
        <v>5</v>
      </c>
    </row>
    <row r="8" spans="1:4" x14ac:dyDescent="0.25">
      <c r="A8" t="s">
        <v>38</v>
      </c>
      <c r="B8" s="10">
        <v>40</v>
      </c>
      <c r="C8" t="s">
        <v>46</v>
      </c>
      <c r="D8" t="s">
        <v>40</v>
      </c>
    </row>
    <row r="10" spans="1:4" x14ac:dyDescent="0.25">
      <c r="A10" s="3" t="s">
        <v>110</v>
      </c>
    </row>
    <row r="11" spans="1:4" x14ac:dyDescent="0.25">
      <c r="A11" t="s">
        <v>113</v>
      </c>
    </row>
    <row r="13" spans="1:4" x14ac:dyDescent="0.25">
      <c r="A13" t="s">
        <v>130</v>
      </c>
      <c r="B13">
        <f>150</f>
        <v>150</v>
      </c>
      <c r="C13" t="s">
        <v>46</v>
      </c>
    </row>
    <row r="14" spans="1:4" x14ac:dyDescent="0.25">
      <c r="A14" t="s">
        <v>111</v>
      </c>
      <c r="B14">
        <f>1.6</f>
        <v>1.6</v>
      </c>
      <c r="C14" t="s">
        <v>45</v>
      </c>
      <c r="D14" t="s">
        <v>112</v>
      </c>
    </row>
    <row r="15" spans="1:4" x14ac:dyDescent="0.25">
      <c r="A15" t="s">
        <v>126</v>
      </c>
      <c r="B15">
        <v>70</v>
      </c>
      <c r="C15" t="s">
        <v>45</v>
      </c>
      <c r="D15" t="s">
        <v>141</v>
      </c>
    </row>
    <row r="16" spans="1:4" x14ac:dyDescent="0.25">
      <c r="A16" t="s">
        <v>114</v>
      </c>
      <c r="B16">
        <f>0.56</f>
        <v>0.56000000000000005</v>
      </c>
      <c r="C16" t="s">
        <v>4</v>
      </c>
      <c r="D16" t="s">
        <v>115</v>
      </c>
    </row>
    <row r="18" spans="1:4" x14ac:dyDescent="0.25">
      <c r="A18" s="3" t="s">
        <v>117</v>
      </c>
      <c r="B18" t="s">
        <v>139</v>
      </c>
    </row>
    <row r="19" spans="1:4" x14ac:dyDescent="0.25">
      <c r="A19" t="s">
        <v>133</v>
      </c>
      <c r="B19">
        <f>0.5</f>
        <v>0.5</v>
      </c>
      <c r="C19" t="s">
        <v>45</v>
      </c>
      <c r="D19" t="s">
        <v>131</v>
      </c>
    </row>
    <row r="20" spans="1:4" x14ac:dyDescent="0.25">
      <c r="A20" t="s">
        <v>134</v>
      </c>
      <c r="B20">
        <v>1</v>
      </c>
      <c r="C20" t="s">
        <v>45</v>
      </c>
      <c r="D20" t="s">
        <v>125</v>
      </c>
    </row>
    <row r="22" spans="1:4" x14ac:dyDescent="0.25">
      <c r="A22" t="s">
        <v>116</v>
      </c>
      <c r="B22">
        <f>B16*B7</f>
        <v>2.8000000000000003</v>
      </c>
      <c r="C22" t="s">
        <v>48</v>
      </c>
    </row>
    <row r="24" spans="1:4" x14ac:dyDescent="0.25">
      <c r="A24" t="s">
        <v>127</v>
      </c>
      <c r="B24">
        <f>B22*B15+B8</f>
        <v>236.00000000000003</v>
      </c>
      <c r="C24" t="s">
        <v>46</v>
      </c>
      <c r="D24" t="s">
        <v>128</v>
      </c>
    </row>
    <row r="25" spans="1:4" x14ac:dyDescent="0.25">
      <c r="A25" t="s">
        <v>118</v>
      </c>
      <c r="B25">
        <f>B22*B14+B24</f>
        <v>240.48000000000002</v>
      </c>
      <c r="C25" t="s">
        <v>46</v>
      </c>
      <c r="D25" t="s">
        <v>129</v>
      </c>
    </row>
    <row r="27" spans="1:4" x14ac:dyDescent="0.25">
      <c r="A27" s="3" t="s">
        <v>132</v>
      </c>
    </row>
    <row r="35" spans="1:4" x14ac:dyDescent="0.25">
      <c r="A35" t="s">
        <v>137</v>
      </c>
      <c r="B35">
        <f>(B13-B8)/B22-B14-B19</f>
        <v>37.185714285714283</v>
      </c>
      <c r="C35" t="s">
        <v>45</v>
      </c>
      <c r="D35" t="s">
        <v>135</v>
      </c>
    </row>
    <row r="36" spans="1:4" x14ac:dyDescent="0.25">
      <c r="B36" s="10">
        <v>15</v>
      </c>
      <c r="C36" t="s">
        <v>45</v>
      </c>
      <c r="D36" t="s">
        <v>136</v>
      </c>
    </row>
    <row r="38" spans="1:4" x14ac:dyDescent="0.25">
      <c r="A38" t="s">
        <v>119</v>
      </c>
      <c r="B38">
        <f>B22*B36+B8</f>
        <v>82</v>
      </c>
      <c r="C38" t="s">
        <v>46</v>
      </c>
      <c r="D38" t="s">
        <v>120</v>
      </c>
    </row>
    <row r="39" spans="1:4" x14ac:dyDescent="0.25">
      <c r="A39" t="s">
        <v>121</v>
      </c>
      <c r="B39">
        <f>B22*B19+B38</f>
        <v>83.4</v>
      </c>
      <c r="C39" t="s">
        <v>46</v>
      </c>
      <c r="D39" t="s">
        <v>123</v>
      </c>
    </row>
    <row r="40" spans="1:4" x14ac:dyDescent="0.25">
      <c r="A40" t="s">
        <v>122</v>
      </c>
      <c r="B40">
        <f>B22*B14+B39</f>
        <v>87.88000000000001</v>
      </c>
      <c r="C40" t="s">
        <v>46</v>
      </c>
      <c r="D40" t="s">
        <v>124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E15" sqref="E15"/>
    </sheetView>
  </sheetViews>
  <sheetFormatPr defaultRowHeight="15" x14ac:dyDescent="0.25"/>
  <sheetData>
    <row r="1" spans="1:4" x14ac:dyDescent="0.25">
      <c r="A1" t="s">
        <v>140</v>
      </c>
    </row>
    <row r="2" spans="1:4" x14ac:dyDescent="0.25">
      <c r="A2" t="s">
        <v>138</v>
      </c>
    </row>
    <row r="5" spans="1:4" x14ac:dyDescent="0.25">
      <c r="A5" s="6" t="s">
        <v>41</v>
      </c>
    </row>
    <row r="7" spans="1:4" x14ac:dyDescent="0.25">
      <c r="A7" t="s">
        <v>2</v>
      </c>
      <c r="B7" s="10">
        <v>3</v>
      </c>
      <c r="C7" t="s">
        <v>5</v>
      </c>
    </row>
    <row r="8" spans="1:4" x14ac:dyDescent="0.25">
      <c r="A8" t="s">
        <v>38</v>
      </c>
      <c r="B8" s="10">
        <v>40</v>
      </c>
      <c r="C8" t="s">
        <v>46</v>
      </c>
      <c r="D8" t="s">
        <v>40</v>
      </c>
    </row>
    <row r="10" spans="1:4" x14ac:dyDescent="0.25">
      <c r="A10" s="3" t="s">
        <v>110</v>
      </c>
    </row>
    <row r="11" spans="1:4" x14ac:dyDescent="0.25">
      <c r="A11" t="s">
        <v>143</v>
      </c>
      <c r="C11" s="11" t="s">
        <v>144</v>
      </c>
    </row>
    <row r="13" spans="1:4" x14ac:dyDescent="0.25">
      <c r="A13" t="s">
        <v>130</v>
      </c>
      <c r="B13">
        <f>150</f>
        <v>150</v>
      </c>
      <c r="C13" t="s">
        <v>46</v>
      </c>
    </row>
    <row r="15" spans="1:4" x14ac:dyDescent="0.25">
      <c r="A15" t="s">
        <v>44</v>
      </c>
      <c r="B15">
        <v>50</v>
      </c>
      <c r="C15" s="7" t="s">
        <v>45</v>
      </c>
      <c r="D15" t="s">
        <v>47</v>
      </c>
    </row>
    <row r="16" spans="1:4" x14ac:dyDescent="0.25">
      <c r="A16" t="s">
        <v>114</v>
      </c>
      <c r="B16">
        <f>0.45</f>
        <v>0.45</v>
      </c>
      <c r="C16" t="s">
        <v>4</v>
      </c>
      <c r="D16" t="s">
        <v>142</v>
      </c>
    </row>
    <row r="19" spans="1:4" x14ac:dyDescent="0.25">
      <c r="A19" t="s">
        <v>116</v>
      </c>
      <c r="B19">
        <f>B16*B7</f>
        <v>1.35</v>
      </c>
      <c r="C19" t="s">
        <v>48</v>
      </c>
    </row>
    <row r="22" spans="1:4" x14ac:dyDescent="0.25">
      <c r="A22" t="s">
        <v>118</v>
      </c>
      <c r="B22">
        <f>B19*B15+B8</f>
        <v>107.5</v>
      </c>
      <c r="C22" t="s">
        <v>46</v>
      </c>
      <c r="D22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PowerPart</vt:lpstr>
      <vt:lpstr>Nordic</vt:lpstr>
      <vt:lpstr>Расчет радиатора</vt:lpstr>
      <vt:lpstr>Расчет диода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2020-05-16T21:44:19Z</dcterms:modified>
</cp:coreProperties>
</file>