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PowerPart" sheetId="1" r:id="rId1"/>
    <sheet name="Температура корпуса" sheetId="5" r:id="rId2"/>
    <sheet name="Nordic" sheetId="2" r:id="rId3"/>
    <sheet name="Расчет радиатора" sheetId="3" r:id="rId4"/>
    <sheet name="Расчет диода" sheetId="4" r:id="rId5"/>
  </sheets>
  <calcPr calcId="152511"/>
</workbook>
</file>

<file path=xl/calcChain.xml><?xml version="1.0" encoding="utf-8"?>
<calcChain xmlns="http://schemas.openxmlformats.org/spreadsheetml/2006/main">
  <c r="B122" i="1" l="1"/>
  <c r="B111" i="1"/>
  <c r="B108" i="1"/>
  <c r="B96" i="1"/>
  <c r="B78" i="1"/>
  <c r="B80" i="1"/>
  <c r="B92" i="1"/>
  <c r="B17" i="1"/>
  <c r="B176" i="1"/>
  <c r="B194" i="1" s="1"/>
  <c r="B195" i="1" s="1"/>
  <c r="B186" i="1" l="1"/>
  <c r="B189" i="1" s="1"/>
  <c r="B147" i="1" l="1"/>
  <c r="B142" i="1"/>
  <c r="B148" i="1" l="1"/>
  <c r="B141" i="1"/>
  <c r="B15" i="1"/>
  <c r="B14" i="1"/>
  <c r="B12" i="1"/>
  <c r="I122" i="1" l="1"/>
  <c r="I129" i="1" s="1"/>
  <c r="B135" i="1"/>
  <c r="I108" i="1"/>
  <c r="I92" i="1"/>
  <c r="I127" i="1" s="1"/>
  <c r="B144" i="1"/>
  <c r="B146" i="1" s="1"/>
  <c r="B158" i="1" s="1"/>
  <c r="B156" i="1" s="1"/>
  <c r="B162" i="1"/>
  <c r="B160" i="1" l="1"/>
  <c r="B208" i="1"/>
  <c r="B10" i="2" l="1"/>
  <c r="B9" i="2"/>
  <c r="B46" i="1"/>
  <c r="B38" i="1"/>
  <c r="B16" i="4" l="1"/>
  <c r="B19" i="4"/>
  <c r="B22" i="4" s="1"/>
  <c r="B13" i="4"/>
  <c r="B13" i="3"/>
  <c r="B35" i="3" s="1"/>
  <c r="B19" i="3"/>
  <c r="B16" i="3"/>
  <c r="B22" i="3" s="1"/>
  <c r="B38" i="3" s="1"/>
  <c r="B14" i="3"/>
  <c r="B68" i="1"/>
  <c r="B24" i="3" l="1"/>
  <c r="B25" i="3" s="1"/>
  <c r="B39" i="3"/>
  <c r="B40" i="3" s="1"/>
  <c r="B183" i="1"/>
  <c r="B180" i="1"/>
  <c r="B175" i="1"/>
  <c r="B205" i="1"/>
  <c r="B221" i="1" l="1"/>
  <c r="B211" i="1"/>
  <c r="B190" i="1"/>
  <c r="B36" i="2" l="1"/>
  <c r="B8" i="2"/>
  <c r="B26" i="1" l="1"/>
  <c r="B23" i="1"/>
  <c r="B87" i="1" s="1"/>
  <c r="B34" i="1"/>
  <c r="B104" i="1" l="1"/>
  <c r="B52" i="1"/>
  <c r="B56" i="1" s="1"/>
  <c r="I114" i="1"/>
  <c r="I128" i="1" s="1"/>
  <c r="B129" i="1"/>
  <c r="B133" i="1" l="1"/>
  <c r="K129" i="1"/>
  <c r="B114" i="1"/>
  <c r="B128" i="1" s="1"/>
  <c r="B22" i="2"/>
  <c r="B29" i="2" s="1"/>
  <c r="B61" i="1"/>
  <c r="B127" i="1"/>
  <c r="K127" i="1" s="1"/>
  <c r="B132" i="1" l="1"/>
  <c r="K128" i="1"/>
  <c r="B131" i="1"/>
</calcChain>
</file>

<file path=xl/comments1.xml><?xml version="1.0" encoding="utf-8"?>
<comments xmlns="http://schemas.openxmlformats.org/spreadsheetml/2006/main">
  <authors>
    <author>Автор</author>
  </authors>
  <commentList>
    <comment ref="B11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Используем в расчете Input Feedback Resistor Network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расчетный ток при номинальной мощности панели или источника питания</t>
        </r>
      </text>
    </comment>
    <comment ref="B17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Реальный выходной ток: Vpanel*Ipanel*0.98/Vout
с небольшим запасом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частота преобразования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для ключей 150В</t>
        </r>
      </text>
    </comment>
    <comment ref="B27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100V ключ BSC060N10NS3 G</t>
        </r>
      </text>
    </comment>
    <comment ref="B7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допустимо 33</t>
        </r>
      </text>
    </comment>
    <comment ref="A76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Когда знаешь индуктивность</t>
        </r>
      </text>
    </comment>
    <comment ref="B81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выбираем вручную из стандартных значений</t>
        </r>
      </text>
    </comment>
    <comment ref="A90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постоянно открыт в режиме boost</t>
        </r>
      </text>
    </comment>
    <comment ref="B97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ноль, потому что у нас бустер</t>
        </r>
      </text>
    </comment>
    <comment ref="A106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бустер</t>
        </r>
      </text>
    </comment>
    <comment ref="A120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выпрямитель</t>
        </r>
      </text>
    </comment>
    <comment ref="B127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28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29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31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Tjm - P*RthJC</t>
        </r>
      </text>
    </comment>
    <comment ref="B135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When solar charging a lithium-ion battery without
time limits it is recommended that the Stage 2 voltage
limit NOT exceed 95% of the lithium-ion maximum cell
voltage. Since this configuration can charge indefinitely,
following this guideline keeps the lifetime of the batteries
from degrading quickly.</t>
        </r>
      </text>
    </comment>
    <comment ref="A139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RFBOUT2 is often selected to be between 4.99kΩ and
49.9kΩ. Choosing higher values for RFBOUT2 reduces
the amount of current draw from the battery through the
feedback network.</t>
        </r>
      </text>
    </comment>
    <comment ref="A156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VX3 indicates the actual 25°C VS2 voltage using the
selected resistors</t>
        </r>
      </text>
    </comment>
    <comment ref="A172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Берем значения из таблицы 22 для напряжения 40В</t>
        </r>
      </text>
    </comment>
    <comment ref="B208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I_MAX(S0) = 1*Imax</t>
        </r>
      </text>
    </comment>
    <comment ref="B221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с запасом 30%</t>
        </r>
      </text>
    </comment>
  </commentList>
</comments>
</file>

<file path=xl/sharedStrings.xml><?xml version="1.0" encoding="utf-8"?>
<sst xmlns="http://schemas.openxmlformats.org/spreadsheetml/2006/main" count="316" uniqueCount="188">
  <si>
    <t>Расчет boost конвертера на LT8490</t>
  </si>
  <si>
    <t>автор: Тихонов Е.Н.</t>
  </si>
  <si>
    <t>Iout(max)=</t>
  </si>
  <si>
    <t>f=</t>
  </si>
  <si>
    <t>V</t>
  </si>
  <si>
    <t>A</t>
  </si>
  <si>
    <t>RT Selection:</t>
  </si>
  <si>
    <t>Rt=</t>
  </si>
  <si>
    <t>kOhm</t>
  </si>
  <si>
    <t>RSENSE Selection:</t>
  </si>
  <si>
    <t>%</t>
  </si>
  <si>
    <t>DC(maxM3Boost)=</t>
  </si>
  <si>
    <t>VRSENSE(MAX,BOOST,MAX)=</t>
  </si>
  <si>
    <t>mV</t>
  </si>
  <si>
    <t>//from the Maximum Inductor Current Sense Voltage
vs Duty Cycle graph</t>
  </si>
  <si>
    <t>estimate the maximum and minimum inductor current</t>
  </si>
  <si>
    <t>ripple in the boost and buck regions respectively</t>
  </si>
  <si>
    <t>ΔIL(MAX,BOOST)=</t>
  </si>
  <si>
    <t>calculate the maximum RSENSE</t>
  </si>
  <si>
    <t>Rense(max,boost)=</t>
  </si>
  <si>
    <t>mOhm</t>
  </si>
  <si>
    <t>Vout(min)=</t>
  </si>
  <si>
    <t>Vout(max)=</t>
  </si>
  <si>
    <t>//nominal voltage 3.7V*13cells</t>
  </si>
  <si>
    <t>//full charge 4.2V*13cells</t>
  </si>
  <si>
    <t>Adding an additional 30% margin</t>
  </si>
  <si>
    <t>Inductor Selection</t>
  </si>
  <si>
    <t>L(MIN1,BOOST) ≅</t>
  </si>
  <si>
    <t>kHz</t>
  </si>
  <si>
    <t>//215kOhm@202kHz</t>
  </si>
  <si>
    <t>uH</t>
  </si>
  <si>
    <t>Берем с запасом</t>
  </si>
  <si>
    <t>L(MIN2,BOOST) ≅</t>
  </si>
  <si>
    <t>To avoid subharmonic oscillations in the inductor current,
choose the minimum inductance according to:</t>
  </si>
  <si>
    <t>calculate the maximum MOSFET power dissipation</t>
  </si>
  <si>
    <t>PD(MAX) =</t>
  </si>
  <si>
    <t>MOSFET</t>
  </si>
  <si>
    <t>TJ(MAX)=</t>
  </si>
  <si>
    <t>TA(MAX)=</t>
  </si>
  <si>
    <t>//max junction temp</t>
  </si>
  <si>
    <t>//max ambient temp</t>
  </si>
  <si>
    <t>GENERAL</t>
  </si>
  <si>
    <t>CALCULATIONS</t>
  </si>
  <si>
    <t>//BSC110N15NS5 Infenion</t>
  </si>
  <si>
    <t>RthJA=</t>
  </si>
  <si>
    <t>°C/W</t>
  </si>
  <si>
    <t>°C</t>
  </si>
  <si>
    <t>//6 cm2 cooling area</t>
  </si>
  <si>
    <t>W</t>
  </si>
  <si>
    <t>Rds(on)=</t>
  </si>
  <si>
    <t>//&lt;10A</t>
  </si>
  <si>
    <t>//ρτ is a normalization factor=1.5</t>
  </si>
  <si>
    <t>Pswitching=</t>
  </si>
  <si>
    <t>tRF1 is the average of the SW1 pin rise and fall times</t>
  </si>
  <si>
    <t>Typical values are 20ns to 40ns</t>
  </si>
  <si>
    <t>Pm1=</t>
  </si>
  <si>
    <t>The maximum dissipation M1</t>
  </si>
  <si>
    <t>Select M1</t>
  </si>
  <si>
    <t>Select M3</t>
  </si>
  <si>
    <t>PI2R ≅</t>
  </si>
  <si>
    <t>PI2R=</t>
  </si>
  <si>
    <t>conduction looses</t>
  </si>
  <si>
    <t>Pm3=</t>
  </si>
  <si>
    <t>tRF2 is the average of the SW2 pin rise and fall times and,</t>
  </si>
  <si>
    <t>similar to tRF1, is typically 20ns to 40ns.</t>
  </si>
  <si>
    <t>Select M4</t>
  </si>
  <si>
    <t>P(M4,BOOST)=</t>
  </si>
  <si>
    <t>Tjm1=</t>
  </si>
  <si>
    <t>//junction temperature</t>
  </si>
  <si>
    <t>MOSFET TEMPERATURE</t>
  </si>
  <si>
    <t>Tjm3=</t>
  </si>
  <si>
    <t>Tjm4=</t>
  </si>
  <si>
    <t>Output Voltage:</t>
  </si>
  <si>
    <t>Select RFBOUT2</t>
  </si>
  <si>
    <t>k</t>
  </si>
  <si>
    <t>Vin(min)=</t>
  </si>
  <si>
    <t>Iin(max)=</t>
  </si>
  <si>
    <t>Расчет силовых компонентов по методике Nordic Energy</t>
  </si>
  <si>
    <t>https://habr.com/ru/post/442374/</t>
  </si>
  <si>
    <t>пульсации тока в дросселе</t>
  </si>
  <si>
    <t xml:space="preserve">dI = </t>
  </si>
  <si>
    <t>минимальное значение индуктивности, которая потребуется, чтобы оставаться в режиме неразрывных токов</t>
  </si>
  <si>
    <t>Lmin=</t>
  </si>
  <si>
    <t>Cout=</t>
  </si>
  <si>
    <t>минимальное значение емкости для конденсатора</t>
  </si>
  <si>
    <t>uF</t>
  </si>
  <si>
    <t>//из таблицы</t>
  </si>
  <si>
    <t>CDACO=</t>
  </si>
  <si>
    <t>nF</t>
  </si>
  <si>
    <t>Vin(max)=</t>
  </si>
  <si>
    <t>Input Feedback Resistor Network</t>
  </si>
  <si>
    <t>Cdaci=</t>
  </si>
  <si>
    <t>mkF</t>
  </si>
  <si>
    <t>HW Config: Output Current Sense and Limit</t>
  </si>
  <si>
    <t>R_IMON_OUT=</t>
  </si>
  <si>
    <t>R_SENSE2=</t>
  </si>
  <si>
    <t>R_IOW=</t>
  </si>
  <si>
    <t>The input current limit</t>
  </si>
  <si>
    <t>R_SENSE1=</t>
  </si>
  <si>
    <t>//ток в рабочей точке панели</t>
  </si>
  <si>
    <t>DIODE</t>
  </si>
  <si>
    <t xml:space="preserve">Rth(j-c) = </t>
  </si>
  <si>
    <t>//Junction to case</t>
  </si>
  <si>
    <t>STPS8H100, TO-220</t>
  </si>
  <si>
    <t>Vf=</t>
  </si>
  <si>
    <t>at 8A @Tj=125</t>
  </si>
  <si>
    <t>Pdiss=</t>
  </si>
  <si>
    <t>HEATSINK</t>
  </si>
  <si>
    <t>Tj0=</t>
  </si>
  <si>
    <t>Theatsink=</t>
  </si>
  <si>
    <t>//темп. Радиатора</t>
  </si>
  <si>
    <t>Tcase=</t>
  </si>
  <si>
    <t>Tj=</t>
  </si>
  <si>
    <t>//темп. Корпуса диода</t>
  </si>
  <si>
    <t>//темп. Кристалла</t>
  </si>
  <si>
    <t>//heatsink to ambient</t>
  </si>
  <si>
    <t xml:space="preserve">Rth(c-a) = </t>
  </si>
  <si>
    <t>Tcase0=</t>
  </si>
  <si>
    <t>//темп. корпуса без радиатора</t>
  </si>
  <si>
    <t>//темп. кристалла без радиатора</t>
  </si>
  <si>
    <t>Tjmax=</t>
  </si>
  <si>
    <t>//case to heatsink силиконовой изолирующей прокладки</t>
  </si>
  <si>
    <t>HEATSINK CALCULATION</t>
  </si>
  <si>
    <t>Rth(c-r) =</t>
  </si>
  <si>
    <t>Rth(r-a) =</t>
  </si>
  <si>
    <t>//необходимое тепловое сопротивление радиатор-окружающая среда</t>
  </si>
  <si>
    <t>//наш выбор</t>
  </si>
  <si>
    <t>Rr-a(max)=</t>
  </si>
  <si>
    <t>Тихонов Е.Н. 27.02.20</t>
  </si>
  <si>
    <t>7-340-3PP-BA "CTS"</t>
  </si>
  <si>
    <t>Тепловой расчет радиатора для диода</t>
  </si>
  <si>
    <t>//case to ambient</t>
  </si>
  <si>
    <t>at 5A @Tj=125</t>
  </si>
  <si>
    <t>NTS10100MFST3G</t>
  </si>
  <si>
    <t>8-PowerTDFN, 5 Leads</t>
  </si>
  <si>
    <t>//Power Stage Designer Tool</t>
  </si>
  <si>
    <t>exclude</t>
  </si>
  <si>
    <t>RthJC=</t>
  </si>
  <si>
    <t>K/W</t>
  </si>
  <si>
    <t>//Thermal resistance, junction - case</t>
  </si>
  <si>
    <t>Tcm1=</t>
  </si>
  <si>
    <t>//case temperature</t>
  </si>
  <si>
    <t>Temperature of heat case</t>
  </si>
  <si>
    <t>Tc=</t>
  </si>
  <si>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charset val="204"/>
        <scheme val="minor"/>
      </rPr>
      <t>С</t>
    </r>
  </si>
  <si>
    <t>Temperature of junction</t>
  </si>
  <si>
    <t>Расчет температуры кристалла транзистора</t>
  </si>
  <si>
    <t>по температуре его корпуса</t>
  </si>
  <si>
    <t xml:space="preserve">Tj = </t>
  </si>
  <si>
    <t>Пересчет Rsense (стр. 22 LT8705)</t>
  </si>
  <si>
    <t xml:space="preserve">Rsense = </t>
  </si>
  <si>
    <t>Ohm</t>
  </si>
  <si>
    <t>//от источника питания</t>
  </si>
  <si>
    <t>N=</t>
  </si>
  <si>
    <t>//число ячеек АКБ</t>
  </si>
  <si>
    <t>//nominal voltage 3.7V*Ncells</t>
  </si>
  <si>
    <t>//full charge 4.2V*Ncells</t>
  </si>
  <si>
    <t>Tсm3=</t>
  </si>
  <si>
    <t>Tсm4=</t>
  </si>
  <si>
    <t>Проверка</t>
  </si>
  <si>
    <t>Vx3=</t>
  </si>
  <si>
    <t>X=</t>
  </si>
  <si>
    <t>N1=</t>
  </si>
  <si>
    <t>N2=</t>
  </si>
  <si>
    <t>Для ключей 100V</t>
  </si>
  <si>
    <t>15||25</t>
  </si>
  <si>
    <t>RFBOUT1 (R18)=</t>
  </si>
  <si>
    <t>RFBOUT2 (R27)=</t>
  </si>
  <si>
    <t>RDACO1(R22)=</t>
  </si>
  <si>
    <t>RDACO2(R23)=</t>
  </si>
  <si>
    <t>Универсальный вход</t>
  </si>
  <si>
    <t>delta</t>
  </si>
  <si>
    <t>Rfbin1 (R17+R20)=</t>
  </si>
  <si>
    <t>Rdaci2 (R24)=</t>
  </si>
  <si>
    <t>Rfbin2(R29)=</t>
  </si>
  <si>
    <t>Rdaci1(R25)=</t>
  </si>
  <si>
    <t>Vx2=</t>
  </si>
  <si>
    <t>actual Vmax</t>
  </si>
  <si>
    <t>Vx1=</t>
  </si>
  <si>
    <t>should be as close to 6V as possible</t>
  </si>
  <si>
    <t>//max ограничение тока зарядки</t>
  </si>
  <si>
    <t>Iout(actual)=</t>
  </si>
  <si>
    <t>//расчетный выходной ток</t>
  </si>
  <si>
    <t>//номинал от малой солнечной панели</t>
  </si>
  <si>
    <t>//номинал от большой солнечной панели</t>
  </si>
  <si>
    <t>Vin(max)_DC=</t>
  </si>
  <si>
    <t>Vin(MIN)_PV1=</t>
  </si>
  <si>
    <t>Vin(MIN)_PV2=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</si>
</sst>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2"/>
      <color rgb="FF222222"/>
      <name val="Arial"/>
      <family val="2"/>
      <charset val="204"/>
    </font>
    <font>
      <sz val="9"/>
      <color rgb="FF444444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14" fontId="0" fillId="0" borderId="0" xfId="0" applyNumberFormat="1"/>
    <xf numFmtId="0" fontId="2" fillId="0" borderId="0" xfId="1" applyAlignment="1" applyProtection="1"/>
    <xf numFmtId="0" fontId="1" fillId="0" borderId="0" xfId="0" applyFont="1"/>
    <xf numFmtId="0" fontId="0" fillId="0" borderId="0" xfId="0" applyAlignme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0" fillId="2" borderId="1" xfId="0" applyFill="1" applyBorder="1"/>
    <xf numFmtId="0" fontId="8" fillId="0" borderId="0" xfId="0" applyFont="1"/>
    <xf numFmtId="0" fontId="0" fillId="0" borderId="0" xfId="0" applyFont="1"/>
    <xf numFmtId="0" fontId="0" fillId="0" borderId="0" xfId="0" quotePrefix="1"/>
    <xf numFmtId="0" fontId="9" fillId="0" borderId="0" xfId="0" applyFont="1"/>
    <xf numFmtId="0" fontId="0" fillId="2" borderId="0" xfId="0" applyFill="1"/>
    <xf numFmtId="0" fontId="10" fillId="0" borderId="0" xfId="0" applyFont="1"/>
    <xf numFmtId="0" fontId="1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32</xdr:row>
      <xdr:rowOff>38100</xdr:rowOff>
    </xdr:from>
    <xdr:to>
      <xdr:col>8</xdr:col>
      <xdr:colOff>57150</xdr:colOff>
      <xdr:row>35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86200" y="2324100"/>
          <a:ext cx="124777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600075</xdr:colOff>
      <xdr:row>36</xdr:row>
      <xdr:rowOff>57150</xdr:rowOff>
    </xdr:from>
    <xdr:to>
      <xdr:col>6</xdr:col>
      <xdr:colOff>571500</xdr:colOff>
      <xdr:row>38</xdr:row>
      <xdr:rowOff>171450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0" y="3105150"/>
          <a:ext cx="2409825" cy="49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19050</xdr:colOff>
      <xdr:row>44</xdr:row>
      <xdr:rowOff>104775</xdr:rowOff>
    </xdr:from>
    <xdr:to>
      <xdr:col>7</xdr:col>
      <xdr:colOff>247650</xdr:colOff>
      <xdr:row>48</xdr:row>
      <xdr:rowOff>66675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114675" y="4676775"/>
          <a:ext cx="2667000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28575</xdr:colOff>
      <xdr:row>50</xdr:row>
      <xdr:rowOff>85725</xdr:rowOff>
    </xdr:from>
    <xdr:to>
      <xdr:col>9</xdr:col>
      <xdr:colOff>561975</xdr:colOff>
      <xdr:row>53</xdr:row>
      <xdr:rowOff>129418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124200" y="5991225"/>
          <a:ext cx="4191000" cy="6151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581025</xdr:colOff>
      <xdr:row>57</xdr:row>
      <xdr:rowOff>133350</xdr:rowOff>
    </xdr:from>
    <xdr:to>
      <xdr:col>9</xdr:col>
      <xdr:colOff>361950</xdr:colOff>
      <xdr:row>63</xdr:row>
      <xdr:rowOff>164235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067050" y="7372350"/>
          <a:ext cx="4048125" cy="11738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581025</xdr:colOff>
      <xdr:row>65</xdr:row>
      <xdr:rowOff>1142999</xdr:rowOff>
    </xdr:from>
    <xdr:to>
      <xdr:col>10</xdr:col>
      <xdr:colOff>200025</xdr:colOff>
      <xdr:row>70</xdr:row>
      <xdr:rowOff>180974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752725" y="12763499"/>
          <a:ext cx="4495800" cy="94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85</xdr:row>
      <xdr:rowOff>19050</xdr:rowOff>
    </xdr:from>
    <xdr:to>
      <xdr:col>5</xdr:col>
      <xdr:colOff>542925</xdr:colOff>
      <xdr:row>88</xdr:row>
      <xdr:rowOff>16341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143250" y="11830050"/>
          <a:ext cx="1714500" cy="5687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</xdr:colOff>
      <xdr:row>90</xdr:row>
      <xdr:rowOff>114301</xdr:rowOff>
    </xdr:from>
    <xdr:to>
      <xdr:col>7</xdr:col>
      <xdr:colOff>209550</xdr:colOff>
      <xdr:row>93</xdr:row>
      <xdr:rowOff>188787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105150" y="14973301"/>
          <a:ext cx="2638425" cy="6459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94</xdr:row>
      <xdr:rowOff>57150</xdr:rowOff>
    </xdr:from>
    <xdr:to>
      <xdr:col>8</xdr:col>
      <xdr:colOff>219075</xdr:colOff>
      <xdr:row>97</xdr:row>
      <xdr:rowOff>46293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143250" y="15678150"/>
          <a:ext cx="3219450" cy="5606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600075</xdr:colOff>
      <xdr:row>102</xdr:row>
      <xdr:rowOff>142875</xdr:rowOff>
    </xdr:from>
    <xdr:to>
      <xdr:col>5</xdr:col>
      <xdr:colOff>219075</xdr:colOff>
      <xdr:row>104</xdr:row>
      <xdr:rowOff>36458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086100" y="16716375"/>
          <a:ext cx="1447800" cy="2745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571499</xdr:colOff>
      <xdr:row>105</xdr:row>
      <xdr:rowOff>180976</xdr:rowOff>
    </xdr:from>
    <xdr:to>
      <xdr:col>7</xdr:col>
      <xdr:colOff>28574</xdr:colOff>
      <xdr:row>109</xdr:row>
      <xdr:rowOff>41306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057524" y="17706976"/>
          <a:ext cx="2505075" cy="6223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</xdr:colOff>
      <xdr:row>109</xdr:row>
      <xdr:rowOff>104776</xdr:rowOff>
    </xdr:from>
    <xdr:to>
      <xdr:col>5</xdr:col>
      <xdr:colOff>238125</xdr:colOff>
      <xdr:row>111</xdr:row>
      <xdr:rowOff>189140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105150" y="18392776"/>
          <a:ext cx="1447800" cy="4653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112</xdr:row>
      <xdr:rowOff>161926</xdr:rowOff>
    </xdr:from>
    <xdr:to>
      <xdr:col>5</xdr:col>
      <xdr:colOff>57150</xdr:colOff>
      <xdr:row>114</xdr:row>
      <xdr:rowOff>31638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095625" y="19021426"/>
          <a:ext cx="1276350" cy="2507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600074</xdr:colOff>
      <xdr:row>119</xdr:row>
      <xdr:rowOff>179326</xdr:rowOff>
    </xdr:from>
    <xdr:to>
      <xdr:col>7</xdr:col>
      <xdr:colOff>552449</xdr:colOff>
      <xdr:row>123</xdr:row>
      <xdr:rowOff>19050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086099" y="20372326"/>
          <a:ext cx="3000375" cy="6017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110350</xdr:colOff>
      <xdr:row>172</xdr:row>
      <xdr:rowOff>66676</xdr:rowOff>
    </xdr:from>
    <xdr:to>
      <xdr:col>6</xdr:col>
      <xdr:colOff>390526</xdr:colOff>
      <xdr:row>177</xdr:row>
      <xdr:rowOff>85726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205975" y="25784176"/>
          <a:ext cx="2108976" cy="971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104775</xdr:colOff>
      <xdr:row>178</xdr:row>
      <xdr:rowOff>19050</xdr:rowOff>
    </xdr:from>
    <xdr:to>
      <xdr:col>6</xdr:col>
      <xdr:colOff>9525</xdr:colOff>
      <xdr:row>180</xdr:row>
      <xdr:rowOff>152816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3200400" y="26879550"/>
          <a:ext cx="1733550" cy="5147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171</xdr:row>
      <xdr:rowOff>0</xdr:rowOff>
    </xdr:from>
    <xdr:to>
      <xdr:col>12</xdr:col>
      <xdr:colOff>285750</xdr:colOff>
      <xdr:row>182</xdr:row>
      <xdr:rowOff>19050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6143625" y="25527000"/>
          <a:ext cx="2724150" cy="2114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47625</xdr:colOff>
      <xdr:row>135</xdr:row>
      <xdr:rowOff>47625</xdr:rowOff>
    </xdr:from>
    <xdr:to>
      <xdr:col>12</xdr:col>
      <xdr:colOff>323850</xdr:colOff>
      <xdr:row>146</xdr:row>
      <xdr:rowOff>0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91250" y="23098125"/>
          <a:ext cx="2714625" cy="2047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38099</xdr:colOff>
      <xdr:row>181</xdr:row>
      <xdr:rowOff>0</xdr:rowOff>
    </xdr:from>
    <xdr:to>
      <xdr:col>6</xdr:col>
      <xdr:colOff>409574</xdr:colOff>
      <xdr:row>184</xdr:row>
      <xdr:rowOff>94780</xdr:rowOff>
    </xdr:to>
    <xdr:pic>
      <xdr:nvPicPr>
        <xdr:cNvPr id="10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3133724" y="27432000"/>
          <a:ext cx="2200275" cy="6662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609599</xdr:colOff>
      <xdr:row>185</xdr:row>
      <xdr:rowOff>9525</xdr:rowOff>
    </xdr:from>
    <xdr:to>
      <xdr:col>5</xdr:col>
      <xdr:colOff>66674</xdr:colOff>
      <xdr:row>188</xdr:row>
      <xdr:rowOff>103133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3095624" y="28203525"/>
          <a:ext cx="1285875" cy="665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9524</xdr:colOff>
      <xdr:row>201</xdr:row>
      <xdr:rowOff>19307</xdr:rowOff>
    </xdr:from>
    <xdr:to>
      <xdr:col>13</xdr:col>
      <xdr:colOff>428051</xdr:colOff>
      <xdr:row>216</xdr:row>
      <xdr:rowOff>66195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838824" y="37928807"/>
          <a:ext cx="3466527" cy="2904388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203</xdr:row>
      <xdr:rowOff>24170</xdr:rowOff>
    </xdr:from>
    <xdr:to>
      <xdr:col>7</xdr:col>
      <xdr:colOff>352013</xdr:colOff>
      <xdr:row>211</xdr:row>
      <xdr:rowOff>112948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352800" y="29551670"/>
          <a:ext cx="2171288" cy="1612778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218</xdr:row>
      <xdr:rowOff>6927</xdr:rowOff>
    </xdr:from>
    <xdr:to>
      <xdr:col>13</xdr:col>
      <xdr:colOff>294699</xdr:colOff>
      <xdr:row>232</xdr:row>
      <xdr:rowOff>75730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772150" y="32391927"/>
          <a:ext cx="3352224" cy="273580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219</xdr:row>
      <xdr:rowOff>28575</xdr:rowOff>
    </xdr:from>
    <xdr:to>
      <xdr:col>7</xdr:col>
      <xdr:colOff>570992</xdr:colOff>
      <xdr:row>222</xdr:row>
      <xdr:rowOff>127954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162300" y="32604075"/>
          <a:ext cx="2580767" cy="670879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49</xdr:row>
      <xdr:rowOff>114300</xdr:rowOff>
    </xdr:from>
    <xdr:to>
      <xdr:col>15</xdr:col>
      <xdr:colOff>542555</xdr:colOff>
      <xdr:row>56</xdr:row>
      <xdr:rowOff>95086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629525" y="8305800"/>
          <a:ext cx="2961905" cy="13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22</xdr:row>
      <xdr:rowOff>0</xdr:rowOff>
    </xdr:from>
    <xdr:to>
      <xdr:col>17</xdr:col>
      <xdr:colOff>523355</xdr:colOff>
      <xdr:row>47</xdr:row>
      <xdr:rowOff>47024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677150" y="3810000"/>
          <a:ext cx="4161905" cy="48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75</xdr:row>
      <xdr:rowOff>19050</xdr:rowOff>
    </xdr:from>
    <xdr:to>
      <xdr:col>9</xdr:col>
      <xdr:colOff>37515</xdr:colOff>
      <xdr:row>79</xdr:row>
      <xdr:rowOff>117064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438525" y="13925550"/>
          <a:ext cx="3037890" cy="860014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79</xdr:row>
      <xdr:rowOff>76200</xdr:rowOff>
    </xdr:from>
    <xdr:to>
      <xdr:col>9</xdr:col>
      <xdr:colOff>418371</xdr:colOff>
      <xdr:row>83</xdr:row>
      <xdr:rowOff>96199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533775" y="14744700"/>
          <a:ext cx="3323496" cy="781999"/>
        </a:xfrm>
        <a:prstGeom prst="rect">
          <a:avLst/>
        </a:prstGeom>
      </xdr:spPr>
    </xdr:pic>
    <xdr:clientData/>
  </xdr:twoCellAnchor>
  <xdr:twoCellAnchor editAs="oneCell">
    <xdr:from>
      <xdr:col>11</xdr:col>
      <xdr:colOff>57149</xdr:colOff>
      <xdr:row>88</xdr:row>
      <xdr:rowOff>0</xdr:rowOff>
    </xdr:from>
    <xdr:to>
      <xdr:col>17</xdr:col>
      <xdr:colOff>323060</xdr:colOff>
      <xdr:row>99</xdr:row>
      <xdr:rowOff>76338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49" y="16383000"/>
          <a:ext cx="3923511" cy="2171838"/>
        </a:xfrm>
        <a:prstGeom prst="rect">
          <a:avLst/>
        </a:prstGeom>
      </xdr:spPr>
    </xdr:pic>
    <xdr:clientData/>
  </xdr:twoCellAnchor>
  <xdr:twoCellAnchor editAs="oneCell">
    <xdr:from>
      <xdr:col>12</xdr:col>
      <xdr:colOff>361950</xdr:colOff>
      <xdr:row>135</xdr:row>
      <xdr:rowOff>85725</xdr:rowOff>
    </xdr:from>
    <xdr:to>
      <xdr:col>18</xdr:col>
      <xdr:colOff>513874</xdr:colOff>
      <xdr:row>145</xdr:row>
      <xdr:rowOff>114058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629650" y="25422225"/>
          <a:ext cx="3809524" cy="1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139</xdr:row>
      <xdr:rowOff>152401</xdr:rowOff>
    </xdr:from>
    <xdr:to>
      <xdr:col>8</xdr:col>
      <xdr:colOff>18614</xdr:colOff>
      <xdr:row>150</xdr:row>
      <xdr:rowOff>7661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048000" y="26250901"/>
          <a:ext cx="2799914" cy="19507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155</xdr:row>
      <xdr:rowOff>9525</xdr:rowOff>
    </xdr:from>
    <xdr:to>
      <xdr:col>6</xdr:col>
      <xdr:colOff>133009</xdr:colOff>
      <xdr:row>157</xdr:row>
      <xdr:rowOff>149845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781300" y="29156025"/>
          <a:ext cx="1961809" cy="521320"/>
        </a:xfrm>
        <a:prstGeom prst="rect">
          <a:avLst/>
        </a:prstGeom>
      </xdr:spPr>
    </xdr:pic>
    <xdr:clientData/>
  </xdr:twoCellAnchor>
  <xdr:twoCellAnchor editAs="oneCell">
    <xdr:from>
      <xdr:col>2</xdr:col>
      <xdr:colOff>595499</xdr:colOff>
      <xdr:row>157</xdr:row>
      <xdr:rowOff>171450</xdr:rowOff>
    </xdr:from>
    <xdr:to>
      <xdr:col>7</xdr:col>
      <xdr:colOff>513858</xdr:colOff>
      <xdr:row>171</xdr:row>
      <xdr:rowOff>75774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767199" y="29698950"/>
          <a:ext cx="2966359" cy="2571324"/>
        </a:xfrm>
        <a:prstGeom prst="rect">
          <a:avLst/>
        </a:prstGeom>
      </xdr:spPr>
    </xdr:pic>
    <xdr:clientData/>
  </xdr:twoCellAnchor>
  <xdr:twoCellAnchor editAs="oneCell">
    <xdr:from>
      <xdr:col>7</xdr:col>
      <xdr:colOff>585247</xdr:colOff>
      <xdr:row>183</xdr:row>
      <xdr:rowOff>66675</xdr:rowOff>
    </xdr:from>
    <xdr:to>
      <xdr:col>13</xdr:col>
      <xdr:colOff>361329</xdr:colOff>
      <xdr:row>200</xdr:row>
      <xdr:rowOff>18473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804947" y="34547175"/>
          <a:ext cx="3433682" cy="3190298"/>
        </a:xfrm>
        <a:prstGeom prst="rect">
          <a:avLst/>
        </a:prstGeom>
      </xdr:spPr>
    </xdr:pic>
    <xdr:clientData/>
  </xdr:twoCellAnchor>
  <xdr:twoCellAnchor editAs="oneCell">
    <xdr:from>
      <xdr:col>12</xdr:col>
      <xdr:colOff>314325</xdr:colOff>
      <xdr:row>171</xdr:row>
      <xdr:rowOff>133350</xdr:rowOff>
    </xdr:from>
    <xdr:to>
      <xdr:col>19</xdr:col>
      <xdr:colOff>75569</xdr:colOff>
      <xdr:row>179</xdr:row>
      <xdr:rowOff>159921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8582025" y="32327850"/>
          <a:ext cx="4028444" cy="1550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114300</xdr:rowOff>
    </xdr:from>
    <xdr:to>
      <xdr:col>3</xdr:col>
      <xdr:colOff>342900</xdr:colOff>
      <xdr:row>4</xdr:row>
      <xdr:rowOff>180975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401300"/>
          <a:ext cx="2171700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</xdr:colOff>
      <xdr:row>8</xdr:row>
      <xdr:rowOff>180975</xdr:rowOff>
    </xdr:from>
    <xdr:to>
      <xdr:col>2</xdr:col>
      <xdr:colOff>333375</xdr:colOff>
      <xdr:row>10</xdr:row>
      <xdr:rowOff>85725</xdr:rowOff>
    </xdr:to>
    <xdr:pic>
      <xdr:nvPicPr>
        <xdr:cNvPr id="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" y="11420475"/>
          <a:ext cx="152400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3</xdr:col>
      <xdr:colOff>123825</xdr:colOff>
      <xdr:row>6</xdr:row>
      <xdr:rowOff>28575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0668000"/>
          <a:ext cx="195262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19</xdr:row>
      <xdr:rowOff>114300</xdr:rowOff>
    </xdr:from>
    <xdr:to>
      <xdr:col>6</xdr:col>
      <xdr:colOff>171122</xdr:colOff>
      <xdr:row>23</xdr:row>
      <xdr:rowOff>180665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47849" y="885825"/>
          <a:ext cx="1980873" cy="82836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27</xdr:row>
      <xdr:rowOff>0</xdr:rowOff>
    </xdr:from>
    <xdr:to>
      <xdr:col>5</xdr:col>
      <xdr:colOff>533111</xdr:colOff>
      <xdr:row>30</xdr:row>
      <xdr:rowOff>98051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57374" y="2295525"/>
          <a:ext cx="1723737" cy="66955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33</xdr:row>
      <xdr:rowOff>1</xdr:rowOff>
    </xdr:from>
    <xdr:to>
      <xdr:col>6</xdr:col>
      <xdr:colOff>513998</xdr:colOff>
      <xdr:row>37</xdr:row>
      <xdr:rowOff>1043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57400" y="6115051"/>
          <a:ext cx="2304698" cy="7630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190499</xdr:rowOff>
    </xdr:from>
    <xdr:to>
      <xdr:col>3</xdr:col>
      <xdr:colOff>205800</xdr:colOff>
      <xdr:row>32</xdr:row>
      <xdr:rowOff>104774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9"/>
          <a:ext cx="2272725" cy="8667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3</xdr:row>
      <xdr:rowOff>47625</xdr:rowOff>
    </xdr:from>
    <xdr:to>
      <xdr:col>8</xdr:col>
      <xdr:colOff>114057</xdr:colOff>
      <xdr:row>11</xdr:row>
      <xdr:rowOff>87446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" y="619125"/>
          <a:ext cx="1323732" cy="1563821"/>
        </a:xfrm>
        <a:prstGeom prst="rect">
          <a:avLst/>
        </a:prstGeom>
      </xdr:spPr>
    </xdr:pic>
    <xdr:clientData/>
  </xdr:twoCellAnchor>
  <xdr:twoCellAnchor editAs="oneCell">
    <xdr:from>
      <xdr:col>9</xdr:col>
      <xdr:colOff>9524</xdr:colOff>
      <xdr:row>3</xdr:row>
      <xdr:rowOff>47626</xdr:rowOff>
    </xdr:from>
    <xdr:to>
      <xdr:col>12</xdr:col>
      <xdr:colOff>475767</xdr:colOff>
      <xdr:row>12</xdr:row>
      <xdr:rowOff>78492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4049" y="619126"/>
          <a:ext cx="2295043" cy="17453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142875</xdr:rowOff>
    </xdr:from>
    <xdr:to>
      <xdr:col>10</xdr:col>
      <xdr:colOff>514059</xdr:colOff>
      <xdr:row>11</xdr:row>
      <xdr:rowOff>18804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142875"/>
          <a:ext cx="2323809" cy="1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15kOhm@202kHz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abr.com/ru/post/442374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2"/>
  <sheetViews>
    <sheetView tabSelected="1" topLeftCell="A133" zoomScaleNormal="100" workbookViewId="0">
      <selection activeCell="B148" sqref="B148"/>
    </sheetView>
  </sheetViews>
  <sheetFormatPr defaultRowHeight="15" x14ac:dyDescent="0.25"/>
  <cols>
    <col min="1" max="1" width="19.85546875" customWidth="1"/>
    <col min="2" max="2" width="12.710937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s="1">
        <v>43970</v>
      </c>
    </row>
    <row r="5" spans="1:4" x14ac:dyDescent="0.25">
      <c r="A5" s="5" t="s">
        <v>41</v>
      </c>
    </row>
    <row r="6" spans="1:4" x14ac:dyDescent="0.25">
      <c r="A6" s="5"/>
    </row>
    <row r="7" spans="1:4" x14ac:dyDescent="0.25">
      <c r="A7" s="10" t="s">
        <v>170</v>
      </c>
    </row>
    <row r="9" spans="1:4" x14ac:dyDescent="0.25">
      <c r="A9" t="s">
        <v>186</v>
      </c>
      <c r="B9">
        <v>7.87</v>
      </c>
      <c r="C9" t="s">
        <v>4</v>
      </c>
      <c r="D9" t="s">
        <v>183</v>
      </c>
    </row>
    <row r="10" spans="1:4" x14ac:dyDescent="0.25">
      <c r="A10" t="s">
        <v>187</v>
      </c>
      <c r="B10">
        <v>21</v>
      </c>
      <c r="C10" t="s">
        <v>4</v>
      </c>
      <c r="D10" t="s">
        <v>184</v>
      </c>
    </row>
    <row r="11" spans="1:4" x14ac:dyDescent="0.25">
      <c r="A11" t="s">
        <v>185</v>
      </c>
      <c r="B11">
        <v>40</v>
      </c>
      <c r="C11" t="s">
        <v>4</v>
      </c>
      <c r="D11" t="s">
        <v>152</v>
      </c>
    </row>
    <row r="12" spans="1:4" x14ac:dyDescent="0.25">
      <c r="A12" t="s">
        <v>76</v>
      </c>
      <c r="B12">
        <f>8.22</f>
        <v>8.2200000000000006</v>
      </c>
      <c r="C12" t="s">
        <v>5</v>
      </c>
      <c r="D12" t="s">
        <v>99</v>
      </c>
    </row>
    <row r="13" spans="1:4" x14ac:dyDescent="0.25">
      <c r="A13" t="s">
        <v>153</v>
      </c>
      <c r="B13">
        <v>11</v>
      </c>
      <c r="D13" t="s">
        <v>154</v>
      </c>
    </row>
    <row r="14" spans="1:4" x14ac:dyDescent="0.25">
      <c r="A14" t="s">
        <v>21</v>
      </c>
      <c r="B14">
        <f>3.7*B13</f>
        <v>40.700000000000003</v>
      </c>
      <c r="C14" t="s">
        <v>4</v>
      </c>
      <c r="D14" t="s">
        <v>155</v>
      </c>
    </row>
    <row r="15" spans="1:4" x14ac:dyDescent="0.25">
      <c r="A15" t="s">
        <v>22</v>
      </c>
      <c r="B15">
        <f>4.2*B13</f>
        <v>46.2</v>
      </c>
      <c r="C15" t="s">
        <v>4</v>
      </c>
      <c r="D15" t="s">
        <v>156</v>
      </c>
    </row>
    <row r="16" spans="1:4" x14ac:dyDescent="0.25">
      <c r="A16" t="s">
        <v>2</v>
      </c>
      <c r="B16">
        <v>4</v>
      </c>
      <c r="C16" t="s">
        <v>5</v>
      </c>
      <c r="D16" t="s">
        <v>180</v>
      </c>
    </row>
    <row r="17" spans="1:4" x14ac:dyDescent="0.25">
      <c r="A17" t="s">
        <v>181</v>
      </c>
      <c r="B17">
        <f>B9*B12*0.95/B15</f>
        <v>1.3302344155844155</v>
      </c>
      <c r="C17" t="s">
        <v>5</v>
      </c>
      <c r="D17" t="s">
        <v>182</v>
      </c>
    </row>
    <row r="18" spans="1:4" x14ac:dyDescent="0.25">
      <c r="A18" t="s">
        <v>3</v>
      </c>
      <c r="B18">
        <v>202</v>
      </c>
      <c r="C18" t="s">
        <v>28</v>
      </c>
    </row>
    <row r="19" spans="1:4" x14ac:dyDescent="0.25">
      <c r="A19" t="s">
        <v>38</v>
      </c>
      <c r="B19">
        <v>40</v>
      </c>
      <c r="C19" t="s">
        <v>46</v>
      </c>
      <c r="D19" t="s">
        <v>40</v>
      </c>
    </row>
    <row r="21" spans="1:4" x14ac:dyDescent="0.25">
      <c r="A21" s="5" t="s">
        <v>36</v>
      </c>
      <c r="B21" t="s">
        <v>43</v>
      </c>
    </row>
    <row r="23" spans="1:4" x14ac:dyDescent="0.25">
      <c r="A23" t="s">
        <v>37</v>
      </c>
      <c r="B23">
        <f>150</f>
        <v>150</v>
      </c>
      <c r="C23" t="s">
        <v>46</v>
      </c>
      <c r="D23" t="s">
        <v>39</v>
      </c>
    </row>
    <row r="24" spans="1:4" x14ac:dyDescent="0.25">
      <c r="A24" t="s">
        <v>137</v>
      </c>
      <c r="B24">
        <v>0.6</v>
      </c>
      <c r="C24" t="s">
        <v>138</v>
      </c>
      <c r="D24" t="s">
        <v>139</v>
      </c>
    </row>
    <row r="25" spans="1:4" x14ac:dyDescent="0.25">
      <c r="A25" t="s">
        <v>44</v>
      </c>
      <c r="B25">
        <v>50</v>
      </c>
      <c r="C25" s="6" t="s">
        <v>45</v>
      </c>
      <c r="D25" t="s">
        <v>47</v>
      </c>
    </row>
    <row r="26" spans="1:4" x14ac:dyDescent="0.25">
      <c r="A26" t="s">
        <v>49</v>
      </c>
      <c r="B26">
        <f>12.5</f>
        <v>12.5</v>
      </c>
      <c r="C26" t="s">
        <v>20</v>
      </c>
      <c r="D26" t="s">
        <v>50</v>
      </c>
    </row>
    <row r="27" spans="1:4" x14ac:dyDescent="0.25">
      <c r="B27">
        <v>6.5</v>
      </c>
      <c r="C27" t="s">
        <v>20</v>
      </c>
    </row>
    <row r="30" spans="1:4" x14ac:dyDescent="0.25">
      <c r="A30" s="3" t="s">
        <v>42</v>
      </c>
    </row>
    <row r="32" spans="1:4" x14ac:dyDescent="0.25">
      <c r="A32" s="3" t="s">
        <v>6</v>
      </c>
    </row>
    <row r="34" spans="1:4" x14ac:dyDescent="0.25">
      <c r="A34" t="s">
        <v>7</v>
      </c>
      <c r="B34">
        <f>(43750/B18-1)</f>
        <v>215.58415841584159</v>
      </c>
      <c r="C34" t="s">
        <v>8</v>
      </c>
      <c r="D34" s="2" t="s">
        <v>29</v>
      </c>
    </row>
    <row r="36" spans="1:4" x14ac:dyDescent="0.25">
      <c r="A36" s="3" t="s">
        <v>9</v>
      </c>
    </row>
    <row r="38" spans="1:4" x14ac:dyDescent="0.25">
      <c r="A38" t="s">
        <v>11</v>
      </c>
      <c r="B38">
        <f>(1-B9/B15)*100</f>
        <v>82.96536796536796</v>
      </c>
      <c r="C38" t="s">
        <v>10</v>
      </c>
    </row>
    <row r="41" spans="1:4" x14ac:dyDescent="0.25">
      <c r="A41" t="s">
        <v>12</v>
      </c>
      <c r="B41">
        <v>100</v>
      </c>
      <c r="C41" t="s">
        <v>13</v>
      </c>
      <c r="D41" s="4" t="s">
        <v>14</v>
      </c>
    </row>
    <row r="42" spans="1:4" x14ac:dyDescent="0.25">
      <c r="D42" s="4"/>
    </row>
    <row r="43" spans="1:4" x14ac:dyDescent="0.25">
      <c r="A43" s="3" t="s">
        <v>15</v>
      </c>
      <c r="D43" s="4"/>
    </row>
    <row r="44" spans="1:4" x14ac:dyDescent="0.25">
      <c r="A44" s="3" t="s">
        <v>16</v>
      </c>
      <c r="D44" s="4"/>
    </row>
    <row r="45" spans="1:4" x14ac:dyDescent="0.25">
      <c r="D45" s="4"/>
    </row>
    <row r="46" spans="1:4" x14ac:dyDescent="0.25">
      <c r="A46" t="s">
        <v>17</v>
      </c>
      <c r="B46">
        <f>(B15*B16)/(B9*(100/40-0.5))</f>
        <v>11.740787801778907</v>
      </c>
      <c r="C46" t="s">
        <v>5</v>
      </c>
    </row>
    <row r="50" spans="1:3" x14ac:dyDescent="0.25">
      <c r="A50" s="3" t="s">
        <v>18</v>
      </c>
    </row>
    <row r="52" spans="1:3" x14ac:dyDescent="0.25">
      <c r="A52" t="s">
        <v>19</v>
      </c>
      <c r="B52" s="14">
        <f>2*B41*B9/((2*B16*B15)+(B46*B9))</f>
        <v>3.4069264069264071</v>
      </c>
      <c r="C52" t="s">
        <v>20</v>
      </c>
    </row>
    <row r="54" spans="1:3" x14ac:dyDescent="0.25">
      <c r="A54" t="s">
        <v>25</v>
      </c>
    </row>
    <row r="56" spans="1:3" x14ac:dyDescent="0.25">
      <c r="A56" t="s">
        <v>19</v>
      </c>
      <c r="B56" s="14">
        <f>B52/1.3</f>
        <v>2.6207126207126206</v>
      </c>
      <c r="C56" t="s">
        <v>20</v>
      </c>
    </row>
    <row r="57" spans="1:3" x14ac:dyDescent="0.25">
      <c r="B57" s="14">
        <v>15</v>
      </c>
      <c r="C57" t="s">
        <v>20</v>
      </c>
    </row>
    <row r="59" spans="1:3" x14ac:dyDescent="0.25">
      <c r="A59" s="3" t="s">
        <v>26</v>
      </c>
    </row>
    <row r="61" spans="1:3" x14ac:dyDescent="0.25">
      <c r="A61" t="s">
        <v>27</v>
      </c>
      <c r="B61">
        <f>B9*B38/100  /  (2*B18*1000*(B41/B57/1000-B16*B15/B9))  * 10^6</f>
        <v>-0.6884720196768267</v>
      </c>
      <c r="C61" t="s">
        <v>30</v>
      </c>
    </row>
    <row r="66" spans="1:4" x14ac:dyDescent="0.25">
      <c r="A66" s="4" t="s">
        <v>33</v>
      </c>
    </row>
    <row r="68" spans="1:4" x14ac:dyDescent="0.25">
      <c r="A68" t="s">
        <v>32</v>
      </c>
      <c r="B68">
        <f>(B15-(B9*B15/(B15-B9))*B57/1000)/(0.08*B18*1000)  * 10^6</f>
        <v>2850.105922899882</v>
      </c>
      <c r="C68" t="s">
        <v>30</v>
      </c>
    </row>
    <row r="73" spans="1:4" x14ac:dyDescent="0.25">
      <c r="A73" t="s">
        <v>31</v>
      </c>
    </row>
    <row r="74" spans="1:4" x14ac:dyDescent="0.25">
      <c r="A74" t="s">
        <v>27</v>
      </c>
      <c r="B74" s="3">
        <v>22</v>
      </c>
      <c r="C74" t="s">
        <v>30</v>
      </c>
      <c r="D74" t="s">
        <v>135</v>
      </c>
    </row>
    <row r="76" spans="1:4" x14ac:dyDescent="0.25">
      <c r="A76" s="3" t="s">
        <v>149</v>
      </c>
    </row>
    <row r="78" spans="1:4" x14ac:dyDescent="0.25">
      <c r="A78" t="s">
        <v>17</v>
      </c>
      <c r="B78">
        <f>(B38/100)*B10 / (B18*1000*B74*10^(-6))</f>
        <v>3.9205056869323296</v>
      </c>
      <c r="C78" t="s">
        <v>5</v>
      </c>
    </row>
    <row r="80" spans="1:4" x14ac:dyDescent="0.25">
      <c r="A80" t="s">
        <v>150</v>
      </c>
      <c r="B80">
        <f>(2*B41/1000*B10)/((2*B16*B14)+(1.3*B78*B10))*1000</f>
        <v>9.7080689980233927</v>
      </c>
      <c r="C80" t="s">
        <v>20</v>
      </c>
    </row>
    <row r="81" spans="1:10" x14ac:dyDescent="0.25">
      <c r="B81" s="3">
        <v>10</v>
      </c>
      <c r="C81" t="s">
        <v>20</v>
      </c>
      <c r="D81" s="11" t="s">
        <v>165</v>
      </c>
    </row>
    <row r="85" spans="1:10" x14ac:dyDescent="0.25">
      <c r="A85" t="s">
        <v>34</v>
      </c>
    </row>
    <row r="87" spans="1:10" x14ac:dyDescent="0.25">
      <c r="A87" t="s">
        <v>35</v>
      </c>
      <c r="B87">
        <f>(B23-B19)/B25</f>
        <v>2.2000000000000002</v>
      </c>
      <c r="C87" t="s">
        <v>48</v>
      </c>
    </row>
    <row r="90" spans="1:10" x14ac:dyDescent="0.25">
      <c r="A90" s="3" t="s">
        <v>57</v>
      </c>
      <c r="I90" t="s">
        <v>164</v>
      </c>
    </row>
    <row r="91" spans="1:10" x14ac:dyDescent="0.25">
      <c r="A91" t="s">
        <v>61</v>
      </c>
      <c r="I91" s="16"/>
      <c r="J91" s="17"/>
    </row>
    <row r="92" spans="1:10" x14ac:dyDescent="0.25">
      <c r="A92" t="s">
        <v>59</v>
      </c>
      <c r="B92">
        <f>(B15/B10*B16)^2*B26/1000*1.5</f>
        <v>1.4520000000000002</v>
      </c>
      <c r="C92" t="s">
        <v>48</v>
      </c>
      <c r="I92" s="18">
        <f>(B15/B9*B16)^2*B27/1000*1.5</f>
        <v>5.3759978300496156</v>
      </c>
      <c r="J92" s="19" t="s">
        <v>48</v>
      </c>
    </row>
    <row r="93" spans="1:10" x14ac:dyDescent="0.25">
      <c r="I93" s="18"/>
      <c r="J93" s="19"/>
    </row>
    <row r="94" spans="1:10" x14ac:dyDescent="0.25">
      <c r="A94" t="s">
        <v>51</v>
      </c>
      <c r="I94" s="18"/>
      <c r="J94" s="19"/>
    </row>
    <row r="95" spans="1:10" x14ac:dyDescent="0.25">
      <c r="I95" s="18"/>
      <c r="J95" s="19"/>
    </row>
    <row r="96" spans="1:10" x14ac:dyDescent="0.25">
      <c r="A96" t="s">
        <v>52</v>
      </c>
      <c r="B96">
        <f>B10*B16*B18*1000*20*10^(-9)</f>
        <v>0.33935999999999999</v>
      </c>
      <c r="C96" t="s">
        <v>48</v>
      </c>
      <c r="I96" s="18"/>
      <c r="J96" s="19"/>
    </row>
    <row r="97" spans="1:10" x14ac:dyDescent="0.25">
      <c r="B97">
        <v>0</v>
      </c>
      <c r="I97" s="18"/>
      <c r="J97" s="19"/>
    </row>
    <row r="98" spans="1:10" x14ac:dyDescent="0.25">
      <c r="I98" s="18"/>
      <c r="J98" s="19"/>
    </row>
    <row r="99" spans="1:10" x14ac:dyDescent="0.25">
      <c r="A99" t="s">
        <v>53</v>
      </c>
      <c r="I99" s="18"/>
      <c r="J99" s="19"/>
    </row>
    <row r="100" spans="1:10" x14ac:dyDescent="0.25">
      <c r="A100" t="s">
        <v>54</v>
      </c>
      <c r="I100" s="18"/>
      <c r="J100" s="19"/>
    </row>
    <row r="101" spans="1:10" x14ac:dyDescent="0.25">
      <c r="I101" s="18"/>
      <c r="J101" s="19"/>
    </row>
    <row r="102" spans="1:10" x14ac:dyDescent="0.25">
      <c r="I102" s="18"/>
      <c r="J102" s="19"/>
    </row>
    <row r="103" spans="1:10" x14ac:dyDescent="0.25">
      <c r="A103" t="s">
        <v>56</v>
      </c>
      <c r="I103" s="18"/>
      <c r="J103" s="19"/>
    </row>
    <row r="104" spans="1:10" x14ac:dyDescent="0.25">
      <c r="A104" t="s">
        <v>55</v>
      </c>
      <c r="B104">
        <f>B92+B97</f>
        <v>1.4520000000000002</v>
      </c>
      <c r="C104" t="s">
        <v>48</v>
      </c>
      <c r="I104" s="18"/>
      <c r="J104" s="19"/>
    </row>
    <row r="105" spans="1:10" x14ac:dyDescent="0.25">
      <c r="I105" s="18"/>
      <c r="J105" s="19"/>
    </row>
    <row r="106" spans="1:10" x14ac:dyDescent="0.25">
      <c r="A106" s="3" t="s">
        <v>58</v>
      </c>
      <c r="I106" s="18"/>
      <c r="J106" s="19"/>
    </row>
    <row r="107" spans="1:10" x14ac:dyDescent="0.25">
      <c r="A107" t="s">
        <v>61</v>
      </c>
      <c r="I107" s="18"/>
      <c r="J107" s="19"/>
    </row>
    <row r="108" spans="1:10" x14ac:dyDescent="0.25">
      <c r="A108" t="s">
        <v>60</v>
      </c>
      <c r="B108">
        <f>(B15-B10)*B15*B16^2*B26/1000*1.5 / B10^2</f>
        <v>0.79200000000000026</v>
      </c>
      <c r="C108" t="s">
        <v>48</v>
      </c>
      <c r="I108" s="18">
        <f>(B15-B9)*B15*B16^2*B27/1000*1.5 / B9^2</f>
        <v>4.4602163815108611</v>
      </c>
      <c r="J108" s="19" t="s">
        <v>48</v>
      </c>
    </row>
    <row r="109" spans="1:10" x14ac:dyDescent="0.25">
      <c r="I109" s="18"/>
      <c r="J109" s="19"/>
    </row>
    <row r="110" spans="1:10" x14ac:dyDescent="0.25">
      <c r="I110" s="18"/>
      <c r="J110" s="19"/>
    </row>
    <row r="111" spans="1:10" x14ac:dyDescent="0.25">
      <c r="A111" t="s">
        <v>52</v>
      </c>
      <c r="B111">
        <f>B15^2*B16*B18*1000*20^(-9)/B10</f>
        <v>1.6040062500000002E-4</v>
      </c>
      <c r="C111" t="s">
        <v>48</v>
      </c>
      <c r="I111" s="18"/>
      <c r="J111" s="19"/>
    </row>
    <row r="112" spans="1:10" x14ac:dyDescent="0.25">
      <c r="I112" s="18"/>
      <c r="J112" s="19"/>
    </row>
    <row r="113" spans="1:12" x14ac:dyDescent="0.25">
      <c r="I113" s="18"/>
      <c r="J113" s="19"/>
    </row>
    <row r="114" spans="1:12" x14ac:dyDescent="0.25">
      <c r="A114" t="s">
        <v>62</v>
      </c>
      <c r="B114">
        <f>B108+B111</f>
        <v>0.79216040062500026</v>
      </c>
      <c r="C114" t="s">
        <v>48</v>
      </c>
      <c r="I114" s="18">
        <f>I108+B111</f>
        <v>4.4603767821358611</v>
      </c>
      <c r="J114" s="19" t="s">
        <v>48</v>
      </c>
    </row>
    <row r="115" spans="1:12" x14ac:dyDescent="0.25">
      <c r="I115" s="18"/>
      <c r="J115" s="19"/>
    </row>
    <row r="116" spans="1:12" x14ac:dyDescent="0.25">
      <c r="A116" t="s">
        <v>63</v>
      </c>
      <c r="I116" s="18"/>
      <c r="J116" s="19"/>
    </row>
    <row r="117" spans="1:12" x14ac:dyDescent="0.25">
      <c r="A117" t="s">
        <v>64</v>
      </c>
      <c r="I117" s="18"/>
      <c r="J117" s="19"/>
    </row>
    <row r="118" spans="1:12" x14ac:dyDescent="0.25">
      <c r="I118" s="18"/>
      <c r="J118" s="19"/>
    </row>
    <row r="119" spans="1:12" x14ac:dyDescent="0.25">
      <c r="I119" s="18"/>
      <c r="J119" s="19"/>
    </row>
    <row r="120" spans="1:12" x14ac:dyDescent="0.25">
      <c r="A120" s="3" t="s">
        <v>65</v>
      </c>
      <c r="I120" s="18"/>
      <c r="J120" s="19"/>
    </row>
    <row r="121" spans="1:12" x14ac:dyDescent="0.25">
      <c r="I121" s="18"/>
      <c r="J121" s="19"/>
    </row>
    <row r="122" spans="1:12" x14ac:dyDescent="0.25">
      <c r="A122" t="s">
        <v>66</v>
      </c>
      <c r="B122">
        <f>B15/B10*B16^2*1.5*B26/1000</f>
        <v>0.66</v>
      </c>
      <c r="C122" t="s">
        <v>48</v>
      </c>
      <c r="I122" s="18">
        <f>B15/B9*B16^2*1.5*B27/1000</f>
        <v>0.91578144853875487</v>
      </c>
      <c r="J122" s="19" t="s">
        <v>48</v>
      </c>
    </row>
    <row r="123" spans="1:12" x14ac:dyDescent="0.25">
      <c r="I123" s="18"/>
      <c r="J123" s="19"/>
    </row>
    <row r="124" spans="1:12" x14ac:dyDescent="0.25">
      <c r="I124" s="18"/>
      <c r="J124" s="19"/>
    </row>
    <row r="125" spans="1:12" x14ac:dyDescent="0.25">
      <c r="A125" s="3" t="s">
        <v>69</v>
      </c>
      <c r="I125" s="18"/>
      <c r="J125" s="19"/>
    </row>
    <row r="126" spans="1:12" x14ac:dyDescent="0.25">
      <c r="I126" s="18"/>
      <c r="J126" s="19"/>
      <c r="K126" t="s">
        <v>171</v>
      </c>
    </row>
    <row r="127" spans="1:12" x14ac:dyDescent="0.25">
      <c r="A127" t="s">
        <v>67</v>
      </c>
      <c r="B127">
        <f>B104*B25+B19</f>
        <v>112.60000000000001</v>
      </c>
      <c r="C127" t="s">
        <v>46</v>
      </c>
      <c r="D127" t="s">
        <v>68</v>
      </c>
      <c r="I127" s="18">
        <f>I92*B25+B19</f>
        <v>308.79989150248076</v>
      </c>
      <c r="J127" s="19" t="s">
        <v>46</v>
      </c>
      <c r="K127">
        <f>B127-I127</f>
        <v>-196.19989150248074</v>
      </c>
      <c r="L127" s="19" t="s">
        <v>46</v>
      </c>
    </row>
    <row r="128" spans="1:12" x14ac:dyDescent="0.25">
      <c r="A128" t="s">
        <v>70</v>
      </c>
      <c r="B128">
        <f>B114*B25+B19</f>
        <v>79.608020031250021</v>
      </c>
      <c r="C128" t="s">
        <v>46</v>
      </c>
      <c r="I128" s="18">
        <f>I114*B25+B19</f>
        <v>263.01883910679305</v>
      </c>
      <c r="J128" s="19" t="s">
        <v>46</v>
      </c>
      <c r="K128">
        <f>B128-I128</f>
        <v>-183.41081907554303</v>
      </c>
      <c r="L128" s="19" t="s">
        <v>46</v>
      </c>
    </row>
    <row r="129" spans="1:12" x14ac:dyDescent="0.25">
      <c r="A129" t="s">
        <v>71</v>
      </c>
      <c r="B129">
        <f>B122*B25+B19</f>
        <v>73</v>
      </c>
      <c r="C129" t="s">
        <v>46</v>
      </c>
      <c r="I129" s="18">
        <f>I122*B25+B19</f>
        <v>85.789072426937736</v>
      </c>
      <c r="J129" s="19" t="s">
        <v>46</v>
      </c>
      <c r="K129">
        <f>B129-I129</f>
        <v>-12.789072426937736</v>
      </c>
      <c r="L129" s="19" t="s">
        <v>46</v>
      </c>
    </row>
    <row r="130" spans="1:12" x14ac:dyDescent="0.25">
      <c r="I130" s="20"/>
      <c r="J130" s="21"/>
    </row>
    <row r="131" spans="1:12" x14ac:dyDescent="0.25">
      <c r="A131" t="s">
        <v>140</v>
      </c>
      <c r="B131">
        <f>B127-B104*$B$24</f>
        <v>111.72880000000001</v>
      </c>
      <c r="C131" t="s">
        <v>46</v>
      </c>
      <c r="D131" t="s">
        <v>141</v>
      </c>
    </row>
    <row r="132" spans="1:12" x14ac:dyDescent="0.25">
      <c r="A132" t="s">
        <v>157</v>
      </c>
      <c r="B132">
        <f>B128-B114*$B$24</f>
        <v>79.132723790875019</v>
      </c>
      <c r="C132" t="s">
        <v>46</v>
      </c>
    </row>
    <row r="133" spans="1:12" x14ac:dyDescent="0.25">
      <c r="A133" t="s">
        <v>158</v>
      </c>
      <c r="B133">
        <f>B129-B122*$B$24</f>
        <v>72.603999999999999</v>
      </c>
      <c r="C133" t="s">
        <v>46</v>
      </c>
    </row>
    <row r="135" spans="1:12" x14ac:dyDescent="0.25">
      <c r="A135" s="3" t="s">
        <v>72</v>
      </c>
      <c r="B135">
        <f>B15</f>
        <v>46.2</v>
      </c>
      <c r="C135" t="s">
        <v>4</v>
      </c>
    </row>
    <row r="137" spans="1:12" x14ac:dyDescent="0.25">
      <c r="A137" t="s">
        <v>73</v>
      </c>
    </row>
    <row r="139" spans="1:12" x14ac:dyDescent="0.25">
      <c r="A139" t="s">
        <v>167</v>
      </c>
      <c r="B139">
        <v>20000</v>
      </c>
      <c r="C139" t="s">
        <v>151</v>
      </c>
      <c r="D139" t="s">
        <v>86</v>
      </c>
    </row>
    <row r="141" spans="1:12" x14ac:dyDescent="0.25">
      <c r="A141" t="s">
        <v>166</v>
      </c>
      <c r="B141">
        <f>B139*((B15*(1.241/1.211-0.128)-1))</f>
        <v>808618.17341040459</v>
      </c>
      <c r="C141" t="s">
        <v>151</v>
      </c>
    </row>
    <row r="142" spans="1:12" x14ac:dyDescent="0.25">
      <c r="B142">
        <f>820000</f>
        <v>820000</v>
      </c>
      <c r="C142" t="s">
        <v>151</v>
      </c>
    </row>
    <row r="144" spans="1:12" x14ac:dyDescent="0.25">
      <c r="A144" t="s">
        <v>169</v>
      </c>
      <c r="B144">
        <f>B142*B139*0.833/((B139*B15*1.241/1.211)-B139-B142)</f>
        <v>127805.94851827821</v>
      </c>
      <c r="C144" t="s">
        <v>151</v>
      </c>
    </row>
    <row r="145" spans="1:3" x14ac:dyDescent="0.25">
      <c r="B145">
        <v>120000</v>
      </c>
      <c r="C145" t="s">
        <v>151</v>
      </c>
    </row>
    <row r="146" spans="1:3" x14ac:dyDescent="0.25">
      <c r="A146" t="s">
        <v>168</v>
      </c>
      <c r="B146">
        <f>0.2*B145</f>
        <v>24000</v>
      </c>
      <c r="C146" t="s">
        <v>151</v>
      </c>
    </row>
    <row r="147" spans="1:3" x14ac:dyDescent="0.25">
      <c r="B147">
        <f>24000</f>
        <v>24000</v>
      </c>
      <c r="C147" t="s">
        <v>151</v>
      </c>
    </row>
    <row r="148" spans="1:3" x14ac:dyDescent="0.25">
      <c r="A148" t="s">
        <v>87</v>
      </c>
      <c r="B148">
        <f>1/(500*B147)*10^(9)</f>
        <v>83.333333333333343</v>
      </c>
      <c r="C148" t="s">
        <v>88</v>
      </c>
    </row>
    <row r="154" spans="1:3" x14ac:dyDescent="0.25">
      <c r="A154" s="15" t="s">
        <v>159</v>
      </c>
    </row>
    <row r="155" spans="1:3" x14ac:dyDescent="0.25">
      <c r="A155" s="10"/>
    </row>
    <row r="156" spans="1:3" x14ac:dyDescent="0.25">
      <c r="A156" s="10" t="s">
        <v>160</v>
      </c>
      <c r="B156">
        <f>B142/(B147+B145)*(B158-1.89)</f>
        <v>46.995472222222219</v>
      </c>
      <c r="C156" t="s">
        <v>4</v>
      </c>
    </row>
    <row r="157" spans="1:3" x14ac:dyDescent="0.25">
      <c r="A157" s="10"/>
    </row>
    <row r="158" spans="1:3" x14ac:dyDescent="0.25">
      <c r="A158" s="10" t="s">
        <v>161</v>
      </c>
      <c r="B158">
        <f>1.211*(1+(B147+B145)/B139+(B147+B145)/B142)</f>
        <v>10.142863414634146</v>
      </c>
    </row>
    <row r="159" spans="1:3" x14ac:dyDescent="0.25">
      <c r="A159" s="10"/>
    </row>
    <row r="160" spans="1:3" x14ac:dyDescent="0.25">
      <c r="A160" s="10" t="s">
        <v>162</v>
      </c>
      <c r="B160">
        <f>(B158-1.89)/(B158-3.3)</f>
        <v>1.2060540908919173</v>
      </c>
    </row>
    <row r="161" spans="1:3" x14ac:dyDescent="0.25">
      <c r="A161" s="10"/>
    </row>
    <row r="162" spans="1:3" x14ac:dyDescent="0.25">
      <c r="A162" s="10" t="s">
        <v>163</v>
      </c>
      <c r="B162">
        <f>1-1.89/B158</f>
        <v>0.81366208705195575</v>
      </c>
    </row>
    <row r="163" spans="1:3" x14ac:dyDescent="0.25">
      <c r="A163" s="10"/>
    </row>
    <row r="164" spans="1:3" x14ac:dyDescent="0.25">
      <c r="A164" s="10"/>
    </row>
    <row r="165" spans="1:3" x14ac:dyDescent="0.25">
      <c r="A165" s="10"/>
    </row>
    <row r="166" spans="1:3" x14ac:dyDescent="0.25">
      <c r="A166" s="10"/>
    </row>
    <row r="167" spans="1:3" x14ac:dyDescent="0.25">
      <c r="A167" s="10"/>
    </row>
    <row r="168" spans="1:3" x14ac:dyDescent="0.25">
      <c r="A168" s="10"/>
    </row>
    <row r="169" spans="1:3" x14ac:dyDescent="0.25">
      <c r="A169" s="10"/>
    </row>
    <row r="170" spans="1:3" x14ac:dyDescent="0.25">
      <c r="A170" s="10"/>
    </row>
    <row r="171" spans="1:3" x14ac:dyDescent="0.25">
      <c r="A171" s="10"/>
    </row>
    <row r="172" spans="1:3" x14ac:dyDescent="0.25">
      <c r="A172" s="3" t="s">
        <v>90</v>
      </c>
    </row>
    <row r="173" spans="1:3" x14ac:dyDescent="0.25">
      <c r="A173" s="3"/>
    </row>
    <row r="175" spans="1:3" x14ac:dyDescent="0.25">
      <c r="A175" t="s">
        <v>172</v>
      </c>
      <c r="B175">
        <f>100*((1+4.47/(B11-6))/(1+5.593/(B11-6)))</f>
        <v>97.163640037380333</v>
      </c>
      <c r="C175" t="s">
        <v>74</v>
      </c>
    </row>
    <row r="176" spans="1:3" x14ac:dyDescent="0.25">
      <c r="B176" s="10">
        <f>107+0</f>
        <v>107</v>
      </c>
      <c r="C176" t="s">
        <v>74</v>
      </c>
    </row>
    <row r="180" spans="1:3" x14ac:dyDescent="0.25">
      <c r="A180" t="s">
        <v>173</v>
      </c>
      <c r="B180">
        <f>2.75*B176/(B11-6)</f>
        <v>8.6544117647058822</v>
      </c>
      <c r="C180" t="s">
        <v>74</v>
      </c>
    </row>
    <row r="181" spans="1:3" x14ac:dyDescent="0.25">
      <c r="B181">
        <v>8.66</v>
      </c>
      <c r="C181" t="s">
        <v>74</v>
      </c>
    </row>
    <row r="183" spans="1:3" x14ac:dyDescent="0.25">
      <c r="A183" t="s">
        <v>174</v>
      </c>
      <c r="B183">
        <f>1/(1/(100-B176)-1/B181)</f>
        <v>-3.8710089399744576</v>
      </c>
      <c r="C183" t="s">
        <v>74</v>
      </c>
    </row>
    <row r="184" spans="1:3" x14ac:dyDescent="0.25">
      <c r="B184">
        <v>4.87</v>
      </c>
    </row>
    <row r="186" spans="1:3" x14ac:dyDescent="0.25">
      <c r="A186" t="s">
        <v>175</v>
      </c>
      <c r="B186">
        <f>0.2*B181</f>
        <v>1.7320000000000002</v>
      </c>
      <c r="C186" t="s">
        <v>74</v>
      </c>
    </row>
    <row r="187" spans="1:3" x14ac:dyDescent="0.25">
      <c r="B187">
        <v>1.69</v>
      </c>
    </row>
    <row r="189" spans="1:3" x14ac:dyDescent="0.25">
      <c r="A189" t="s">
        <v>91</v>
      </c>
      <c r="B189">
        <f>1/(1000*B186*1000)*10^6</f>
        <v>0.57736720554272503</v>
      </c>
      <c r="C189" t="s">
        <v>92</v>
      </c>
    </row>
    <row r="190" spans="1:3" x14ac:dyDescent="0.25">
      <c r="B190">
        <f>0.47</f>
        <v>0.47</v>
      </c>
      <c r="C190" t="s">
        <v>92</v>
      </c>
    </row>
    <row r="192" spans="1:3" x14ac:dyDescent="0.25">
      <c r="A192" s="3" t="s">
        <v>159</v>
      </c>
    </row>
    <row r="194" spans="1:4" x14ac:dyDescent="0.25">
      <c r="A194" t="s">
        <v>176</v>
      </c>
      <c r="B194">
        <f>1.205*(B176/(B187+B181)+B176/B184+1)</f>
        <v>40.137847265621133</v>
      </c>
      <c r="C194" t="s">
        <v>4</v>
      </c>
      <c r="D194" t="s">
        <v>177</v>
      </c>
    </row>
    <row r="195" spans="1:4" x14ac:dyDescent="0.25">
      <c r="A195" t="s">
        <v>178</v>
      </c>
      <c r="B195">
        <f>B194-3.3*(B176/(B187+B181))</f>
        <v>6.0219052366356252</v>
      </c>
      <c r="C195" t="s">
        <v>4</v>
      </c>
      <c r="D195" t="s">
        <v>179</v>
      </c>
    </row>
    <row r="202" spans="1:4" x14ac:dyDescent="0.25">
      <c r="A202" s="3" t="s">
        <v>93</v>
      </c>
    </row>
    <row r="205" spans="1:4" x14ac:dyDescent="0.25">
      <c r="A205" t="s">
        <v>95</v>
      </c>
      <c r="B205">
        <f>0.0497/B16*1000</f>
        <v>12.425000000000001</v>
      </c>
      <c r="C205" t="s">
        <v>20</v>
      </c>
    </row>
    <row r="206" spans="1:4" x14ac:dyDescent="0.25">
      <c r="B206">
        <v>12</v>
      </c>
      <c r="C206" t="s">
        <v>20</v>
      </c>
    </row>
    <row r="208" spans="1:4" x14ac:dyDescent="0.25">
      <c r="A208" t="s">
        <v>94</v>
      </c>
      <c r="B208">
        <f>1208/(B16*1*B206/1000)/1000</f>
        <v>25.166666666666668</v>
      </c>
      <c r="C208" t="s">
        <v>74</v>
      </c>
    </row>
    <row r="209" spans="1:3" x14ac:dyDescent="0.25">
      <c r="B209">
        <v>25</v>
      </c>
      <c r="C209" t="s">
        <v>74</v>
      </c>
    </row>
    <row r="211" spans="1:3" x14ac:dyDescent="0.25">
      <c r="A211" t="s">
        <v>96</v>
      </c>
      <c r="B211">
        <f>24.3*B209/(B209-24.3)</f>
        <v>867.85714285714369</v>
      </c>
      <c r="C211" t="s">
        <v>74</v>
      </c>
    </row>
    <row r="212" spans="1:3" x14ac:dyDescent="0.25">
      <c r="B212" t="s">
        <v>136</v>
      </c>
    </row>
    <row r="219" spans="1:3" x14ac:dyDescent="0.25">
      <c r="A219" s="3" t="s">
        <v>97</v>
      </c>
    </row>
    <row r="221" spans="1:3" x14ac:dyDescent="0.25">
      <c r="A221" t="s">
        <v>98</v>
      </c>
      <c r="B221">
        <f>0.0505/(1.3*B12) * 1000</f>
        <v>4.725809470335018</v>
      </c>
      <c r="C221" t="s">
        <v>20</v>
      </c>
    </row>
    <row r="222" spans="1:3" x14ac:dyDescent="0.25">
      <c r="B222">
        <v>5</v>
      </c>
      <c r="C222" t="s">
        <v>20</v>
      </c>
    </row>
  </sheetData>
  <hyperlinks>
    <hyperlink ref="D34" r:id="rId1"/>
  </hyperlinks>
  <pageMargins left="0.7" right="0.7" top="0.75" bottom="0.75" header="0.3" footer="0.3"/>
  <pageSetup paperSize="9" orientation="portrait" horizontalDpi="180" verticalDpi="18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6" sqref="C16"/>
    </sheetView>
  </sheetViews>
  <sheetFormatPr defaultRowHeight="15" x14ac:dyDescent="0.25"/>
  <sheetData>
    <row r="1" spans="1:7" x14ac:dyDescent="0.25">
      <c r="A1" t="s">
        <v>146</v>
      </c>
    </row>
    <row r="2" spans="1:7" x14ac:dyDescent="0.25">
      <c r="A2" t="s">
        <v>147</v>
      </c>
    </row>
    <row r="5" spans="1:7" x14ac:dyDescent="0.25">
      <c r="E5" s="11"/>
      <c r="G5" t="s">
        <v>142</v>
      </c>
    </row>
    <row r="6" spans="1:7" x14ac:dyDescent="0.25">
      <c r="A6" s="12"/>
    </row>
    <row r="7" spans="1:7" x14ac:dyDescent="0.25">
      <c r="A7" s="3" t="s">
        <v>143</v>
      </c>
      <c r="B7" s="13">
        <v>50</v>
      </c>
      <c r="C7" t="s">
        <v>144</v>
      </c>
    </row>
    <row r="10" spans="1:7" x14ac:dyDescent="0.25">
      <c r="E10" t="s">
        <v>145</v>
      </c>
    </row>
    <row r="12" spans="1:7" x14ac:dyDescent="0.25">
      <c r="A12" t="s">
        <v>148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C14" sqref="C14"/>
    </sheetView>
  </sheetViews>
  <sheetFormatPr defaultRowHeight="15" x14ac:dyDescent="0.25"/>
  <cols>
    <col min="1" max="1" width="15.42578125" customWidth="1"/>
    <col min="2" max="2" width="12" bestFit="1" customWidth="1"/>
  </cols>
  <sheetData>
    <row r="1" spans="1:4" x14ac:dyDescent="0.25">
      <c r="A1" t="s">
        <v>77</v>
      </c>
    </row>
    <row r="2" spans="1:4" x14ac:dyDescent="0.25">
      <c r="A2" s="2" t="s">
        <v>78</v>
      </c>
    </row>
    <row r="4" spans="1:4" x14ac:dyDescent="0.25">
      <c r="A4" s="5" t="s">
        <v>41</v>
      </c>
    </row>
    <row r="6" spans="1:4" x14ac:dyDescent="0.25">
      <c r="A6" t="s">
        <v>75</v>
      </c>
      <c r="B6">
        <v>18</v>
      </c>
      <c r="C6" t="s">
        <v>4</v>
      </c>
    </row>
    <row r="7" spans="1:4" x14ac:dyDescent="0.25">
      <c r="A7" t="s">
        <v>89</v>
      </c>
      <c r="B7">
        <v>24</v>
      </c>
      <c r="C7" t="s">
        <v>4</v>
      </c>
    </row>
    <row r="8" spans="1:4" x14ac:dyDescent="0.25">
      <c r="A8" t="s">
        <v>76</v>
      </c>
      <c r="B8">
        <f>8.5</f>
        <v>8.5</v>
      </c>
      <c r="C8" t="s">
        <v>5</v>
      </c>
    </row>
    <row r="9" spans="1:4" x14ac:dyDescent="0.25">
      <c r="A9" t="s">
        <v>21</v>
      </c>
      <c r="B9">
        <f>3.7*11</f>
        <v>40.700000000000003</v>
      </c>
      <c r="C9" t="s">
        <v>4</v>
      </c>
      <c r="D9" t="s">
        <v>23</v>
      </c>
    </row>
    <row r="10" spans="1:4" x14ac:dyDescent="0.25">
      <c r="A10" t="s">
        <v>22</v>
      </c>
      <c r="B10">
        <f>4.2*11</f>
        <v>46.2</v>
      </c>
      <c r="C10" t="s">
        <v>4</v>
      </c>
      <c r="D10" t="s">
        <v>24</v>
      </c>
    </row>
    <row r="11" spans="1:4" x14ac:dyDescent="0.25">
      <c r="A11" t="s">
        <v>2</v>
      </c>
      <c r="B11">
        <v>4</v>
      </c>
      <c r="C11" t="s">
        <v>5</v>
      </c>
    </row>
    <row r="12" spans="1:4" x14ac:dyDescent="0.25">
      <c r="A12" t="s">
        <v>3</v>
      </c>
      <c r="B12">
        <v>202</v>
      </c>
      <c r="C12" t="s">
        <v>28</v>
      </c>
    </row>
    <row r="13" spans="1:4" x14ac:dyDescent="0.25">
      <c r="A13" t="s">
        <v>38</v>
      </c>
      <c r="B13">
        <v>60</v>
      </c>
      <c r="C13" t="s">
        <v>46</v>
      </c>
      <c r="D13" t="s">
        <v>40</v>
      </c>
    </row>
    <row r="19" spans="1:3" ht="15.75" x14ac:dyDescent="0.25">
      <c r="A19" s="7" t="s">
        <v>79</v>
      </c>
    </row>
    <row r="22" spans="1:3" x14ac:dyDescent="0.25">
      <c r="A22" t="s">
        <v>80</v>
      </c>
      <c r="B22">
        <f>0.3*B11/(1-PowerPart!B38/100)</f>
        <v>7.0444726810673437</v>
      </c>
      <c r="C22" t="s">
        <v>5</v>
      </c>
    </row>
    <row r="26" spans="1:3" x14ac:dyDescent="0.25">
      <c r="A26" t="s">
        <v>81</v>
      </c>
    </row>
    <row r="29" spans="1:3" x14ac:dyDescent="0.25">
      <c r="A29" t="s">
        <v>82</v>
      </c>
      <c r="B29">
        <f>B6*PowerPart!B38/100/((Nordic!B12*1000)*Nordic!B22)*10^6</f>
        <v>10.494686991890283</v>
      </c>
      <c r="C29" t="s">
        <v>30</v>
      </c>
    </row>
    <row r="32" spans="1:3" ht="15.75" x14ac:dyDescent="0.25">
      <c r="A32" s="7" t="s">
        <v>84</v>
      </c>
    </row>
    <row r="36" spans="1:3" x14ac:dyDescent="0.25">
      <c r="A36" t="s">
        <v>83</v>
      </c>
      <c r="B36">
        <f>(B10-B6)*B11/(B10*B12*1000*0.1)*10^6</f>
        <v>120.86922978012085</v>
      </c>
      <c r="C36" t="s">
        <v>85</v>
      </c>
    </row>
  </sheetData>
  <hyperlinks>
    <hyperlink ref="A2" r:id="rId1"/>
  </hyperlinks>
  <pageMargins left="0.7" right="0.7" top="0.75" bottom="0.75" header="0.3" footer="0.3"/>
  <pageSetup paperSize="9" orientation="portrait" horizontalDpi="180" verticalDpi="18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2" workbookViewId="0">
      <selection activeCell="L20" sqref="L20"/>
    </sheetView>
  </sheetViews>
  <sheetFormatPr defaultRowHeight="15" x14ac:dyDescent="0.25"/>
  <cols>
    <col min="1" max="1" width="12.7109375" customWidth="1"/>
  </cols>
  <sheetData>
    <row r="1" spans="1:4" x14ac:dyDescent="0.25">
      <c r="A1" t="s">
        <v>130</v>
      </c>
    </row>
    <row r="2" spans="1:4" x14ac:dyDescent="0.25">
      <c r="A2" t="s">
        <v>128</v>
      </c>
    </row>
    <row r="5" spans="1:4" x14ac:dyDescent="0.25">
      <c r="A5" s="5" t="s">
        <v>41</v>
      </c>
    </row>
    <row r="7" spans="1:4" x14ac:dyDescent="0.25">
      <c r="A7" t="s">
        <v>2</v>
      </c>
      <c r="B7" s="8">
        <v>5</v>
      </c>
      <c r="C7" t="s">
        <v>5</v>
      </c>
    </row>
    <row r="8" spans="1:4" x14ac:dyDescent="0.25">
      <c r="A8" t="s">
        <v>38</v>
      </c>
      <c r="B8" s="8">
        <v>40</v>
      </c>
      <c r="C8" t="s">
        <v>46</v>
      </c>
      <c r="D8" t="s">
        <v>40</v>
      </c>
    </row>
    <row r="10" spans="1:4" x14ac:dyDescent="0.25">
      <c r="A10" s="3" t="s">
        <v>100</v>
      </c>
    </row>
    <row r="11" spans="1:4" x14ac:dyDescent="0.25">
      <c r="A11" t="s">
        <v>103</v>
      </c>
    </row>
    <row r="13" spans="1:4" x14ac:dyDescent="0.25">
      <c r="A13" t="s">
        <v>120</v>
      </c>
      <c r="B13">
        <f>150</f>
        <v>150</v>
      </c>
      <c r="C13" t="s">
        <v>46</v>
      </c>
    </row>
    <row r="14" spans="1:4" x14ac:dyDescent="0.25">
      <c r="A14" t="s">
        <v>101</v>
      </c>
      <c r="B14">
        <f>1.6</f>
        <v>1.6</v>
      </c>
      <c r="C14" t="s">
        <v>45</v>
      </c>
      <c r="D14" t="s">
        <v>102</v>
      </c>
    </row>
    <row r="15" spans="1:4" x14ac:dyDescent="0.25">
      <c r="A15" t="s">
        <v>116</v>
      </c>
      <c r="B15">
        <v>70</v>
      </c>
      <c r="C15" t="s">
        <v>45</v>
      </c>
      <c r="D15" t="s">
        <v>131</v>
      </c>
    </row>
    <row r="16" spans="1:4" x14ac:dyDescent="0.25">
      <c r="A16" t="s">
        <v>104</v>
      </c>
      <c r="B16">
        <f>0.56</f>
        <v>0.56000000000000005</v>
      </c>
      <c r="C16" t="s">
        <v>4</v>
      </c>
      <c r="D16" t="s">
        <v>105</v>
      </c>
    </row>
    <row r="18" spans="1:4" x14ac:dyDescent="0.25">
      <c r="A18" s="3" t="s">
        <v>107</v>
      </c>
      <c r="B18" t="s">
        <v>129</v>
      </c>
    </row>
    <row r="19" spans="1:4" x14ac:dyDescent="0.25">
      <c r="A19" t="s">
        <v>123</v>
      </c>
      <c r="B19">
        <f>0.5</f>
        <v>0.5</v>
      </c>
      <c r="C19" t="s">
        <v>45</v>
      </c>
      <c r="D19" t="s">
        <v>121</v>
      </c>
    </row>
    <row r="20" spans="1:4" x14ac:dyDescent="0.25">
      <c r="A20" t="s">
        <v>124</v>
      </c>
      <c r="B20">
        <v>1</v>
      </c>
      <c r="C20" t="s">
        <v>45</v>
      </c>
      <c r="D20" t="s">
        <v>115</v>
      </c>
    </row>
    <row r="22" spans="1:4" x14ac:dyDescent="0.25">
      <c r="A22" t="s">
        <v>106</v>
      </c>
      <c r="B22">
        <f>B16*B7</f>
        <v>2.8000000000000003</v>
      </c>
      <c r="C22" t="s">
        <v>48</v>
      </c>
    </row>
    <row r="24" spans="1:4" x14ac:dyDescent="0.25">
      <c r="A24" t="s">
        <v>117</v>
      </c>
      <c r="B24">
        <f>B22*B15+B8</f>
        <v>236.00000000000003</v>
      </c>
      <c r="C24" t="s">
        <v>46</v>
      </c>
      <c r="D24" t="s">
        <v>118</v>
      </c>
    </row>
    <row r="25" spans="1:4" x14ac:dyDescent="0.25">
      <c r="A25" t="s">
        <v>108</v>
      </c>
      <c r="B25">
        <f>B22*B14+B24</f>
        <v>240.48000000000002</v>
      </c>
      <c r="C25" t="s">
        <v>46</v>
      </c>
      <c r="D25" t="s">
        <v>119</v>
      </c>
    </row>
    <row r="27" spans="1:4" x14ac:dyDescent="0.25">
      <c r="A27" s="3" t="s">
        <v>122</v>
      </c>
    </row>
    <row r="35" spans="1:4" x14ac:dyDescent="0.25">
      <c r="A35" t="s">
        <v>127</v>
      </c>
      <c r="B35">
        <f>(B13-B8)/B22-B14-B19</f>
        <v>37.185714285714283</v>
      </c>
      <c r="C35" t="s">
        <v>45</v>
      </c>
      <c r="D35" t="s">
        <v>125</v>
      </c>
    </row>
    <row r="36" spans="1:4" x14ac:dyDescent="0.25">
      <c r="B36" s="8">
        <v>15</v>
      </c>
      <c r="C36" t="s">
        <v>45</v>
      </c>
      <c r="D36" t="s">
        <v>126</v>
      </c>
    </row>
    <row r="38" spans="1:4" x14ac:dyDescent="0.25">
      <c r="A38" t="s">
        <v>109</v>
      </c>
      <c r="B38">
        <f>B22*B36+B8</f>
        <v>82</v>
      </c>
      <c r="C38" t="s">
        <v>46</v>
      </c>
      <c r="D38" t="s">
        <v>110</v>
      </c>
    </row>
    <row r="39" spans="1:4" x14ac:dyDescent="0.25">
      <c r="A39" t="s">
        <v>111</v>
      </c>
      <c r="B39">
        <f>B22*B19+B38</f>
        <v>83.4</v>
      </c>
      <c r="C39" t="s">
        <v>46</v>
      </c>
      <c r="D39" t="s">
        <v>113</v>
      </c>
    </row>
    <row r="40" spans="1:4" x14ac:dyDescent="0.25">
      <c r="A40" t="s">
        <v>112</v>
      </c>
      <c r="B40">
        <f>B22*B14+B39</f>
        <v>87.88000000000001</v>
      </c>
      <c r="C40" t="s">
        <v>46</v>
      </c>
      <c r="D40" t="s">
        <v>114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E18" sqref="E18"/>
    </sheetView>
  </sheetViews>
  <sheetFormatPr defaultRowHeight="15" x14ac:dyDescent="0.25"/>
  <sheetData>
    <row r="1" spans="1:4" x14ac:dyDescent="0.25">
      <c r="A1" t="s">
        <v>130</v>
      </c>
    </row>
    <row r="2" spans="1:4" x14ac:dyDescent="0.25">
      <c r="A2" t="s">
        <v>128</v>
      </c>
    </row>
    <row r="5" spans="1:4" x14ac:dyDescent="0.25">
      <c r="A5" s="5" t="s">
        <v>41</v>
      </c>
    </row>
    <row r="7" spans="1:4" x14ac:dyDescent="0.25">
      <c r="A7" t="s">
        <v>2</v>
      </c>
      <c r="B7" s="8">
        <v>4</v>
      </c>
      <c r="C7" t="s">
        <v>5</v>
      </c>
    </row>
    <row r="8" spans="1:4" x14ac:dyDescent="0.25">
      <c r="A8" t="s">
        <v>38</v>
      </c>
      <c r="B8" s="8">
        <v>40</v>
      </c>
      <c r="C8" t="s">
        <v>46</v>
      </c>
      <c r="D8" t="s">
        <v>40</v>
      </c>
    </row>
    <row r="10" spans="1:4" x14ac:dyDescent="0.25">
      <c r="A10" s="3" t="s">
        <v>100</v>
      </c>
    </row>
    <row r="11" spans="1:4" x14ac:dyDescent="0.25">
      <c r="A11" t="s">
        <v>133</v>
      </c>
      <c r="C11" s="9" t="s">
        <v>134</v>
      </c>
    </row>
    <row r="13" spans="1:4" x14ac:dyDescent="0.25">
      <c r="A13" t="s">
        <v>120</v>
      </c>
      <c r="B13">
        <f>150</f>
        <v>150</v>
      </c>
      <c r="C13" t="s">
        <v>46</v>
      </c>
    </row>
    <row r="15" spans="1:4" x14ac:dyDescent="0.25">
      <c r="A15" t="s">
        <v>44</v>
      </c>
      <c r="B15">
        <v>50</v>
      </c>
      <c r="C15" s="6" t="s">
        <v>45</v>
      </c>
      <c r="D15" t="s">
        <v>47</v>
      </c>
    </row>
    <row r="16" spans="1:4" x14ac:dyDescent="0.25">
      <c r="A16" t="s">
        <v>104</v>
      </c>
      <c r="B16">
        <f>0.45</f>
        <v>0.45</v>
      </c>
      <c r="C16" t="s">
        <v>4</v>
      </c>
      <c r="D16" t="s">
        <v>132</v>
      </c>
    </row>
    <row r="19" spans="1:4" x14ac:dyDescent="0.25">
      <c r="A19" t="s">
        <v>106</v>
      </c>
      <c r="B19">
        <f>B16*B7</f>
        <v>1.8</v>
      </c>
      <c r="C19" t="s">
        <v>48</v>
      </c>
    </row>
    <row r="22" spans="1:4" x14ac:dyDescent="0.25">
      <c r="A22" t="s">
        <v>108</v>
      </c>
      <c r="B22">
        <f>B19*B15+B8</f>
        <v>130</v>
      </c>
      <c r="C22" t="s">
        <v>46</v>
      </c>
      <c r="D22" t="s">
        <v>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PowerPart</vt:lpstr>
      <vt:lpstr>Температура корпуса</vt:lpstr>
      <vt:lpstr>Nordic</vt:lpstr>
      <vt:lpstr>Расчет радиатора</vt:lpstr>
      <vt:lpstr>Расчет диода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2020-05-19T05:44:01Z</dcterms:modified>
</cp:coreProperties>
</file>