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PowerPart" sheetId="1" r:id="rId1"/>
    <sheet name="Nordic" sheetId="2" r:id="rId2"/>
    <sheet name="Расчет радиатора" sheetId="3" r:id="rId3"/>
    <sheet name="Расчет диода" sheetId="4" r:id="rId4"/>
  </sheets>
  <calcPr calcId="152511"/>
</workbook>
</file>

<file path=xl/calcChain.xml><?xml version="1.0" encoding="utf-8"?>
<calcChain xmlns="http://schemas.openxmlformats.org/spreadsheetml/2006/main">
  <c r="B158" i="1" l="1"/>
  <c r="B137" i="1"/>
  <c r="B10" i="2" l="1"/>
  <c r="B9" i="2"/>
  <c r="B42" i="1"/>
  <c r="B34" i="1"/>
  <c r="B12" i="1"/>
  <c r="B13" i="1"/>
  <c r="B16" i="4" l="1"/>
  <c r="B19" i="4"/>
  <c r="B22" i="4" s="1"/>
  <c r="B13" i="4"/>
  <c r="B38" i="3"/>
  <c r="B35" i="3"/>
  <c r="B13" i="3"/>
  <c r="B19" i="3"/>
  <c r="B16" i="3"/>
  <c r="B22" i="3" s="1"/>
  <c r="B14" i="3"/>
  <c r="B80" i="1"/>
  <c r="B95" i="1"/>
  <c r="B64" i="1"/>
  <c r="B24" i="3" l="1"/>
  <c r="B25" i="3" s="1"/>
  <c r="B39" i="3"/>
  <c r="B40" i="3" s="1"/>
  <c r="B147" i="1"/>
  <c r="B144" i="1"/>
  <c r="B141" i="1"/>
  <c r="B136" i="1"/>
  <c r="B155" i="1"/>
  <c r="B171" i="1" l="1"/>
  <c r="B161" i="1"/>
  <c r="B150" i="1"/>
  <c r="B129" i="1"/>
  <c r="B128" i="1"/>
  <c r="B149" i="1" l="1"/>
  <c r="B36" i="2"/>
  <c r="B8" i="2"/>
  <c r="B11" i="1"/>
  <c r="B22" i="1" l="1"/>
  <c r="B20" i="1"/>
  <c r="B75" i="1" s="1"/>
  <c r="B30" i="1"/>
  <c r="B125" i="1" l="1"/>
  <c r="B48" i="1"/>
  <c r="B98" i="1"/>
  <c r="B84" i="1"/>
  <c r="B109" i="1"/>
  <c r="B116" i="1" s="1"/>
  <c r="B22" i="2" l="1"/>
  <c r="B29" i="2" s="1"/>
  <c r="B57" i="1"/>
  <c r="B52" i="1"/>
  <c r="B101" i="1"/>
  <c r="B115" i="1" s="1"/>
  <c r="B91" i="1"/>
  <c r="B114" i="1" s="1"/>
</calcChain>
</file>

<file path=xl/comments1.xml><?xml version="1.0" encoding="utf-8"?>
<comments xmlns="http://schemas.openxmlformats.org/spreadsheetml/2006/main">
  <authors>
    <author>Автор</author>
  </authors>
  <commentList>
    <comment ref="B11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5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1*Imax</t>
        </r>
      </text>
    </comment>
  </commentList>
</comments>
</file>

<file path=xl/sharedStrings.xml><?xml version="1.0" encoding="utf-8"?>
<sst xmlns="http://schemas.openxmlformats.org/spreadsheetml/2006/main" count="259" uniqueCount="153">
  <si>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</si>
  <si>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</si>
  <si>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</si>
  <si>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</si>
  <si>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</si>
  <si>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</si>
  <si>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</si>
  <si>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</si>
  <si>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</si>
  <si>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</si>
  <si>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</si>
  <si>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</si>
  <si>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</si>
  <si>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</si>
  <si>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</si>
  <si>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</si>
  <si>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</si>
  <si>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</si>
  <si>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</si>
  <si>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</si>
  <si>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</si>
  <si>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</si>
  <si>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</si>
  <si>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</si>
  <si>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</si>
  <si>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</si>
  <si>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</si>
  <si>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</si>
  <si>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</si>
  <si>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</si>
  <si>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</si>
  <si>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</si>
  <si>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</si>
  <si>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</si>
  <si>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</si>
  <si>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</si>
  <si>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</si>
  <si>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</si>
  <si>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</si>
  <si>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</si>
  <si>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</si>
  <si>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</si>
  <si>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</si>
  <si>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</si>
  <si>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</si>
  <si>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</si>
  <si>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</si>
  <si>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</si>
  <si>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</si>
  <si>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</si>
  <si>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</si>
  <si>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</si>
  <si>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</si>
  <si>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</si>
  <si>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</si>
  <si>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</si>
  <si>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</si>
  <si>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</si>
  <si>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</si>
  <si>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</si>
  <si>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</si>
  <si>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</si>
  <si>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</si>
  <si>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</si>
  <si>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</si>
  <si>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</si>
  <si>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</si>
  <si>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</si>
  <si>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</si>
  <si>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</si>
  <si>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</si>
  <si>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</si>
  <si>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</si>
  <si>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</si>
  <si>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RFBOUT2=</t>
  </si>
  <si>
    <t>k</t>
  </si>
  <si>
    <t>RFBOUT1=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</si>
  <si>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</si>
  <si>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</si>
  <si>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</si>
  <si>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</si>
  <si>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</si>
  <si>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</si>
  <si>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</si>
  <si>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</si>
  <si>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</si>
  <si>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</si>
  <si>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</si>
  <si>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</si>
  <si>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RDACO1=</t>
  </si>
  <si>
    <t>RDACO2=</t>
  </si>
  <si>
    <t>//берем из таблицы</t>
  </si>
  <si>
    <t>CDACO=</t>
  </si>
  <si>
    <t>nF</t>
  </si>
  <si>
    <t>Vin(max)=</t>
  </si>
  <si>
    <t>//от солнечной панели</t>
  </si>
  <si>
    <t>Input Feedback Resistor Network</t>
  </si>
  <si>
    <t>Rfbin1=</t>
  </si>
  <si>
    <t>Rdaci2=</t>
  </si>
  <si>
    <t>Rfbin2=</t>
  </si>
  <si>
    <t>Rdaci1=</t>
  </si>
  <si>
    <t>Cdaci=</t>
  </si>
  <si>
    <t>mkF</t>
  </si>
  <si>
    <t>HW Config: Output Current Sense and Limit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</si>
  <si>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</si>
  <si>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</si>
  <si>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</si>
  <si>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</si>
  <si>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</si>
  <si>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</si>
  <si>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//от источника питания, nom = 12V</t>
  </si>
  <si>
    <t>M</t>
  </si>
  <si>
    <t>DIODE</t>
  </si>
  <si>
    <t xml:space="preserve">Rth(j-c) = </t>
  </si>
  <si>
    <t>//Junction to case</t>
  </si>
  <si>
    <t>STPS8H100, TO-220</t>
  </si>
  <si>
    <t>Vf=</t>
  </si>
  <si>
    <t>at 8A @Tj=125</t>
  </si>
  <si>
    <t>Pdiss=</t>
  </si>
  <si>
    <t>HEATSINK</t>
  </si>
  <si>
    <t>Tj0=</t>
  </si>
  <si>
    <t>Theatsink=</t>
  </si>
  <si>
    <t>//темп. Радиатора</t>
  </si>
  <si>
    <t>Tcase=</t>
  </si>
  <si>
    <t>Tj=</t>
  </si>
  <si>
    <t>//темп. Корпуса диода</t>
  </si>
  <si>
    <t>//темп. Кристалла</t>
  </si>
  <si>
    <t>//heatsink to ambient</t>
  </si>
  <si>
    <t xml:space="preserve">Rth(c-a) = </t>
  </si>
  <si>
    <t>Tcase0=</t>
  </si>
  <si>
    <t>//темп. корпуса без радиатора</t>
  </si>
  <si>
    <t>//темп. кристалла без радиатора</t>
  </si>
  <si>
    <t>Tjmax=</t>
  </si>
  <si>
    <t>//case to heatsink силиконовой изолирующей прокладки</t>
  </si>
  <si>
    <t>HEATSINK CALCULATION</t>
  </si>
  <si>
    <t>Rth(c-r) =</t>
  </si>
  <si>
    <t>Rth(r-a) =</t>
  </si>
  <si>
    <t>//необходимое тепловое сопротивление радиатор-окружающая среда</t>
  </si>
  <si>
    <t>//наш выбор</t>
  </si>
  <si>
    <t>Rr-a(max)=</t>
  </si>
  <si>
    <t>Тихонов Е.Н. 27.02.20</t>
  </si>
  <si>
    <t>7-340-3PP-BA "CTS"</t>
  </si>
  <si>
    <t>Тепловой расчет радиатора для диода</t>
  </si>
  <si>
    <t>//case to ambient</t>
  </si>
  <si>
    <t>at 5A @Tj=125</t>
  </si>
  <si>
    <t>NTS10100MFST3G</t>
  </si>
  <si>
    <t>8-PowerTDFN, 5 Leads</t>
  </si>
  <si>
    <t>//full charge 4.2V*11cells</t>
  </si>
  <si>
    <t>Панель 5x7</t>
  </si>
  <si>
    <t>//nominal voltage 3.7V*11cells</t>
  </si>
  <si>
    <t>//max ток зарядки (4.4 A nominal)</t>
  </si>
  <si>
    <t>//Power Stage Designer Tool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</si>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</sst>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9"/>
      <color rgb="FF44444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2" borderId="1" xfId="0" applyFill="1" applyBorder="1"/>
    <xf numFmtId="0" fontId="8" fillId="0" borderId="0" xfId="0" applyFont="1"/>
    <xf numFmtId="0" fontId="0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28</xdr:row>
      <xdr:rowOff>38100</xdr:rowOff>
    </xdr:from>
    <xdr:to>
      <xdr:col>8</xdr:col>
      <xdr:colOff>57150</xdr:colOff>
      <xdr:row>31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32</xdr:row>
      <xdr:rowOff>57150</xdr:rowOff>
    </xdr:from>
    <xdr:to>
      <xdr:col>6</xdr:col>
      <xdr:colOff>571500</xdr:colOff>
      <xdr:row>34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40</xdr:row>
      <xdr:rowOff>104775</xdr:rowOff>
    </xdr:from>
    <xdr:to>
      <xdr:col>7</xdr:col>
      <xdr:colOff>247650</xdr:colOff>
      <xdr:row>44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46</xdr:row>
      <xdr:rowOff>85725</xdr:rowOff>
    </xdr:from>
    <xdr:to>
      <xdr:col>9</xdr:col>
      <xdr:colOff>561975</xdr:colOff>
      <xdr:row>49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53</xdr:row>
      <xdr:rowOff>133350</xdr:rowOff>
    </xdr:from>
    <xdr:to>
      <xdr:col>9</xdr:col>
      <xdr:colOff>361950</xdr:colOff>
      <xdr:row>59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61</xdr:row>
      <xdr:rowOff>1142999</xdr:rowOff>
    </xdr:from>
    <xdr:to>
      <xdr:col>10</xdr:col>
      <xdr:colOff>200025</xdr:colOff>
      <xdr:row>66</xdr:row>
      <xdr:rowOff>180974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52725" y="12763499"/>
          <a:ext cx="44958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73</xdr:row>
      <xdr:rowOff>19050</xdr:rowOff>
    </xdr:from>
    <xdr:to>
      <xdr:col>5</xdr:col>
      <xdr:colOff>542925</xdr:colOff>
      <xdr:row>76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78</xdr:row>
      <xdr:rowOff>114301</xdr:rowOff>
    </xdr:from>
    <xdr:to>
      <xdr:col>7</xdr:col>
      <xdr:colOff>209550</xdr:colOff>
      <xdr:row>81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82</xdr:row>
      <xdr:rowOff>57150</xdr:rowOff>
    </xdr:from>
    <xdr:to>
      <xdr:col>8</xdr:col>
      <xdr:colOff>219075</xdr:colOff>
      <xdr:row>85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89</xdr:row>
      <xdr:rowOff>142875</xdr:rowOff>
    </xdr:from>
    <xdr:to>
      <xdr:col>5</xdr:col>
      <xdr:colOff>219075</xdr:colOff>
      <xdr:row>91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92</xdr:row>
      <xdr:rowOff>180976</xdr:rowOff>
    </xdr:from>
    <xdr:to>
      <xdr:col>7</xdr:col>
      <xdr:colOff>28574</xdr:colOff>
      <xdr:row>96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96</xdr:row>
      <xdr:rowOff>104776</xdr:rowOff>
    </xdr:from>
    <xdr:to>
      <xdr:col>5</xdr:col>
      <xdr:colOff>238125</xdr:colOff>
      <xdr:row>98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99</xdr:row>
      <xdr:rowOff>161926</xdr:rowOff>
    </xdr:from>
    <xdr:to>
      <xdr:col>5</xdr:col>
      <xdr:colOff>57150</xdr:colOff>
      <xdr:row>101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106</xdr:row>
      <xdr:rowOff>179326</xdr:rowOff>
    </xdr:from>
    <xdr:to>
      <xdr:col>7</xdr:col>
      <xdr:colOff>552449</xdr:colOff>
      <xdr:row>110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561974</xdr:colOff>
      <xdr:row>123</xdr:row>
      <xdr:rowOff>9525</xdr:rowOff>
    </xdr:from>
    <xdr:to>
      <xdr:col>7</xdr:col>
      <xdr:colOff>476249</xdr:colOff>
      <xdr:row>125</xdr:row>
      <xdr:rowOff>132912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733674" y="23441025"/>
          <a:ext cx="2962275" cy="504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133</xdr:row>
      <xdr:rowOff>66676</xdr:rowOff>
    </xdr:from>
    <xdr:to>
      <xdr:col>6</xdr:col>
      <xdr:colOff>390526</xdr:colOff>
      <xdr:row>138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139</xdr:row>
      <xdr:rowOff>19050</xdr:rowOff>
    </xdr:from>
    <xdr:to>
      <xdr:col>6</xdr:col>
      <xdr:colOff>9525</xdr:colOff>
      <xdr:row>141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132</xdr:row>
      <xdr:rowOff>0</xdr:rowOff>
    </xdr:from>
    <xdr:to>
      <xdr:col>12</xdr:col>
      <xdr:colOff>285750</xdr:colOff>
      <xdr:row>143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119</xdr:row>
      <xdr:rowOff>47625</xdr:rowOff>
    </xdr:from>
    <xdr:to>
      <xdr:col>12</xdr:col>
      <xdr:colOff>323850</xdr:colOff>
      <xdr:row>130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142</xdr:row>
      <xdr:rowOff>0</xdr:rowOff>
    </xdr:from>
    <xdr:to>
      <xdr:col>6</xdr:col>
      <xdr:colOff>409574</xdr:colOff>
      <xdr:row>145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146</xdr:row>
      <xdr:rowOff>9525</xdr:rowOff>
    </xdr:from>
    <xdr:to>
      <xdr:col>5</xdr:col>
      <xdr:colOff>66674</xdr:colOff>
      <xdr:row>149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150</xdr:row>
      <xdr:rowOff>181232</xdr:rowOff>
    </xdr:from>
    <xdr:to>
      <xdr:col>13</xdr:col>
      <xdr:colOff>428051</xdr:colOff>
      <xdr:row>166</xdr:row>
      <xdr:rowOff>37620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43649" y="29137232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153</xdr:row>
      <xdr:rowOff>24170</xdr:rowOff>
    </xdr:from>
    <xdr:to>
      <xdr:col>7</xdr:col>
      <xdr:colOff>352013</xdr:colOff>
      <xdr:row>161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168</xdr:row>
      <xdr:rowOff>6927</xdr:rowOff>
    </xdr:from>
    <xdr:to>
      <xdr:col>13</xdr:col>
      <xdr:colOff>294699</xdr:colOff>
      <xdr:row>182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169</xdr:row>
      <xdr:rowOff>28575</xdr:rowOff>
    </xdr:from>
    <xdr:to>
      <xdr:col>7</xdr:col>
      <xdr:colOff>570992</xdr:colOff>
      <xdr:row>172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45</xdr:row>
      <xdr:rowOff>114300</xdr:rowOff>
    </xdr:from>
    <xdr:to>
      <xdr:col>15</xdr:col>
      <xdr:colOff>542555</xdr:colOff>
      <xdr:row>52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190499</xdr:rowOff>
    </xdr:from>
    <xdr:to>
      <xdr:col>3</xdr:col>
      <xdr:colOff>205800</xdr:colOff>
      <xdr:row>32</xdr:row>
      <xdr:rowOff>104774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9"/>
          <a:ext cx="22727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47625</xdr:rowOff>
    </xdr:from>
    <xdr:to>
      <xdr:col>8</xdr:col>
      <xdr:colOff>114057</xdr:colOff>
      <xdr:row>11</xdr:row>
      <xdr:rowOff>87446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19125"/>
          <a:ext cx="1323732" cy="1563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9524</xdr:colOff>
      <xdr:row>3</xdr:row>
      <xdr:rowOff>47626</xdr:rowOff>
    </xdr:from>
    <xdr:to>
      <xdr:col>12</xdr:col>
      <xdr:colOff>475767</xdr:colOff>
      <xdr:row>12</xdr:row>
      <xdr:rowOff>78492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49" y="619126"/>
          <a:ext cx="2295043" cy="1745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142875</xdr:rowOff>
    </xdr:from>
    <xdr:to>
      <xdr:col>10</xdr:col>
      <xdr:colOff>514059</xdr:colOff>
      <xdr:row>11</xdr:row>
      <xdr:rowOff>18804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42875"/>
          <a:ext cx="2323809" cy="1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2"/>
  <sheetViews>
    <sheetView zoomScaleNormal="100" workbookViewId="0">
      <selection activeCell="D9" sqref="D9"/>
    </sheetView>
  </sheetViews>
  <sheetFormatPr defaultRowHeight="15" x14ac:dyDescent="0.25"/>
  <cols>
    <col min="1" max="1" width="19.85546875" customWidth="1"/>
    <col min="2" max="2" width="12.71093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43879</v>
      </c>
    </row>
    <row r="5" spans="1:4" x14ac:dyDescent="0.25">
      <c r="A5" s="5" t="s">
        <v>41</v>
      </c>
    </row>
    <row r="6" spans="1:4" x14ac:dyDescent="0.25">
      <c r="A6" s="5"/>
    </row>
    <row r="7" spans="1:4" x14ac:dyDescent="0.25">
      <c r="A7" s="10" t="s">
        <v>148</v>
      </c>
    </row>
    <row r="9" spans="1:4" x14ac:dyDescent="0.25">
      <c r="A9" t="s">
        <v>77</v>
      </c>
      <c r="B9">
        <v>18</v>
      </c>
      <c r="C9" t="s">
        <v>4</v>
      </c>
      <c r="D9" t="s">
        <v>110</v>
      </c>
    </row>
    <row r="10" spans="1:4" x14ac:dyDescent="0.25">
      <c r="A10" t="s">
        <v>94</v>
      </c>
      <c r="B10">
        <v>24</v>
      </c>
      <c r="C10" t="s">
        <v>4</v>
      </c>
      <c r="D10" t="s">
        <v>95</v>
      </c>
    </row>
    <row r="11" spans="1:4" x14ac:dyDescent="0.25">
      <c r="A11" t="s">
        <v>78</v>
      </c>
      <c r="B11">
        <f>8.5</f>
        <v>8.5</v>
      </c>
      <c r="C11" t="s">
        <v>5</v>
      </c>
      <c r="D11" t="s">
        <v>109</v>
      </c>
    </row>
    <row r="12" spans="1:4" x14ac:dyDescent="0.25">
      <c r="A12" t="s">
        <v>21</v>
      </c>
      <c r="B12">
        <f>3.7*11</f>
        <v>40.700000000000003</v>
      </c>
      <c r="C12" t="s">
        <v>4</v>
      </c>
      <c r="D12" t="s">
        <v>149</v>
      </c>
    </row>
    <row r="13" spans="1:4" x14ac:dyDescent="0.25">
      <c r="A13" t="s">
        <v>22</v>
      </c>
      <c r="B13">
        <f>4.2*11</f>
        <v>46.2</v>
      </c>
      <c r="C13" t="s">
        <v>4</v>
      </c>
      <c r="D13" t="s">
        <v>147</v>
      </c>
    </row>
    <row r="14" spans="1:4" x14ac:dyDescent="0.25">
      <c r="A14" t="s">
        <v>2</v>
      </c>
      <c r="B14">
        <v>4</v>
      </c>
      <c r="C14" t="s">
        <v>5</v>
      </c>
      <c r="D14" t="s">
        <v>150</v>
      </c>
    </row>
    <row r="15" spans="1:4" x14ac:dyDescent="0.25">
      <c r="A15" t="s">
        <v>3</v>
      </c>
      <c r="B15">
        <v>202</v>
      </c>
      <c r="C15" t="s">
        <v>28</v>
      </c>
    </row>
    <row r="16" spans="1:4" x14ac:dyDescent="0.25">
      <c r="A16" t="s">
        <v>38</v>
      </c>
      <c r="B16">
        <v>40</v>
      </c>
      <c r="C16" t="s">
        <v>46</v>
      </c>
      <c r="D16" t="s">
        <v>40</v>
      </c>
    </row>
    <row r="18" spans="1:4" x14ac:dyDescent="0.25">
      <c r="A18" s="5" t="s">
        <v>36</v>
      </c>
      <c r="B18" t="s">
        <v>43</v>
      </c>
    </row>
    <row r="20" spans="1:4" x14ac:dyDescent="0.25">
      <c r="A20" t="s">
        <v>37</v>
      </c>
      <c r="B20">
        <f>150</f>
        <v>150</v>
      </c>
      <c r="C20" t="s">
        <v>46</v>
      </c>
      <c r="D20" t="s">
        <v>39</v>
      </c>
    </row>
    <row r="21" spans="1:4" x14ac:dyDescent="0.25">
      <c r="A21" t="s">
        <v>44</v>
      </c>
      <c r="B21">
        <v>50</v>
      </c>
      <c r="C21" s="6" t="s">
        <v>45</v>
      </c>
      <c r="D21" t="s">
        <v>47</v>
      </c>
    </row>
    <row r="22" spans="1:4" x14ac:dyDescent="0.25">
      <c r="A22" t="s">
        <v>49</v>
      </c>
      <c r="B22">
        <f>12.5</f>
        <v>12.5</v>
      </c>
      <c r="C22" t="s">
        <v>20</v>
      </c>
      <c r="D22" t="s">
        <v>50</v>
      </c>
    </row>
    <row r="26" spans="1:4" x14ac:dyDescent="0.25">
      <c r="A26" s="3" t="s">
        <v>42</v>
      </c>
    </row>
    <row r="28" spans="1:4" x14ac:dyDescent="0.25">
      <c r="A28" s="3" t="s">
        <v>6</v>
      </c>
    </row>
    <row r="30" spans="1:4" x14ac:dyDescent="0.25">
      <c r="A30" t="s">
        <v>7</v>
      </c>
      <c r="B30">
        <f>(43750/B15-1)</f>
        <v>215.58415841584159</v>
      </c>
      <c r="C30" t="s">
        <v>8</v>
      </c>
      <c r="D30" s="2" t="s">
        <v>29</v>
      </c>
    </row>
    <row r="32" spans="1:4" x14ac:dyDescent="0.25">
      <c r="A32" s="3" t="s">
        <v>9</v>
      </c>
    </row>
    <row r="34" spans="1:4" x14ac:dyDescent="0.25">
      <c r="A34" t="s">
        <v>11</v>
      </c>
      <c r="B34">
        <f>(1-B9/B13)*100</f>
        <v>61.038961038961048</v>
      </c>
      <c r="C34" t="s">
        <v>10</v>
      </c>
    </row>
    <row r="37" spans="1:4" x14ac:dyDescent="0.25">
      <c r="A37" t="s">
        <v>12</v>
      </c>
      <c r="B37">
        <v>100</v>
      </c>
      <c r="C37" t="s">
        <v>13</v>
      </c>
      <c r="D37" s="4" t="s">
        <v>14</v>
      </c>
    </row>
    <row r="38" spans="1:4" x14ac:dyDescent="0.25">
      <c r="D38" s="4"/>
    </row>
    <row r="39" spans="1:4" x14ac:dyDescent="0.25">
      <c r="A39" s="3" t="s">
        <v>15</v>
      </c>
      <c r="D39" s="4"/>
    </row>
    <row r="40" spans="1:4" x14ac:dyDescent="0.25">
      <c r="A40" s="3" t="s">
        <v>16</v>
      </c>
      <c r="D40" s="4"/>
    </row>
    <row r="41" spans="1:4" x14ac:dyDescent="0.25">
      <c r="D41" s="4"/>
    </row>
    <row r="42" spans="1:4" x14ac:dyDescent="0.25">
      <c r="A42" t="s">
        <v>17</v>
      </c>
      <c r="B42">
        <f>(B13*B14)/(B9*(100/40-0.5))</f>
        <v>5.1333333333333337</v>
      </c>
      <c r="C42" t="s">
        <v>5</v>
      </c>
    </row>
    <row r="46" spans="1:4" x14ac:dyDescent="0.25">
      <c r="A46" s="3" t="s">
        <v>18</v>
      </c>
    </row>
    <row r="48" spans="1:4" x14ac:dyDescent="0.25">
      <c r="A48" t="s">
        <v>19</v>
      </c>
      <c r="B48">
        <f>2*B37*B9/((2*B14*B13)+(B42*B9))</f>
        <v>7.7922077922077921</v>
      </c>
      <c r="C48" t="s">
        <v>20</v>
      </c>
    </row>
    <row r="50" spans="1:3" x14ac:dyDescent="0.25">
      <c r="A50" t="s">
        <v>25</v>
      </c>
    </row>
    <row r="52" spans="1:3" x14ac:dyDescent="0.25">
      <c r="A52" t="s">
        <v>19</v>
      </c>
      <c r="B52">
        <f>B48*1.3</f>
        <v>10.129870129870129</v>
      </c>
      <c r="C52" t="s">
        <v>20</v>
      </c>
    </row>
    <row r="53" spans="1:3" x14ac:dyDescent="0.25">
      <c r="B53">
        <v>15</v>
      </c>
      <c r="C53" t="s">
        <v>20</v>
      </c>
    </row>
    <row r="55" spans="1:3" x14ac:dyDescent="0.25">
      <c r="A55" s="3" t="s">
        <v>26</v>
      </c>
    </row>
    <row r="57" spans="1:3" x14ac:dyDescent="0.25">
      <c r="A57" t="s">
        <v>27</v>
      </c>
      <c r="B57">
        <f>B9*B34/100  /  (2*B15*1000*(B37/B53/1000-B14*B13/B9))  * 10^6</f>
        <v>-2.6506410039500192</v>
      </c>
      <c r="C57" t="s">
        <v>30</v>
      </c>
    </row>
    <row r="62" spans="1:3" x14ac:dyDescent="0.25">
      <c r="A62" s="4" t="s">
        <v>33</v>
      </c>
    </row>
    <row r="64" spans="1:3" x14ac:dyDescent="0.25">
      <c r="A64" t="s">
        <v>32</v>
      </c>
      <c r="B64">
        <f>(B13-(B9*B13/(B13-B9))*B53/1000)/(0.08*B15*1000)  * 10^6</f>
        <v>2831.5383400042133</v>
      </c>
      <c r="C64" t="s">
        <v>30</v>
      </c>
    </row>
    <row r="69" spans="1:4" x14ac:dyDescent="0.25">
      <c r="A69" t="s">
        <v>31</v>
      </c>
    </row>
    <row r="70" spans="1:4" x14ac:dyDescent="0.25">
      <c r="A70" t="s">
        <v>27</v>
      </c>
      <c r="B70">
        <v>22</v>
      </c>
      <c r="C70" t="s">
        <v>30</v>
      </c>
      <c r="D70" t="s">
        <v>151</v>
      </c>
    </row>
    <row r="73" spans="1:4" x14ac:dyDescent="0.25">
      <c r="A73" t="s">
        <v>34</v>
      </c>
    </row>
    <row r="75" spans="1:4" x14ac:dyDescent="0.25">
      <c r="A75" t="s">
        <v>35</v>
      </c>
      <c r="B75">
        <f>(B20-B16)/B21</f>
        <v>2.2000000000000002</v>
      </c>
      <c r="C75" t="s">
        <v>48</v>
      </c>
    </row>
    <row r="78" spans="1:4" x14ac:dyDescent="0.25">
      <c r="A78" s="3" t="s">
        <v>57</v>
      </c>
    </row>
    <row r="79" spans="1:4" x14ac:dyDescent="0.25">
      <c r="A79" t="s">
        <v>61</v>
      </c>
    </row>
    <row r="80" spans="1:4" x14ac:dyDescent="0.25">
      <c r="A80" t="s">
        <v>59</v>
      </c>
      <c r="B80">
        <f>(B13/B9*B14)^2*B22/1000*1.5</f>
        <v>1.9763333333333337</v>
      </c>
      <c r="C80" t="s">
        <v>48</v>
      </c>
    </row>
    <row r="82" spans="1:3" x14ac:dyDescent="0.25">
      <c r="A82" t="s">
        <v>51</v>
      </c>
    </row>
    <row r="84" spans="1:3" x14ac:dyDescent="0.25">
      <c r="A84" t="s">
        <v>52</v>
      </c>
      <c r="B84">
        <f>B9*B14*B15*1000*20*10^(-9)</f>
        <v>0.29088000000000003</v>
      </c>
      <c r="C84" t="s">
        <v>48</v>
      </c>
    </row>
    <row r="86" spans="1:3" x14ac:dyDescent="0.25">
      <c r="A86" t="s">
        <v>53</v>
      </c>
    </row>
    <row r="87" spans="1:3" x14ac:dyDescent="0.25">
      <c r="A87" t="s">
        <v>54</v>
      </c>
    </row>
    <row r="90" spans="1:3" x14ac:dyDescent="0.25">
      <c r="A90" t="s">
        <v>56</v>
      </c>
    </row>
    <row r="91" spans="1:3" x14ac:dyDescent="0.25">
      <c r="A91" t="s">
        <v>55</v>
      </c>
      <c r="B91">
        <f>B80+B84</f>
        <v>2.2672133333333337</v>
      </c>
      <c r="C91" t="s">
        <v>48</v>
      </c>
    </row>
    <row r="93" spans="1:3" x14ac:dyDescent="0.25">
      <c r="A93" s="3" t="s">
        <v>58</v>
      </c>
    </row>
    <row r="94" spans="1:3" x14ac:dyDescent="0.25">
      <c r="A94" t="s">
        <v>61</v>
      </c>
    </row>
    <row r="95" spans="1:3" x14ac:dyDescent="0.25">
      <c r="A95" t="s">
        <v>60</v>
      </c>
      <c r="B95">
        <f>(B13-B9)*B13*B14^2*B22/1000*1.5 / B9^2</f>
        <v>1.2063333333333337</v>
      </c>
      <c r="C95" t="s">
        <v>48</v>
      </c>
    </row>
    <row r="98" spans="1:3" x14ac:dyDescent="0.25">
      <c r="A98" t="s">
        <v>52</v>
      </c>
      <c r="B98">
        <f>B13^2*B14*B15*1000*20^(-9)/B9</f>
        <v>1.8713406250000001E-4</v>
      </c>
      <c r="C98" t="s">
        <v>48</v>
      </c>
    </row>
    <row r="101" spans="1:3" x14ac:dyDescent="0.25">
      <c r="A101" t="s">
        <v>62</v>
      </c>
      <c r="B101">
        <f>B95+B98</f>
        <v>1.2065204673958336</v>
      </c>
      <c r="C101" t="s">
        <v>48</v>
      </c>
    </row>
    <row r="103" spans="1:3" x14ac:dyDescent="0.25">
      <c r="A103" t="s">
        <v>63</v>
      </c>
    </row>
    <row r="104" spans="1:3" x14ac:dyDescent="0.25">
      <c r="A104" t="s">
        <v>64</v>
      </c>
    </row>
    <row r="107" spans="1:3" x14ac:dyDescent="0.25">
      <c r="A107" s="3" t="s">
        <v>65</v>
      </c>
    </row>
    <row r="109" spans="1:3" x14ac:dyDescent="0.25">
      <c r="A109" t="s">
        <v>66</v>
      </c>
      <c r="B109">
        <f>B13/B9*B14^2*1.5*B22/1000</f>
        <v>0.77000000000000013</v>
      </c>
      <c r="C109" t="s">
        <v>48</v>
      </c>
    </row>
    <row r="112" spans="1:3" x14ac:dyDescent="0.25">
      <c r="A112" s="3" t="s">
        <v>69</v>
      </c>
    </row>
    <row r="114" spans="1:4" x14ac:dyDescent="0.25">
      <c r="A114" t="s">
        <v>67</v>
      </c>
      <c r="B114">
        <f>B91*B21+B16</f>
        <v>153.3606666666667</v>
      </c>
      <c r="C114" t="s">
        <v>46</v>
      </c>
      <c r="D114" t="s">
        <v>68</v>
      </c>
    </row>
    <row r="115" spans="1:4" x14ac:dyDescent="0.25">
      <c r="A115" t="s">
        <v>70</v>
      </c>
      <c r="B115">
        <f>B101*B21+B16</f>
        <v>100.32602336979168</v>
      </c>
      <c r="C115" t="s">
        <v>46</v>
      </c>
    </row>
    <row r="116" spans="1:4" x14ac:dyDescent="0.25">
      <c r="A116" t="s">
        <v>71</v>
      </c>
      <c r="B116">
        <f>B109*B21+B16</f>
        <v>78.5</v>
      </c>
      <c r="C116" t="s">
        <v>46</v>
      </c>
    </row>
    <row r="119" spans="1:4" x14ac:dyDescent="0.25">
      <c r="A119" s="3" t="s">
        <v>72</v>
      </c>
    </row>
    <row r="121" spans="1:4" x14ac:dyDescent="0.25">
      <c r="A121" t="s">
        <v>73</v>
      </c>
    </row>
    <row r="123" spans="1:4" x14ac:dyDescent="0.25">
      <c r="A123" t="s">
        <v>74</v>
      </c>
      <c r="B123">
        <v>20</v>
      </c>
      <c r="C123" t="s">
        <v>75</v>
      </c>
      <c r="D123" t="s">
        <v>88</v>
      </c>
    </row>
    <row r="125" spans="1:4" x14ac:dyDescent="0.25">
      <c r="A125" t="s">
        <v>76</v>
      </c>
      <c r="B125">
        <f>B123*((B13*1.241/1.211-0.128)-1)</f>
        <v>924.33017341040465</v>
      </c>
      <c r="C125" t="s">
        <v>75</v>
      </c>
    </row>
    <row r="126" spans="1:4" x14ac:dyDescent="0.25">
      <c r="A126" t="s">
        <v>76</v>
      </c>
      <c r="B126">
        <v>1</v>
      </c>
      <c r="C126" t="s">
        <v>111</v>
      </c>
    </row>
    <row r="128" spans="1:4" x14ac:dyDescent="0.25">
      <c r="A128" t="s">
        <v>90</v>
      </c>
      <c r="B128">
        <f>115</f>
        <v>115</v>
      </c>
      <c r="C128" t="s">
        <v>75</v>
      </c>
      <c r="D128" t="s">
        <v>91</v>
      </c>
    </row>
    <row r="129" spans="1:4" x14ac:dyDescent="0.25">
      <c r="A129" t="s">
        <v>89</v>
      </c>
      <c r="B129">
        <f>22.6</f>
        <v>22.6</v>
      </c>
      <c r="C129" t="s">
        <v>75</v>
      </c>
      <c r="D129" t="s">
        <v>91</v>
      </c>
    </row>
    <row r="130" spans="1:4" x14ac:dyDescent="0.25">
      <c r="A130" t="s">
        <v>92</v>
      </c>
      <c r="B130">
        <v>100</v>
      </c>
      <c r="C130" t="s">
        <v>93</v>
      </c>
      <c r="D130" t="s">
        <v>91</v>
      </c>
    </row>
    <row r="133" spans="1:4" x14ac:dyDescent="0.25">
      <c r="A133" s="3" t="s">
        <v>96</v>
      </c>
    </row>
    <row r="134" spans="1:4" x14ac:dyDescent="0.25">
      <c r="A134" s="3"/>
    </row>
    <row r="136" spans="1:4" x14ac:dyDescent="0.25">
      <c r="A136" t="s">
        <v>97</v>
      </c>
      <c r="B136">
        <f>100*((1+4.47/(B10-6))/(1+5.593/(B10-6)))</f>
        <v>95.240113593014883</v>
      </c>
      <c r="C136" t="s">
        <v>75</v>
      </c>
    </row>
    <row r="137" spans="1:4" x14ac:dyDescent="0.25">
      <c r="B137" s="10">
        <f>1+94.2</f>
        <v>95.2</v>
      </c>
      <c r="C137" t="s">
        <v>75</v>
      </c>
    </row>
    <row r="141" spans="1:4" x14ac:dyDescent="0.25">
      <c r="A141" t="s">
        <v>98</v>
      </c>
      <c r="B141">
        <f>2.75*B137/(B10-6)</f>
        <v>14.544444444444444</v>
      </c>
      <c r="C141" t="s">
        <v>75</v>
      </c>
    </row>
    <row r="142" spans="1:4" x14ac:dyDescent="0.25">
      <c r="B142">
        <v>14.3</v>
      </c>
      <c r="C142" t="s">
        <v>75</v>
      </c>
    </row>
    <row r="144" spans="1:4" x14ac:dyDescent="0.25">
      <c r="A144" t="s">
        <v>99</v>
      </c>
      <c r="B144">
        <f>1/(1/(100-B137)-1/B142)</f>
        <v>7.2252631578947302</v>
      </c>
      <c r="C144" t="s">
        <v>75</v>
      </c>
    </row>
    <row r="145" spans="1:3" x14ac:dyDescent="0.25">
      <c r="B145">
        <v>7.32</v>
      </c>
    </row>
    <row r="147" spans="1:3" x14ac:dyDescent="0.25">
      <c r="A147" t="s">
        <v>100</v>
      </c>
      <c r="B147">
        <f>0.2*B142</f>
        <v>2.8600000000000003</v>
      </c>
      <c r="C147" t="s">
        <v>75</v>
      </c>
    </row>
    <row r="149" spans="1:3" x14ac:dyDescent="0.25">
      <c r="A149" t="s">
        <v>101</v>
      </c>
      <c r="B149">
        <f>1/(1000*B147*1000)*10^6</f>
        <v>0.34965034965034958</v>
      </c>
      <c r="C149" t="s">
        <v>102</v>
      </c>
    </row>
    <row r="150" spans="1:3" x14ac:dyDescent="0.25">
      <c r="B150">
        <f>0.47</f>
        <v>0.47</v>
      </c>
      <c r="C150" t="s">
        <v>102</v>
      </c>
    </row>
    <row r="152" spans="1:3" x14ac:dyDescent="0.25">
      <c r="A152" s="3" t="s">
        <v>103</v>
      </c>
    </row>
    <row r="155" spans="1:3" x14ac:dyDescent="0.25">
      <c r="A155" t="s">
        <v>105</v>
      </c>
      <c r="B155">
        <f>0.0497/B14*1000</f>
        <v>12.425000000000001</v>
      </c>
      <c r="C155" t="s">
        <v>20</v>
      </c>
    </row>
    <row r="156" spans="1:3" x14ac:dyDescent="0.25">
      <c r="B156">
        <v>12</v>
      </c>
      <c r="C156" t="s">
        <v>20</v>
      </c>
    </row>
    <row r="158" spans="1:3" x14ac:dyDescent="0.25">
      <c r="A158" t="s">
        <v>104</v>
      </c>
      <c r="B158">
        <f>1208/(B14*1*B156/1000)/1000</f>
        <v>25.166666666666668</v>
      </c>
      <c r="C158" t="s">
        <v>75</v>
      </c>
    </row>
    <row r="159" spans="1:3" x14ac:dyDescent="0.25">
      <c r="B159">
        <v>25</v>
      </c>
      <c r="C159" t="s">
        <v>75</v>
      </c>
    </row>
    <row r="161" spans="1:3" x14ac:dyDescent="0.25">
      <c r="A161" t="s">
        <v>106</v>
      </c>
      <c r="B161">
        <f>24.3*B159/(B159-24.3)</f>
        <v>867.85714285714369</v>
      </c>
      <c r="C161" t="s">
        <v>75</v>
      </c>
    </row>
    <row r="162" spans="1:3" x14ac:dyDescent="0.25">
      <c r="B162" t="s">
        <v>152</v>
      </c>
    </row>
    <row r="169" spans="1:3" x14ac:dyDescent="0.25">
      <c r="A169" s="3" t="s">
        <v>107</v>
      </c>
    </row>
    <row r="171" spans="1:3" x14ac:dyDescent="0.25">
      <c r="A171" t="s">
        <v>108</v>
      </c>
      <c r="B171">
        <f>0.0505/(1.3*B11) * 1000</f>
        <v>4.5701357466063355</v>
      </c>
      <c r="C171" t="s">
        <v>20</v>
      </c>
    </row>
    <row r="172" spans="1:3" x14ac:dyDescent="0.25">
      <c r="B172">
        <v>5</v>
      </c>
      <c r="C172" t="s">
        <v>20</v>
      </c>
    </row>
  </sheetData>
  <hyperlinks>
    <hyperlink ref="D30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7" workbookViewId="0">
      <selection activeCell="C14" sqref="C14"/>
    </sheetView>
  </sheetViews>
  <sheetFormatPr defaultRowHeight="15" x14ac:dyDescent="0.25"/>
  <cols>
    <col min="1" max="1" width="15.42578125" customWidth="1"/>
    <col min="2" max="2" width="12" bestFit="1" customWidth="1"/>
  </cols>
  <sheetData>
    <row r="1" spans="1:4" x14ac:dyDescent="0.25">
      <c r="A1" t="s">
        <v>79</v>
      </c>
    </row>
    <row r="2" spans="1:4" x14ac:dyDescent="0.25">
      <c r="A2" s="2" t="s">
        <v>80</v>
      </c>
    </row>
    <row r="4" spans="1:4" x14ac:dyDescent="0.25">
      <c r="A4" s="5" t="s">
        <v>41</v>
      </c>
    </row>
    <row r="6" spans="1:4" x14ac:dyDescent="0.25">
      <c r="A6" t="s">
        <v>77</v>
      </c>
      <c r="B6">
        <v>18</v>
      </c>
      <c r="C6" t="s">
        <v>4</v>
      </c>
    </row>
    <row r="7" spans="1:4" x14ac:dyDescent="0.25">
      <c r="A7" t="s">
        <v>94</v>
      </c>
      <c r="B7">
        <v>24</v>
      </c>
      <c r="C7" t="s">
        <v>4</v>
      </c>
    </row>
    <row r="8" spans="1:4" x14ac:dyDescent="0.25">
      <c r="A8" t="s">
        <v>78</v>
      </c>
      <c r="B8">
        <f>8.5</f>
        <v>8.5</v>
      </c>
      <c r="C8" t="s">
        <v>5</v>
      </c>
    </row>
    <row r="9" spans="1:4" x14ac:dyDescent="0.25">
      <c r="A9" t="s">
        <v>21</v>
      </c>
      <c r="B9">
        <f>3.7*11</f>
        <v>40.700000000000003</v>
      </c>
      <c r="C9" t="s">
        <v>4</v>
      </c>
      <c r="D9" t="s">
        <v>23</v>
      </c>
    </row>
    <row r="10" spans="1:4" x14ac:dyDescent="0.25">
      <c r="A10" t="s">
        <v>22</v>
      </c>
      <c r="B10">
        <f>4.2*11</f>
        <v>46.2</v>
      </c>
      <c r="C10" t="s">
        <v>4</v>
      </c>
      <c r="D10" t="s">
        <v>24</v>
      </c>
    </row>
    <row r="11" spans="1:4" x14ac:dyDescent="0.25">
      <c r="A11" t="s">
        <v>2</v>
      </c>
      <c r="B11">
        <v>4</v>
      </c>
      <c r="C11" t="s">
        <v>5</v>
      </c>
    </row>
    <row r="12" spans="1:4" x14ac:dyDescent="0.25">
      <c r="A12" t="s">
        <v>3</v>
      </c>
      <c r="B12">
        <v>202</v>
      </c>
      <c r="C12" t="s">
        <v>28</v>
      </c>
    </row>
    <row r="13" spans="1:4" x14ac:dyDescent="0.25">
      <c r="A13" t="s">
        <v>38</v>
      </c>
      <c r="B13">
        <v>60</v>
      </c>
      <c r="C13" t="s">
        <v>46</v>
      </c>
      <c r="D13" t="s">
        <v>40</v>
      </c>
    </row>
    <row r="19" spans="1:3" ht="15.75" x14ac:dyDescent="0.25">
      <c r="A19" s="7" t="s">
        <v>81</v>
      </c>
    </row>
    <row r="22" spans="1:3" x14ac:dyDescent="0.25">
      <c r="A22" t="s">
        <v>82</v>
      </c>
      <c r="B22">
        <f>0.3*B11/(1-PowerPart!B34/100)</f>
        <v>3.0800000000000005</v>
      </c>
      <c r="C22" t="s">
        <v>5</v>
      </c>
    </row>
    <row r="26" spans="1:3" x14ac:dyDescent="0.25">
      <c r="A26" t="s">
        <v>83</v>
      </c>
    </row>
    <row r="29" spans="1:3" x14ac:dyDescent="0.25">
      <c r="A29" t="s">
        <v>84</v>
      </c>
      <c r="B29">
        <f>B6*PowerPart!B34/100/((Nordic!B12*1000)*Nordic!B22)*10^6</f>
        <v>17.659465389952722</v>
      </c>
      <c r="C29" t="s">
        <v>30</v>
      </c>
    </row>
    <row r="32" spans="1:3" ht="15.75" x14ac:dyDescent="0.25">
      <c r="A32" s="7" t="s">
        <v>86</v>
      </c>
    </row>
    <row r="36" spans="1:3" x14ac:dyDescent="0.25">
      <c r="A36" t="s">
        <v>85</v>
      </c>
      <c r="B36">
        <f>(B10-B6)*B11/(B10*B12*1000*0.1)*10^6</f>
        <v>120.86922978012085</v>
      </c>
      <c r="C36" t="s">
        <v>87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L20" sqref="L2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142</v>
      </c>
    </row>
    <row r="2" spans="1:4" x14ac:dyDescent="0.25">
      <c r="A2" t="s">
        <v>140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5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112</v>
      </c>
    </row>
    <row r="11" spans="1:4" x14ac:dyDescent="0.25">
      <c r="A11" t="s">
        <v>115</v>
      </c>
    </row>
    <row r="13" spans="1:4" x14ac:dyDescent="0.25">
      <c r="A13" t="s">
        <v>132</v>
      </c>
      <c r="B13">
        <f>150</f>
        <v>150</v>
      </c>
      <c r="C13" t="s">
        <v>46</v>
      </c>
    </row>
    <row r="14" spans="1:4" x14ac:dyDescent="0.25">
      <c r="A14" t="s">
        <v>113</v>
      </c>
      <c r="B14">
        <f>1.6</f>
        <v>1.6</v>
      </c>
      <c r="C14" t="s">
        <v>45</v>
      </c>
      <c r="D14" t="s">
        <v>114</v>
      </c>
    </row>
    <row r="15" spans="1:4" x14ac:dyDescent="0.25">
      <c r="A15" t="s">
        <v>128</v>
      </c>
      <c r="B15">
        <v>70</v>
      </c>
      <c r="C15" t="s">
        <v>45</v>
      </c>
      <c r="D15" t="s">
        <v>143</v>
      </c>
    </row>
    <row r="16" spans="1:4" x14ac:dyDescent="0.25">
      <c r="A16" t="s">
        <v>116</v>
      </c>
      <c r="B16">
        <f>0.56</f>
        <v>0.56000000000000005</v>
      </c>
      <c r="C16" t="s">
        <v>4</v>
      </c>
      <c r="D16" t="s">
        <v>117</v>
      </c>
    </row>
    <row r="18" spans="1:4" x14ac:dyDescent="0.25">
      <c r="A18" s="3" t="s">
        <v>119</v>
      </c>
      <c r="B18" t="s">
        <v>141</v>
      </c>
    </row>
    <row r="19" spans="1:4" x14ac:dyDescent="0.25">
      <c r="A19" t="s">
        <v>135</v>
      </c>
      <c r="B19">
        <f>0.5</f>
        <v>0.5</v>
      </c>
      <c r="C19" t="s">
        <v>45</v>
      </c>
      <c r="D19" t="s">
        <v>133</v>
      </c>
    </row>
    <row r="20" spans="1:4" x14ac:dyDescent="0.25">
      <c r="A20" t="s">
        <v>136</v>
      </c>
      <c r="B20">
        <v>1</v>
      </c>
      <c r="C20" t="s">
        <v>45</v>
      </c>
      <c r="D20" t="s">
        <v>127</v>
      </c>
    </row>
    <row r="22" spans="1:4" x14ac:dyDescent="0.25">
      <c r="A22" t="s">
        <v>118</v>
      </c>
      <c r="B22">
        <f>B16*B7</f>
        <v>2.8000000000000003</v>
      </c>
      <c r="C22" t="s">
        <v>48</v>
      </c>
    </row>
    <row r="24" spans="1:4" x14ac:dyDescent="0.25">
      <c r="A24" t="s">
        <v>129</v>
      </c>
      <c r="B24">
        <f>B22*B15+B8</f>
        <v>236.00000000000003</v>
      </c>
      <c r="C24" t="s">
        <v>46</v>
      </c>
      <c r="D24" t="s">
        <v>130</v>
      </c>
    </row>
    <row r="25" spans="1:4" x14ac:dyDescent="0.25">
      <c r="A25" t="s">
        <v>120</v>
      </c>
      <c r="B25">
        <f>B22*B14+B24</f>
        <v>240.48000000000002</v>
      </c>
      <c r="C25" t="s">
        <v>46</v>
      </c>
      <c r="D25" t="s">
        <v>131</v>
      </c>
    </row>
    <row r="27" spans="1:4" x14ac:dyDescent="0.25">
      <c r="A27" s="3" t="s">
        <v>134</v>
      </c>
    </row>
    <row r="35" spans="1:4" x14ac:dyDescent="0.25">
      <c r="A35" t="s">
        <v>139</v>
      </c>
      <c r="B35">
        <f>(B13-B8)/B22-B14-B19</f>
        <v>37.185714285714283</v>
      </c>
      <c r="C35" t="s">
        <v>45</v>
      </c>
      <c r="D35" t="s">
        <v>137</v>
      </c>
    </row>
    <row r="36" spans="1:4" x14ac:dyDescent="0.25">
      <c r="B36" s="8">
        <v>15</v>
      </c>
      <c r="C36" t="s">
        <v>45</v>
      </c>
      <c r="D36" t="s">
        <v>138</v>
      </c>
    </row>
    <row r="38" spans="1:4" x14ac:dyDescent="0.25">
      <c r="A38" t="s">
        <v>121</v>
      </c>
      <c r="B38">
        <f>B22*B36+B8</f>
        <v>82</v>
      </c>
      <c r="C38" t="s">
        <v>46</v>
      </c>
      <c r="D38" t="s">
        <v>122</v>
      </c>
    </row>
    <row r="39" spans="1:4" x14ac:dyDescent="0.25">
      <c r="A39" t="s">
        <v>123</v>
      </c>
      <c r="B39">
        <f>B22*B19+B38</f>
        <v>83.4</v>
      </c>
      <c r="C39" t="s">
        <v>46</v>
      </c>
      <c r="D39" t="s">
        <v>125</v>
      </c>
    </row>
    <row r="40" spans="1:4" x14ac:dyDescent="0.25">
      <c r="A40" t="s">
        <v>124</v>
      </c>
      <c r="B40">
        <f>B22*B14+B39</f>
        <v>87.88000000000001</v>
      </c>
      <c r="C40" t="s">
        <v>46</v>
      </c>
      <c r="D40" t="s">
        <v>126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142</v>
      </c>
    </row>
    <row r="2" spans="1:4" x14ac:dyDescent="0.25">
      <c r="A2" t="s">
        <v>140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4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112</v>
      </c>
    </row>
    <row r="11" spans="1:4" x14ac:dyDescent="0.25">
      <c r="A11" t="s">
        <v>145</v>
      </c>
      <c r="C11" s="9" t="s">
        <v>146</v>
      </c>
    </row>
    <row r="13" spans="1:4" x14ac:dyDescent="0.25">
      <c r="A13" t="s">
        <v>132</v>
      </c>
      <c r="B13">
        <f>150</f>
        <v>150</v>
      </c>
      <c r="C13" t="s">
        <v>46</v>
      </c>
    </row>
    <row r="15" spans="1:4" x14ac:dyDescent="0.25">
      <c r="A15" t="s">
        <v>44</v>
      </c>
      <c r="B15">
        <v>50</v>
      </c>
      <c r="C15" s="6" t="s">
        <v>45</v>
      </c>
      <c r="D15" t="s">
        <v>47</v>
      </c>
    </row>
    <row r="16" spans="1:4" x14ac:dyDescent="0.25">
      <c r="A16" t="s">
        <v>116</v>
      </c>
      <c r="B16">
        <f>0.45</f>
        <v>0.45</v>
      </c>
      <c r="C16" t="s">
        <v>4</v>
      </c>
      <c r="D16" t="s">
        <v>144</v>
      </c>
    </row>
    <row r="19" spans="1:4" x14ac:dyDescent="0.25">
      <c r="A19" t="s">
        <v>118</v>
      </c>
      <c r="B19">
        <f>B16*B7</f>
        <v>1.8</v>
      </c>
      <c r="C19" t="s">
        <v>48</v>
      </c>
    </row>
    <row r="22" spans="1:4" x14ac:dyDescent="0.25">
      <c r="A22" t="s">
        <v>120</v>
      </c>
      <c r="B22">
        <f>B19*B15+B8</f>
        <v>130</v>
      </c>
      <c r="C22" t="s">
        <v>46</v>
      </c>
      <c r="D22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PowerPart</vt:lpstr>
      <vt:lpstr>Nordic</vt:lpstr>
      <vt:lpstr>Расчет радиатора</vt:lpstr>
      <vt:lpstr>Расчет диода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2020-03-12T19:55:21Z</dcterms:modified>
</cp:coreProperties>
</file>