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PowerPart" sheetId="1" r:id="rId1"/>
    <sheet name="Температура корпуса" sheetId="5" r:id="rId2"/>
    <sheet name="Nordic" sheetId="2" r:id="rId3"/>
    <sheet name="Расчет радиатора" sheetId="3" r:id="rId4"/>
    <sheet name="Расчет диода" sheetId="4" r:id="rId5"/>
  </sheets>
  <calcPr calcId="152511"/>
</workbook>
</file>

<file path=xl/calcChain.xml><?xml version="1.0" encoding="utf-8"?>
<calcChain xmlns="http://schemas.openxmlformats.org/spreadsheetml/2006/main">
  <c r="K127" i="1" l="1"/>
  <c r="K126" i="1"/>
  <c r="I90" i="1"/>
  <c r="I125" i="1" s="1"/>
  <c r="I106" i="1"/>
  <c r="B146" i="1"/>
  <c r="B145" i="1"/>
  <c r="B140" i="1"/>
  <c r="B139" i="1"/>
  <c r="B15" i="1"/>
  <c r="B14" i="1"/>
  <c r="I120" i="1" s="1"/>
  <c r="I127" i="1" s="1"/>
  <c r="B13" i="1"/>
  <c r="B11" i="1"/>
  <c r="B133" i="1" l="1"/>
  <c r="B142" i="1"/>
  <c r="B144" i="1" s="1"/>
  <c r="B156" i="1" s="1"/>
  <c r="B154" i="1" s="1"/>
  <c r="B160" i="1"/>
  <c r="B158" i="1"/>
  <c r="B195" i="1" l="1"/>
  <c r="B174" i="1"/>
  <c r="B10" i="2" l="1"/>
  <c r="B9" i="2"/>
  <c r="B44" i="1"/>
  <c r="B36" i="1"/>
  <c r="B76" i="1" s="1"/>
  <c r="B78" i="1" s="1"/>
  <c r="B16" i="4" l="1"/>
  <c r="B19" i="4"/>
  <c r="B22" i="4" s="1"/>
  <c r="B13" i="4"/>
  <c r="B38" i="3"/>
  <c r="B35" i="3"/>
  <c r="B13" i="3"/>
  <c r="B19" i="3"/>
  <c r="B16" i="3"/>
  <c r="B22" i="3" s="1"/>
  <c r="B14" i="3"/>
  <c r="B66" i="1"/>
  <c r="B24" i="3" l="1"/>
  <c r="B25" i="3" s="1"/>
  <c r="B39" i="3"/>
  <c r="B40" i="3" s="1"/>
  <c r="B184" i="1"/>
  <c r="B181" i="1"/>
  <c r="B178" i="1"/>
  <c r="B173" i="1"/>
  <c r="B192" i="1"/>
  <c r="B208" i="1" l="1"/>
  <c r="B198" i="1"/>
  <c r="B187" i="1"/>
  <c r="B186" i="1" l="1"/>
  <c r="B36" i="2"/>
  <c r="B8" i="2"/>
  <c r="B24" i="1" l="1"/>
  <c r="B21" i="1"/>
  <c r="B85" i="1" s="1"/>
  <c r="B32" i="1"/>
  <c r="B90" i="1" l="1"/>
  <c r="B102" i="1" s="1"/>
  <c r="B106" i="1"/>
  <c r="B50" i="1"/>
  <c r="B54" i="1" s="1"/>
  <c r="B109" i="1"/>
  <c r="I112" i="1" s="1"/>
  <c r="I126" i="1" s="1"/>
  <c r="B94" i="1"/>
  <c r="B120" i="1"/>
  <c r="B127" i="1" s="1"/>
  <c r="B131" i="1" s="1"/>
  <c r="B112" i="1" l="1"/>
  <c r="B22" i="2"/>
  <c r="B29" i="2" s="1"/>
  <c r="B59" i="1"/>
  <c r="B126" i="1"/>
  <c r="B130" i="1" s="1"/>
  <c r="B125" i="1"/>
  <c r="B129" i="1" l="1"/>
</calcChain>
</file>

<file path=xl/comments1.xml><?xml version="1.0" encoding="utf-8"?>
<comments xmlns="http://schemas.openxmlformats.org/spreadsheetml/2006/main">
  <authors>
    <author>Автор</author>
  </authors>
  <commentList>
    <comment ref="B1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Vpanel*Ipanel*0.98/Vout
с небольшим запасом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частота преобразования</t>
        </r>
      </text>
    </comment>
    <comment ref="B2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для ключей 150В</t>
        </r>
      </text>
    </comment>
    <comment ref="B2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100V ключ BSC060N10NS3 G</t>
        </r>
      </text>
    </comment>
    <comment ref="A7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Когда знаешь индуктивность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выбираем вручную из стандартных значений</t>
        </r>
      </text>
    </comment>
    <comment ref="A8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постоянно открыт в режиме boost</t>
        </r>
      </text>
    </comment>
    <comment ref="B9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ноль, потому что у нас бустер</t>
        </r>
      </text>
    </comment>
    <comment ref="A10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бустер</t>
        </r>
      </text>
    </comment>
    <comment ref="A11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выпрямитель</t>
        </r>
      </text>
    </comment>
    <comment ref="B12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9" authorId="0" shapeId="0">
      <text>
        <r>
          <rPr>
            <b/>
            <sz val="8"/>
            <color indexed="81"/>
            <rFont val="Tahoma"/>
            <charset val="1"/>
          </rPr>
          <t>Автор:</t>
        </r>
        <r>
          <rPr>
            <sz val="8"/>
            <color indexed="81"/>
            <rFont val="Tahoma"/>
            <charset val="1"/>
          </rPr>
          <t xml:space="preserve">
Tjm - P*RthJC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When solar charging a lithium-ion battery without
time limits it is recommended that the Stage 2 voltage
limit NOT exceed 95% of the lithium-ion maximum cell
voltage. Since this configuration can charge indefinitely,
following this guideline keeps the lifetime of the batteries
from degrading quickly.</t>
        </r>
      </text>
    </comment>
    <comment ref="A13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RFBOUT2 is often selected to be between 4.99kΩ and
49.9kΩ. Choosing higher values for RFBOUT2 reduces
the amount of current draw from the battery through the
feedback network.</t>
        </r>
      </text>
    </comment>
    <comment ref="A15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VX3 indicates the actual 25°C VS2 voltage using the
selected resistors</t>
        </r>
      </text>
    </comment>
    <comment ref="B19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I_MAX(S0) = 1*Imax</t>
        </r>
      </text>
    </comment>
  </commentList>
</comments>
</file>

<file path=xl/sharedStrings.xml><?xml version="1.0" encoding="utf-8"?>
<sst xmlns="http://schemas.openxmlformats.org/spreadsheetml/2006/main" count="298" uniqueCount="176">
  <si>
    <t>Расчет boost конвертера на LT8490</t>
  </si>
  <si>
    <t>автор: Тихонов Е.Н.</t>
  </si>
  <si>
    <t>Iout(max)=</t>
  </si>
  <si>
    <t>f=</t>
  </si>
  <si>
    <t>V</t>
  </si>
  <si>
    <t>A</t>
  </si>
  <si>
    <t>RT Selection:</t>
  </si>
  <si>
    <t>Rt=</t>
  </si>
  <si>
    <t>kOhm</t>
  </si>
  <si>
    <t>RSENSE Selection:</t>
  </si>
  <si>
    <t>%</t>
  </si>
  <si>
    <t>DC(maxM3Boost)=</t>
  </si>
  <si>
    <t>VRSENSE(MAX,BOOST,MAX)=</t>
  </si>
  <si>
    <t>mV</t>
  </si>
  <si>
    <t>//from the Maximum Inductor Current Sense Voltage
vs Duty Cycle graph</t>
  </si>
  <si>
    <t>estimate the maximum and minimum inductor current</t>
  </si>
  <si>
    <t>ripple in the boost and buck regions respectively</t>
  </si>
  <si>
    <t>ΔIL(MAX,BOOST)=</t>
  </si>
  <si>
    <t>calculate the maximum RSENSE</t>
  </si>
  <si>
    <t>Rense(max,boost)=</t>
  </si>
  <si>
    <t>mOhm</t>
  </si>
  <si>
    <t>Vout(min)=</t>
  </si>
  <si>
    <t>Vout(max)=</t>
  </si>
  <si>
    <t>//nominal voltage 3.7V*13cells</t>
  </si>
  <si>
    <t>//full charge 4.2V*13cells</t>
  </si>
  <si>
    <t>Adding an additional 30% margin</t>
  </si>
  <si>
    <t>Inductor Selection</t>
  </si>
  <si>
    <t>L(MIN1,BOOST) ≅</t>
  </si>
  <si>
    <t>kHz</t>
  </si>
  <si>
    <t>//215kOhm@202kHz</t>
  </si>
  <si>
    <t>uH</t>
  </si>
  <si>
    <t>Берем с запасом</t>
  </si>
  <si>
    <t>L(MIN2,BOOST) ≅</t>
  </si>
  <si>
    <t>To avoid subharmonic oscillations in the inductor current,
choose the minimum inductance according to:</t>
  </si>
  <si>
    <t>calculate the maximum MOSFET power dissipation</t>
  </si>
  <si>
    <t>PD(MAX) =</t>
  </si>
  <si>
    <t>MOSFET</t>
  </si>
  <si>
    <t>TJ(MAX)=</t>
  </si>
  <si>
    <t>TA(MAX)=</t>
  </si>
  <si>
    <t>//max junction temp</t>
  </si>
  <si>
    <t>//max ambient temp</t>
  </si>
  <si>
    <t>GENERAL</t>
  </si>
  <si>
    <t>CALCULATIONS</t>
  </si>
  <si>
    <t>//BSC110N15NS5 Infenion</t>
  </si>
  <si>
    <t>RthJA=</t>
  </si>
  <si>
    <t>°C/W</t>
  </si>
  <si>
    <t>°C</t>
  </si>
  <si>
    <t>//6 cm2 cooling area</t>
  </si>
  <si>
    <t>W</t>
  </si>
  <si>
    <t>Rds(on)=</t>
  </si>
  <si>
    <t>//&lt;10A</t>
  </si>
  <si>
    <t>//ρτ is a normalization factor=1.5</t>
  </si>
  <si>
    <t>Pswitching=</t>
  </si>
  <si>
    <t>tRF1 is the average of the SW1 pin rise and fall times</t>
  </si>
  <si>
    <t>Typical values are 20ns to 40ns</t>
  </si>
  <si>
    <t>Pm1=</t>
  </si>
  <si>
    <t>The maximum dissipation M1</t>
  </si>
  <si>
    <t>Select M1</t>
  </si>
  <si>
    <t>Select M3</t>
  </si>
  <si>
    <t>PI2R ≅</t>
  </si>
  <si>
    <t>PI2R=</t>
  </si>
  <si>
    <t>conduction looses</t>
  </si>
  <si>
    <t>Pm3=</t>
  </si>
  <si>
    <t>tRF2 is the average of the SW2 pin rise and fall times and,</t>
  </si>
  <si>
    <t>similar to tRF1, is typically 20ns to 40ns.</t>
  </si>
  <si>
    <t>Select M4</t>
  </si>
  <si>
    <t>P(M4,BOOST)=</t>
  </si>
  <si>
    <t>Tjm1=</t>
  </si>
  <si>
    <t>//junction temperature</t>
  </si>
  <si>
    <t>MOSFET TEMPERATURE</t>
  </si>
  <si>
    <t>Tjm3=</t>
  </si>
  <si>
    <t>Tjm4=</t>
  </si>
  <si>
    <t>Output Voltage:</t>
  </si>
  <si>
    <t>Select RFBOUT2</t>
  </si>
  <si>
    <t>RFBOUT2=</t>
  </si>
  <si>
    <t>k</t>
  </si>
  <si>
    <t>RFBOUT1=</t>
  </si>
  <si>
    <t>Vin(min)=</t>
  </si>
  <si>
    <t>Iin(max)=</t>
  </si>
  <si>
    <t>Расчет силовых компонентов по методике Nordic Energy</t>
  </si>
  <si>
    <t>https://habr.com/ru/post/442374/</t>
  </si>
  <si>
    <t>пульсации тока в дросселе</t>
  </si>
  <si>
    <t xml:space="preserve">dI = </t>
  </si>
  <si>
    <t>минимальное значение индуктивности, которая потребуется, чтобы оставаться в режиме неразрывных токов</t>
  </si>
  <si>
    <t>Lmin=</t>
  </si>
  <si>
    <t>Cout=</t>
  </si>
  <si>
    <t>минимальное значение емкости для конденсатора</t>
  </si>
  <si>
    <t>uF</t>
  </si>
  <si>
    <t>//из таблицы</t>
  </si>
  <si>
    <t>RDACO1=</t>
  </si>
  <si>
    <t>RDACO2=</t>
  </si>
  <si>
    <t>CDACO=</t>
  </si>
  <si>
    <t>nF</t>
  </si>
  <si>
    <t>Vin(max)=</t>
  </si>
  <si>
    <t>//от солнечной панели</t>
  </si>
  <si>
    <t>Input Feedback Resistor Network</t>
  </si>
  <si>
    <t>Rfbin1=</t>
  </si>
  <si>
    <t>Rdaci2=</t>
  </si>
  <si>
    <t>Rfbin2=</t>
  </si>
  <si>
    <t>Rdaci1=</t>
  </si>
  <si>
    <t>Cdaci=</t>
  </si>
  <si>
    <t>mkF</t>
  </si>
  <si>
    <t>HW Config: Output Current Sense and Limit</t>
  </si>
  <si>
    <t>R_IMON_OUT=</t>
  </si>
  <si>
    <t>R_SENSE2=</t>
  </si>
  <si>
    <t>R_IOW=</t>
  </si>
  <si>
    <t>The input current limit</t>
  </si>
  <si>
    <t>R_SENSE1=</t>
  </si>
  <si>
    <t>//ток в рабочей точке панели</t>
  </si>
  <si>
    <t>DIODE</t>
  </si>
  <si>
    <t xml:space="preserve">Rth(j-c) = </t>
  </si>
  <si>
    <t>//Junction to case</t>
  </si>
  <si>
    <t>STPS8H100, TO-220</t>
  </si>
  <si>
    <t>Vf=</t>
  </si>
  <si>
    <t>at 8A @Tj=125</t>
  </si>
  <si>
    <t>Pdiss=</t>
  </si>
  <si>
    <t>HEATSINK</t>
  </si>
  <si>
    <t>Tj0=</t>
  </si>
  <si>
    <t>Theatsink=</t>
  </si>
  <si>
    <t>//темп. Радиатора</t>
  </si>
  <si>
    <t>Tcase=</t>
  </si>
  <si>
    <t>Tj=</t>
  </si>
  <si>
    <t>//темп. Корпуса диода</t>
  </si>
  <si>
    <t>//темп. Кристалла</t>
  </si>
  <si>
    <t>//heatsink to ambient</t>
  </si>
  <si>
    <t xml:space="preserve">Rth(c-a) = </t>
  </si>
  <si>
    <t>Tcase0=</t>
  </si>
  <si>
    <t>//темп. корпуса без радиатора</t>
  </si>
  <si>
    <t>//темп. кристалла без радиатора</t>
  </si>
  <si>
    <t>Tjmax=</t>
  </si>
  <si>
    <t>//case to heatsink силиконовой изолирующей прокладки</t>
  </si>
  <si>
    <t>HEATSINK CALCULATION</t>
  </si>
  <si>
    <t>Rth(c-r) =</t>
  </si>
  <si>
    <t>Rth(r-a) =</t>
  </si>
  <si>
    <t>//необходимое тепловое сопротивление радиатор-окружающая среда</t>
  </si>
  <si>
    <t>//наш выбор</t>
  </si>
  <si>
    <t>Rr-a(max)=</t>
  </si>
  <si>
    <t>Тихонов Е.Н. 27.02.20</t>
  </si>
  <si>
    <t>7-340-3PP-BA "CTS"</t>
  </si>
  <si>
    <t>Тепловой расчет радиатора для диода</t>
  </si>
  <si>
    <t>//case to ambient</t>
  </si>
  <si>
    <t>at 5A @Tj=125</t>
  </si>
  <si>
    <t>NTS10100MFST3G</t>
  </si>
  <si>
    <t>8-PowerTDFN, 5 Leads</t>
  </si>
  <si>
    <t>Панель 5x7</t>
  </si>
  <si>
    <t>//Power Stage Designer Tool</t>
  </si>
  <si>
    <t>exclude</t>
  </si>
  <si>
    <t>RthJC=</t>
  </si>
  <si>
    <t>K/W</t>
  </si>
  <si>
    <t>//Thermal resistance, junction - case</t>
  </si>
  <si>
    <t>Tcm1=</t>
  </si>
  <si>
    <t>//case temperature</t>
  </si>
  <si>
    <t>Temperature of heat case</t>
  </si>
  <si>
    <t>Tc=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</si>
  <si>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</si>
  <si>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Temperature of junction</t>
  </si>
  <si>
    <t>Расчет температуры кристалла транзистора</t>
  </si>
  <si>
    <t>по температуре его корпуса</t>
  </si>
  <si>
    <t xml:space="preserve">Tj = </t>
  </si>
  <si>
    <t>Пересчет Rsense (стр. 22 LT8705)</t>
  </si>
  <si>
    <t xml:space="preserve">Rsense = </t>
  </si>
  <si>
    <t>Ohm</t>
  </si>
  <si>
    <t>//от источника питания</t>
  </si>
  <si>
    <t>N=</t>
  </si>
  <si>
    <t>//число ячеек АКБ</t>
  </si>
  <si>
    <t>//nominal voltage 3.7V*Ncells</t>
  </si>
  <si>
    <t>//full charge 4.2V*Ncells</t>
  </si>
  <si>
    <t>//max ток зарядки</t>
  </si>
  <si>
    <t>Tсm3=</t>
  </si>
  <si>
    <t>Tсm4=</t>
  </si>
  <si>
    <t>Проверка</t>
  </si>
  <si>
    <t>Vx3=</t>
  </si>
  <si>
    <t>X=</t>
  </si>
  <si>
    <t>N1=</t>
  </si>
  <si>
    <t>N2=</t>
  </si>
  <si>
    <t>Для ключей 100V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</si>
</sst>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color rgb="FF222222"/>
      <name val="Arial"/>
      <family val="2"/>
      <charset val="204"/>
    </font>
    <font>
      <sz val="9"/>
      <color rgb="FF444444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i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4" fontId="0" fillId="0" borderId="0" xfId="0" applyNumberFormat="1"/>
    <xf numFmtId="0" fontId="2" fillId="0" borderId="0" xfId="1" applyAlignment="1" applyProtection="1"/>
    <xf numFmtId="0" fontId="1" fillId="0" borderId="0" xfId="0" applyFont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0" fillId="2" borderId="1" xfId="0" applyFill="1" applyBorder="1"/>
    <xf numFmtId="0" fontId="8" fillId="0" borderId="0" xfId="0" applyFont="1"/>
    <xf numFmtId="0" fontId="0" fillId="0" borderId="0" xfId="0" applyFont="1"/>
    <xf numFmtId="0" fontId="0" fillId="0" borderId="0" xfId="0" quotePrefix="1"/>
    <xf numFmtId="0" fontId="12" fillId="0" borderId="0" xfId="0" applyFont="1"/>
    <xf numFmtId="0" fontId="0" fillId="2" borderId="0" xfId="0" applyFill="1"/>
    <xf numFmtId="0" fontId="9" fillId="0" borderId="0" xfId="0" applyFont="1"/>
    <xf numFmtId="0" fontId="13" fillId="0" borderId="0" xfId="0" applyFont="1"/>
    <xf numFmtId="0" fontId="1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30</xdr:row>
      <xdr:rowOff>38100</xdr:rowOff>
    </xdr:from>
    <xdr:to>
      <xdr:col>8</xdr:col>
      <xdr:colOff>57150</xdr:colOff>
      <xdr:row>33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2324100"/>
          <a:ext cx="124777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34</xdr:row>
      <xdr:rowOff>57150</xdr:rowOff>
    </xdr:from>
    <xdr:to>
      <xdr:col>6</xdr:col>
      <xdr:colOff>571500</xdr:colOff>
      <xdr:row>36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3105150"/>
          <a:ext cx="24098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</xdr:colOff>
      <xdr:row>42</xdr:row>
      <xdr:rowOff>104775</xdr:rowOff>
    </xdr:from>
    <xdr:to>
      <xdr:col>7</xdr:col>
      <xdr:colOff>247650</xdr:colOff>
      <xdr:row>46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14675" y="4676775"/>
          <a:ext cx="26670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48</xdr:row>
      <xdr:rowOff>85725</xdr:rowOff>
    </xdr:from>
    <xdr:to>
      <xdr:col>9</xdr:col>
      <xdr:colOff>561975</xdr:colOff>
      <xdr:row>51</xdr:row>
      <xdr:rowOff>129418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124200" y="5991225"/>
          <a:ext cx="4191000" cy="615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55</xdr:row>
      <xdr:rowOff>133350</xdr:rowOff>
    </xdr:from>
    <xdr:to>
      <xdr:col>9</xdr:col>
      <xdr:colOff>361950</xdr:colOff>
      <xdr:row>61</xdr:row>
      <xdr:rowOff>164235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67050" y="7372350"/>
          <a:ext cx="4048125" cy="1173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63</xdr:row>
      <xdr:rowOff>1142999</xdr:rowOff>
    </xdr:from>
    <xdr:to>
      <xdr:col>10</xdr:col>
      <xdr:colOff>200025</xdr:colOff>
      <xdr:row>68</xdr:row>
      <xdr:rowOff>180974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752725" y="12763499"/>
          <a:ext cx="449580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83</xdr:row>
      <xdr:rowOff>19050</xdr:rowOff>
    </xdr:from>
    <xdr:to>
      <xdr:col>5</xdr:col>
      <xdr:colOff>542925</xdr:colOff>
      <xdr:row>86</xdr:row>
      <xdr:rowOff>16341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143250" y="11830050"/>
          <a:ext cx="1714500" cy="5687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88</xdr:row>
      <xdr:rowOff>114301</xdr:rowOff>
    </xdr:from>
    <xdr:to>
      <xdr:col>7</xdr:col>
      <xdr:colOff>209550</xdr:colOff>
      <xdr:row>91</xdr:row>
      <xdr:rowOff>188787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105150" y="14973301"/>
          <a:ext cx="2638425" cy="6459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92</xdr:row>
      <xdr:rowOff>57150</xdr:rowOff>
    </xdr:from>
    <xdr:to>
      <xdr:col>8</xdr:col>
      <xdr:colOff>219075</xdr:colOff>
      <xdr:row>95</xdr:row>
      <xdr:rowOff>46293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43250" y="15678150"/>
          <a:ext cx="3219450" cy="560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100</xdr:row>
      <xdr:rowOff>142875</xdr:rowOff>
    </xdr:from>
    <xdr:to>
      <xdr:col>5</xdr:col>
      <xdr:colOff>219075</xdr:colOff>
      <xdr:row>102</xdr:row>
      <xdr:rowOff>36458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86100" y="16716375"/>
          <a:ext cx="1447800" cy="2745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571499</xdr:colOff>
      <xdr:row>103</xdr:row>
      <xdr:rowOff>180976</xdr:rowOff>
    </xdr:from>
    <xdr:to>
      <xdr:col>7</xdr:col>
      <xdr:colOff>28574</xdr:colOff>
      <xdr:row>107</xdr:row>
      <xdr:rowOff>41306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057524" y="17706976"/>
          <a:ext cx="2505075" cy="622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107</xdr:row>
      <xdr:rowOff>104776</xdr:rowOff>
    </xdr:from>
    <xdr:to>
      <xdr:col>5</xdr:col>
      <xdr:colOff>238125</xdr:colOff>
      <xdr:row>109</xdr:row>
      <xdr:rowOff>189140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105150" y="18392776"/>
          <a:ext cx="1447800" cy="4653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110</xdr:row>
      <xdr:rowOff>161926</xdr:rowOff>
    </xdr:from>
    <xdr:to>
      <xdr:col>5</xdr:col>
      <xdr:colOff>57150</xdr:colOff>
      <xdr:row>112</xdr:row>
      <xdr:rowOff>31638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095625" y="19021426"/>
          <a:ext cx="1276350" cy="250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600074</xdr:colOff>
      <xdr:row>117</xdr:row>
      <xdr:rowOff>179326</xdr:rowOff>
    </xdr:from>
    <xdr:to>
      <xdr:col>7</xdr:col>
      <xdr:colOff>552449</xdr:colOff>
      <xdr:row>121</xdr:row>
      <xdr:rowOff>19050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086099" y="20372326"/>
          <a:ext cx="3000375" cy="601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110350</xdr:colOff>
      <xdr:row>170</xdr:row>
      <xdr:rowOff>66676</xdr:rowOff>
    </xdr:from>
    <xdr:to>
      <xdr:col>6</xdr:col>
      <xdr:colOff>390526</xdr:colOff>
      <xdr:row>175</xdr:row>
      <xdr:rowOff>85726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05975" y="25784176"/>
          <a:ext cx="2108976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176</xdr:row>
      <xdr:rowOff>19050</xdr:rowOff>
    </xdr:from>
    <xdr:to>
      <xdr:col>6</xdr:col>
      <xdr:colOff>9525</xdr:colOff>
      <xdr:row>178</xdr:row>
      <xdr:rowOff>152816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00400" y="26879550"/>
          <a:ext cx="1733550" cy="514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169</xdr:row>
      <xdr:rowOff>0</xdr:rowOff>
    </xdr:from>
    <xdr:to>
      <xdr:col>12</xdr:col>
      <xdr:colOff>285750</xdr:colOff>
      <xdr:row>180</xdr:row>
      <xdr:rowOff>19050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143625" y="25527000"/>
          <a:ext cx="2724150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133</xdr:row>
      <xdr:rowOff>47625</xdr:rowOff>
    </xdr:from>
    <xdr:to>
      <xdr:col>12</xdr:col>
      <xdr:colOff>323850</xdr:colOff>
      <xdr:row>144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91250" y="23098125"/>
          <a:ext cx="2714625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38099</xdr:colOff>
      <xdr:row>179</xdr:row>
      <xdr:rowOff>0</xdr:rowOff>
    </xdr:from>
    <xdr:to>
      <xdr:col>6</xdr:col>
      <xdr:colOff>409574</xdr:colOff>
      <xdr:row>182</xdr:row>
      <xdr:rowOff>94780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133724" y="27432000"/>
          <a:ext cx="2200275" cy="666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609599</xdr:colOff>
      <xdr:row>183</xdr:row>
      <xdr:rowOff>9525</xdr:rowOff>
    </xdr:from>
    <xdr:to>
      <xdr:col>5</xdr:col>
      <xdr:colOff>66674</xdr:colOff>
      <xdr:row>186</xdr:row>
      <xdr:rowOff>103133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095624" y="28203525"/>
          <a:ext cx="1285875" cy="665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9524</xdr:colOff>
      <xdr:row>187</xdr:row>
      <xdr:rowOff>181232</xdr:rowOff>
    </xdr:from>
    <xdr:to>
      <xdr:col>13</xdr:col>
      <xdr:colOff>428051</xdr:colOff>
      <xdr:row>203</xdr:row>
      <xdr:rowOff>37620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343649" y="29137232"/>
          <a:ext cx="3466527" cy="290438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190</xdr:row>
      <xdr:rowOff>24170</xdr:rowOff>
    </xdr:from>
    <xdr:to>
      <xdr:col>7</xdr:col>
      <xdr:colOff>352013</xdr:colOff>
      <xdr:row>198</xdr:row>
      <xdr:rowOff>112948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52800" y="29551670"/>
          <a:ext cx="2171288" cy="1612778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205</xdr:row>
      <xdr:rowOff>6927</xdr:rowOff>
    </xdr:from>
    <xdr:to>
      <xdr:col>13</xdr:col>
      <xdr:colOff>294699</xdr:colOff>
      <xdr:row>219</xdr:row>
      <xdr:rowOff>75730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72150" y="32391927"/>
          <a:ext cx="3352224" cy="273580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206</xdr:row>
      <xdr:rowOff>28575</xdr:rowOff>
    </xdr:from>
    <xdr:to>
      <xdr:col>7</xdr:col>
      <xdr:colOff>570992</xdr:colOff>
      <xdr:row>209</xdr:row>
      <xdr:rowOff>127954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62300" y="32604075"/>
          <a:ext cx="2580767" cy="6708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47</xdr:row>
      <xdr:rowOff>114300</xdr:rowOff>
    </xdr:from>
    <xdr:to>
      <xdr:col>15</xdr:col>
      <xdr:colOff>542555</xdr:colOff>
      <xdr:row>54</xdr:row>
      <xdr:rowOff>95086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29525" y="8305800"/>
          <a:ext cx="2961905" cy="13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20</xdr:row>
      <xdr:rowOff>0</xdr:rowOff>
    </xdr:from>
    <xdr:to>
      <xdr:col>17</xdr:col>
      <xdr:colOff>523355</xdr:colOff>
      <xdr:row>45</xdr:row>
      <xdr:rowOff>47024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77150" y="3810000"/>
          <a:ext cx="4161905" cy="48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73</xdr:row>
      <xdr:rowOff>19050</xdr:rowOff>
    </xdr:from>
    <xdr:to>
      <xdr:col>9</xdr:col>
      <xdr:colOff>37515</xdr:colOff>
      <xdr:row>77</xdr:row>
      <xdr:rowOff>117064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38525" y="13925550"/>
          <a:ext cx="3037890" cy="860014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77</xdr:row>
      <xdr:rowOff>76200</xdr:rowOff>
    </xdr:from>
    <xdr:to>
      <xdr:col>9</xdr:col>
      <xdr:colOff>418371</xdr:colOff>
      <xdr:row>81</xdr:row>
      <xdr:rowOff>96199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533775" y="14744700"/>
          <a:ext cx="3323496" cy="781999"/>
        </a:xfrm>
        <a:prstGeom prst="rect">
          <a:avLst/>
        </a:prstGeom>
      </xdr:spPr>
    </xdr:pic>
    <xdr:clientData/>
  </xdr:twoCellAnchor>
  <xdr:twoCellAnchor editAs="oneCell">
    <xdr:from>
      <xdr:col>11</xdr:col>
      <xdr:colOff>57149</xdr:colOff>
      <xdr:row>86</xdr:row>
      <xdr:rowOff>0</xdr:rowOff>
    </xdr:from>
    <xdr:to>
      <xdr:col>17</xdr:col>
      <xdr:colOff>323060</xdr:colOff>
      <xdr:row>97</xdr:row>
      <xdr:rowOff>76338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49" y="16383000"/>
          <a:ext cx="3923511" cy="2171838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133</xdr:row>
      <xdr:rowOff>85725</xdr:rowOff>
    </xdr:from>
    <xdr:to>
      <xdr:col>18</xdr:col>
      <xdr:colOff>513874</xdr:colOff>
      <xdr:row>143</xdr:row>
      <xdr:rowOff>114058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629650" y="25422225"/>
          <a:ext cx="3809524" cy="1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137</xdr:row>
      <xdr:rowOff>152401</xdr:rowOff>
    </xdr:from>
    <xdr:to>
      <xdr:col>8</xdr:col>
      <xdr:colOff>18614</xdr:colOff>
      <xdr:row>148</xdr:row>
      <xdr:rowOff>7661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048000" y="26250901"/>
          <a:ext cx="2799914" cy="19507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153</xdr:row>
      <xdr:rowOff>9525</xdr:rowOff>
    </xdr:from>
    <xdr:to>
      <xdr:col>6</xdr:col>
      <xdr:colOff>133009</xdr:colOff>
      <xdr:row>155</xdr:row>
      <xdr:rowOff>149845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781300" y="29156025"/>
          <a:ext cx="1961809" cy="521320"/>
        </a:xfrm>
        <a:prstGeom prst="rect">
          <a:avLst/>
        </a:prstGeom>
      </xdr:spPr>
    </xdr:pic>
    <xdr:clientData/>
  </xdr:twoCellAnchor>
  <xdr:twoCellAnchor editAs="oneCell">
    <xdr:from>
      <xdr:col>2</xdr:col>
      <xdr:colOff>595499</xdr:colOff>
      <xdr:row>155</xdr:row>
      <xdr:rowOff>171450</xdr:rowOff>
    </xdr:from>
    <xdr:to>
      <xdr:col>7</xdr:col>
      <xdr:colOff>513858</xdr:colOff>
      <xdr:row>169</xdr:row>
      <xdr:rowOff>75774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767199" y="29698950"/>
          <a:ext cx="2966359" cy="2571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114300</xdr:rowOff>
    </xdr:from>
    <xdr:to>
      <xdr:col>3</xdr:col>
      <xdr:colOff>342900</xdr:colOff>
      <xdr:row>4</xdr:row>
      <xdr:rowOff>180975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01300"/>
          <a:ext cx="217170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</xdr:row>
      <xdr:rowOff>180975</xdr:rowOff>
    </xdr:from>
    <xdr:to>
      <xdr:col>2</xdr:col>
      <xdr:colOff>333375</xdr:colOff>
      <xdr:row>10</xdr:row>
      <xdr:rowOff>85725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1420475"/>
          <a:ext cx="15240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123825</xdr:colOff>
      <xdr:row>6</xdr:row>
      <xdr:rowOff>28575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668000"/>
          <a:ext cx="195262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19</xdr:row>
      <xdr:rowOff>114300</xdr:rowOff>
    </xdr:from>
    <xdr:to>
      <xdr:col>6</xdr:col>
      <xdr:colOff>171122</xdr:colOff>
      <xdr:row>23</xdr:row>
      <xdr:rowOff>180665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7849" y="885825"/>
          <a:ext cx="1980873" cy="82836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27</xdr:row>
      <xdr:rowOff>0</xdr:rowOff>
    </xdr:from>
    <xdr:to>
      <xdr:col>5</xdr:col>
      <xdr:colOff>533111</xdr:colOff>
      <xdr:row>30</xdr:row>
      <xdr:rowOff>98051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57374" y="2295525"/>
          <a:ext cx="1723737" cy="66955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33</xdr:row>
      <xdr:rowOff>1</xdr:rowOff>
    </xdr:from>
    <xdr:to>
      <xdr:col>6</xdr:col>
      <xdr:colOff>513998</xdr:colOff>
      <xdr:row>37</xdr:row>
      <xdr:rowOff>1043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7400" y="6115051"/>
          <a:ext cx="2304698" cy="7630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190499</xdr:rowOff>
    </xdr:from>
    <xdr:to>
      <xdr:col>3</xdr:col>
      <xdr:colOff>205800</xdr:colOff>
      <xdr:row>32</xdr:row>
      <xdr:rowOff>104774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9"/>
          <a:ext cx="2272725" cy="8667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</xdr:row>
      <xdr:rowOff>47625</xdr:rowOff>
    </xdr:from>
    <xdr:to>
      <xdr:col>8</xdr:col>
      <xdr:colOff>114057</xdr:colOff>
      <xdr:row>11</xdr:row>
      <xdr:rowOff>87446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19125"/>
          <a:ext cx="1323732" cy="1563821"/>
        </a:xfrm>
        <a:prstGeom prst="rect">
          <a:avLst/>
        </a:prstGeom>
      </xdr:spPr>
    </xdr:pic>
    <xdr:clientData/>
  </xdr:twoCellAnchor>
  <xdr:twoCellAnchor editAs="oneCell">
    <xdr:from>
      <xdr:col>9</xdr:col>
      <xdr:colOff>9524</xdr:colOff>
      <xdr:row>3</xdr:row>
      <xdr:rowOff>47626</xdr:rowOff>
    </xdr:from>
    <xdr:to>
      <xdr:col>12</xdr:col>
      <xdr:colOff>475767</xdr:colOff>
      <xdr:row>12</xdr:row>
      <xdr:rowOff>78492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4049" y="619126"/>
          <a:ext cx="2295043" cy="17453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142875</xdr:rowOff>
    </xdr:from>
    <xdr:to>
      <xdr:col>10</xdr:col>
      <xdr:colOff>514059</xdr:colOff>
      <xdr:row>11</xdr:row>
      <xdr:rowOff>18804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42875"/>
          <a:ext cx="2323809" cy="1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15kOhm@202kHz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abr.com/ru/post/442374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9"/>
  <sheetViews>
    <sheetView tabSelected="1" topLeftCell="A118" zoomScaleNormal="100" workbookViewId="0">
      <selection activeCell="N122" sqref="N122"/>
    </sheetView>
  </sheetViews>
  <sheetFormatPr defaultRowHeight="15" x14ac:dyDescent="0.25"/>
  <cols>
    <col min="1" max="1" width="19.85546875" customWidth="1"/>
    <col min="2" max="2" width="12.71093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s="1">
        <v>43879</v>
      </c>
    </row>
    <row r="5" spans="1:4" x14ac:dyDescent="0.25">
      <c r="A5" s="5" t="s">
        <v>41</v>
      </c>
    </row>
    <row r="6" spans="1:4" x14ac:dyDescent="0.25">
      <c r="A6" s="5"/>
    </row>
    <row r="7" spans="1:4" x14ac:dyDescent="0.25">
      <c r="A7" s="10" t="s">
        <v>144</v>
      </c>
    </row>
    <row r="9" spans="1:4" x14ac:dyDescent="0.25">
      <c r="A9" t="s">
        <v>77</v>
      </c>
      <c r="B9">
        <v>21</v>
      </c>
      <c r="C9" t="s">
        <v>4</v>
      </c>
      <c r="D9" t="s">
        <v>94</v>
      </c>
    </row>
    <row r="10" spans="1:4" x14ac:dyDescent="0.25">
      <c r="A10" t="s">
        <v>93</v>
      </c>
      <c r="B10">
        <v>24</v>
      </c>
      <c r="C10" t="s">
        <v>4</v>
      </c>
      <c r="D10" t="s">
        <v>162</v>
      </c>
    </row>
    <row r="11" spans="1:4" x14ac:dyDescent="0.25">
      <c r="A11" t="s">
        <v>78</v>
      </c>
      <c r="B11">
        <f>8.22</f>
        <v>8.2200000000000006</v>
      </c>
      <c r="C11" t="s">
        <v>5</v>
      </c>
      <c r="D11" t="s">
        <v>108</v>
      </c>
    </row>
    <row r="12" spans="1:4" x14ac:dyDescent="0.25">
      <c r="A12" t="s">
        <v>163</v>
      </c>
      <c r="B12">
        <v>11</v>
      </c>
      <c r="D12" t="s">
        <v>164</v>
      </c>
    </row>
    <row r="13" spans="1:4" x14ac:dyDescent="0.25">
      <c r="A13" t="s">
        <v>21</v>
      </c>
      <c r="B13">
        <f>3.7*B12</f>
        <v>40.700000000000003</v>
      </c>
      <c r="C13" t="s">
        <v>4</v>
      </c>
      <c r="D13" t="s">
        <v>165</v>
      </c>
    </row>
    <row r="14" spans="1:4" x14ac:dyDescent="0.25">
      <c r="A14" t="s">
        <v>22</v>
      </c>
      <c r="B14">
        <f>4.2*B12</f>
        <v>46.2</v>
      </c>
      <c r="C14" t="s">
        <v>4</v>
      </c>
      <c r="D14" t="s">
        <v>166</v>
      </c>
    </row>
    <row r="15" spans="1:4" x14ac:dyDescent="0.25">
      <c r="A15" t="s">
        <v>2</v>
      </c>
      <c r="B15">
        <f>4</f>
        <v>4</v>
      </c>
      <c r="C15" t="s">
        <v>5</v>
      </c>
      <c r="D15" t="s">
        <v>167</v>
      </c>
    </row>
    <row r="16" spans="1:4" x14ac:dyDescent="0.25">
      <c r="A16" t="s">
        <v>3</v>
      </c>
      <c r="B16">
        <v>202</v>
      </c>
      <c r="C16" t="s">
        <v>28</v>
      </c>
    </row>
    <row r="17" spans="1:4" x14ac:dyDescent="0.25">
      <c r="A17" t="s">
        <v>38</v>
      </c>
      <c r="B17">
        <v>40</v>
      </c>
      <c r="C17" t="s">
        <v>46</v>
      </c>
      <c r="D17" t="s">
        <v>40</v>
      </c>
    </row>
    <row r="19" spans="1:4" x14ac:dyDescent="0.25">
      <c r="A19" s="5" t="s">
        <v>36</v>
      </c>
      <c r="B19" t="s">
        <v>43</v>
      </c>
    </row>
    <row r="21" spans="1:4" x14ac:dyDescent="0.25">
      <c r="A21" t="s">
        <v>37</v>
      </c>
      <c r="B21">
        <f>150</f>
        <v>150</v>
      </c>
      <c r="C21" t="s">
        <v>46</v>
      </c>
      <c r="D21" t="s">
        <v>39</v>
      </c>
    </row>
    <row r="22" spans="1:4" x14ac:dyDescent="0.25">
      <c r="A22" t="s">
        <v>147</v>
      </c>
      <c r="B22">
        <v>0.6</v>
      </c>
      <c r="C22" t="s">
        <v>148</v>
      </c>
      <c r="D22" t="s">
        <v>149</v>
      </c>
    </row>
    <row r="23" spans="1:4" x14ac:dyDescent="0.25">
      <c r="A23" t="s">
        <v>44</v>
      </c>
      <c r="B23">
        <v>50</v>
      </c>
      <c r="C23" s="6" t="s">
        <v>45</v>
      </c>
      <c r="D23" t="s">
        <v>47</v>
      </c>
    </row>
    <row r="24" spans="1:4" x14ac:dyDescent="0.25">
      <c r="A24" t="s">
        <v>49</v>
      </c>
      <c r="B24">
        <f>12.5</f>
        <v>12.5</v>
      </c>
      <c r="C24" t="s">
        <v>20</v>
      </c>
      <c r="D24" t="s">
        <v>50</v>
      </c>
    </row>
    <row r="25" spans="1:4" x14ac:dyDescent="0.25">
      <c r="B25">
        <v>6.5</v>
      </c>
      <c r="C25" t="s">
        <v>20</v>
      </c>
    </row>
    <row r="28" spans="1:4" x14ac:dyDescent="0.25">
      <c r="A28" s="3" t="s">
        <v>42</v>
      </c>
    </row>
    <row r="30" spans="1:4" x14ac:dyDescent="0.25">
      <c r="A30" s="3" t="s">
        <v>6</v>
      </c>
    </row>
    <row r="32" spans="1:4" x14ac:dyDescent="0.25">
      <c r="A32" t="s">
        <v>7</v>
      </c>
      <c r="B32">
        <f>(43750/B16-1)</f>
        <v>215.58415841584159</v>
      </c>
      <c r="C32" t="s">
        <v>8</v>
      </c>
      <c r="D32" s="2" t="s">
        <v>29</v>
      </c>
    </row>
    <row r="34" spans="1:4" x14ac:dyDescent="0.25">
      <c r="A34" s="3" t="s">
        <v>9</v>
      </c>
    </row>
    <row r="36" spans="1:4" x14ac:dyDescent="0.25">
      <c r="A36" t="s">
        <v>11</v>
      </c>
      <c r="B36">
        <f>(1-B9/B14)*100</f>
        <v>54.54545454545454</v>
      </c>
      <c r="C36" t="s">
        <v>10</v>
      </c>
    </row>
    <row r="39" spans="1:4" x14ac:dyDescent="0.25">
      <c r="A39" t="s">
        <v>12</v>
      </c>
      <c r="B39">
        <v>100</v>
      </c>
      <c r="C39" t="s">
        <v>13</v>
      </c>
      <c r="D39" s="4" t="s">
        <v>14</v>
      </c>
    </row>
    <row r="40" spans="1:4" x14ac:dyDescent="0.25">
      <c r="D40" s="4"/>
    </row>
    <row r="41" spans="1:4" x14ac:dyDescent="0.25">
      <c r="A41" s="3" t="s">
        <v>15</v>
      </c>
      <c r="D41" s="4"/>
    </row>
    <row r="42" spans="1:4" x14ac:dyDescent="0.25">
      <c r="A42" s="3" t="s">
        <v>16</v>
      </c>
      <c r="D42" s="4"/>
    </row>
    <row r="43" spans="1:4" x14ac:dyDescent="0.25">
      <c r="D43" s="4"/>
    </row>
    <row r="44" spans="1:4" x14ac:dyDescent="0.25">
      <c r="A44" t="s">
        <v>17</v>
      </c>
      <c r="B44">
        <f>(B14*B15)/(B9*(100/40-0.5))</f>
        <v>4.4000000000000004</v>
      </c>
      <c r="C44" t="s">
        <v>5</v>
      </c>
    </row>
    <row r="48" spans="1:4" x14ac:dyDescent="0.25">
      <c r="A48" s="3" t="s">
        <v>18</v>
      </c>
    </row>
    <row r="50" spans="1:3" x14ac:dyDescent="0.25">
      <c r="A50" t="s">
        <v>19</v>
      </c>
      <c r="B50" s="15">
        <f>2*B39*B9/((2*B15*B14)+(B44*B9))</f>
        <v>9.0909090909090917</v>
      </c>
      <c r="C50" t="s">
        <v>20</v>
      </c>
    </row>
    <row r="52" spans="1:3" x14ac:dyDescent="0.25">
      <c r="A52" t="s">
        <v>25</v>
      </c>
    </row>
    <row r="54" spans="1:3" x14ac:dyDescent="0.25">
      <c r="A54" t="s">
        <v>19</v>
      </c>
      <c r="B54" s="15">
        <f>B50/1.3</f>
        <v>6.9930069930069934</v>
      </c>
      <c r="C54" t="s">
        <v>20</v>
      </c>
    </row>
    <row r="55" spans="1:3" x14ac:dyDescent="0.25">
      <c r="B55" s="14">
        <v>15</v>
      </c>
      <c r="C55" t="s">
        <v>20</v>
      </c>
    </row>
    <row r="57" spans="1:3" x14ac:dyDescent="0.25">
      <c r="A57" s="3" t="s">
        <v>26</v>
      </c>
    </row>
    <row r="59" spans="1:3" x14ac:dyDescent="0.25">
      <c r="A59" t="s">
        <v>27</v>
      </c>
      <c r="B59">
        <f>B9*B36/100  /  (2*B16*1000*(B39/B55/1000-B15*B14/B9))  * 10^6</f>
        <v>-3.224355794184421</v>
      </c>
      <c r="C59" t="s">
        <v>30</v>
      </c>
    </row>
    <row r="64" spans="1:3" x14ac:dyDescent="0.25">
      <c r="A64" s="4" t="s">
        <v>33</v>
      </c>
    </row>
    <row r="66" spans="1:4" x14ac:dyDescent="0.25">
      <c r="A66" t="s">
        <v>32</v>
      </c>
      <c r="B66">
        <f>(B14-(B9*B14/(B14-B9))*B55/1000)/(0.08*B16*1000)  * 10^6</f>
        <v>2823.1745049504952</v>
      </c>
      <c r="C66" t="s">
        <v>30</v>
      </c>
    </row>
    <row r="71" spans="1:4" x14ac:dyDescent="0.25">
      <c r="A71" t="s">
        <v>31</v>
      </c>
    </row>
    <row r="72" spans="1:4" x14ac:dyDescent="0.25">
      <c r="A72" t="s">
        <v>27</v>
      </c>
      <c r="B72">
        <v>22</v>
      </c>
      <c r="C72" t="s">
        <v>30</v>
      </c>
      <c r="D72" t="s">
        <v>145</v>
      </c>
    </row>
    <row r="74" spans="1:4" x14ac:dyDescent="0.25">
      <c r="A74" s="3" t="s">
        <v>159</v>
      </c>
    </row>
    <row r="76" spans="1:4" x14ac:dyDescent="0.25">
      <c r="A76" t="s">
        <v>17</v>
      </c>
      <c r="B76">
        <f>(B36/100)*B9 / (B16*1000*B72*10^(-6))</f>
        <v>2.577530480320759</v>
      </c>
      <c r="C76" t="s">
        <v>5</v>
      </c>
    </row>
    <row r="78" spans="1:4" x14ac:dyDescent="0.25">
      <c r="A78" t="s">
        <v>160</v>
      </c>
      <c r="B78">
        <f>(2*B39/1000*B9)/((2*B15*B13)+(B76*B9))*1000</f>
        <v>11.060544522827971</v>
      </c>
      <c r="C78" t="s">
        <v>20</v>
      </c>
    </row>
    <row r="79" spans="1:4" x14ac:dyDescent="0.25">
      <c r="B79" s="3">
        <v>10</v>
      </c>
      <c r="C79" t="s">
        <v>20</v>
      </c>
    </row>
    <row r="83" spans="1:10" x14ac:dyDescent="0.25">
      <c r="A83" t="s">
        <v>34</v>
      </c>
    </row>
    <row r="85" spans="1:10" x14ac:dyDescent="0.25">
      <c r="A85" t="s">
        <v>35</v>
      </c>
      <c r="B85">
        <f>(B21-B17)/B23</f>
        <v>2.2000000000000002</v>
      </c>
      <c r="C85" t="s">
        <v>48</v>
      </c>
    </row>
    <row r="88" spans="1:10" x14ac:dyDescent="0.25">
      <c r="A88" s="3" t="s">
        <v>57</v>
      </c>
      <c r="I88" t="s">
        <v>175</v>
      </c>
    </row>
    <row r="89" spans="1:10" x14ac:dyDescent="0.25">
      <c r="A89" t="s">
        <v>61</v>
      </c>
      <c r="I89" s="17"/>
      <c r="J89" s="18"/>
    </row>
    <row r="90" spans="1:10" x14ac:dyDescent="0.25">
      <c r="A90" t="s">
        <v>59</v>
      </c>
      <c r="B90">
        <f>(B14/B9*B15)^2*B24/1000*1.5</f>
        <v>1.4520000000000002</v>
      </c>
      <c r="C90" t="s">
        <v>48</v>
      </c>
      <c r="I90" s="19">
        <f>(B14/B9*B15)^2*B25/1000*1.5</f>
        <v>0.75504000000000004</v>
      </c>
      <c r="J90" s="20" t="s">
        <v>48</v>
      </c>
    </row>
    <row r="91" spans="1:10" x14ac:dyDescent="0.25">
      <c r="I91" s="19"/>
      <c r="J91" s="20"/>
    </row>
    <row r="92" spans="1:10" x14ac:dyDescent="0.25">
      <c r="A92" t="s">
        <v>51</v>
      </c>
      <c r="I92" s="19"/>
      <c r="J92" s="20"/>
    </row>
    <row r="93" spans="1:10" x14ac:dyDescent="0.25">
      <c r="I93" s="19"/>
      <c r="J93" s="20"/>
    </row>
    <row r="94" spans="1:10" x14ac:dyDescent="0.25">
      <c r="A94" t="s">
        <v>52</v>
      </c>
      <c r="B94">
        <f>B9*B15*B16*1000*20*10^(-9)</f>
        <v>0.33935999999999999</v>
      </c>
      <c r="C94" t="s">
        <v>48</v>
      </c>
      <c r="I94" s="19"/>
      <c r="J94" s="20"/>
    </row>
    <row r="95" spans="1:10" x14ac:dyDescent="0.25">
      <c r="B95">
        <v>0</v>
      </c>
      <c r="I95" s="19"/>
      <c r="J95" s="20"/>
    </row>
    <row r="96" spans="1:10" x14ac:dyDescent="0.25">
      <c r="I96" s="19"/>
      <c r="J96" s="20"/>
    </row>
    <row r="97" spans="1:10" x14ac:dyDescent="0.25">
      <c r="A97" t="s">
        <v>53</v>
      </c>
      <c r="I97" s="19"/>
      <c r="J97" s="20"/>
    </row>
    <row r="98" spans="1:10" x14ac:dyDescent="0.25">
      <c r="A98" t="s">
        <v>54</v>
      </c>
      <c r="I98" s="19"/>
      <c r="J98" s="20"/>
    </row>
    <row r="99" spans="1:10" x14ac:dyDescent="0.25">
      <c r="I99" s="19"/>
      <c r="J99" s="20"/>
    </row>
    <row r="100" spans="1:10" x14ac:dyDescent="0.25">
      <c r="I100" s="19"/>
      <c r="J100" s="20"/>
    </row>
    <row r="101" spans="1:10" x14ac:dyDescent="0.25">
      <c r="A101" t="s">
        <v>56</v>
      </c>
      <c r="I101" s="19"/>
      <c r="J101" s="20"/>
    </row>
    <row r="102" spans="1:10" x14ac:dyDescent="0.25">
      <c r="A102" t="s">
        <v>55</v>
      </c>
      <c r="B102">
        <f>B90+B95</f>
        <v>1.4520000000000002</v>
      </c>
      <c r="C102" t="s">
        <v>48</v>
      </c>
      <c r="I102" s="19"/>
      <c r="J102" s="20"/>
    </row>
    <row r="103" spans="1:10" x14ac:dyDescent="0.25">
      <c r="I103" s="19"/>
      <c r="J103" s="20"/>
    </row>
    <row r="104" spans="1:10" x14ac:dyDescent="0.25">
      <c r="A104" s="3" t="s">
        <v>58</v>
      </c>
      <c r="I104" s="19"/>
      <c r="J104" s="20"/>
    </row>
    <row r="105" spans="1:10" x14ac:dyDescent="0.25">
      <c r="A105" t="s">
        <v>61</v>
      </c>
      <c r="I105" s="19"/>
      <c r="J105" s="20"/>
    </row>
    <row r="106" spans="1:10" x14ac:dyDescent="0.25">
      <c r="A106" t="s">
        <v>60</v>
      </c>
      <c r="B106">
        <f>(B14-B9)*B14*B15^2*B24/1000*1.5 / B9^2</f>
        <v>0.79200000000000026</v>
      </c>
      <c r="C106" t="s">
        <v>48</v>
      </c>
      <c r="I106" s="19">
        <f>(B14-B9)*B14*B15^2*B25/1000*1.5 / B9^2</f>
        <v>0.41184000000000009</v>
      </c>
      <c r="J106" s="20" t="s">
        <v>48</v>
      </c>
    </row>
    <row r="107" spans="1:10" x14ac:dyDescent="0.25">
      <c r="I107" s="19"/>
      <c r="J107" s="20"/>
    </row>
    <row r="108" spans="1:10" x14ac:dyDescent="0.25">
      <c r="I108" s="19"/>
      <c r="J108" s="20"/>
    </row>
    <row r="109" spans="1:10" x14ac:dyDescent="0.25">
      <c r="A109" t="s">
        <v>52</v>
      </c>
      <c r="B109">
        <f>B14^2*B15*B16*1000*20^(-9)/B9</f>
        <v>1.6040062500000002E-4</v>
      </c>
      <c r="C109" t="s">
        <v>48</v>
      </c>
      <c r="I109" s="19"/>
      <c r="J109" s="20"/>
    </row>
    <row r="110" spans="1:10" x14ac:dyDescent="0.25">
      <c r="I110" s="19"/>
      <c r="J110" s="20"/>
    </row>
    <row r="111" spans="1:10" x14ac:dyDescent="0.25">
      <c r="I111" s="19"/>
      <c r="J111" s="20"/>
    </row>
    <row r="112" spans="1:10" x14ac:dyDescent="0.25">
      <c r="A112" t="s">
        <v>62</v>
      </c>
      <c r="B112">
        <f>B106+B109</f>
        <v>0.79216040062500026</v>
      </c>
      <c r="C112" t="s">
        <v>48</v>
      </c>
      <c r="I112" s="19">
        <f>I106+B109</f>
        <v>0.4120004006250001</v>
      </c>
      <c r="J112" s="20" t="s">
        <v>48</v>
      </c>
    </row>
    <row r="113" spans="1:11" x14ac:dyDescent="0.25">
      <c r="I113" s="19"/>
      <c r="J113" s="20"/>
    </row>
    <row r="114" spans="1:11" x14ac:dyDescent="0.25">
      <c r="A114" t="s">
        <v>63</v>
      </c>
      <c r="I114" s="19"/>
      <c r="J114" s="20"/>
    </row>
    <row r="115" spans="1:11" x14ac:dyDescent="0.25">
      <c r="A115" t="s">
        <v>64</v>
      </c>
      <c r="I115" s="19"/>
      <c r="J115" s="20"/>
    </row>
    <row r="116" spans="1:11" x14ac:dyDescent="0.25">
      <c r="I116" s="19"/>
      <c r="J116" s="20"/>
    </row>
    <row r="117" spans="1:11" x14ac:dyDescent="0.25">
      <c r="I117" s="19"/>
      <c r="J117" s="20"/>
    </row>
    <row r="118" spans="1:11" x14ac:dyDescent="0.25">
      <c r="A118" s="3" t="s">
        <v>65</v>
      </c>
      <c r="I118" s="19"/>
      <c r="J118" s="20"/>
    </row>
    <row r="119" spans="1:11" x14ac:dyDescent="0.25">
      <c r="I119" s="19"/>
      <c r="J119" s="20"/>
    </row>
    <row r="120" spans="1:11" x14ac:dyDescent="0.25">
      <c r="A120" t="s">
        <v>66</v>
      </c>
      <c r="B120">
        <f>B14/B9*B15^2*1.5*B24/1000</f>
        <v>0.66</v>
      </c>
      <c r="C120" t="s">
        <v>48</v>
      </c>
      <c r="I120" s="19">
        <f>B14/B9*B15^2*1.5*B25/1000</f>
        <v>0.34320000000000006</v>
      </c>
      <c r="J120" s="20" t="s">
        <v>48</v>
      </c>
    </row>
    <row r="121" spans="1:11" x14ac:dyDescent="0.25">
      <c r="I121" s="19"/>
      <c r="J121" s="20"/>
    </row>
    <row r="122" spans="1:11" x14ac:dyDescent="0.25">
      <c r="I122" s="19"/>
      <c r="J122" s="20"/>
    </row>
    <row r="123" spans="1:11" x14ac:dyDescent="0.25">
      <c r="A123" s="3" t="s">
        <v>69</v>
      </c>
      <c r="I123" s="19"/>
      <c r="J123" s="20"/>
    </row>
    <row r="124" spans="1:11" x14ac:dyDescent="0.25">
      <c r="I124" s="19"/>
      <c r="J124" s="20"/>
    </row>
    <row r="125" spans="1:11" x14ac:dyDescent="0.25">
      <c r="A125" t="s">
        <v>67</v>
      </c>
      <c r="B125">
        <f>B102*B23+B17</f>
        <v>112.60000000000001</v>
      </c>
      <c r="C125" t="s">
        <v>46</v>
      </c>
      <c r="D125" t="s">
        <v>68</v>
      </c>
      <c r="I125" s="19">
        <f>I90*B23+B17</f>
        <v>77.75200000000001</v>
      </c>
      <c r="J125" s="20" t="s">
        <v>46</v>
      </c>
    </row>
    <row r="126" spans="1:11" x14ac:dyDescent="0.25">
      <c r="A126" t="s">
        <v>70</v>
      </c>
      <c r="B126">
        <f>B112*B23+B17</f>
        <v>79.608020031250021</v>
      </c>
      <c r="C126" t="s">
        <v>46</v>
      </c>
      <c r="I126" s="19">
        <f>I112*B23+B17</f>
        <v>60.600020031250004</v>
      </c>
      <c r="J126" s="20" t="s">
        <v>46</v>
      </c>
      <c r="K126">
        <f>B126-I126</f>
        <v>19.008000000000017</v>
      </c>
    </row>
    <row r="127" spans="1:11" x14ac:dyDescent="0.25">
      <c r="A127" t="s">
        <v>71</v>
      </c>
      <c r="B127">
        <f>B120*B23+B17</f>
        <v>73</v>
      </c>
      <c r="C127" t="s">
        <v>46</v>
      </c>
      <c r="I127" s="19">
        <f>I120*B23+B17</f>
        <v>57.160000000000004</v>
      </c>
      <c r="J127" s="20" t="s">
        <v>46</v>
      </c>
      <c r="K127">
        <f>B127-I127</f>
        <v>15.839999999999996</v>
      </c>
    </row>
    <row r="128" spans="1:11" x14ac:dyDescent="0.25">
      <c r="I128" s="21"/>
      <c r="J128" s="22"/>
    </row>
    <row r="129" spans="1:4" x14ac:dyDescent="0.25">
      <c r="A129" t="s">
        <v>150</v>
      </c>
      <c r="B129">
        <f>B125-B102*$B$22</f>
        <v>111.72880000000001</v>
      </c>
      <c r="C129" t="s">
        <v>46</v>
      </c>
      <c r="D129" t="s">
        <v>151</v>
      </c>
    </row>
    <row r="130" spans="1:4" x14ac:dyDescent="0.25">
      <c r="A130" t="s">
        <v>168</v>
      </c>
      <c r="B130">
        <f>B126-B112*$B$22</f>
        <v>79.132723790875019</v>
      </c>
      <c r="C130" t="s">
        <v>46</v>
      </c>
    </row>
    <row r="131" spans="1:4" x14ac:dyDescent="0.25">
      <c r="A131" t="s">
        <v>169</v>
      </c>
      <c r="B131">
        <f>B127-B120*$B$22</f>
        <v>72.603999999999999</v>
      </c>
      <c r="C131" t="s">
        <v>46</v>
      </c>
    </row>
    <row r="133" spans="1:4" x14ac:dyDescent="0.25">
      <c r="A133" s="3" t="s">
        <v>72</v>
      </c>
      <c r="B133">
        <f>B14*0.95</f>
        <v>43.89</v>
      </c>
    </row>
    <row r="135" spans="1:4" x14ac:dyDescent="0.25">
      <c r="A135" t="s">
        <v>73</v>
      </c>
    </row>
    <row r="137" spans="1:4" x14ac:dyDescent="0.25">
      <c r="A137" t="s">
        <v>74</v>
      </c>
      <c r="B137">
        <v>20000</v>
      </c>
      <c r="C137" t="s">
        <v>161</v>
      </c>
      <c r="D137" t="s">
        <v>88</v>
      </c>
    </row>
    <row r="139" spans="1:4" x14ac:dyDescent="0.25">
      <c r="A139" t="s">
        <v>76</v>
      </c>
      <c r="B139">
        <f>B137*((B14*(1.241/1.211-0.128)-1))</f>
        <v>808618.17341040459</v>
      </c>
      <c r="C139" t="s">
        <v>161</v>
      </c>
    </row>
    <row r="140" spans="1:4" x14ac:dyDescent="0.25">
      <c r="A140" t="s">
        <v>76</v>
      </c>
      <c r="B140">
        <f>806000</f>
        <v>806000</v>
      </c>
      <c r="C140" t="s">
        <v>161</v>
      </c>
    </row>
    <row r="142" spans="1:4" x14ac:dyDescent="0.25">
      <c r="A142" t="s">
        <v>90</v>
      </c>
      <c r="B142">
        <f>B140*B137*0.833/((B137*B14*1.241/1.211)-B137-B140)</f>
        <v>111075.69474992831</v>
      </c>
      <c r="C142" t="s">
        <v>161</v>
      </c>
    </row>
    <row r="143" spans="1:4" x14ac:dyDescent="0.25">
      <c r="B143">
        <v>111000</v>
      </c>
      <c r="C143" t="s">
        <v>161</v>
      </c>
    </row>
    <row r="144" spans="1:4" x14ac:dyDescent="0.25">
      <c r="A144" t="s">
        <v>89</v>
      </c>
      <c r="B144">
        <f>0.2*B143</f>
        <v>22200</v>
      </c>
      <c r="C144" t="s">
        <v>161</v>
      </c>
    </row>
    <row r="145" spans="1:3" x14ac:dyDescent="0.25">
      <c r="B145">
        <f>22100</f>
        <v>22100</v>
      </c>
      <c r="C145" t="s">
        <v>161</v>
      </c>
    </row>
    <row r="146" spans="1:3" x14ac:dyDescent="0.25">
      <c r="A146" t="s">
        <v>91</v>
      </c>
      <c r="B146">
        <f>1/(500*B145)*10^(9)</f>
        <v>90.497737556561077</v>
      </c>
      <c r="C146" t="s">
        <v>92</v>
      </c>
    </row>
    <row r="152" spans="1:3" x14ac:dyDescent="0.25">
      <c r="A152" s="16" t="s">
        <v>170</v>
      </c>
    </row>
    <row r="153" spans="1:3" x14ac:dyDescent="0.25">
      <c r="A153" s="10"/>
    </row>
    <row r="154" spans="1:3" x14ac:dyDescent="0.25">
      <c r="A154" s="10" t="s">
        <v>171</v>
      </c>
      <c r="B154">
        <f>B140/(B145+B143)*(B156-1.89)</f>
        <v>45.902549436513901</v>
      </c>
      <c r="C154" t="s">
        <v>4</v>
      </c>
    </row>
    <row r="155" spans="1:3" x14ac:dyDescent="0.25">
      <c r="A155" s="10"/>
    </row>
    <row r="156" spans="1:3" x14ac:dyDescent="0.25">
      <c r="A156" s="10" t="s">
        <v>172</v>
      </c>
      <c r="B156">
        <f>1.211*(1+(B145+B143)/B137+(B145+B143)/B140)</f>
        <v>9.4701852729528539</v>
      </c>
    </row>
    <row r="157" spans="1:3" x14ac:dyDescent="0.25">
      <c r="A157" s="10"/>
    </row>
    <row r="158" spans="1:3" x14ac:dyDescent="0.25">
      <c r="A158" s="10" t="s">
        <v>173</v>
      </c>
      <c r="B158">
        <f>(B156-1.89)/(B156-3.3)</f>
        <v>1.2285182596024737</v>
      </c>
    </row>
    <row r="159" spans="1:3" x14ac:dyDescent="0.25">
      <c r="A159" s="10"/>
    </row>
    <row r="160" spans="1:3" x14ac:dyDescent="0.25">
      <c r="A160" s="10" t="s">
        <v>174</v>
      </c>
      <c r="B160">
        <f>1-1.89/B156</f>
        <v>0.80042629098314488</v>
      </c>
    </row>
    <row r="161" spans="1:3" x14ac:dyDescent="0.25">
      <c r="A161" s="10"/>
    </row>
    <row r="162" spans="1:3" x14ac:dyDescent="0.25">
      <c r="A162" s="10"/>
    </row>
    <row r="163" spans="1:3" x14ac:dyDescent="0.25">
      <c r="A163" s="10"/>
    </row>
    <row r="164" spans="1:3" x14ac:dyDescent="0.25">
      <c r="A164" s="10"/>
    </row>
    <row r="165" spans="1:3" x14ac:dyDescent="0.25">
      <c r="A165" s="10"/>
    </row>
    <row r="166" spans="1:3" x14ac:dyDescent="0.25">
      <c r="A166" s="10"/>
    </row>
    <row r="167" spans="1:3" x14ac:dyDescent="0.25">
      <c r="A167" s="10"/>
    </row>
    <row r="168" spans="1:3" x14ac:dyDescent="0.25">
      <c r="A168" s="10"/>
    </row>
    <row r="169" spans="1:3" x14ac:dyDescent="0.25">
      <c r="A169" s="10"/>
    </row>
    <row r="170" spans="1:3" x14ac:dyDescent="0.25">
      <c r="A170" s="3" t="s">
        <v>95</v>
      </c>
    </row>
    <row r="171" spans="1:3" x14ac:dyDescent="0.25">
      <c r="A171" s="3"/>
    </row>
    <row r="173" spans="1:3" x14ac:dyDescent="0.25">
      <c r="A173" t="s">
        <v>96</v>
      </c>
      <c r="B173">
        <f>100*((1+4.47/(B10-6))/(1+5.593/(B10-6)))</f>
        <v>95.240113593014883</v>
      </c>
      <c r="C173" t="s">
        <v>75</v>
      </c>
    </row>
    <row r="174" spans="1:3" x14ac:dyDescent="0.25">
      <c r="B174" s="10">
        <f>1+94.2</f>
        <v>95.2</v>
      </c>
      <c r="C174" t="s">
        <v>75</v>
      </c>
    </row>
    <row r="178" spans="1:3" x14ac:dyDescent="0.25">
      <c r="A178" t="s">
        <v>97</v>
      </c>
      <c r="B178">
        <f>2.75*B174/(B10-6)</f>
        <v>14.544444444444444</v>
      </c>
      <c r="C178" t="s">
        <v>75</v>
      </c>
    </row>
    <row r="179" spans="1:3" x14ac:dyDescent="0.25">
      <c r="B179">
        <v>14.3</v>
      </c>
      <c r="C179" t="s">
        <v>75</v>
      </c>
    </row>
    <row r="181" spans="1:3" x14ac:dyDescent="0.25">
      <c r="A181" t="s">
        <v>98</v>
      </c>
      <c r="B181">
        <f>1/(1/(100-B174)-1/B179)</f>
        <v>7.2252631578947302</v>
      </c>
      <c r="C181" t="s">
        <v>75</v>
      </c>
    </row>
    <row r="182" spans="1:3" x14ac:dyDescent="0.25">
      <c r="B182">
        <v>7.32</v>
      </c>
    </row>
    <row r="184" spans="1:3" x14ac:dyDescent="0.25">
      <c r="A184" t="s">
        <v>99</v>
      </c>
      <c r="B184">
        <f>0.2*B179</f>
        <v>2.8600000000000003</v>
      </c>
      <c r="C184" t="s">
        <v>75</v>
      </c>
    </row>
    <row r="186" spans="1:3" x14ac:dyDescent="0.25">
      <c r="A186" t="s">
        <v>100</v>
      </c>
      <c r="B186">
        <f>1/(1000*B184*1000)*10^6</f>
        <v>0.34965034965034958</v>
      </c>
      <c r="C186" t="s">
        <v>101</v>
      </c>
    </row>
    <row r="187" spans="1:3" x14ac:dyDescent="0.25">
      <c r="B187">
        <f>0.47</f>
        <v>0.47</v>
      </c>
      <c r="C187" t="s">
        <v>101</v>
      </c>
    </row>
    <row r="189" spans="1:3" x14ac:dyDescent="0.25">
      <c r="A189" s="3" t="s">
        <v>102</v>
      </c>
    </row>
    <row r="192" spans="1:3" x14ac:dyDescent="0.25">
      <c r="A192" t="s">
        <v>104</v>
      </c>
      <c r="B192">
        <f>0.0497/B15*1000</f>
        <v>12.425000000000001</v>
      </c>
      <c r="C192" t="s">
        <v>20</v>
      </c>
    </row>
    <row r="193" spans="1:3" x14ac:dyDescent="0.25">
      <c r="B193">
        <v>12</v>
      </c>
      <c r="C193" t="s">
        <v>20</v>
      </c>
    </row>
    <row r="195" spans="1:3" x14ac:dyDescent="0.25">
      <c r="A195" t="s">
        <v>103</v>
      </c>
      <c r="B195">
        <f>1208/(B15*1*B193/1000)/1000</f>
        <v>25.166666666666668</v>
      </c>
      <c r="C195" t="s">
        <v>75</v>
      </c>
    </row>
    <row r="196" spans="1:3" x14ac:dyDescent="0.25">
      <c r="B196">
        <v>25</v>
      </c>
      <c r="C196" t="s">
        <v>75</v>
      </c>
    </row>
    <row r="198" spans="1:3" x14ac:dyDescent="0.25">
      <c r="A198" t="s">
        <v>105</v>
      </c>
      <c r="B198">
        <f>24.3*B196/(B196-24.3)</f>
        <v>867.85714285714369</v>
      </c>
      <c r="C198" t="s">
        <v>75</v>
      </c>
    </row>
    <row r="199" spans="1:3" x14ac:dyDescent="0.25">
      <c r="B199" t="s">
        <v>146</v>
      </c>
    </row>
    <row r="206" spans="1:3" x14ac:dyDescent="0.25">
      <c r="A206" s="3" t="s">
        <v>106</v>
      </c>
    </row>
    <row r="208" spans="1:3" x14ac:dyDescent="0.25">
      <c r="A208" t="s">
        <v>107</v>
      </c>
      <c r="B208">
        <f>0.0505/(1.3*B11) * 1000</f>
        <v>4.725809470335018</v>
      </c>
      <c r="C208" t="s">
        <v>20</v>
      </c>
    </row>
    <row r="209" spans="2:3" x14ac:dyDescent="0.25">
      <c r="B209">
        <v>5</v>
      </c>
      <c r="C209" t="s">
        <v>20</v>
      </c>
    </row>
  </sheetData>
  <hyperlinks>
    <hyperlink ref="D32" r:id="rId1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6" sqref="C16"/>
    </sheetView>
  </sheetViews>
  <sheetFormatPr defaultRowHeight="15" x14ac:dyDescent="0.25"/>
  <sheetData>
    <row r="1" spans="1:7" x14ac:dyDescent="0.25">
      <c r="A1" t="s">
        <v>156</v>
      </c>
    </row>
    <row r="2" spans="1:7" x14ac:dyDescent="0.25">
      <c r="A2" t="s">
        <v>157</v>
      </c>
    </row>
    <row r="5" spans="1:7" x14ac:dyDescent="0.25">
      <c r="E5" s="11"/>
      <c r="G5" t="s">
        <v>152</v>
      </c>
    </row>
    <row r="6" spans="1:7" x14ac:dyDescent="0.25">
      <c r="A6" s="12"/>
    </row>
    <row r="7" spans="1:7" x14ac:dyDescent="0.25">
      <c r="A7" s="3" t="s">
        <v>153</v>
      </c>
      <c r="B7" s="13">
        <v>50</v>
      </c>
      <c r="C7" t="s">
        <v>154</v>
      </c>
    </row>
    <row r="10" spans="1:7" x14ac:dyDescent="0.25">
      <c r="E10" t="s">
        <v>155</v>
      </c>
    </row>
    <row r="12" spans="1:7" x14ac:dyDescent="0.25">
      <c r="A12" t="s">
        <v>158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C14" sqref="C14"/>
    </sheetView>
  </sheetViews>
  <sheetFormatPr defaultRowHeight="15" x14ac:dyDescent="0.25"/>
  <cols>
    <col min="1" max="1" width="15.42578125" customWidth="1"/>
    <col min="2" max="2" width="12" bestFit="1" customWidth="1"/>
  </cols>
  <sheetData>
    <row r="1" spans="1:4" x14ac:dyDescent="0.25">
      <c r="A1" t="s">
        <v>79</v>
      </c>
    </row>
    <row r="2" spans="1:4" x14ac:dyDescent="0.25">
      <c r="A2" s="2" t="s">
        <v>80</v>
      </c>
    </row>
    <row r="4" spans="1:4" x14ac:dyDescent="0.25">
      <c r="A4" s="5" t="s">
        <v>41</v>
      </c>
    </row>
    <row r="6" spans="1:4" x14ac:dyDescent="0.25">
      <c r="A6" t="s">
        <v>77</v>
      </c>
      <c r="B6">
        <v>18</v>
      </c>
      <c r="C6" t="s">
        <v>4</v>
      </c>
    </row>
    <row r="7" spans="1:4" x14ac:dyDescent="0.25">
      <c r="A7" t="s">
        <v>93</v>
      </c>
      <c r="B7">
        <v>24</v>
      </c>
      <c r="C7" t="s">
        <v>4</v>
      </c>
    </row>
    <row r="8" spans="1:4" x14ac:dyDescent="0.25">
      <c r="A8" t="s">
        <v>78</v>
      </c>
      <c r="B8">
        <f>8.5</f>
        <v>8.5</v>
      </c>
      <c r="C8" t="s">
        <v>5</v>
      </c>
    </row>
    <row r="9" spans="1:4" x14ac:dyDescent="0.25">
      <c r="A9" t="s">
        <v>21</v>
      </c>
      <c r="B9">
        <f>3.7*11</f>
        <v>40.700000000000003</v>
      </c>
      <c r="C9" t="s">
        <v>4</v>
      </c>
      <c r="D9" t="s">
        <v>23</v>
      </c>
    </row>
    <row r="10" spans="1:4" x14ac:dyDescent="0.25">
      <c r="A10" t="s">
        <v>22</v>
      </c>
      <c r="B10">
        <f>4.2*11</f>
        <v>46.2</v>
      </c>
      <c r="C10" t="s">
        <v>4</v>
      </c>
      <c r="D10" t="s">
        <v>24</v>
      </c>
    </row>
    <row r="11" spans="1:4" x14ac:dyDescent="0.25">
      <c r="A11" t="s">
        <v>2</v>
      </c>
      <c r="B11">
        <v>4</v>
      </c>
      <c r="C11" t="s">
        <v>5</v>
      </c>
    </row>
    <row r="12" spans="1:4" x14ac:dyDescent="0.25">
      <c r="A12" t="s">
        <v>3</v>
      </c>
      <c r="B12">
        <v>202</v>
      </c>
      <c r="C12" t="s">
        <v>28</v>
      </c>
    </row>
    <row r="13" spans="1:4" x14ac:dyDescent="0.25">
      <c r="A13" t="s">
        <v>38</v>
      </c>
      <c r="B13">
        <v>60</v>
      </c>
      <c r="C13" t="s">
        <v>46</v>
      </c>
      <c r="D13" t="s">
        <v>40</v>
      </c>
    </row>
    <row r="19" spans="1:3" ht="15.75" x14ac:dyDescent="0.25">
      <c r="A19" s="7" t="s">
        <v>81</v>
      </c>
    </row>
    <row r="22" spans="1:3" x14ac:dyDescent="0.25">
      <c r="A22" t="s">
        <v>82</v>
      </c>
      <c r="B22">
        <f>0.3*B11/(1-PowerPart!B36/100)</f>
        <v>2.6399999999999997</v>
      </c>
      <c r="C22" t="s">
        <v>5</v>
      </c>
    </row>
    <row r="26" spans="1:3" x14ac:dyDescent="0.25">
      <c r="A26" t="s">
        <v>83</v>
      </c>
    </row>
    <row r="29" spans="1:3" x14ac:dyDescent="0.25">
      <c r="A29" t="s">
        <v>84</v>
      </c>
      <c r="B29">
        <f>B6*PowerPart!B36/100/((Nordic!B12*1000)*Nordic!B22)*10^6</f>
        <v>18.410932002291144</v>
      </c>
      <c r="C29" t="s">
        <v>30</v>
      </c>
    </row>
    <row r="32" spans="1:3" ht="15.75" x14ac:dyDescent="0.25">
      <c r="A32" s="7" t="s">
        <v>86</v>
      </c>
    </row>
    <row r="36" spans="1:3" x14ac:dyDescent="0.25">
      <c r="A36" t="s">
        <v>85</v>
      </c>
      <c r="B36">
        <f>(B10-B6)*B11/(B10*B12*1000*0.1)*10^6</f>
        <v>120.86922978012085</v>
      </c>
      <c r="C36" t="s">
        <v>87</v>
      </c>
    </row>
  </sheetData>
  <hyperlinks>
    <hyperlink ref="A2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2" workbookViewId="0">
      <selection activeCell="L20" sqref="L20"/>
    </sheetView>
  </sheetViews>
  <sheetFormatPr defaultRowHeight="15" x14ac:dyDescent="0.25"/>
  <cols>
    <col min="1" max="1" width="12.7109375" customWidth="1"/>
  </cols>
  <sheetData>
    <row r="1" spans="1:4" x14ac:dyDescent="0.25">
      <c r="A1" t="s">
        <v>139</v>
      </c>
    </row>
    <row r="2" spans="1:4" x14ac:dyDescent="0.25">
      <c r="A2" t="s">
        <v>137</v>
      </c>
    </row>
    <row r="5" spans="1:4" x14ac:dyDescent="0.25">
      <c r="A5" s="5" t="s">
        <v>41</v>
      </c>
    </row>
    <row r="7" spans="1:4" x14ac:dyDescent="0.25">
      <c r="A7" t="s">
        <v>2</v>
      </c>
      <c r="B7" s="8">
        <v>5</v>
      </c>
      <c r="C7" t="s">
        <v>5</v>
      </c>
    </row>
    <row r="8" spans="1:4" x14ac:dyDescent="0.25">
      <c r="A8" t="s">
        <v>38</v>
      </c>
      <c r="B8" s="8">
        <v>40</v>
      </c>
      <c r="C8" t="s">
        <v>46</v>
      </c>
      <c r="D8" t="s">
        <v>40</v>
      </c>
    </row>
    <row r="10" spans="1:4" x14ac:dyDescent="0.25">
      <c r="A10" s="3" t="s">
        <v>109</v>
      </c>
    </row>
    <row r="11" spans="1:4" x14ac:dyDescent="0.25">
      <c r="A11" t="s">
        <v>112</v>
      </c>
    </row>
    <row r="13" spans="1:4" x14ac:dyDescent="0.25">
      <c r="A13" t="s">
        <v>129</v>
      </c>
      <c r="B13">
        <f>150</f>
        <v>150</v>
      </c>
      <c r="C13" t="s">
        <v>46</v>
      </c>
    </row>
    <row r="14" spans="1:4" x14ac:dyDescent="0.25">
      <c r="A14" t="s">
        <v>110</v>
      </c>
      <c r="B14">
        <f>1.6</f>
        <v>1.6</v>
      </c>
      <c r="C14" t="s">
        <v>45</v>
      </c>
      <c r="D14" t="s">
        <v>111</v>
      </c>
    </row>
    <row r="15" spans="1:4" x14ac:dyDescent="0.25">
      <c r="A15" t="s">
        <v>125</v>
      </c>
      <c r="B15">
        <v>70</v>
      </c>
      <c r="C15" t="s">
        <v>45</v>
      </c>
      <c r="D15" t="s">
        <v>140</v>
      </c>
    </row>
    <row r="16" spans="1:4" x14ac:dyDescent="0.25">
      <c r="A16" t="s">
        <v>113</v>
      </c>
      <c r="B16">
        <f>0.56</f>
        <v>0.56000000000000005</v>
      </c>
      <c r="C16" t="s">
        <v>4</v>
      </c>
      <c r="D16" t="s">
        <v>114</v>
      </c>
    </row>
    <row r="18" spans="1:4" x14ac:dyDescent="0.25">
      <c r="A18" s="3" t="s">
        <v>116</v>
      </c>
      <c r="B18" t="s">
        <v>138</v>
      </c>
    </row>
    <row r="19" spans="1:4" x14ac:dyDescent="0.25">
      <c r="A19" t="s">
        <v>132</v>
      </c>
      <c r="B19">
        <f>0.5</f>
        <v>0.5</v>
      </c>
      <c r="C19" t="s">
        <v>45</v>
      </c>
      <c r="D19" t="s">
        <v>130</v>
      </c>
    </row>
    <row r="20" spans="1:4" x14ac:dyDescent="0.25">
      <c r="A20" t="s">
        <v>133</v>
      </c>
      <c r="B20">
        <v>1</v>
      </c>
      <c r="C20" t="s">
        <v>45</v>
      </c>
      <c r="D20" t="s">
        <v>124</v>
      </c>
    </row>
    <row r="22" spans="1:4" x14ac:dyDescent="0.25">
      <c r="A22" t="s">
        <v>115</v>
      </c>
      <c r="B22">
        <f>B16*B7</f>
        <v>2.8000000000000003</v>
      </c>
      <c r="C22" t="s">
        <v>48</v>
      </c>
    </row>
    <row r="24" spans="1:4" x14ac:dyDescent="0.25">
      <c r="A24" t="s">
        <v>126</v>
      </c>
      <c r="B24">
        <f>B22*B15+B8</f>
        <v>236.00000000000003</v>
      </c>
      <c r="C24" t="s">
        <v>46</v>
      </c>
      <c r="D24" t="s">
        <v>127</v>
      </c>
    </row>
    <row r="25" spans="1:4" x14ac:dyDescent="0.25">
      <c r="A25" t="s">
        <v>117</v>
      </c>
      <c r="B25">
        <f>B22*B14+B24</f>
        <v>240.48000000000002</v>
      </c>
      <c r="C25" t="s">
        <v>46</v>
      </c>
      <c r="D25" t="s">
        <v>128</v>
      </c>
    </row>
    <row r="27" spans="1:4" x14ac:dyDescent="0.25">
      <c r="A27" s="3" t="s">
        <v>131</v>
      </c>
    </row>
    <row r="35" spans="1:4" x14ac:dyDescent="0.25">
      <c r="A35" t="s">
        <v>136</v>
      </c>
      <c r="B35">
        <f>(B13-B8)/B22-B14-B19</f>
        <v>37.185714285714283</v>
      </c>
      <c r="C35" t="s">
        <v>45</v>
      </c>
      <c r="D35" t="s">
        <v>134</v>
      </c>
    </row>
    <row r="36" spans="1:4" x14ac:dyDescent="0.25">
      <c r="B36" s="8">
        <v>15</v>
      </c>
      <c r="C36" t="s">
        <v>45</v>
      </c>
      <c r="D36" t="s">
        <v>135</v>
      </c>
    </row>
    <row r="38" spans="1:4" x14ac:dyDescent="0.25">
      <c r="A38" t="s">
        <v>118</v>
      </c>
      <c r="B38">
        <f>B22*B36+B8</f>
        <v>82</v>
      </c>
      <c r="C38" t="s">
        <v>46</v>
      </c>
      <c r="D38" t="s">
        <v>119</v>
      </c>
    </row>
    <row r="39" spans="1:4" x14ac:dyDescent="0.25">
      <c r="A39" t="s">
        <v>120</v>
      </c>
      <c r="B39">
        <f>B22*B19+B38</f>
        <v>83.4</v>
      </c>
      <c r="C39" t="s">
        <v>46</v>
      </c>
      <c r="D39" t="s">
        <v>122</v>
      </c>
    </row>
    <row r="40" spans="1:4" x14ac:dyDescent="0.25">
      <c r="A40" t="s">
        <v>121</v>
      </c>
      <c r="B40">
        <f>B22*B14+B39</f>
        <v>87.88000000000001</v>
      </c>
      <c r="C40" t="s">
        <v>46</v>
      </c>
      <c r="D40" t="s">
        <v>123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t="s">
        <v>139</v>
      </c>
    </row>
    <row r="2" spans="1:4" x14ac:dyDescent="0.25">
      <c r="A2" t="s">
        <v>137</v>
      </c>
    </row>
    <row r="5" spans="1:4" x14ac:dyDescent="0.25">
      <c r="A5" s="5" t="s">
        <v>41</v>
      </c>
    </row>
    <row r="7" spans="1:4" x14ac:dyDescent="0.25">
      <c r="A7" t="s">
        <v>2</v>
      </c>
      <c r="B7" s="8">
        <v>4</v>
      </c>
      <c r="C7" t="s">
        <v>5</v>
      </c>
    </row>
    <row r="8" spans="1:4" x14ac:dyDescent="0.25">
      <c r="A8" t="s">
        <v>38</v>
      </c>
      <c r="B8" s="8">
        <v>40</v>
      </c>
      <c r="C8" t="s">
        <v>46</v>
      </c>
      <c r="D8" t="s">
        <v>40</v>
      </c>
    </row>
    <row r="10" spans="1:4" x14ac:dyDescent="0.25">
      <c r="A10" s="3" t="s">
        <v>109</v>
      </c>
    </row>
    <row r="11" spans="1:4" x14ac:dyDescent="0.25">
      <c r="A11" t="s">
        <v>142</v>
      </c>
      <c r="C11" s="9" t="s">
        <v>143</v>
      </c>
    </row>
    <row r="13" spans="1:4" x14ac:dyDescent="0.25">
      <c r="A13" t="s">
        <v>129</v>
      </c>
      <c r="B13">
        <f>150</f>
        <v>150</v>
      </c>
      <c r="C13" t="s">
        <v>46</v>
      </c>
    </row>
    <row r="15" spans="1:4" x14ac:dyDescent="0.25">
      <c r="A15" t="s">
        <v>44</v>
      </c>
      <c r="B15">
        <v>50</v>
      </c>
      <c r="C15" s="6" t="s">
        <v>45</v>
      </c>
      <c r="D15" t="s">
        <v>47</v>
      </c>
    </row>
    <row r="16" spans="1:4" x14ac:dyDescent="0.25">
      <c r="A16" t="s">
        <v>113</v>
      </c>
      <c r="B16">
        <f>0.45</f>
        <v>0.45</v>
      </c>
      <c r="C16" t="s">
        <v>4</v>
      </c>
      <c r="D16" t="s">
        <v>141</v>
      </c>
    </row>
    <row r="19" spans="1:4" x14ac:dyDescent="0.25">
      <c r="A19" t="s">
        <v>115</v>
      </c>
      <c r="B19">
        <f>B16*B7</f>
        <v>1.8</v>
      </c>
      <c r="C19" t="s">
        <v>48</v>
      </c>
    </row>
    <row r="22" spans="1:4" x14ac:dyDescent="0.25">
      <c r="A22" t="s">
        <v>117</v>
      </c>
      <c r="B22">
        <f>B19*B15+B8</f>
        <v>130</v>
      </c>
      <c r="C22" t="s">
        <v>46</v>
      </c>
      <c r="D22" t="s">
        <v>123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PowerPart</vt:lpstr>
      <vt:lpstr>Температура корпуса</vt:lpstr>
      <vt:lpstr>Nordic</vt:lpstr>
      <vt:lpstr>Расчет радиатора</vt:lpstr>
      <vt:lpstr>Расчет диода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2020-05-10T23:26:32Z</dcterms:modified>
</cp:coreProperties>
</file>