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Other Bugs\"/>
    </mc:Choice>
  </mc:AlternateContent>
  <xr:revisionPtr revIDLastSave="0" documentId="8_{9EEA0392-415A-440E-A5D6-99CE55C719B8}" xr6:coauthVersionLast="47" xr6:coauthVersionMax="47" xr10:uidLastSave="{00000000-0000-0000-0000-000000000000}"/>
  <bookViews>
    <workbookView xWindow="-108" yWindow="-108" windowWidth="23256" windowHeight="12720" firstSheet="3" activeTab="3"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C13" i="7"/>
  <c r="D13" i="7" s="1"/>
  <c r="C12" i="7"/>
  <c r="D12" i="7" s="1"/>
  <c r="C11" i="7"/>
  <c r="D11" i="7" s="1"/>
  <c r="C10" i="7"/>
  <c r="D10" i="7" s="1"/>
  <c r="C9" i="7"/>
  <c r="D9" i="7" s="1"/>
  <c r="C8" i="7"/>
  <c r="D8" i="7" s="1"/>
  <c r="C7" i="7"/>
  <c r="D7" i="7" s="1"/>
  <c r="C6" i="7"/>
  <c r="D15" i="1"/>
  <c r="D14" i="1"/>
  <c r="D13" i="1"/>
  <c r="D9" i="1"/>
  <c r="D8" i="1"/>
  <c r="D7" i="1"/>
  <c r="D12" i="1"/>
  <c r="D11" i="1"/>
  <c r="F25" i="7"/>
  <c r="F24" i="7"/>
  <c r="F23" i="7"/>
  <c r="F22" i="7"/>
  <c r="F21" i="7"/>
  <c r="F20" i="7"/>
  <c r="F19" i="7"/>
  <c r="F18" i="7"/>
  <c r="C17" i="7"/>
  <c r="C16" i="7"/>
  <c r="C15" i="7"/>
  <c r="C14" i="7"/>
  <c r="G28" i="2"/>
  <c r="G29" i="2"/>
  <c r="G30" i="2"/>
  <c r="G31" i="2"/>
  <c r="G32" i="2"/>
  <c r="D10" i="1"/>
  <c r="D6" i="1" l="1"/>
  <c r="D6" i="7"/>
  <c r="F12" i="7"/>
  <c r="F6" i="7"/>
  <c r="D17" i="7"/>
  <c r="F17" i="7" s="1"/>
  <c r="D16" i="7"/>
  <c r="F16" i="7" s="1"/>
  <c r="D15" i="7"/>
  <c r="F15" i="7" s="1"/>
  <c r="D14" i="7"/>
  <c r="F14" i="7" s="1"/>
  <c r="F13" i="7"/>
  <c r="F11" i="7"/>
  <c r="F10" i="7"/>
  <c r="F9" i="7"/>
  <c r="F8" i="7"/>
  <c r="F7" i="7"/>
  <c r="B11" i="2" l="1"/>
  <c r="I28" i="2"/>
  <c r="I31" i="2"/>
  <c r="I30" i="2"/>
  <c r="I29" i="2"/>
  <c r="I32" i="2"/>
  <c r="B12" i="2" l="1"/>
  <c r="G26" i="2" l="1"/>
  <c r="I26" i="2" s="1"/>
  <c r="G27" i="2"/>
  <c r="I27" i="2" s="1"/>
  <c r="G24" i="2"/>
  <c r="I24" i="2" s="1"/>
  <c r="G25" i="2"/>
  <c r="I25" i="2" s="1"/>
  <c r="G20" i="2"/>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<sst xmlns="http://schemas.openxmlformats.org/spreadsheetml/2006/main" count="95" uniqueCount="87">
  <si>
    <t>About this workbook</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</si>
  <si>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</si>
  <si>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Guide for screen readers</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</si>
  <si>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</si>
  <si>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</si>
  <si>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</si>
  <si>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</si>
  <si>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</si>
  <si>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</si>
  <si>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</si>
  <si>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</si>
  <si>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</si>
  <si>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</si>
  <si>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</si>
  <si>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</si>
  <si>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No</t>
  </si>
  <si>
    <t>Milestones header for the milestone table is in cell B3.
Tasks header for the tasks table is in cell G3.</t>
  </si>
  <si>
    <t>Milestones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</si>
  <si>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</si>
  <si>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</si>
  <si>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</si>
  <si>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</si>
  <si>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</si>
  <si>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</si>
  <si>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</si>
  <si>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</si>
  <si>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</si>
  <si>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</si>
  <si>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Decide project approach + arcitecture</t>
  </si>
  <si>
    <t>Ordered all harware and started building</t>
  </si>
  <si>
    <t>Have some working sensors and ideas on waterproof case</t>
  </si>
  <si>
    <t>Designed the waterproof case in CAD</t>
  </si>
  <si>
    <t>Midterm presentation</t>
  </si>
  <si>
    <t>Started on working the the platform and pulleysystem</t>
  </si>
  <si>
    <t>Have a first prototype of the platform with the pulleysystem</t>
  </si>
  <si>
    <t>Fixed parts that need improvements</t>
  </si>
  <si>
    <t>Final report</t>
  </si>
  <si>
    <t>Cleaned up and presented the final solution</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</si>
  <si>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</si>
  <si>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</si>
  <si>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</si>
  <si>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Tasks</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</si>
  <si>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</si>
  <si>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</si>
  <si>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</si>
  <si>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</si>
  <si>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Start Date</t>
  </si>
  <si>
    <t>End Date</t>
  </si>
  <si>
    <t>Task</t>
  </si>
  <si>
    <t>Duration in days</t>
  </si>
  <si>
    <t xml:space="preserve">Project approach + arcitecture </t>
  </si>
  <si>
    <t>Order harware + start building</t>
  </si>
  <si>
    <t>Activity 3</t>
  </si>
  <si>
    <t>Activity 4</t>
  </si>
  <si>
    <t>Activity 5</t>
  </si>
  <si>
    <t>Activity 6</t>
  </si>
  <si>
    <t>Activity 7</t>
  </si>
  <si>
    <t>Activity 8</t>
  </si>
  <si>
    <t>Activity 9</t>
  </si>
  <si>
    <t>Activity 10</t>
  </si>
  <si>
    <t>Activity 11</t>
  </si>
  <si>
    <t>Activity 12</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</si>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</sst>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5">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cellXfs>
  <cellStyles count="8">
    <cellStyle name="Date" xfId="6" xr:uid="{6EB70F65-3733-4804-9FF5-428A9E5C4ABE}"/>
    <cellStyle name="Förklarande text" xfId="5" builtinId="53" customBuiltin="1"/>
    <cellStyle name="Normal" xfId="0" builtinId="0"/>
    <cellStyle name="Rubrik" xfId="3" builtinId="15" customBuiltin="1"/>
    <cellStyle name="Rubrik 1" xfId="1" builtinId="16" customBuiltin="1"/>
    <cellStyle name="Rubrik 2" xfId="2" builtinId="17" customBuiltin="1"/>
    <cellStyle name="Rubrik 3" xfId="4" builtinId="18" customBuiltin="1"/>
    <cellStyle name="Tusental [0]" xfId="7" builtinId="6" customBuiltin="1"/>
  </cellStyles>
  <dxfs count="23">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manualLayout>
                  <c:x val="-1.7127504246202264E-3"/>
                  <c:y val="-2.8639443947512409E-2"/>
                </c:manualLayout>
              </c:layout>
              <c:tx>
                <c:rich>
                  <a:bodyPr/>
                  <a:lstStyle/>
                  <a:p>
                    <a:r>
                      <a:rPr lang="en-US"/>
                      <a:t>Approach + arcitecture </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CCF3-4D6B-A363-E3E4CAC6EE6E}"/>
                </c:ext>
              </c:extLst>
            </c:dLbl>
            <c:dLbl>
              <c:idx val="1"/>
              <c:layout>
                <c:manualLayout>
                  <c:x val="-7.3122355307852438E-2"/>
                  <c:y val="-2.5767518850773857E-2"/>
                </c:manualLayout>
              </c:layout>
              <c:tx>
                <c:rich>
                  <a:bodyPr/>
                  <a:lstStyle/>
                  <a:p>
                    <a:r>
                      <a:rPr lang="en-US"/>
                      <a:t>Order hardware + start building</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CCF3-4D6B-A363-E3E4CAC6EE6E}"/>
                </c:ext>
              </c:extLst>
            </c:dLbl>
            <c:dLbl>
              <c:idx val="2"/>
              <c:layout>
                <c:manualLayout>
                  <c:x val="5.4853864374212529E-3"/>
                  <c:y val="-4.8941392574166201E-2"/>
                </c:manualLayout>
              </c:layout>
              <c:tx>
                <c:rich>
                  <a:bodyPr/>
                  <a:lstStyle/>
                  <a:p>
                    <a:r>
                      <a:rPr lang="en-US"/>
                      <a:t>Have working sensors + idea on waterproof case</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CCF3-4D6B-A363-E3E4CAC6EE6E}"/>
                </c:ext>
              </c:extLst>
            </c:dLbl>
            <c:dLbl>
              <c:idx val="3"/>
              <c:tx>
                <c:rich>
                  <a:bodyPr/>
                  <a:lstStyle/>
                  <a:p>
                    <a:r>
                      <a:rPr lang="en-US"/>
                      <a:t>Designed case in CAD</a:t>
                    </a:r>
                  </a:p>
                </c:rich>
              </c:tx>
              <c:dLblPos val="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CCF3-4D6B-A363-E3E4CAC6EE6E}"/>
                </c:ext>
              </c:extLst>
            </c:dLbl>
            <c:dLbl>
              <c:idx val="4"/>
              <c:layout>
                <c:manualLayout>
                  <c:x val="-5.4527817839978336E-2"/>
                  <c:y val="-3.0518071642371421E-2"/>
                </c:manualLayout>
              </c:layout>
              <c:tx>
                <c:rich>
                  <a:bodyPr/>
                  <a:lstStyle/>
                  <a:p>
                    <a:r>
                      <a:rPr lang="en-US"/>
                      <a:t>Work on platform and pulleysystem</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CCF3-4D6B-A363-E3E4CAC6EE6E}"/>
                </c:ext>
              </c:extLst>
            </c:dLbl>
            <c:dLbl>
              <c:idx val="5"/>
              <c:layout>
                <c:manualLayout>
                  <c:x val="-3.5530770356771386E-2"/>
                  <c:y val="-3.875649530127151E-2"/>
                </c:manualLayout>
              </c:layout>
              <c:tx>
                <c:rich>
                  <a:bodyPr/>
                  <a:lstStyle/>
                  <a:p>
                    <a:r>
                      <a:rPr lang="en-US"/>
                      <a:t>Build everything together to a prototype</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CCF3-4D6B-A363-E3E4CAC6EE6E}"/>
                </c:ext>
              </c:extLst>
            </c:dLbl>
            <c:dLbl>
              <c:idx val="6"/>
              <c:layout>
                <c:manualLayout>
                  <c:x val="-2.6848224353279031E-2"/>
                  <c:y val="-3.7017691598148057E-2"/>
                </c:manualLayout>
              </c:layout>
              <c:tx>
                <c:rich>
                  <a:bodyPr/>
                  <a:lstStyle/>
                  <a:p>
                    <a:r>
                      <a:rPr lang="en-US"/>
                      <a:t>Improve the design</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11</c:v>
                  </c:pt>
                  <c:pt idx="1">
                    <c:v>6</c:v>
                  </c:pt>
                  <c:pt idx="2">
                    <c:v>26</c:v>
                  </c:pt>
                  <c:pt idx="3">
                    <c:v>6</c:v>
                  </c:pt>
                  <c:pt idx="4">
                    <c:v>17</c:v>
                  </c:pt>
                  <c:pt idx="5">
                    <c:v>15</c:v>
                  </c:pt>
                  <c:pt idx="6">
                    <c:v>11</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45916</c:v>
                </c:pt>
                <c:pt idx="1">
                  <c:v>45926</c:v>
                </c:pt>
                <c:pt idx="2">
                  <c:v>45936</c:v>
                </c:pt>
                <c:pt idx="3">
                  <c:v>45961</c:v>
                </c:pt>
                <c:pt idx="4">
                  <c:v>45976</c:v>
                </c:pt>
                <c:pt idx="5">
                  <c:v>45992</c:v>
                </c:pt>
                <c:pt idx="6">
                  <c:v>46006</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Project approach + arcitecture </c:v>
                  </c:pt>
                  <c:pt idx="1">
                    <c:v>Order harware + start building</c:v>
                  </c:pt>
                  <c:pt idx="2">
                    <c:v>Activity 3</c:v>
                  </c:pt>
                  <c:pt idx="3">
                    <c:v>Activity 4</c:v>
                  </c:pt>
                  <c:pt idx="4">
                    <c:v>Activity 5</c:v>
                  </c:pt>
                  <c:pt idx="5">
                    <c:v>Activity 6</c:v>
                  </c:pt>
                  <c:pt idx="6">
                    <c:v>Activity 7</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elete val="1"/>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45916</c:v>
                </c:pt>
                <c:pt idx="1">
                  <c:v>45916</c:v>
                </c:pt>
              </c:numCache>
            </c:numRef>
          </c:xVal>
          <c:yVal>
            <c:numRef>
              <c:f>'Dynamic Chart Data Hidden'!$C$4:$C$5</c:f>
              <c:numCache>
                <c:formatCode>General</c:formatCode>
                <c:ptCount val="2"/>
                <c:pt idx="0">
                  <c:v>0</c:v>
                </c:pt>
                <c:pt idx="1">
                  <c:v>0</c:v>
                </c:pt>
              </c:numCache>
            </c:numRef>
          </c:yVal>
          <c:smooth val="0"/>
          <c:extLs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9B33FAA0-4FF2-449A-A511-13524A0BDC94}"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09FB9AC-C3EF-416D-AB1F-69F969039A6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002D7650-30BB-4495-8D5D-37FDD3E63701}"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BCAF24A2-E952-43A8-926F-BCE0A81D6B3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F202DB2C-45AC-4298-AF35-90E9243E3AAC}"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D896428C-D239-4630-A2DE-22D9A2732FB8}"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62F8E79F-F361-4435-BD41-4F925365844E}"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3146A5E1-AC5C-4F3F-8A5C-5E1F3BB456CC}"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10282042-5F98-42DF-8844-E0A04A4C4A1F}"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D8798E10-AADE-43B8-8731-6FAFEB4C430F}"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6B3D94BC-FA39-4289-A2D7-0AF813CD89DC}"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779014CA-0EE2-418C-9794-F2AA765455B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1F43066D-5981-449B-9BBD-141A8BF7084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3219EB62-EF3A-48F6-81CD-9BEECD462670}"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2AD582E7-499B-417C-83C9-074851B69DF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45926</c:v>
                </c:pt>
                <c:pt idx="1">
                  <c:v>45931</c:v>
                </c:pt>
                <c:pt idx="2">
                  <c:v>45931</c:v>
                </c:pt>
                <c:pt idx="3">
                  <c:v>45931</c:v>
                </c:pt>
                <c:pt idx="4">
                  <c:v>45931</c:v>
                </c:pt>
                <c:pt idx="5">
                  <c:v>45931</c:v>
                </c:pt>
                <c:pt idx="6">
                  <c:v>45931</c:v>
                </c:pt>
                <c:pt idx="7">
                  <c:v>45931</c:v>
                </c:pt>
                <c:pt idx="8">
                  <c:v>45931</c:v>
                </c:pt>
                <c:pt idx="9">
                  <c:v>45931</c:v>
                </c:pt>
                <c:pt idx="10">
                  <c:v>45931</c:v>
                </c:pt>
                <c:pt idx="11">
                  <c:v>45931</c:v>
                </c:pt>
                <c:pt idx="12">
                  <c:v>45931</c:v>
                </c:pt>
                <c:pt idx="13">
                  <c:v>45931</c:v>
                </c:pt>
                <c:pt idx="14">
                  <c:v>45931</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Decide project approach + arcitecture</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238125</xdr:rowOff>
    </xdr:from>
    <xdr:to>
      <xdr:col>22</xdr:col>
      <xdr:colOff>66675</xdr:colOff>
      <xdr:row>8</xdr:row>
      <xdr:rowOff>66675</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calculatedColumnFormula>ROW() - ROW(Milestones[[#Headers],[No.]])</calculatedColumnFormula>
    </tableColumn>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1" dataCellStyle="Date">
      <calculatedColumnFormula>IFERROR(IF(LEN(DynamicTaskData[[#This Row],[Tasks]])=0,$B$11,INDEX(Tasks[],OFFSET(Tasks!$B6,ScrollingIncrement[scroll increment],0,1,1),2)),"")</calculatedColumnFormula>
    </tableColumn>
    <tableColumn id="3" xr3:uid="{F8FBD7F0-C854-4F78-A244-B23F2FFF6E70}" name="Task duration in days" dataDxfId="10">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IFERROR(IF(LEN(Milestones!D6)=0,"",IF(AND(Milestones!D6&lt;=$B$12,Milestones!D6&gt;=$B$11-$D$11),Milestones!E6,"")),"")</calculatedColumnFormula>
    </tableColumn>
    <tableColumn id="4" xr3:uid="{08699A2C-FE9E-454E-85A5-61493B3B2502}" name="Date" dataDxfId="5" dataCellStyle="Date">
      <calculatedColumnFormula>IFERROR(IF(LEN(DynamicMilestoneData[[#This Row],[Milestones]])=0,$B$12,Milestones!$D6),2)</calculatedColumnFormula>
    </tableColumn>
    <tableColumn id="5" xr3:uid="{FF95A456-DC6C-4DEF-A422-1A60C8530445}" name="Baseline" dataDxfId="4">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election activeCell="C2" sqref="C2"/>
    </sheetView>
  </sheetViews>
  <sheetFormatPr defaultRowHeight="14.45"/>
  <cols>
    <col min="1" max="1" width="78.7109375" style="24" customWidth="1"/>
  </cols>
  <sheetData>
    <row r="1" spans="1:1" ht="50.1" customHeight="1">
      <c r="A1" s="20" t="s">
        <v>0</v>
      </c>
    </row>
    <row r="2" spans="1:1" ht="129.6">
      <c r="A2" s="21" t="s">
        <v>1</v>
      </c>
    </row>
    <row r="3" spans="1:1">
      <c r="A3" s="22" t="s">
        <v>2</v>
      </c>
    </row>
    <row r="4" spans="1:1" ht="244.9">
      <c r="A4" s="21" t="s">
        <v>3</v>
      </c>
    </row>
    <row r="5" spans="1:1">
      <c r="A5" s="22" t="s">
        <v>4</v>
      </c>
    </row>
    <row r="6" spans="1:1" ht="172.9">
      <c r="A6" s="21" t="s">
        <v>5</v>
      </c>
    </row>
    <row r="7" spans="1:1">
      <c r="A7" s="23" t="s">
        <v>6</v>
      </c>
    </row>
    <row r="8" spans="1:1" ht="72">
      <c r="A8" s="21" t="s">
        <v>7</v>
      </c>
    </row>
    <row r="9" spans="1:1" ht="43.15">
      <c r="A9" s="21" t="s">
        <v>8</v>
      </c>
    </row>
    <row r="10" spans="1:1" ht="57.6">
      <c r="A10" s="21" t="s">
        <v>9</v>
      </c>
    </row>
    <row r="11" spans="1:1">
      <c r="A11" s="21" t="s">
        <v>10</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workbookViewId="0">
      <selection activeCell="D2" sqref="D2"/>
    </sheetView>
  </sheetViews>
  <sheetFormatPr defaultRowHeight="14.45"/>
  <cols>
    <col min="1" max="1" width="2.7109375" style="19" customWidth="1"/>
    <col min="2" max="2" width="10.7109375" customWidth="1"/>
    <col min="3" max="3" width="12.7109375" customWidth="1"/>
    <col min="4" max="4" width="14.7109375" customWidth="1"/>
    <col min="5" max="5" width="30.7109375" customWidth="1"/>
  </cols>
  <sheetData>
    <row r="1" spans="1:5" ht="50.1" customHeight="1">
      <c r="A1" s="18" t="s">
        <v>11</v>
      </c>
      <c r="B1" s="8" t="s">
        <v>12</v>
      </c>
    </row>
    <row r="2" spans="1:5" ht="15.6">
      <c r="A2" s="19" t="s">
        <v>13</v>
      </c>
      <c r="B2" s="17" t="s">
        <v>14</v>
      </c>
      <c r="C2" s="16"/>
      <c r="D2" s="9" t="s">
        <v>15</v>
      </c>
    </row>
    <row r="3" spans="1:5" ht="35.1" customHeight="1">
      <c r="A3" s="18" t="s">
        <v>16</v>
      </c>
      <c r="B3" s="5" t="s">
        <v>17</v>
      </c>
    </row>
    <row r="4" spans="1:5" ht="69">
      <c r="A4" s="18" t="s">
        <v>18</v>
      </c>
      <c r="B4" s="10" t="s">
        <v>19</v>
      </c>
      <c r="C4" s="10" t="s">
        <v>20</v>
      </c>
      <c r="D4" s="10" t="s">
        <v>21</v>
      </c>
      <c r="E4" s="10" t="s">
        <v>22</v>
      </c>
    </row>
    <row r="5" spans="1:5">
      <c r="A5" s="18" t="s">
        <v>23</v>
      </c>
      <c r="B5" t="s">
        <v>24</v>
      </c>
      <c r="C5" t="s">
        <v>25</v>
      </c>
      <c r="D5" t="s">
        <v>26</v>
      </c>
      <c r="E5" t="s">
        <v>27</v>
      </c>
    </row>
    <row r="6" spans="1:5">
      <c r="A6" s="18"/>
      <c r="B6" s="6">
        <f ca="1">ROW() - ROW(Milestones[[#Headers],[No.]])</f>
        <v>1</v>
      </c>
      <c r="C6" s="6">
        <v>1</v>
      </c>
      <c r="D6" s="11">
        <f ca="1">Start_Date+10</f>
        <v>45926</v>
      </c>
      <c r="E6" t="s">
        <v>28</v>
      </c>
    </row>
    <row r="7" spans="1:5">
      <c r="B7" s="6">
        <f ca="1">ROW() - ROW(Milestones[[#Headers],[No.]])</f>
        <v>2</v>
      </c>
      <c r="C7" s="6">
        <v>1</v>
      </c>
      <c r="D7" s="11">
        <f ca="1">TODAY()+20</f>
        <v>45936</v>
      </c>
      <c r="E7" t="s">
        <v>29</v>
      </c>
    </row>
    <row r="8" spans="1:5">
      <c r="B8" s="6">
        <f ca="1">ROW() - ROW(Milestones[[#Headers],[No.]])</f>
        <v>3</v>
      </c>
      <c r="C8" s="6">
        <v>1</v>
      </c>
      <c r="D8" s="11">
        <f ca="1">TODAY()+45</f>
        <v>45961</v>
      </c>
      <c r="E8" t="s">
        <v>30</v>
      </c>
    </row>
    <row r="9" spans="1:5">
      <c r="B9" s="6">
        <f ca="1">ROW() - ROW(Milestones[[#Headers],[No.]])</f>
        <v>4</v>
      </c>
      <c r="C9" s="6">
        <v>1</v>
      </c>
      <c r="D9" s="11">
        <f ca="1">TODAY()+50</f>
        <v>45966</v>
      </c>
      <c r="E9" t="s">
        <v>31</v>
      </c>
    </row>
    <row r="10" spans="1:5">
      <c r="B10" s="6">
        <f ca="1">ROW() - ROW(Milestones[[#Headers],[No.]])</f>
        <v>5</v>
      </c>
      <c r="C10" s="6">
        <v>1</v>
      </c>
      <c r="D10" s="11">
        <f ca="1">TODAY()+60</f>
        <v>45976</v>
      </c>
      <c r="E10" t="s">
        <v>32</v>
      </c>
    </row>
    <row r="11" spans="1:5">
      <c r="B11" s="6">
        <f ca="1">ROW() - ROW(Milestones[[#Headers],[No.]])</f>
        <v>6</v>
      </c>
      <c r="C11" s="6">
        <v>1</v>
      </c>
      <c r="D11" s="11">
        <f ca="1">TODAY()+76</f>
        <v>45992</v>
      </c>
      <c r="E11" t="s">
        <v>33</v>
      </c>
    </row>
    <row r="12" spans="1:5">
      <c r="B12" s="6">
        <f ca="1">ROW() - ROW(Milestones[[#Headers],[No.]])</f>
        <v>7</v>
      </c>
      <c r="C12" s="6">
        <v>1</v>
      </c>
      <c r="D12" s="11">
        <f ca="1">TODAY()+90</f>
        <v>46006</v>
      </c>
      <c r="E12" t="s">
        <v>34</v>
      </c>
    </row>
    <row r="13" spans="1:5">
      <c r="B13" s="6">
        <f ca="1">ROW() - ROW(Milestones[[#Headers],[No.]])</f>
        <v>8</v>
      </c>
      <c r="C13" s="6">
        <v>1</v>
      </c>
      <c r="D13" s="11">
        <f ca="1">TODAY()+100</f>
        <v>46016</v>
      </c>
      <c r="E13" t="s">
        <v>35</v>
      </c>
    </row>
    <row r="14" spans="1:5">
      <c r="B14" s="6">
        <f ca="1">ROW() - ROW(Milestones[[#Headers],[No.]])</f>
        <v>9</v>
      </c>
      <c r="C14" s="6">
        <v>1</v>
      </c>
      <c r="D14" s="11">
        <f ca="1">TODAY()+106</f>
        <v>46022</v>
      </c>
      <c r="E14" t="s">
        <v>36</v>
      </c>
    </row>
    <row r="15" spans="1:5">
      <c r="B15" s="6">
        <f ca="1">ROW() - ROW(Milestones[[#Headers],[No.]])</f>
        <v>10</v>
      </c>
      <c r="C15" s="6">
        <v>1</v>
      </c>
      <c r="D15" s="11">
        <f ca="1">TODAY()+126</f>
        <v>46042</v>
      </c>
      <c r="E15" t="s">
        <v>37</v>
      </c>
    </row>
    <row r="16" spans="1:5">
      <c r="B16" s="6">
        <f ca="1">ROW() - ROW(Milestones[[#Headers],[No.]])</f>
        <v>11</v>
      </c>
      <c r="C16" s="6"/>
      <c r="D16" s="11"/>
    </row>
    <row r="17" spans="1:5">
      <c r="B17" s="6">
        <f ca="1">ROW() - ROW(Milestones[[#Headers],[No.]])</f>
        <v>12</v>
      </c>
      <c r="C17" s="6"/>
      <c r="D17" s="11"/>
    </row>
    <row r="18" spans="1:5">
      <c r="B18" s="6">
        <f ca="1">ROW() - ROW(Milestones[[#Headers],[No.]])</f>
        <v>13</v>
      </c>
      <c r="C18" s="6"/>
      <c r="D18" s="11"/>
    </row>
    <row r="19" spans="1:5">
      <c r="B19" s="6">
        <f ca="1">ROW() - ROW(Milestones[[#Headers],[No.]])</f>
        <v>14</v>
      </c>
      <c r="C19" s="6"/>
      <c r="D19" s="11"/>
    </row>
    <row r="20" spans="1:5">
      <c r="B20" s="6">
        <f ca="1">ROW() - ROW(Milestones[[#Headers],[No.]])</f>
        <v>15</v>
      </c>
      <c r="C20" s="6"/>
      <c r="D20" s="11"/>
    </row>
    <row r="21" spans="1:5">
      <c r="A21" s="19" t="s">
        <v>38</v>
      </c>
      <c r="B21" s="4" t="s">
        <v>39</v>
      </c>
      <c r="C21" s="4"/>
      <c r="D21" s="4"/>
      <c r="E21" s="4"/>
    </row>
    <row r="26" spans="1:5">
      <c r="A26" s="19" t="s">
        <v>40</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topLeftCell="A4" workbookViewId="0">
      <selection activeCell="L4" sqref="L4"/>
    </sheetView>
  </sheetViews>
  <sheetFormatPr defaultRowHeight="14.45"/>
  <cols>
    <col min="1" max="1" width="2.7109375" customWidth="1"/>
    <col min="2" max="2" width="10.7109375" customWidth="1"/>
    <col min="3" max="3" width="12.7109375" customWidth="1"/>
    <col min="4" max="4" width="14.7109375" customWidth="1"/>
    <col min="5" max="5" width="30.7109375" customWidth="1"/>
    <col min="6" max="6" width="19.28515625" hidden="1" customWidth="1"/>
  </cols>
  <sheetData>
    <row r="1" spans="1:6" ht="50.1" customHeight="1">
      <c r="A1" s="18" t="s">
        <v>11</v>
      </c>
      <c r="B1" s="8" t="s">
        <v>12</v>
      </c>
    </row>
    <row r="3" spans="1:6" ht="35.1" customHeight="1">
      <c r="A3" s="18" t="s">
        <v>16</v>
      </c>
      <c r="B3" s="5" t="s">
        <v>41</v>
      </c>
    </row>
    <row r="4" spans="1:6" ht="110.45">
      <c r="B4" s="10" t="s">
        <v>19</v>
      </c>
      <c r="C4" s="10" t="s">
        <v>42</v>
      </c>
      <c r="D4" s="10" t="s">
        <v>43</v>
      </c>
      <c r="E4" s="10" t="s">
        <v>44</v>
      </c>
      <c r="F4" s="10" t="s">
        <v>45</v>
      </c>
    </row>
    <row r="5" spans="1:6">
      <c r="B5" t="s">
        <v>24</v>
      </c>
      <c r="C5" t="s">
        <v>46</v>
      </c>
      <c r="D5" t="s">
        <v>47</v>
      </c>
      <c r="E5" t="s">
        <v>48</v>
      </c>
      <c r="F5" t="s">
        <v>49</v>
      </c>
    </row>
    <row r="6" spans="1:6" ht="15">
      <c r="B6" s="6">
        <v>1</v>
      </c>
      <c r="C6" s="11">
        <f ca="1">TODAY()</f>
        <v>45916</v>
      </c>
      <c r="D6" s="11">
        <f ca="1">Tasks[[#This Row],[Start Date]]+10</f>
        <v>45926</v>
      </c>
      <c r="E6" s="1" t="s">
        <v>50</v>
      </c>
      <c r="F6" s="14">
        <f ca="1">IFERROR(IF(LEN(Tasks[[#This Row],[Start Date]])=0,"",(INT(Tasks[[#This Row],[End Date]])-INT(Tasks[[#This Row],[Start Date]]))-(INT(Tasks[[#This Row],[Start Date]])-INT(Tasks[[#This Row],[Start Date]]))+1),"")</f>
        <v>11</v>
      </c>
    </row>
    <row r="7" spans="1:6" ht="15">
      <c r="B7" s="6">
        <v>2</v>
      </c>
      <c r="C7" s="11">
        <f ca="1">TODAY()+10</f>
        <v>45926</v>
      </c>
      <c r="D7" s="11">
        <f ca="1">Tasks[[#This Row],[Start Date]]+10</f>
        <v>45936</v>
      </c>
      <c r="E7" s="1" t="s">
        <v>51</v>
      </c>
      <c r="F7" s="14">
        <f ca="1">IFERROR(IF(LEN(Tasks[[#This Row],[Start Date]])=0,"",(INT(Tasks[[#This Row],[End Date]])-INT(Tasks[[#This Row],[Start Date]]))-(INT(Tasks[[#This Row],[Start Date]])-INT(Tasks[[#This Row],[Start Date]]))+1),"")</f>
        <v>11</v>
      </c>
    </row>
    <row r="8" spans="1:6" ht="15">
      <c r="B8" s="6">
        <v>3</v>
      </c>
      <c r="C8" s="11">
        <f ca="1">TODAY()+20</f>
        <v>45936</v>
      </c>
      <c r="D8" s="11">
        <f ca="1">Tasks[[#This Row],[Start Date]]+25</f>
        <v>45961</v>
      </c>
      <c r="E8" s="1" t="s">
        <v>52</v>
      </c>
      <c r="F8" s="14">
        <f ca="1">IFERROR(IF(LEN(Tasks[[#This Row],[Start Date]])=0,"",(INT(Tasks[[#This Row],[End Date]])-INT(Tasks[[#This Row],[Start Date]]))-(INT(Tasks[[#This Row],[Start Date]])-INT(Tasks[[#This Row],[Start Date]]))+1),"")</f>
        <v>26</v>
      </c>
    </row>
    <row r="9" spans="1:6">
      <c r="B9" s="6">
        <v>4</v>
      </c>
      <c r="C9" s="12">
        <f ca="1">TODAY()+45</f>
        <v>45961</v>
      </c>
      <c r="D9" s="11">
        <f ca="1">Tasks[[#This Row],[Start Date]]+5</f>
        <v>45966</v>
      </c>
      <c r="E9" s="1" t="s">
        <v>53</v>
      </c>
      <c r="F9" s="14">
        <f ca="1">IFERROR(IF(LEN(Tasks[[#This Row],[Start Date]])=0,"",(INT(Tasks[[#This Row],[End Date]])-INT(Tasks[[#This Row],[Start Date]]))-(INT(Tasks[[#This Row],[Start Date]])-INT(Tasks[[#This Row],[Start Date]]))+1),"")</f>
        <v>6</v>
      </c>
    </row>
    <row r="10" spans="1:6">
      <c r="B10" s="6">
        <v>5</v>
      </c>
      <c r="C10" s="11">
        <f ca="1">TODAY()+60</f>
        <v>45976</v>
      </c>
      <c r="D10" s="11">
        <f ca="1">Tasks[[#This Row],[Start Date]]+16</f>
        <v>45992</v>
      </c>
      <c r="E10" s="1" t="s">
        <v>54</v>
      </c>
      <c r="F10" s="14">
        <f ca="1">IFERROR(IF(LEN(Tasks[[#This Row],[Start Date]])=0,"",(INT(Tasks[[#This Row],[End Date]])-INT(Tasks[[#This Row],[Start Date]]))-(INT(Tasks[[#This Row],[Start Date]])-INT(Tasks[[#This Row],[Start Date]]))+1),"")</f>
        <v>17</v>
      </c>
    </row>
    <row r="11" spans="1:6">
      <c r="B11" s="6">
        <v>6</v>
      </c>
      <c r="C11" s="11">
        <f ca="1">TODAY()+76</f>
        <v>45992</v>
      </c>
      <c r="D11" s="11">
        <f ca="1">Tasks[[#This Row],[Start Date]]+14</f>
        <v>46006</v>
      </c>
      <c r="E11" s="1" t="s">
        <v>55</v>
      </c>
      <c r="F11" s="14">
        <f ca="1">IFERROR(IF(LEN(Tasks[[#This Row],[Start Date]])=0,"",(INT(Tasks[[#This Row],[End Date]])-INT(Tasks[[#This Row],[Start Date]]))-(INT(Tasks[[#This Row],[Start Date]])-INT(Tasks[[#This Row],[Start Date]]))+1),"")</f>
        <v>15</v>
      </c>
    </row>
    <row r="12" spans="1:6">
      <c r="B12" s="6">
        <v>7</v>
      </c>
      <c r="C12" s="11">
        <f ca="1">TODAY()+90</f>
        <v>46006</v>
      </c>
      <c r="D12" s="11">
        <f ca="1">Tasks[[#This Row],[Start Date]]+10</f>
        <v>46016</v>
      </c>
      <c r="E12" s="1" t="s">
        <v>56</v>
      </c>
      <c r="F12" s="14">
        <f ca="1">IFERROR(IF(LEN(Tasks[[#This Row],[Start Date]])=0,"",(INT(Tasks[[#This Row],[End Date]])-INT(Tasks[[#This Row],[Start Date]]))-(INT(Tasks[[#This Row],[Start Date]])-INT(Tasks[[#This Row],[Start Date]]))+1),"")</f>
        <v>11</v>
      </c>
    </row>
    <row r="13" spans="1:6">
      <c r="B13" s="6">
        <v>8</v>
      </c>
      <c r="C13" s="11">
        <f ca="1">TODAY()+106</f>
        <v>46022</v>
      </c>
      <c r="D13" s="11">
        <f ca="1">Tasks[[#This Row],[Start Date]]+20</f>
        <v>46042</v>
      </c>
      <c r="E13" s="1" t="s">
        <v>57</v>
      </c>
      <c r="F13" s="14">
        <f ca="1">IFERROR(IF(LEN(Tasks[[#This Row],[Start Date]])=0,"",(INT(Tasks[[#This Row],[End Date]])-INT(Tasks[[#This Row],[Start Date]]))-(INT(Tasks[[#This Row],[Start Date]])-INT(Tasks[[#This Row],[Start Date]]))+1),"")</f>
        <v>21</v>
      </c>
    </row>
    <row r="14" spans="1:6">
      <c r="B14" s="6">
        <v>9</v>
      </c>
      <c r="C14" s="11">
        <f ca="1">TODAY()+34</f>
        <v>45950</v>
      </c>
      <c r="D14" s="11">
        <f ca="1">Tasks[[#This Row],[Start Date]]+2</f>
        <v>45952</v>
      </c>
      <c r="E14" s="1" t="s">
        <v>58</v>
      </c>
      <c r="F14" s="14">
        <f ca="1">IFERROR(IF(LEN(Tasks[[#This Row],[Start Date]])=0,"",(INT(Tasks[[#This Row],[End Date]])-INT(Tasks[[#This Row],[Start Date]]))-(INT(Tasks[[#This Row],[Start Date]])-INT(Tasks[[#This Row],[Start Date]]))+1),"")</f>
        <v>3</v>
      </c>
    </row>
    <row r="15" spans="1:6">
      <c r="B15" s="6">
        <v>10</v>
      </c>
      <c r="C15" s="11">
        <f ca="1">TODAY()+40</f>
        <v>45956</v>
      </c>
      <c r="D15" s="11">
        <f ca="1">Tasks[[#This Row],[Start Date]]+30</f>
        <v>45986</v>
      </c>
      <c r="E15" s="1" t="s">
        <v>59</v>
      </c>
      <c r="F15" s="14">
        <f ca="1">IFERROR(IF(LEN(Tasks[[#This Row],[Start Date]])=0,"",(INT(Tasks[[#This Row],[End Date]])-INT(Tasks[[#This Row],[Start Date]]))-(INT(Tasks[[#This Row],[Start Date]])-INT(Tasks[[#This Row],[Start Date]]))+1),"")</f>
        <v>31</v>
      </c>
    </row>
    <row r="16" spans="1:6">
      <c r="B16" s="6">
        <v>11</v>
      </c>
      <c r="C16" s="11">
        <f ca="1">TODAY()+42</f>
        <v>45958</v>
      </c>
      <c r="D16" s="11">
        <f ca="1">Tasks[[#This Row],[Start Date]]+23</f>
        <v>45981</v>
      </c>
      <c r="E16" s="1" t="s">
        <v>60</v>
      </c>
      <c r="F16" s="14">
        <f ca="1">IFERROR(IF(LEN(Tasks[[#This Row],[Start Date]])=0,"",(INT(Tasks[[#This Row],[End Date]])-INT(Tasks[[#This Row],[Start Date]]))-(INT(Tasks[[#This Row],[Start Date]])-INT(Tasks[[#This Row],[Start Date]]))+1),"")</f>
        <v>24</v>
      </c>
    </row>
    <row r="17" spans="2:6">
      <c r="B17" s="6">
        <v>12</v>
      </c>
      <c r="C17" s="11">
        <f ca="1">TODAY()+50</f>
        <v>45966</v>
      </c>
      <c r="D17" s="11">
        <f ca="1">Tasks[[#This Row],[Start Date]]+5</f>
        <v>45971</v>
      </c>
      <c r="E17" s="1" t="s">
        <v>61</v>
      </c>
      <c r="F17" s="14">
        <f ca="1">IFERROR(IF(LEN(Tasks[[#This Row],[Start Date]])=0,"",(INT(Tasks[[#This Row],[End Date]])-INT(Tasks[[#This Row],[Start Date]]))-(INT(Tasks[[#This Row],[Start Date]])-INT(Tasks[[#This Row],[Start Date]]))+1),"")</f>
        <v>6</v>
      </c>
    </row>
    <row r="18" spans="2:6">
      <c r="B18" s="6"/>
      <c r="C18" s="11"/>
      <c r="D18" s="11"/>
      <c r="E18" s="1"/>
      <c r="F18" s="14" t="str">
        <f ca="1">IFERROR(IF(LEN(Tasks[[#This Row],[Start Date]])=0,"",(INT(Tasks[[#This Row],[End Date]])-INT(Tasks[[#This Row],[Start Date]]))-(INT(Tasks[[#This Row],[Start Date]])-INT(Tasks[[#This Row],[Start Date]]))+1),"")</f>
        <v/>
      </c>
    </row>
    <row r="19" spans="2:6">
      <c r="B19" s="6"/>
      <c r="C19" s="11"/>
      <c r="D19" s="11"/>
      <c r="E19" s="1"/>
      <c r="F19" s="14" t="str">
        <f ca="1">IFERROR(IF(LEN(Tasks[[#This Row],[Start Date]])=0,"",(INT(Tasks[[#This Row],[End Date]])-INT(Tasks[[#This Row],[Start Date]]))-(INT(Tasks[[#This Row],[Start Date]])-INT(Tasks[[#This Row],[Start Date]]))+1),"")</f>
        <v/>
      </c>
    </row>
    <row r="20" spans="2:6">
      <c r="B20" s="6"/>
      <c r="C20" s="11"/>
      <c r="D20" s="11"/>
      <c r="E20" s="1"/>
      <c r="F20" s="14" t="str">
        <f ca="1">IFERROR(IF(LEN(Tasks[[#This Row],[Start Date]])=0,"",(INT(Tasks[[#This Row],[End Date]])-INT(Tasks[[#This Row],[Start Date]]))-(INT(Tasks[[#This Row],[Start Date]])-INT(Tasks[[#This Row],[Start Date]]))+1),"")</f>
        <v/>
      </c>
    </row>
    <row r="21" spans="2:6">
      <c r="B21" s="6"/>
      <c r="C21" s="11"/>
      <c r="D21" s="11"/>
      <c r="E21" s="1"/>
      <c r="F21" s="14" t="str">
        <f ca="1">IFERROR(IF(LEN(Tasks[[#This Row],[Start Date]])=0,"",(INT(Tasks[[#This Row],[End Date]])-INT(Tasks[[#This Row],[Start Date]]))-(INT(Tasks[[#This Row],[Start Date]])-INT(Tasks[[#This Row],[Start Date]]))+1),"")</f>
        <v/>
      </c>
    </row>
    <row r="22" spans="2:6">
      <c r="B22" s="6"/>
      <c r="C22" s="11"/>
      <c r="D22" s="11"/>
      <c r="E22" s="1"/>
      <c r="F22" s="14" t="str">
        <f ca="1">IFERROR(IF(LEN(Tasks[[#This Row],[Start Date]])=0,"",(INT(Tasks[[#This Row],[End Date]])-INT(Tasks[[#This Row],[Start Date]]))-(INT(Tasks[[#This Row],[Start Date]])-INT(Tasks[[#This Row],[Start Date]]))+1),"")</f>
        <v/>
      </c>
    </row>
    <row r="23" spans="2:6">
      <c r="B23" s="6"/>
      <c r="C23" s="11"/>
      <c r="D23" s="11"/>
      <c r="E23" s="1"/>
      <c r="F23" s="14" t="str">
        <f ca="1">IFERROR(IF(LEN(Tasks[[#This Row],[Start Date]])=0,"",(INT(Tasks[[#This Row],[End Date]])-INT(Tasks[[#This Row],[Start Date]]))-(INT(Tasks[[#This Row],[Start Date]])-INT(Tasks[[#This Row],[Start Date]]))+1),"")</f>
        <v/>
      </c>
    </row>
    <row r="24" spans="2:6">
      <c r="B24" s="6"/>
      <c r="C24" s="11"/>
      <c r="D24" s="11"/>
      <c r="E24" s="1"/>
      <c r="F24" s="14" t="str">
        <f ca="1">IFERROR(IF(LEN(Tasks[[#This Row],[Start Date]])=0,"",(INT(Tasks[[#This Row],[End Date]])-INT(Tasks[[#This Row],[Start Date]]))-(INT(Tasks[[#This Row],[Start Date]])-INT(Tasks[[#This Row],[Start Date]]))+1),"")</f>
        <v/>
      </c>
    </row>
    <row r="25" spans="2:6">
      <c r="B25" s="6"/>
      <c r="C25" s="11"/>
      <c r="D25" s="11"/>
      <c r="E25" s="1"/>
      <c r="F25" s="14" t="str">
        <f ca="1">IFERROR(IF(LEN(Tasks[[#This Row],[Start Date]])=0,"",(INT(Tasks[[#This Row],[End Date]])-INT(Tasks[[#This Row],[Start Date]]))-(INT(Tasks[[#This Row],[Start Date]])-INT(Tasks[[#This Row],[Start Date]]))+1),"")</f>
        <v/>
      </c>
    </row>
    <row r="26" spans="2:6">
      <c r="B26" s="4" t="s">
        <v>62</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AA2" sqref="AA2"/>
    </sheetView>
  </sheetViews>
  <sheetFormatPr defaultRowHeight="14.45"/>
  <cols>
    <col min="1" max="1" width="2.7109375" style="19" customWidth="1"/>
    <col min="2" max="2" width="10.28515625" customWidth="1"/>
    <col min="3" max="14" width="6.7109375" customWidth="1"/>
    <col min="15" max="15" width="4.28515625" customWidth="1"/>
  </cols>
  <sheetData>
    <row r="1" spans="1:18" ht="27" customHeight="1">
      <c r="A1" s="18" t="s">
        <v>63</v>
      </c>
      <c r="B1" s="15"/>
      <c r="C1" s="15"/>
      <c r="D1" s="15"/>
      <c r="E1" s="15"/>
      <c r="F1" s="15"/>
      <c r="G1" s="15"/>
      <c r="H1" s="15"/>
      <c r="I1" s="15"/>
      <c r="J1" s="15"/>
      <c r="K1" s="15"/>
      <c r="L1" s="15"/>
      <c r="M1" s="15"/>
      <c r="N1" s="15"/>
      <c r="O1" s="15"/>
      <c r="P1" s="15"/>
      <c r="Q1" s="15"/>
      <c r="R1" s="15"/>
    </row>
    <row r="2" spans="1:18" ht="255.75" customHeight="1"/>
    <row r="3" spans="1:18" ht="162.4" customHeight="1"/>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4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c r="A1" s="7" t="s">
        <v>64</v>
      </c>
      <c r="B1" s="5" t="s">
        <v>65</v>
      </c>
    </row>
    <row r="2" spans="1:7">
      <c r="A2" s="7" t="s">
        <v>66</v>
      </c>
      <c r="B2" s="3" t="str">
        <f ca="1">IF(TODAY()&gt;=MIN(DynamicTaskData[Start date]),"Today","")</f>
        <v>Today</v>
      </c>
      <c r="C2" t="s">
        <v>67</v>
      </c>
    </row>
    <row r="3" spans="1:7">
      <c r="A3" s="7" t="s">
        <v>68</v>
      </c>
      <c r="B3" t="s">
        <v>69</v>
      </c>
      <c r="C3" t="s">
        <v>70</v>
      </c>
    </row>
    <row r="4" spans="1:7">
      <c r="B4" s="2">
        <f ca="1">IFERROR(IF(TODAY()&lt;MIN(DynamicTaskData[Start date]),MIN($B$11,MIN(DynamicTaskData[Start date])),TODAY()),TODAY())</f>
        <v>45916</v>
      </c>
      <c r="C4">
        <f ca="1">IFERROR(IF(Track_Today="Yes",IF(TODAY()&lt;MIN(DynamicTaskData[Start date]),0,9),0),0)</f>
        <v>0</v>
      </c>
    </row>
    <row r="5" spans="1:7">
      <c r="B5" s="2">
        <f ca="1">IFERROR(IF(TODAY()&lt;MIN(DynamicTaskData[Start date]),MIN($B$11,MIN(DynamicTaskData[Start date])),TODAY()),TODAY())</f>
        <v>45916</v>
      </c>
      <c r="C5">
        <f ca="1">IFERROR(IF(Track_Today="Yes",IF(TODAY()&lt;MIN(DynamicTaskData[Start date]),0,9),0),0)</f>
        <v>0</v>
      </c>
    </row>
    <row r="7" spans="1:7">
      <c r="A7" s="7" t="s">
        <v>71</v>
      </c>
      <c r="B7" s="3" t="s">
        <v>72</v>
      </c>
    </row>
    <row r="8" spans="1:7">
      <c r="B8" s="3">
        <v>0</v>
      </c>
    </row>
    <row r="9" spans="1:7">
      <c r="B9" s="3"/>
    </row>
    <row r="10" spans="1:7">
      <c r="A10" s="7" t="s">
        <v>73</v>
      </c>
      <c r="B10" t="s">
        <v>74</v>
      </c>
      <c r="D10" t="s">
        <v>75</v>
      </c>
    </row>
    <row r="11" spans="1:7">
      <c r="B11" s="2">
        <f ca="1">IFERROR(IF(ScrollingIncrement[scroll increment]=0,Start_Date,IF(Start_Date+ScrollingIncrement[scroll increment]*15&lt;End_Date,Start_Date+ScrollingIncrement[scroll increment]*15,End_Date-1)),"")</f>
        <v>45916</v>
      </c>
      <c r="D11">
        <v>45</v>
      </c>
    </row>
    <row r="12" spans="1:7">
      <c r="B12" s="2">
        <f ca="1">IFERROR(IF($B$11+15&lt;End_Date,$B$11+15,End_Date),"")</f>
        <v>45931</v>
      </c>
    </row>
    <row r="14" spans="1:7">
      <c r="A14" s="7" t="s">
        <v>76</v>
      </c>
      <c r="B14" t="s">
        <v>41</v>
      </c>
      <c r="C14" t="s">
        <v>77</v>
      </c>
      <c r="D14" t="s">
        <v>78</v>
      </c>
      <c r="E14" t="s">
        <v>79</v>
      </c>
      <c r="F14" t="s">
        <v>80</v>
      </c>
    </row>
    <row r="15" spans="1:7">
      <c r="B15" s="1" t="str">
        <f ca="1">IFERROR(IF(LEN(OFFSET(Tasks!$C6,ScrollingIncrement[scroll increment],0,1,1))=0,"",IF(OR(OFFSET(Tasks!$D6,ScrollingIncrement[scroll increment],0,1,1)&lt;=$B$12,OFFSET(Tasks!$C6,ScrollingIncrement[scroll increment],0,1,1)&gt;=($B$11-$D$11)),INDEX(Tasks[],OFFSET(Tasks!$B6,ScrollingIncrement[scroll increment],0,1,1),4),"")),"")</f>
        <v xml:space="preserve">Project approach + arcitecture </v>
      </c>
      <c r="C15" s="13">
        <f ca="1">IFERROR(IF(LEN(DynamicTaskData[[#This Row],[Tasks]])=0,$B$11,INDEX(Tasks[],OFFSET(Tasks!$B6,ScrollingIncrement[scroll increment],0,1,1),2)),"")</f>
        <v>45916</v>
      </c>
      <c r="D15">
        <f ca="1">IFERROR(IF(LEN(DynamicTaskData[[#This Row],[Tasks]])=0,0,IF(AND(Tasks!$C6&lt;=$B$12,Tasks!$D6&gt;=$B$12),ABS(OFFSET(Tasks!$C6,ScrollingIncrement[scroll increment],0,1,1)-$B$12)+1,OFFSET(Tasks!$F6,ScrollingIncrement[scroll increment],0,1,1))),"")</f>
        <v>11</v>
      </c>
      <c r="E15">
        <f ca="1">IFERROR(IF(LEN(DynamicTaskData[[#This Row],[Tasks]])=0,"",8),"")</f>
        <v>8</v>
      </c>
    </row>
    <row r="16" spans="1:7">
      <c r="B16" s="1" t="str">
        <f ca="1">IFERROR(IF(LEN(OFFSET(Tasks!$C7,ScrollingIncrement[scroll increment],0,1,1))=0,"",IF(OR(OFFSET(Tasks!$D7,ScrollingIncrement[scroll increment],0,1,1)&lt;=$B$12,OFFSET(Tasks!$C7,ScrollingIncrement[scroll increment],0,1,1)&gt;=($B$11-$D$11)),INDEX(Tasks[],OFFSET(Tasks!$B7,ScrollingIncrement[scroll increment],0,1,1),4),"")),"")</f>
        <v>Order harware + start building</v>
      </c>
      <c r="C16" s="13">
        <f ca="1">IFERROR(IF(LEN(DynamicTaskData[[#This Row],[Tasks]])=0,$B$11,INDEX(Tasks[],OFFSET(Tasks!$B7,ScrollingIncrement[scroll increment],0,1,1),2)),"")</f>
        <v>45926</v>
      </c>
      <c r="D16">
        <f ca="1">IFERROR(IF(LEN(DynamicTaskData[[#This Row],[Tasks]])=0,0,IF(AND(Tasks!$C7&lt;=$B$12,Tasks!$D7&gt;=$B$12),ABS(OFFSET(Tasks!$C7,ScrollingIncrement[scroll increment],0,1,1)-$B$12)+1,OFFSET(Tasks!$F7,ScrollingIncrement[scroll increment],0,1,1))),"")</f>
        <v>6</v>
      </c>
      <c r="E16">
        <f ca="1">IFERROR(IF(LEN(DynamicTaskData[[#This Row],[Tasks]])=0,"",7),"")</f>
        <v>7</v>
      </c>
      <c r="G16" t="s">
        <v>81</v>
      </c>
    </row>
    <row r="17" spans="1:10">
      <c r="A17" s="7" t="s">
        <v>82</v>
      </c>
      <c r="B17" s="1" t="str">
        <f ca="1">IFERROR(IF(LEN(OFFSET(Tasks!$C8,ScrollingIncrement[scroll increment],0,1,1))=0,"",IF(OR(OFFSET(Tasks!$D8,ScrollingIncrement[scroll increment],0,1,1)&lt;=$B$12,OFFSET(Tasks!$C8,ScrollingIncrement[scroll increment],0,1,1)&gt;=($B$11-$D$11)),INDEX(Tasks[],OFFSET(Tasks!$B8,ScrollingIncrement[scroll increment],0,1,1),4),"")),"")</f>
        <v>Activity 3</v>
      </c>
      <c r="C17" s="13">
        <f ca="1">IFERROR(IF(LEN(DynamicTaskData[[#This Row],[Tasks]])=0,$B$11,INDEX(Tasks[],OFFSET(Tasks!$B8,ScrollingIncrement[scroll increment],0,1,1),2)),"")</f>
        <v>45936</v>
      </c>
      <c r="D17">
        <f ca="1">IFERROR(IF(LEN(DynamicTaskData[[#This Row],[Tasks]])=0,0,IF(AND(Tasks!$C8&lt;=$B$12,Tasks!$D8&gt;=$B$12),ABS(OFFSET(Tasks!$C8,ScrollingIncrement[scroll increment],0,1,1)-$B$12)+1,OFFSET(Tasks!$F8,ScrollingIncrement[scroll increment],0,1,1))),"")</f>
        <v>26</v>
      </c>
      <c r="E17">
        <f ca="1">IFERROR(IF(LEN(DynamicTaskData[[#This Row],[Tasks]])=0,"",6),"")</f>
        <v>6</v>
      </c>
      <c r="G17" t="s">
        <v>17</v>
      </c>
      <c r="H17" t="s">
        <v>26</v>
      </c>
      <c r="I17" t="s">
        <v>83</v>
      </c>
      <c r="J17" t="s">
        <v>84</v>
      </c>
    </row>
    <row r="18" spans="1:10">
      <c r="B18" s="1" t="str">
        <f ca="1">IFERROR(IF(LEN(OFFSET(Tasks!$C9,ScrollingIncrement[scroll increment],0,1,1))=0,"",IF(OR(OFFSET(Tasks!$D9,ScrollingIncrement[scroll increment],0,1,1)&lt;=$B$12,OFFSET(Tasks!$C9,ScrollingIncrement[scroll increment],0,1,1)&gt;=($B$11-$D$11)),INDEX(Tasks[],OFFSET(Tasks!$B9,ScrollingIncrement[scroll increment],0,1,1),4),"")),"")</f>
        <v>Activity 4</v>
      </c>
      <c r="C18" s="13">
        <f ca="1">IFERROR(IF(LEN(DynamicTaskData[[#This Row],[Tasks]])=0,$B$11,INDEX(Tasks[],OFFSET(Tasks!$B9,ScrollingIncrement[scroll increment],0,1,1),2)),"")</f>
        <v>45961</v>
      </c>
      <c r="D18">
        <f ca="1">IFERROR(IF(LEN(DynamicTaskData[[#This Row],[Tasks]])=0,0,IF(AND(Tasks!$C9&lt;=$B$12,Tasks!$D9&gt;=$B$12),ABS(OFFSET(Tasks!$C9,ScrollingIncrement[scroll increment],0,1,1)-$B$12)+1,OFFSET(Tasks!$F9,ScrollingIncrement[scroll increment],0,1,1))),"")</f>
        <v>6</v>
      </c>
      <c r="E18">
        <f ca="1">IFERROR(IF(LEN(DynamicTaskData[[#This Row],[Tasks]])=0,"",5),"")</f>
        <v>5</v>
      </c>
      <c r="G18" s="1" t="str">
        <f ca="1">IFERROR(IF(LEN(Milestones!D6)=0,"",IF(AND(Milestones!D6&lt;=$B$12,Milestones!D6&gt;=$B$11-$D$11),Milestones!E6,"")),"")</f>
        <v>Decide project approach + arcitecture</v>
      </c>
      <c r="H18" s="11">
        <f ca="1">IFERROR(IF(LEN(DynamicMilestoneData[[#This Row],[Milestones]])=0,$B$12,Milestones!$D6),2)</f>
        <v>45926</v>
      </c>
      <c r="I18">
        <f ca="1">IFERROR(IF(LEN(DynamicMilestoneData[[#This Row],[Milestones]])=0,"",Milestones!$C6),"")</f>
        <v>1</v>
      </c>
    </row>
    <row r="19" spans="1:10">
      <c r="B19" s="1" t="str">
        <f ca="1">IFERROR(IF(LEN(OFFSET(Tasks!$C10,ScrollingIncrement[scroll increment],0,1,1))=0,"",IF(OR(OFFSET(Tasks!$D10,ScrollingIncrement[scroll increment],0,1,1)&lt;=$B$12,OFFSET(Tasks!$C10,ScrollingIncrement[scroll increment],0,1,1)&gt;=($B$11-$D$11)),INDEX(Tasks[],OFFSET(Tasks!$B10,ScrollingIncrement[scroll increment],0,1,1),4),"")),"")</f>
        <v>Activity 5</v>
      </c>
      <c r="C19" s="13">
        <f ca="1">IFERROR(IF(LEN(DynamicTaskData[[#This Row],[Tasks]])=0,$B$11,INDEX(Tasks[],OFFSET(Tasks!$B10,ScrollingIncrement[scroll increment],0,1,1),2)),"")</f>
        <v>45976</v>
      </c>
      <c r="D19">
        <f ca="1">IFERROR(IF(LEN(DynamicTaskData[[#This Row],[Tasks]])=0,0,IF(AND(Tasks!$C10&lt;=$B$12,Tasks!$D10&gt;=$B$12),ABS(OFFSET(Tasks!$C10,ScrollingIncrement[scroll increment],0,1,1)-$B$12)+1,OFFSET(Tasks!$F10,ScrollingIncrement[scroll increment],0,1,1))),"")</f>
        <v>17</v>
      </c>
      <c r="E19">
        <f ca="1">IFERROR(IF(LEN(DynamicTaskData[[#This Row],[Tasks]])=0,"",4),"")</f>
        <v>4</v>
      </c>
      <c r="G19" s="1" t="str">
        <f ca="1">IFERROR(IF(LEN(Milestones!D7)=0,"",IF(AND(Milestones!D7&lt;=$B$12,Milestones!D7&gt;=$B$11-$D$11),Milestones!E7,"")),"")</f>
        <v/>
      </c>
      <c r="H19" s="11">
        <f ca="1">IFERROR(IF(LEN(DynamicMilestoneData[[#This Row],[Milestones]])=0,$B$12,Milestones!$D7),2)</f>
        <v>45931</v>
      </c>
      <c r="I19" t="str">
        <f ca="1">IFERROR(IF(LEN(DynamicMilestoneData[[#This Row],[Milestones]])=0,"",Milestones!$C7),"")</f>
        <v/>
      </c>
    </row>
    <row r="20" spans="1:10">
      <c r="B20" s="1" t="str">
        <f ca="1">IFERROR(IF(LEN(OFFSET(Tasks!$C11,ScrollingIncrement[scroll increment],0,1,1))=0,"",IF(OR(OFFSET(Tasks!$D11,ScrollingIncrement[scroll increment],0,1,1)&lt;=$B$12,OFFSET(Tasks!$C11,ScrollingIncrement[scroll increment],0,1,1)&gt;=($B$11-$D$11)),INDEX(Tasks[],OFFSET(Tasks!$B11,ScrollingIncrement[scroll increment],0,1,1),4),"")),"")</f>
        <v>Activity 6</v>
      </c>
      <c r="C20" s="13">
        <f ca="1">IFERROR(IF(LEN(DynamicTaskData[[#This Row],[Tasks]])=0,$B$11,INDEX(Tasks[],OFFSET(Tasks!$B11,ScrollingIncrement[scroll increment],0,1,1),2)),"")</f>
        <v>45992</v>
      </c>
      <c r="D20">
        <f ca="1">IFERROR(IF(LEN(DynamicTaskData[[#This Row],[Tasks]])=0,0,IF(AND(Tasks!$C11&lt;=$B$12,Tasks!$D11&gt;=$B$12),ABS(OFFSET(Tasks!$C11,ScrollingIncrement[scroll increment],0,1,1)-$B$12)+1,OFFSET(Tasks!$F11,ScrollingIncrement[scroll increment],0,1,1))),"")</f>
        <v>15</v>
      </c>
      <c r="E20">
        <f ca="1">IFERROR(IF(LEN(DynamicTaskData[[#This Row],[Tasks]])=0,"",3),"")</f>
        <v>3</v>
      </c>
      <c r="G20" s="1" t="str">
        <f ca="1">IFERROR(IF(LEN(Milestones!D8)=0,"",IF(AND(Milestones!D8&lt;=$B$12,Milestones!D8&gt;=$B$11-$D$11),Milestones!E8,"")),"")</f>
        <v/>
      </c>
      <c r="H20" s="11">
        <f ca="1">IFERROR(IF(LEN(DynamicMilestoneData[[#This Row],[Milestones]])=0,$B$12,Milestones!$D8),2)</f>
        <v>45931</v>
      </c>
      <c r="I20" t="str">
        <f ca="1">IFERROR(IF(LEN(DynamicMilestoneData[[#This Row],[Milestones]])=0,"",Milestones!$C8),"")</f>
        <v/>
      </c>
    </row>
    <row r="21" spans="1:10">
      <c r="B21" s="1" t="str">
        <f ca="1">IFERROR(IF(LEN(OFFSET(Tasks!$C12,ScrollingIncrement[scroll increment],0,1,1))=0,"",IF(OR(OFFSET(Tasks!$D12,ScrollingIncrement[scroll increment],0,1,1)&lt;=$B$12,OFFSET(Tasks!$C12,ScrollingIncrement[scroll increment],0,1,1)&gt;=($B$11-$D$11)),INDEX(Tasks[],OFFSET(Tasks!$B12,ScrollingIncrement[scroll increment],0,1,1),4),"")),"")</f>
        <v>Activity 7</v>
      </c>
      <c r="C21" s="13">
        <f ca="1">IFERROR(IF(LEN(DynamicTaskData[[#This Row],[Tasks]])=0,$B$11,INDEX(Tasks[],OFFSET(Tasks!$B12,ScrollingIncrement[scroll increment],0,1,1),2)),"")</f>
        <v>46006</v>
      </c>
      <c r="D21">
        <f ca="1">IFERROR(IF(LEN(DynamicTaskData[[#This Row],[Tasks]])=0,0,IF(AND(Tasks!$C12&lt;=$B$12,Tasks!$D12&gt;=$B$12),ABS(OFFSET(Tasks!$C12,ScrollingIncrement[scroll increment],0,1,1)-$B$12)+1,OFFSET(Tasks!$F12,ScrollingIncrement[scroll increment],0,1,1))),"")</f>
        <v>11</v>
      </c>
      <c r="E21">
        <f ca="1">IFERROR(IF(LEN(DynamicTaskData[[#This Row],[Tasks]])=0,"",2),"")</f>
        <v>2</v>
      </c>
      <c r="G21" s="1" t="str">
        <f ca="1">IFERROR(IF(LEN(Milestones!D9)=0,"",IF(AND(Milestones!D9&lt;=$B$12,Milestones!D9&gt;=$B$11-$D$11),Milestones!E9,"")),"")</f>
        <v/>
      </c>
      <c r="H21" s="11">
        <f ca="1">IFERROR(IF(LEN(DynamicMilestoneData[[#This Row],[Milestones]])=0,$B$12,Milestones!$D9),2)</f>
        <v>45931</v>
      </c>
      <c r="I21" t="str">
        <f ca="1">IFERROR(IF(LEN(DynamicMilestoneData[[#This Row],[Milestones]])=0,"",Milestones!$C9),"")</f>
        <v/>
      </c>
    </row>
    <row r="22" spans="1:10">
      <c r="G22" s="1" t="str">
        <f ca="1">IFERROR(IF(LEN(Milestones!D10)=0,"",IF(AND(Milestones!D10&lt;=$B$12,Milestones!D10&gt;=$B$11-$D$11),Milestones!E10,"")),"")</f>
        <v/>
      </c>
      <c r="H22" s="11">
        <f ca="1">IFERROR(IF(LEN(DynamicMilestoneData[[#This Row],[Milestones]])=0,$B$12,Milestones!$D10),2)</f>
        <v>45931</v>
      </c>
      <c r="I22" t="str">
        <f ca="1">IFERROR(IF(LEN(DynamicMilestoneData[[#This Row],[Milestones]])=0,"",Milestones!$C10),"")</f>
        <v/>
      </c>
    </row>
    <row r="23" spans="1:10">
      <c r="G23" s="1" t="str">
        <f ca="1">IFERROR(IF(LEN(Milestones!D11)=0,"",IF(AND(Milestones!D11&lt;=$B$12,Milestones!D11&gt;=$B$11-$D$11),Milestones!E11,"")),"")</f>
        <v/>
      </c>
      <c r="H23" s="11">
        <f ca="1">IFERROR(IF(LEN(DynamicMilestoneData[[#This Row],[Milestones]])=0,$B$12,Milestones!$D11),2)</f>
        <v>45931</v>
      </c>
      <c r="I23" t="str">
        <f ca="1">IFERROR(IF(LEN(DynamicMilestoneData[[#This Row],[Milestones]])=0,"",Milestones!$C11),"")</f>
        <v/>
      </c>
    </row>
    <row r="24" spans="1:10">
      <c r="G24" s="1" t="str">
        <f ca="1">IFERROR(IF(LEN(Milestones!D12)=0,"",IF(AND(Milestones!D12&lt;=$B$12,Milestones!D12&gt;=$B$11-$D$11),Milestones!E12,"")),"")</f>
        <v/>
      </c>
      <c r="H24" s="11">
        <f ca="1">IFERROR(IF(LEN(DynamicMilestoneData[[#This Row],[Milestones]])=0,$B$12,Milestones!$D12),2)</f>
        <v>45931</v>
      </c>
      <c r="I24" t="str">
        <f ca="1">IFERROR(IF(LEN(DynamicMilestoneData[[#This Row],[Milestones]])=0,"",Milestones!$C12),"")</f>
        <v/>
      </c>
    </row>
    <row r="25" spans="1:10">
      <c r="G25" s="1" t="str">
        <f ca="1">IFERROR(IF(LEN(Milestones!D13)=0,"",IF(AND(Milestones!D13&lt;=$B$12,Milestones!D13&gt;=$B$11-$D$11),Milestones!E13,"")),"")</f>
        <v/>
      </c>
      <c r="H25" s="11">
        <f ca="1">IFERROR(IF(LEN(DynamicMilestoneData[[#This Row],[Milestones]])=0,$B$12,Milestones!$D13),2)</f>
        <v>45931</v>
      </c>
      <c r="I25" t="str">
        <f ca="1">IFERROR(IF(LEN(DynamicMilestoneData[[#This Row],[Milestones]])=0,"",Milestones!$C13),"")</f>
        <v/>
      </c>
    </row>
    <row r="26" spans="1:10">
      <c r="G26" s="1" t="str">
        <f ca="1">IFERROR(IF(LEN(Milestones!D14)=0,"",IF(AND(Milestones!D14&lt;=$B$12,Milestones!D14&gt;=$B$11-$D$11),Milestones!E14,"")),"")</f>
        <v/>
      </c>
      <c r="H26" s="11">
        <f ca="1">IFERROR(IF(LEN(DynamicMilestoneData[[#This Row],[Milestones]])=0,$B$12,Milestones!$D14),2)</f>
        <v>45931</v>
      </c>
      <c r="I26" t="str">
        <f ca="1">IFERROR(IF(LEN(DynamicMilestoneData[[#This Row],[Milestones]])=0,"",Milestones!$C14),"")</f>
        <v/>
      </c>
    </row>
    <row r="27" spans="1:10">
      <c r="G27" s="1" t="str">
        <f ca="1">IFERROR(IF(LEN(Milestones!D15)=0,"",IF(AND(Milestones!D15&lt;=$B$12,Milestones!D15&gt;=$B$11-$D$11),Milestones!E15,"")),"")</f>
        <v/>
      </c>
      <c r="H27" s="11">
        <f ca="1">IFERROR(IF(LEN(DynamicMilestoneData[[#This Row],[Milestones]])=0,$B$12,Milestones!$D15),2)</f>
        <v>45931</v>
      </c>
      <c r="I27" t="str">
        <f ca="1">IFERROR(IF(LEN(DynamicMilestoneData[[#This Row],[Milestones]])=0,"",Milestones!$C15),"")</f>
        <v/>
      </c>
    </row>
    <row r="28" spans="1:10">
      <c r="G28" s="1" t="str">
        <f ca="1">IFERROR(IF(LEN(Milestones!D16)=0,"",IF(AND(Milestones!D16&lt;=$B$12,Milestones!D16&gt;=$B$11-$D$11),Milestones!E16,"")),"")</f>
        <v/>
      </c>
      <c r="H28" s="11">
        <f ca="1">IFERROR(IF(LEN(DynamicMilestoneData[[#This Row],[Milestones]])=0,$B$12,Milestones!$D16),2)</f>
        <v>45931</v>
      </c>
      <c r="I28" t="str">
        <f ca="1">IFERROR(IF(LEN(DynamicMilestoneData[[#This Row],[Milestones]])=0,"",Milestones!$C16),"")</f>
        <v/>
      </c>
    </row>
    <row r="29" spans="1:10">
      <c r="G29" s="1" t="str">
        <f ca="1">IFERROR(IF(LEN(Milestones!D17)=0,"",IF(AND(Milestones!D17&lt;=$B$12,Milestones!D17&gt;=$B$11-$D$11),Milestones!E17,"")),"")</f>
        <v/>
      </c>
      <c r="H29" s="11">
        <f ca="1">IFERROR(IF(LEN(DynamicMilestoneData[[#This Row],[Milestones]])=0,$B$12,Milestones!$D17),2)</f>
        <v>45931</v>
      </c>
      <c r="I29" t="str">
        <f ca="1">IFERROR(IF(LEN(DynamicMilestoneData[[#This Row],[Milestones]])=0,"",Milestones!$C17),"")</f>
        <v/>
      </c>
    </row>
    <row r="30" spans="1:10">
      <c r="G30" s="1" t="str">
        <f ca="1">IFERROR(IF(LEN(Milestones!D18)=0,"",IF(AND(Milestones!D18&lt;=$B$12,Milestones!D18&gt;=$B$11-$D$11),Milestones!E18,"")),"")</f>
        <v/>
      </c>
      <c r="H30" s="11">
        <f ca="1">IFERROR(IF(LEN(DynamicMilestoneData[[#This Row],[Milestones]])=0,$B$12,Milestones!$D18),2)</f>
        <v>45931</v>
      </c>
      <c r="I30" t="str">
        <f ca="1">IFERROR(IF(LEN(DynamicMilestoneData[[#This Row],[Milestones]])=0,"",Milestones!$C18),"")</f>
        <v/>
      </c>
    </row>
    <row r="31" spans="1:10">
      <c r="G31" s="1" t="str">
        <f ca="1">IFERROR(IF(LEN(Milestones!D19)=0,"",IF(AND(Milestones!D19&lt;=$B$12,Milestones!D19&gt;=$B$11-$D$11),Milestones!E19,"")),"")</f>
        <v/>
      </c>
      <c r="H31" s="11">
        <f ca="1">IFERROR(IF(LEN(DynamicMilestoneData[[#This Row],[Milestones]])=0,$B$12,Milestones!$D19),2)</f>
        <v>45931</v>
      </c>
      <c r="I31" t="str">
        <f ca="1">IFERROR(IF(LEN(DynamicMilestoneData[[#This Row],[Milestones]])=0,"",Milestones!$C19),"")</f>
        <v/>
      </c>
    </row>
    <row r="32" spans="1:10">
      <c r="A32" s="7" t="s">
        <v>85</v>
      </c>
      <c r="G32" s="1" t="str">
        <f ca="1">IFERROR(IF(LEN(Milestones!D20)=0,"",IF(AND(Milestones!D20&lt;=$B$12,Milestones!D20&gt;=$B$11-$D$11),Milestones!E20,"")),"")</f>
        <v/>
      </c>
      <c r="H32" s="11">
        <f ca="1">IFERROR(IF(LEN(DynamicMilestoneData[[#This Row],[Milestones]])=0,$B$12,Milestones!$D20),2)</f>
        <v>45931</v>
      </c>
      <c r="I32" t="str">
        <f ca="1">IFERROR(IF(LEN(DynamicMilestoneData[[#This Row],[Milestones]])=0,"",Milestones!$C20),"")</f>
        <v/>
      </c>
      <c r="J32" t="s">
        <v>86</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09AAC-1DBD-40ED-8B52-D43EC16B402C}"/>
</file>

<file path=customXml/itemProps2.xml><?xml version="1.0" encoding="utf-8"?>
<ds:datastoreItem xmlns:ds="http://schemas.openxmlformats.org/officeDocument/2006/customXml" ds:itemID="{5B8C2C39-6C63-4DAC-A581-642896D508D6}"/>
</file>

<file path=customXml/itemProps3.xml><?xml version="1.0" encoding="utf-8"?>
<ds:datastoreItem xmlns:ds="http://schemas.openxmlformats.org/officeDocument/2006/customXml" ds:itemID="{FDF417C6-B3F7-4801-B644-8A675B87291C}"/>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2025-09-05T12:56:20Z</dcterms:created>
  <dcterms:modified xsi:type="dcterms:W3CDTF">2025-09-16T09:13:29Z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