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5.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8.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drawings/drawing9.xml" ContentType="application/vnd.openxmlformats-officedocument.drawing+xml"/>
  <Override PartName="/xl/tables/table6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drawings/drawing10.xml" ContentType="application/vnd.openxmlformats-officedocument.drawing+xml"/>
  <Override PartName="/xl/tables/table6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https://ifeu2.sharepoint.com/sites/UBAWPDatenbankTool-ifeu_intern/Freigegebene Dokumente/ifeu_intern/AP2/AP2.2_Tool/"/>
    </mc:Choice>
  </mc:AlternateContent>
  <xr:revisionPtr revIDLastSave="1317" documentId="109_{8E8F6EC0-C312-4381-9661-D36AE1DD2420}" xr6:coauthVersionLast="47" xr6:coauthVersionMax="47" xr10:uidLastSave="{0758FB97-871A-4134-96F0-7CF214FB1EFE}"/>
  <bookViews>
    <workbookView xWindow="-120" yWindow="-120" windowWidth="29040" windowHeight="15720" tabRatio="892" firstSheet="1" activeTab="4" xr2:uid="{A10A0F36-B874-41D6-91FE-FDCA14A38822}"/>
  </bookViews>
  <sheets>
    <sheet name="PAR" sheetId="26" r:id="rId1"/>
    <sheet name="Syntax" sheetId="25" r:id="rId2"/>
    <sheet name="Frontend_allg_OLD" sheetId="1" state="hidden" r:id="rId3"/>
    <sheet name="Frontend_Räume_OLD" sheetId="29" state="hidden" r:id="rId4"/>
    <sheet name="IN_build" sheetId="28" r:id="rId5"/>
    <sheet name="IN_rooms" sheetId="2" r:id="rId6"/>
    <sheet name="clc_load" sheetId="6" r:id="rId7"/>
    <sheet name="clc_power" sheetId="30" r:id="rId8"/>
    <sheet name="clc_valid" sheetId="38" r:id="rId9"/>
    <sheet name="clc_build" sheetId="33" r:id="rId10"/>
    <sheet name="TXT_rooms" sheetId="34" r:id="rId11"/>
    <sheet name="TXT_build" sheetId="35" r:id="rId12"/>
    <sheet name="OUT_rooms" sheetId="36" r:id="rId13"/>
    <sheet name="OUT_build" sheetId="37" r:id="rId14"/>
    <sheet name="clc_flat" sheetId="17" state="hidden" r:id="rId15"/>
    <sheet name="res_flat" sheetId="18" state="hidden" r:id="rId16"/>
    <sheet name="Umrechnungshilfe_705520" sheetId="24" state="hidden" r:id="rId17"/>
    <sheet name="clc_col" sheetId="20" state="hidden" r:id="rId18"/>
    <sheet name="res_col" sheetId="21" state="hidden" r:id="rId19"/>
    <sheet name="clc_tube" sheetId="22" state="hidden" r:id="rId20"/>
    <sheet name="res_tube" sheetId="23" state="hidden" r:id="rId21"/>
    <sheet name="U_GEG_A.7" sheetId="15" r:id="rId22"/>
    <sheet name="Daten" sheetId="3" r:id="rId23"/>
    <sheet name="Data_radiator" sheetId="4" r:id="rId24"/>
    <sheet name="Tabelle2" sheetId="10" r:id="rId25"/>
    <sheet name="U_Werte_IWU" sheetId="16" r:id="rId26"/>
    <sheet name="Normaußentemperatur_12831" sheetId="11" r:id="rId27"/>
    <sheet name="Windregionen" sheetId="13" r:id="rId28"/>
    <sheet name="Luftwechselrate" sheetId="14" r:id="rId29"/>
    <sheet name="Tabelle1" sheetId="7" r:id="rId30"/>
    <sheet name="Ausgabetexte" sheetId="19" r:id="rId31"/>
    <sheet name="Anmerkungen" sheetId="31" r:id="rId32"/>
  </sheets>
  <definedNames>
    <definedName name="_xlnm._FilterDatabase" localSheetId="6" hidden="1">clc_load!$A$1:$U$76</definedName>
    <definedName name="_xlnm._FilterDatabase" localSheetId="5" hidden="1">IN_rooms!$B$1:$Y$69</definedName>
    <definedName name="Deckenheizung" localSheetId="17">#REF!</definedName>
    <definedName name="Deckenheizung" localSheetId="14">#REF!</definedName>
    <definedName name="Deckenheizung" localSheetId="19">#REF!</definedName>
    <definedName name="Deckenheizung" localSheetId="3">#REF!</definedName>
    <definedName name="Deckenheizung" localSheetId="18">#REF!</definedName>
    <definedName name="Deckenheizung" localSheetId="15">#REF!</definedName>
    <definedName name="Deckenheizung" localSheetId="20">#REF!</definedName>
    <definedName name="Deckenheizung" localSheetId="16">#REF!</definedName>
    <definedName name="Deckenheizung">#REF!</definedName>
    <definedName name="DropdownlisteHeizungsrohre" localSheetId="23">#REF!</definedName>
    <definedName name="DropdownlisteHeizungsrohre">#REF!</definedName>
    <definedName name="Flachheizkörper" localSheetId="17">Flachheizkoerper_senkrecht_profiliert[Flachheizkoerper_senkrecht_profiliert]</definedName>
    <definedName name="Flachheizkörper" localSheetId="14">Flachheizkoerper_senkrecht_profiliert[Flachheizkoerper_senkrecht_profiliert]</definedName>
    <definedName name="Flachheizkörper" localSheetId="19">Flachheizkoerper_senkrecht_profiliert[Flachheizkoerper_senkrecht_profiliert]</definedName>
    <definedName name="Flachheizkörper" localSheetId="3">Flachheizkoerper_senkrecht_profiliert[Flachheizkoerper_senkrecht_profiliert]</definedName>
    <definedName name="Flachheizkörper" localSheetId="18">Flachheizkoerper_senkrecht_profiliert[Flachheizkoerper_senkrecht_profiliert]</definedName>
    <definedName name="Flachheizkörper" localSheetId="15">Flachheizkoerper_senkrecht_profiliert[Flachheizkoerper_senkrecht_profiliert]</definedName>
    <definedName name="Flachheizkörper" localSheetId="20">Flachheizkoerper_senkrecht_profiliert[Flachheizkoerper_senkrecht_profiliert]</definedName>
    <definedName name="Flachheizkörper" localSheetId="16">Flachheizkoerper_senkrecht_profiliert[Flachheizkoerper_senkrecht_profiliert]</definedName>
    <definedName name="Flachheizkörper">Flachheizkoerper_senkrecht_profiliert[Flachheizkoerper_senkrecht_profiliert]</definedName>
    <definedName name="Fußbodenheizung" localSheetId="3">#REF!</definedName>
    <definedName name="Fußbodenheizung" localSheetId="16">#REF!</definedName>
    <definedName name="Fußbodenheizung">#REF!</definedName>
    <definedName name="Gewinderohr" localSheetId="3">Tabelle8[[#All],[Gewinderohr_Hoehe]]</definedName>
    <definedName name="Gewinderohr" localSheetId="16">Tabelle8[[#All],[Gewinderohr_Hoehe]]</definedName>
    <definedName name="Gewinderohr">Tabelle8[[#All],[Gewinderohr_Hoehe]]</definedName>
    <definedName name="Gliederheizkröper" localSheetId="17">Gliederheizkörper[[#All],[Gliederheizkörper]]</definedName>
    <definedName name="Gliederheizkröper" localSheetId="14">Gliederheizkörper[[#All],[Gliederheizkörper]]</definedName>
    <definedName name="Gliederheizkröper" localSheetId="19">Gliederheizkörper[[#All],[Gliederheizkörper]]</definedName>
    <definedName name="Gliederheizkröper" localSheetId="3">Gliederheizkörper[[#All],[Gliederheizkörper]]</definedName>
    <definedName name="Gliederheizkröper" localSheetId="18">Gliederheizkörper[[#All],[Gliederheizkörper]]</definedName>
    <definedName name="Gliederheizkröper" localSheetId="15">Gliederheizkörper[[#All],[Gliederheizkörper]]</definedName>
    <definedName name="Gliederheizkröper" localSheetId="20">Gliederheizkörper[[#All],[Gliederheizkörper]]</definedName>
    <definedName name="Gliederheizkröper" localSheetId="16">Gliederheizkörper[[#All],[Gliederheizkörper]]</definedName>
    <definedName name="Gliederheizkröper">Gliederheizkörper[[#All],[Gliederheizkörper]]</definedName>
    <definedName name="HeinzungsrohreDatensaetze" localSheetId="23">#REF!</definedName>
    <definedName name="HeinzungsrohreDatensaetze">#REF!</definedName>
    <definedName name="Heizkörpertypen" localSheetId="17">Heizkoerpertyp[Heizkörpertypen]</definedName>
    <definedName name="Heizkörpertypen" localSheetId="14">Heizkoerpertyp[Heizkörpertypen]</definedName>
    <definedName name="Heizkörpertypen" localSheetId="19">Heizkoerpertyp[Heizkörpertypen]</definedName>
    <definedName name="Heizkörpertypen" localSheetId="3">Heizkoerpertyp[Heizkörpertypen]</definedName>
    <definedName name="Heizkörpertypen" localSheetId="18">Heizkoerpertyp[Heizkörpertypen]</definedName>
    <definedName name="Heizkörpertypen" localSheetId="15">Heizkoerpertyp[Heizkörpertypen]</definedName>
    <definedName name="Heizkörpertypen" localSheetId="20">Heizkoerpertyp[Heizkörpertypen]</definedName>
    <definedName name="Heizkörpertypen" localSheetId="16">Heizkoerpertyp[Heizkörpertypen]</definedName>
    <definedName name="Heizkörpertypen">Heizkoerpertyp[Heizkörpertypen]</definedName>
    <definedName name="Konvektor" localSheetId="17">Tabelle12[Konvektor]</definedName>
    <definedName name="Konvektor" localSheetId="14">Tabelle12[Konvektor]</definedName>
    <definedName name="Konvektor" localSheetId="19">Tabelle12[Konvektor]</definedName>
    <definedName name="Konvektor" localSheetId="3">Tabelle12[Konvektor]</definedName>
    <definedName name="Konvektor" localSheetId="18">Tabelle12[Konvektor]</definedName>
    <definedName name="Konvektor" localSheetId="15">Tabelle12[Konvektor]</definedName>
    <definedName name="Konvektor" localSheetId="20">Tabelle12[Konvektor]</definedName>
    <definedName name="Konvektor" localSheetId="16">Tabelle12[Konvektor]</definedName>
    <definedName name="Konvektor">Tabelle12[Konvektor]</definedName>
    <definedName name="lambda_ins_thick">PAR!$B$2</definedName>
    <definedName name="Log_ÜT_Norm">49.83</definedName>
    <definedName name="p">"INDEX(PAR[Parameter];1)"</definedName>
    <definedName name="Rohrheizkörper" localSheetId="3">Tabelle11[Rohrheizkörper]</definedName>
    <definedName name="Rohrheizkörper" localSheetId="16">Tabelle11[Rohrheizkörper]</definedName>
    <definedName name="Rohrheizkörper">Tabelle11[Rohrheizkörper]</definedName>
    <definedName name="Rohrradiator" localSheetId="17">Tabelle10[Rohrradiator]</definedName>
    <definedName name="Rohrradiator" localSheetId="14">Tabelle10[Rohrradiator]</definedName>
    <definedName name="Rohrradiator" localSheetId="19">Tabelle10[Rohrradiator]</definedName>
    <definedName name="Rohrradiator" localSheetId="3">Tabelle10[Rohrradiator]</definedName>
    <definedName name="Rohrradiator" localSheetId="18">Tabelle10[Rohrradiator]</definedName>
    <definedName name="Rohrradiator" localSheetId="15">Tabelle10[Rohrradiator]</definedName>
    <definedName name="Rohrradiator" localSheetId="20">Tabelle10[Rohrradiator]</definedName>
    <definedName name="Rohrradiator" localSheetId="16">Tabelle10[Rohrradiator]</definedName>
    <definedName name="Rohrradiator">Tabelle10[Rohrradiator]</definedName>
    <definedName name="Rohrradiatoren" localSheetId="17">Tabelle10[Rohrradiator]</definedName>
    <definedName name="Rohrradiatoren" localSheetId="14">Tabelle10[Rohrradiator]</definedName>
    <definedName name="Rohrradiatoren" localSheetId="19">Tabelle10[Rohrradiator]</definedName>
    <definedName name="Rohrradiatoren" localSheetId="3">Tabelle10[Rohrradiator]</definedName>
    <definedName name="Rohrradiatoren" localSheetId="18">Tabelle10[Rohrradiator]</definedName>
    <definedName name="Rohrradiatoren" localSheetId="15">Tabelle10[Rohrradiator]</definedName>
    <definedName name="Rohrradiatoren" localSheetId="20">Tabelle10[Rohrradiator]</definedName>
    <definedName name="Rohrradiatoren" localSheetId="16">Tabelle10[Rohrradiator]</definedName>
    <definedName name="Rohrradiatoren">Tabelle10[Rohrradiator]</definedName>
    <definedName name="Stahlrippenohr" localSheetId="3">Tabelle29[[#Headers],[Stahlrippenrohr_Hoehe]]</definedName>
    <definedName name="Stahlrippenohr" localSheetId="16">Tabelle29[[#Headers],[Stahlrippenrohr_Hoehe]]</definedName>
    <definedName name="Stahlrippenohr">Tabelle29[[#Headers],[Stahlrippenrohr_Hoehe]]</definedName>
    <definedName name="Stahlrohr" localSheetId="3">Tabelle28[[#All],[Stahlrohr_Hoehe]]</definedName>
    <definedName name="Stahlrohr" localSheetId="16">Tabelle28[[#All],[Stahlrohr_Hoehe]]</definedName>
    <definedName name="Stahlrohr">Tabelle28[[#All],[Stahlrohr_Hoehe]]</definedName>
    <definedName name="TRL_Ziel">45</definedName>
    <definedName name="TVL_Ziel">55</definedName>
    <definedName name="Wandheizung" localSheetId="3">#REF!</definedName>
    <definedName name="Wandheizung" localSheetId="16">#REF!</definedName>
    <definedName name="Wandheizu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 l="1"/>
  <c r="T5" i="2"/>
  <c r="U5" i="2"/>
  <c r="V5" i="2"/>
  <c r="W5" i="2"/>
  <c r="X5" i="2"/>
  <c r="Y5" i="2"/>
  <c r="Z5" i="2"/>
  <c r="AA5" i="2"/>
  <c r="AB5" i="2"/>
  <c r="AC5" i="2"/>
  <c r="AD5" i="2"/>
  <c r="AE5" i="2"/>
  <c r="AF5" i="2"/>
  <c r="S6" i="2"/>
  <c r="T6" i="2"/>
  <c r="U6" i="2"/>
  <c r="V6" i="2"/>
  <c r="W6" i="2"/>
  <c r="X6" i="2"/>
  <c r="Y6" i="2"/>
  <c r="Z6" i="2"/>
  <c r="AA6" i="2"/>
  <c r="AB6" i="2"/>
  <c r="AC6" i="2"/>
  <c r="AD6" i="2"/>
  <c r="AE6" i="2"/>
  <c r="AF6" i="2"/>
  <c r="S7" i="2"/>
  <c r="T7" i="2"/>
  <c r="U7" i="2"/>
  <c r="V7" i="2"/>
  <c r="W7" i="2"/>
  <c r="X7" i="2"/>
  <c r="Y7" i="2"/>
  <c r="Z7" i="2"/>
  <c r="AA7" i="2"/>
  <c r="AB7" i="2"/>
  <c r="AC7" i="2"/>
  <c r="AD7" i="2"/>
  <c r="AE7" i="2"/>
  <c r="AF7" i="2"/>
  <c r="S8" i="2"/>
  <c r="T8" i="2"/>
  <c r="U8" i="2"/>
  <c r="V8" i="2"/>
  <c r="W8" i="2"/>
  <c r="X8" i="2"/>
  <c r="Y8" i="2"/>
  <c r="Z8" i="2"/>
  <c r="AA8" i="2"/>
  <c r="AB8" i="2"/>
  <c r="AC8" i="2"/>
  <c r="AD8" i="2"/>
  <c r="AE8" i="2"/>
  <c r="AF8" i="2"/>
  <c r="S10" i="2"/>
  <c r="T10" i="2"/>
  <c r="U10" i="2"/>
  <c r="U11" i="2" s="1" a="1"/>
  <c r="U11" i="2" s="1"/>
  <c r="V10" i="2"/>
  <c r="W10" i="2"/>
  <c r="X10" i="2"/>
  <c r="Y10" i="2"/>
  <c r="Z10" i="2"/>
  <c r="AA10" i="2"/>
  <c r="AB10" i="2"/>
  <c r="AC10" i="2"/>
  <c r="AD10" i="2"/>
  <c r="AD11" i="2" s="1" a="1"/>
  <c r="AD11" i="2" s="1"/>
  <c r="AE10" i="2"/>
  <c r="AF10" i="2"/>
  <c r="S11" i="2" a="1"/>
  <c r="S11" i="2" s="1"/>
  <c r="T11" i="2" a="1"/>
  <c r="T11" i="2" s="1"/>
  <c r="V11" i="2" a="1"/>
  <c r="V11" i="2" s="1"/>
  <c r="W11" i="2" a="1"/>
  <c r="W11" i="2" s="1"/>
  <c r="X11" i="2" a="1"/>
  <c r="X11" i="2" s="1"/>
  <c r="Y11" i="2" a="1"/>
  <c r="Y11" i="2" s="1"/>
  <c r="Z11" i="2" a="1"/>
  <c r="Z11" i="2" s="1"/>
  <c r="AA11" i="2" a="1"/>
  <c r="AA11" i="2" s="1"/>
  <c r="AB11" i="2" a="1"/>
  <c r="AB11" i="2" s="1"/>
  <c r="AC11" i="2" a="1"/>
  <c r="AC11" i="2" s="1"/>
  <c r="AE11" i="2" a="1"/>
  <c r="AE11" i="2" s="1"/>
  <c r="AF11" i="2" a="1"/>
  <c r="AF11" i="2" s="1"/>
  <c r="S12" i="2"/>
  <c r="T12" i="2"/>
  <c r="U12" i="2"/>
  <c r="V12" i="2"/>
  <c r="W12" i="2"/>
  <c r="X12" i="2"/>
  <c r="Y12" i="2"/>
  <c r="Z12" i="2"/>
  <c r="AA12" i="2"/>
  <c r="AB12" i="2"/>
  <c r="AC12" i="2"/>
  <c r="AD12" i="2"/>
  <c r="AE12" i="2"/>
  <c r="AF12" i="2"/>
  <c r="S16" i="2"/>
  <c r="T16" i="2"/>
  <c r="U16" i="2"/>
  <c r="V16" i="2"/>
  <c r="W16" i="2"/>
  <c r="X16" i="2"/>
  <c r="Y16" i="2"/>
  <c r="Z16" i="2"/>
  <c r="AA16" i="2"/>
  <c r="AB16" i="2"/>
  <c r="AC16" i="2"/>
  <c r="AD16" i="2"/>
  <c r="AE16" i="2"/>
  <c r="AF16" i="2"/>
  <c r="S20" i="2"/>
  <c r="T20" i="2"/>
  <c r="U20" i="2"/>
  <c r="V20" i="2"/>
  <c r="W20" i="2"/>
  <c r="X20" i="2"/>
  <c r="Y20" i="2"/>
  <c r="Z20" i="2"/>
  <c r="AA20" i="2"/>
  <c r="AB20" i="2"/>
  <c r="AC20" i="2"/>
  <c r="AD20" i="2"/>
  <c r="AE20" i="2"/>
  <c r="AF20" i="2"/>
  <c r="S23" i="2"/>
  <c r="T23" i="2"/>
  <c r="U23" i="2"/>
  <c r="V23" i="2"/>
  <c r="W23" i="2"/>
  <c r="X23" i="2"/>
  <c r="Y23" i="2"/>
  <c r="Z23" i="2"/>
  <c r="AA23" i="2"/>
  <c r="AB23" i="2"/>
  <c r="AC23" i="2"/>
  <c r="AD23" i="2"/>
  <c r="AE23" i="2"/>
  <c r="AF23" i="2"/>
  <c r="S24" i="2"/>
  <c r="T24" i="2"/>
  <c r="U24" i="2"/>
  <c r="V24" i="2"/>
  <c r="W24" i="2"/>
  <c r="X24" i="2"/>
  <c r="Y24" i="2"/>
  <c r="Z24" i="2"/>
  <c r="AA24" i="2"/>
  <c r="AB24" i="2"/>
  <c r="AC24" i="2"/>
  <c r="AD24" i="2"/>
  <c r="AE24" i="2"/>
  <c r="AF24" i="2"/>
  <c r="S25" i="2"/>
  <c r="T25" i="2"/>
  <c r="U25" i="2"/>
  <c r="V25" i="2"/>
  <c r="W25" i="2"/>
  <c r="X25" i="2"/>
  <c r="Y25" i="2"/>
  <c r="Z25" i="2"/>
  <c r="AA25" i="2"/>
  <c r="AB25" i="2"/>
  <c r="AC25" i="2"/>
  <c r="AD25" i="2"/>
  <c r="AE25" i="2"/>
  <c r="AF25" i="2"/>
  <c r="S27" i="2"/>
  <c r="T27" i="2"/>
  <c r="U27" i="2"/>
  <c r="V27" i="2"/>
  <c r="W27" i="2"/>
  <c r="X27" i="2"/>
  <c r="Y27" i="2"/>
  <c r="Z27" i="2"/>
  <c r="AA27" i="2"/>
  <c r="AB27" i="2"/>
  <c r="AC27" i="2"/>
  <c r="AD27" i="2"/>
  <c r="AE27" i="2"/>
  <c r="AF27" i="2"/>
  <c r="S28" i="2"/>
  <c r="T28" i="2"/>
  <c r="U28" i="2"/>
  <c r="V28" i="2"/>
  <c r="W28" i="2"/>
  <c r="X28" i="2"/>
  <c r="Y28" i="2"/>
  <c r="Z28" i="2"/>
  <c r="AA28" i="2"/>
  <c r="AB28" i="2"/>
  <c r="AC28" i="2"/>
  <c r="AD28" i="2"/>
  <c r="AE28" i="2"/>
  <c r="AF28" i="2"/>
  <c r="S29" i="2"/>
  <c r="T29" i="2"/>
  <c r="U29" i="2"/>
  <c r="V29" i="2"/>
  <c r="W29" i="2"/>
  <c r="X29" i="2"/>
  <c r="Y29" i="2"/>
  <c r="Z29" i="2"/>
  <c r="AA29" i="2"/>
  <c r="AB29" i="2"/>
  <c r="AC29" i="2"/>
  <c r="AD29" i="2"/>
  <c r="AE29" i="2"/>
  <c r="AF29" i="2"/>
  <c r="S34" i="2"/>
  <c r="S39" i="2" s="1"/>
  <c r="T34" i="2"/>
  <c r="U34" i="2"/>
  <c r="U39" i="2" s="1"/>
  <c r="V34" i="2"/>
  <c r="W34" i="2"/>
  <c r="X34" i="2"/>
  <c r="Y34" i="2"/>
  <c r="Z34" i="2"/>
  <c r="AA34" i="2"/>
  <c r="AB34" i="2"/>
  <c r="AC34" i="2"/>
  <c r="AC39" i="2" s="1"/>
  <c r="AD34" i="2"/>
  <c r="AD39" i="2" s="1"/>
  <c r="AE34" i="2"/>
  <c r="AE39" i="2" s="1"/>
  <c r="AF34" i="2"/>
  <c r="S36" i="2"/>
  <c r="T36" i="2"/>
  <c r="U36" i="2"/>
  <c r="V36" i="2"/>
  <c r="W36" i="2"/>
  <c r="X36" i="2"/>
  <c r="Y36" i="2"/>
  <c r="Z36" i="2"/>
  <c r="AA36" i="2"/>
  <c r="AB36" i="2"/>
  <c r="AC36" i="2"/>
  <c r="AD36" i="2"/>
  <c r="AE36" i="2"/>
  <c r="AF36" i="2"/>
  <c r="S37" i="2"/>
  <c r="T37" i="2"/>
  <c r="U37" i="2"/>
  <c r="V37" i="2"/>
  <c r="W37" i="2"/>
  <c r="X37" i="2"/>
  <c r="Y37" i="2"/>
  <c r="Z37" i="2"/>
  <c r="AA37" i="2"/>
  <c r="AB37" i="2"/>
  <c r="AC37" i="2"/>
  <c r="AD37" i="2"/>
  <c r="AE37" i="2"/>
  <c r="AF37" i="2"/>
  <c r="S38" i="2"/>
  <c r="T38" i="2"/>
  <c r="U38" i="2"/>
  <c r="V38" i="2"/>
  <c r="W38" i="2"/>
  <c r="X38" i="2"/>
  <c r="Y38" i="2"/>
  <c r="Z38" i="2"/>
  <c r="AA38" i="2"/>
  <c r="AB38" i="2"/>
  <c r="AC38" i="2"/>
  <c r="AD38" i="2"/>
  <c r="AE38" i="2"/>
  <c r="AF38" i="2"/>
  <c r="T39" i="2"/>
  <c r="V39" i="2"/>
  <c r="W39" i="2"/>
  <c r="X39" i="2"/>
  <c r="Y39" i="2"/>
  <c r="Z39" i="2"/>
  <c r="AA39" i="2"/>
  <c r="AB39" i="2"/>
  <c r="AF39" i="2"/>
  <c r="S43" i="2"/>
  <c r="T43" i="2"/>
  <c r="U43" i="2"/>
  <c r="V43" i="2"/>
  <c r="W43" i="2"/>
  <c r="X43" i="2"/>
  <c r="Y43" i="2"/>
  <c r="Z43" i="2"/>
  <c r="AA43" i="2"/>
  <c r="AB43" i="2"/>
  <c r="AC43" i="2"/>
  <c r="AD43" i="2"/>
  <c r="AE43" i="2"/>
  <c r="AF43" i="2"/>
  <c r="S47" i="2"/>
  <c r="T47" i="2"/>
  <c r="U47" i="2"/>
  <c r="V47" i="2"/>
  <c r="W47" i="2"/>
  <c r="X47" i="2"/>
  <c r="Y47" i="2"/>
  <c r="Z47" i="2"/>
  <c r="AA47" i="2"/>
  <c r="AB47" i="2"/>
  <c r="AC47" i="2"/>
  <c r="AD47" i="2"/>
  <c r="AE47" i="2"/>
  <c r="AF47" i="2"/>
  <c r="S48" i="2"/>
  <c r="T48" i="2"/>
  <c r="U48" i="2"/>
  <c r="V48" i="2"/>
  <c r="W48" i="2"/>
  <c r="X48" i="2"/>
  <c r="Y48" i="2"/>
  <c r="Z48" i="2"/>
  <c r="AA48" i="2"/>
  <c r="AB48" i="2"/>
  <c r="AC48" i="2"/>
  <c r="AD48" i="2"/>
  <c r="AE48" i="2"/>
  <c r="AF48" i="2"/>
  <c r="S55" i="2"/>
  <c r="T55" i="2"/>
  <c r="U55" i="2"/>
  <c r="V55" i="2"/>
  <c r="W55" i="2"/>
  <c r="X55" i="2"/>
  <c r="Y55" i="2"/>
  <c r="Z55" i="2"/>
  <c r="AA55" i="2"/>
  <c r="AB55" i="2"/>
  <c r="AC55" i="2"/>
  <c r="AD55" i="2"/>
  <c r="AE55" i="2"/>
  <c r="AF55" i="2"/>
  <c r="S62" i="2"/>
  <c r="T62" i="2"/>
  <c r="U62" i="2"/>
  <c r="V62" i="2"/>
  <c r="W62" i="2"/>
  <c r="X62" i="2"/>
  <c r="Y62" i="2"/>
  <c r="Z62" i="2"/>
  <c r="AA62" i="2"/>
  <c r="AB62" i="2"/>
  <c r="AC62" i="2"/>
  <c r="AD62" i="2"/>
  <c r="AE62" i="2"/>
  <c r="AF62" i="2"/>
  <c r="S69" i="2"/>
  <c r="T69" i="2"/>
  <c r="U69" i="2"/>
  <c r="V69" i="2"/>
  <c r="W69" i="2"/>
  <c r="X69" i="2"/>
  <c r="Y69" i="2"/>
  <c r="Z69" i="2"/>
  <c r="AA69" i="2"/>
  <c r="AB69" i="2"/>
  <c r="AC69" i="2"/>
  <c r="AD69" i="2"/>
  <c r="AE69" i="2"/>
  <c r="AF69" i="2"/>
  <c r="F33" i="2"/>
  <c r="F32" i="2"/>
  <c r="T11" i="28" a="1"/>
  <c r="T11" i="28" s="1"/>
  <c r="T10" i="28" a="1"/>
  <c r="T10" i="28" s="1"/>
  <c r="U10" i="28" s="1"/>
  <c r="R63" i="3"/>
  <c r="R64" i="3"/>
  <c r="R65" i="3"/>
  <c r="R66" i="3"/>
  <c r="R67" i="3"/>
  <c r="R68" i="3"/>
  <c r="R69" i="3"/>
  <c r="R70" i="3"/>
  <c r="R71" i="3"/>
  <c r="R72" i="3"/>
  <c r="R73" i="3"/>
  <c r="R74" i="3"/>
  <c r="R75" i="3"/>
  <c r="R76" i="3"/>
  <c r="R77" i="3"/>
  <c r="R78" i="3"/>
  <c r="R79" i="3"/>
  <c r="R80" i="3"/>
  <c r="R81" i="3"/>
  <c r="R82" i="3"/>
  <c r="R83" i="3"/>
  <c r="R84" i="3"/>
  <c r="R85" i="3"/>
  <c r="R86" i="3"/>
  <c r="F81" i="16" l="1"/>
  <c r="R27" i="2" l="1"/>
  <c r="R25" i="2"/>
  <c r="R5" i="2"/>
  <c r="R6" i="2"/>
  <c r="R7" i="2"/>
  <c r="R8" i="2"/>
  <c r="R12" i="2"/>
  <c r="R16" i="2"/>
  <c r="R20" i="2"/>
  <c r="R24" i="2"/>
  <c r="R29" i="2"/>
  <c r="R34" i="2"/>
  <c r="R39" i="2" s="1"/>
  <c r="R36" i="2"/>
  <c r="R37" i="2"/>
  <c r="R38" i="2"/>
  <c r="R48" i="2"/>
  <c r="R11" i="28" l="1" a="1"/>
  <c r="R11" i="28" s="1"/>
  <c r="R10" i="28" a="1"/>
  <c r="R10" i="28" s="1"/>
  <c r="R9" i="28" a="1"/>
  <c r="R9" i="28" s="1"/>
  <c r="R8" i="28" a="1"/>
  <c r="R8" i="28" s="1"/>
  <c r="R7" i="28" a="1"/>
  <c r="R7" i="28" s="1"/>
  <c r="S7" i="28" s="1"/>
  <c r="Q10" i="2" l="1"/>
  <c r="R10" i="2" s="1"/>
  <c r="T7" i="28" a="1"/>
  <c r="T7" i="28" s="1"/>
  <c r="U7" i="28" s="1"/>
  <c r="AA66" i="6"/>
  <c r="Z66" i="6"/>
  <c r="Y66" i="6"/>
  <c r="Y68" i="6" s="1" a="1"/>
  <c r="Y68" i="6" s="1"/>
  <c r="X66" i="6"/>
  <c r="W66" i="6"/>
  <c r="W68" i="6" s="1" a="1"/>
  <c r="W68" i="6" s="1"/>
  <c r="V66" i="6"/>
  <c r="U66" i="6"/>
  <c r="U68" i="6" s="1" a="1"/>
  <c r="U68" i="6" s="1"/>
  <c r="T66" i="6"/>
  <c r="S66" i="6"/>
  <c r="S68" i="6" s="1" a="1"/>
  <c r="S68" i="6" s="1"/>
  <c r="R66" i="6"/>
  <c r="R68" i="6" s="1" a="1"/>
  <c r="R68" i="6" s="1"/>
  <c r="Q66" i="6"/>
  <c r="P66" i="6"/>
  <c r="O66" i="6"/>
  <c r="N66" i="6"/>
  <c r="AA60" i="6"/>
  <c r="AA62" i="6" s="1" a="1"/>
  <c r="AA62" i="6" s="1"/>
  <c r="Z60" i="6"/>
  <c r="Y60" i="6"/>
  <c r="Y62" i="6" s="1" a="1"/>
  <c r="Y62" i="6" s="1"/>
  <c r="X60" i="6"/>
  <c r="X62" i="6" s="1" a="1"/>
  <c r="X62" i="6" s="1"/>
  <c r="W60" i="6"/>
  <c r="W62" i="6" s="1" a="1"/>
  <c r="W62" i="6" s="1"/>
  <c r="V60" i="6"/>
  <c r="V62" i="6" s="1" a="1"/>
  <c r="V62" i="6" s="1"/>
  <c r="U60" i="6"/>
  <c r="U62" i="6" s="1" a="1"/>
  <c r="U62" i="6" s="1"/>
  <c r="T60" i="6"/>
  <c r="T62" i="6" s="1" a="1"/>
  <c r="T62" i="6" s="1"/>
  <c r="S60" i="6"/>
  <c r="S62" i="6" s="1" a="1"/>
  <c r="S62" i="6" s="1"/>
  <c r="R60" i="6"/>
  <c r="R62" i="6" s="1" a="1"/>
  <c r="R62" i="6" s="1"/>
  <c r="Q60" i="6"/>
  <c r="Q62" i="6" s="1" a="1"/>
  <c r="Q62" i="6" s="1"/>
  <c r="P60" i="6"/>
  <c r="P62" i="6" s="1" a="1"/>
  <c r="P62" i="6" s="1"/>
  <c r="O60" i="6"/>
  <c r="O62" i="6" s="1" a="1"/>
  <c r="O62" i="6" s="1"/>
  <c r="N60" i="6"/>
  <c r="N62" i="6" s="1" a="1"/>
  <c r="N62" i="6" s="1"/>
  <c r="AA54" i="6"/>
  <c r="AA58" i="6" s="1"/>
  <c r="Z54" i="6"/>
  <c r="Z58" i="6" s="1"/>
  <c r="Y54" i="6"/>
  <c r="Y58" i="6" s="1"/>
  <c r="X54" i="6"/>
  <c r="X58" i="6" s="1"/>
  <c r="W54" i="6"/>
  <c r="W58" i="6" s="1"/>
  <c r="V54" i="6"/>
  <c r="V58" i="6" s="1"/>
  <c r="U54" i="6"/>
  <c r="U58" i="6" s="1"/>
  <c r="T54" i="6"/>
  <c r="T58" i="6" s="1"/>
  <c r="S54" i="6"/>
  <c r="S58" i="6" s="1"/>
  <c r="R54" i="6"/>
  <c r="R58" i="6" s="1"/>
  <c r="Q54" i="6"/>
  <c r="Q58" i="6" s="1"/>
  <c r="P54" i="6"/>
  <c r="P58" i="6" s="1"/>
  <c r="O54" i="6"/>
  <c r="O58" i="6" s="1"/>
  <c r="N54" i="6"/>
  <c r="N58" i="6" s="1"/>
  <c r="AA48" i="6"/>
  <c r="AA52" i="6" s="1"/>
  <c r="Z48" i="6"/>
  <c r="Z52" i="6" s="1"/>
  <c r="Y48" i="6"/>
  <c r="Y52" i="6" s="1"/>
  <c r="X48" i="6"/>
  <c r="X52" i="6" s="1"/>
  <c r="W48" i="6"/>
  <c r="W52" i="6" s="1"/>
  <c r="V48" i="6"/>
  <c r="V52" i="6" s="1"/>
  <c r="U48" i="6"/>
  <c r="U52" i="6" s="1"/>
  <c r="T48" i="6"/>
  <c r="T52" i="6" s="1"/>
  <c r="S48" i="6"/>
  <c r="S52" i="6" s="1"/>
  <c r="R48" i="6"/>
  <c r="R52" i="6" s="1"/>
  <c r="Q48" i="6"/>
  <c r="Q52" i="6" s="1"/>
  <c r="P48" i="6"/>
  <c r="P52" i="6" s="1"/>
  <c r="O48" i="6"/>
  <c r="O52" i="6" s="1"/>
  <c r="N48" i="6"/>
  <c r="AA42" i="6"/>
  <c r="AA46" i="6" s="1"/>
  <c r="Z42" i="6"/>
  <c r="Z46" i="6" s="1"/>
  <c r="Y42" i="6"/>
  <c r="Y46" i="6" s="1"/>
  <c r="X42" i="6"/>
  <c r="X46" i="6" s="1"/>
  <c r="W42" i="6"/>
  <c r="W46" i="6" s="1"/>
  <c r="V42" i="6"/>
  <c r="V46" i="6" s="1"/>
  <c r="U42" i="6"/>
  <c r="U46" i="6" s="1"/>
  <c r="T42" i="6"/>
  <c r="T46" i="6" s="1"/>
  <c r="S42" i="6"/>
  <c r="S46" i="6" s="1"/>
  <c r="R42" i="6"/>
  <c r="R46" i="6" s="1"/>
  <c r="Q42" i="6"/>
  <c r="Q46" i="6" s="1"/>
  <c r="P42" i="6"/>
  <c r="P46" i="6" s="1"/>
  <c r="O42" i="6"/>
  <c r="N42" i="6"/>
  <c r="N31" i="6"/>
  <c r="N32" i="6" s="1"/>
  <c r="AA20" i="6"/>
  <c r="AA21" i="6" s="1"/>
  <c r="Z20" i="6"/>
  <c r="Z21" i="6" s="1"/>
  <c r="Y20" i="6"/>
  <c r="Y21" i="6" s="1"/>
  <c r="X20" i="6"/>
  <c r="X21" i="6" s="1"/>
  <c r="W20" i="6"/>
  <c r="W21" i="6" s="1"/>
  <c r="V20" i="6"/>
  <c r="V21" i="6" s="1"/>
  <c r="U20" i="6"/>
  <c r="U21" i="6" s="1"/>
  <c r="T20" i="6"/>
  <c r="T21" i="6" s="1"/>
  <c r="S20" i="6"/>
  <c r="S21" i="6" s="1"/>
  <c r="R20" i="6"/>
  <c r="R21" i="6" s="1"/>
  <c r="Q20" i="6"/>
  <c r="Q21" i="6" s="1"/>
  <c r="P20" i="6"/>
  <c r="P21" i="6" s="1"/>
  <c r="O20" i="6"/>
  <c r="O21" i="6" s="1"/>
  <c r="N20" i="6"/>
  <c r="N21" i="6" s="1"/>
  <c r="N19" i="6"/>
  <c r="N10" i="6"/>
  <c r="N6" i="6"/>
  <c r="N11" i="6" s="1"/>
  <c r="AA5" i="6"/>
  <c r="Z5" i="6"/>
  <c r="Y5" i="6"/>
  <c r="X5" i="6"/>
  <c r="W5" i="6"/>
  <c r="V5" i="6"/>
  <c r="U5" i="6"/>
  <c r="T5" i="6"/>
  <c r="S5" i="6"/>
  <c r="R5" i="6"/>
  <c r="Q5" i="6"/>
  <c r="P5" i="6"/>
  <c r="O5" i="6"/>
  <c r="N5" i="6"/>
  <c r="C40" i="38"/>
  <c r="D40" i="38"/>
  <c r="E40" i="38"/>
  <c r="F40" i="38"/>
  <c r="G40" i="38"/>
  <c r="H40" i="38"/>
  <c r="I40" i="38"/>
  <c r="J40" i="38"/>
  <c r="K40" i="38"/>
  <c r="L40" i="38"/>
  <c r="M40" i="38"/>
  <c r="N40" i="38"/>
  <c r="O40" i="38"/>
  <c r="P40" i="38"/>
  <c r="Q40" i="38"/>
  <c r="C41" i="38"/>
  <c r="D41" i="38"/>
  <c r="E41" i="38"/>
  <c r="F41" i="38"/>
  <c r="G41" i="38"/>
  <c r="H41" i="38"/>
  <c r="I41" i="38"/>
  <c r="J41" i="38"/>
  <c r="K41" i="38"/>
  <c r="L41" i="38"/>
  <c r="M41" i="38"/>
  <c r="N41" i="38"/>
  <c r="O41" i="38"/>
  <c r="P41" i="38"/>
  <c r="Q41" i="38"/>
  <c r="C42" i="38"/>
  <c r="D42" i="38"/>
  <c r="E42" i="38"/>
  <c r="F42" i="38"/>
  <c r="G42" i="38"/>
  <c r="H42" i="38"/>
  <c r="I42" i="38"/>
  <c r="J42" i="38"/>
  <c r="K42" i="38"/>
  <c r="L42" i="38"/>
  <c r="M42" i="38"/>
  <c r="N42" i="38"/>
  <c r="O42" i="38"/>
  <c r="P42" i="38"/>
  <c r="Q42" i="38"/>
  <c r="C43" i="38"/>
  <c r="D43" i="38"/>
  <c r="E43" i="38"/>
  <c r="F43" i="38"/>
  <c r="G43" i="38"/>
  <c r="H43" i="38"/>
  <c r="I43" i="38"/>
  <c r="J43" i="38"/>
  <c r="K43" i="38"/>
  <c r="L43" i="38"/>
  <c r="M43" i="38"/>
  <c r="N43" i="38"/>
  <c r="O43" i="38"/>
  <c r="P43" i="38"/>
  <c r="Q43" i="38"/>
  <c r="C44" i="38"/>
  <c r="D44" i="38"/>
  <c r="E44" i="38"/>
  <c r="F44" i="38"/>
  <c r="G44" i="38"/>
  <c r="H44" i="38"/>
  <c r="I44" i="38"/>
  <c r="J44" i="38"/>
  <c r="K44" i="38"/>
  <c r="L44" i="38"/>
  <c r="M44" i="38"/>
  <c r="N44" i="38"/>
  <c r="O44" i="38"/>
  <c r="P44" i="38"/>
  <c r="Q44" i="38"/>
  <c r="C45" i="38"/>
  <c r="D45" i="38"/>
  <c r="E45" i="38"/>
  <c r="F45" i="38"/>
  <c r="G45" i="38"/>
  <c r="H45" i="38"/>
  <c r="I45" i="38"/>
  <c r="J45" i="38"/>
  <c r="K45" i="38"/>
  <c r="L45" i="38"/>
  <c r="M45" i="38"/>
  <c r="N45" i="38"/>
  <c r="O45" i="38"/>
  <c r="P45" i="38"/>
  <c r="Q45" i="38"/>
  <c r="C46" i="38"/>
  <c r="D46" i="38"/>
  <c r="E46" i="38"/>
  <c r="F46" i="38"/>
  <c r="G46" i="38"/>
  <c r="H46" i="38"/>
  <c r="I46" i="38"/>
  <c r="J46" i="38"/>
  <c r="K46" i="38"/>
  <c r="L46" i="38"/>
  <c r="M46" i="38"/>
  <c r="N46" i="38"/>
  <c r="O46" i="38"/>
  <c r="P46" i="38"/>
  <c r="Q46" i="38"/>
  <c r="C47" i="38"/>
  <c r="D47" i="38"/>
  <c r="E47" i="38"/>
  <c r="F47" i="38"/>
  <c r="G47" i="38"/>
  <c r="H47" i="38"/>
  <c r="I47" i="38"/>
  <c r="J47" i="38"/>
  <c r="K47" i="38"/>
  <c r="L47" i="38"/>
  <c r="M47" i="38"/>
  <c r="N47" i="38"/>
  <c r="O47" i="38"/>
  <c r="P47" i="38"/>
  <c r="Q47" i="38"/>
  <c r="C48" i="38"/>
  <c r="D48" i="38"/>
  <c r="E48" i="38"/>
  <c r="F48" i="38"/>
  <c r="G48" i="38"/>
  <c r="H48" i="38"/>
  <c r="I48" i="38"/>
  <c r="J48" i="38"/>
  <c r="K48" i="38"/>
  <c r="L48" i="38"/>
  <c r="M48" i="38"/>
  <c r="N48" i="38"/>
  <c r="O48" i="38"/>
  <c r="P48" i="38"/>
  <c r="Q48" i="38"/>
  <c r="C49" i="38"/>
  <c r="D49" i="38"/>
  <c r="E49" i="38"/>
  <c r="F49" i="38"/>
  <c r="G49" i="38"/>
  <c r="H49" i="38"/>
  <c r="I49" i="38"/>
  <c r="J49" i="38"/>
  <c r="K49" i="38"/>
  <c r="L49" i="38"/>
  <c r="M49" i="38"/>
  <c r="N49" i="38"/>
  <c r="O49" i="38"/>
  <c r="P49" i="38"/>
  <c r="Q49" i="38"/>
  <c r="C50" i="38"/>
  <c r="D50" i="38"/>
  <c r="E50" i="38"/>
  <c r="F50" i="38"/>
  <c r="G50" i="38"/>
  <c r="H50" i="38"/>
  <c r="I50" i="38"/>
  <c r="J50" i="38"/>
  <c r="K50" i="38"/>
  <c r="L50" i="38"/>
  <c r="M50" i="38"/>
  <c r="N50" i="38"/>
  <c r="O50" i="38"/>
  <c r="P50" i="38"/>
  <c r="Q50" i="38"/>
  <c r="C51" i="38"/>
  <c r="D51" i="38"/>
  <c r="E51" i="38"/>
  <c r="F51" i="38"/>
  <c r="G51" i="38"/>
  <c r="H51" i="38"/>
  <c r="I51" i="38"/>
  <c r="J51" i="38"/>
  <c r="K51" i="38"/>
  <c r="L51" i="38"/>
  <c r="M51" i="38"/>
  <c r="N51" i="38"/>
  <c r="O51" i="38"/>
  <c r="P51" i="38"/>
  <c r="Q51" i="38"/>
  <c r="C52" i="38"/>
  <c r="D52" i="38"/>
  <c r="E52" i="38"/>
  <c r="F52" i="38"/>
  <c r="G52" i="38"/>
  <c r="H52" i="38"/>
  <c r="I52" i="38"/>
  <c r="J52" i="38"/>
  <c r="K52" i="38"/>
  <c r="L52" i="38"/>
  <c r="M52" i="38"/>
  <c r="N52" i="38"/>
  <c r="O52" i="38"/>
  <c r="P52" i="38"/>
  <c r="Q52" i="38"/>
  <c r="D39" i="38"/>
  <c r="E39" i="38"/>
  <c r="F39" i="38"/>
  <c r="G39" i="38"/>
  <c r="H39" i="38"/>
  <c r="I39" i="38"/>
  <c r="J39" i="38"/>
  <c r="K39" i="38"/>
  <c r="L39" i="38"/>
  <c r="M39" i="38"/>
  <c r="N39" i="38"/>
  <c r="O39" i="38"/>
  <c r="P39" i="38"/>
  <c r="Q39" i="38"/>
  <c r="C39" i="38"/>
  <c r="C57" i="38"/>
  <c r="D57" i="38"/>
  <c r="E57" i="38"/>
  <c r="F57" i="38"/>
  <c r="G57" i="38"/>
  <c r="H57" i="38"/>
  <c r="I57" i="38"/>
  <c r="J57" i="38"/>
  <c r="K57" i="38"/>
  <c r="L57" i="38"/>
  <c r="M57" i="38"/>
  <c r="N57" i="38"/>
  <c r="O57" i="38"/>
  <c r="P57" i="38"/>
  <c r="Q57" i="38"/>
  <c r="C58" i="38"/>
  <c r="D58" i="38"/>
  <c r="E58" i="38"/>
  <c r="F58" i="38"/>
  <c r="G58" i="38"/>
  <c r="H58" i="38"/>
  <c r="I58" i="38"/>
  <c r="J58" i="38"/>
  <c r="K58" i="38"/>
  <c r="L58" i="38"/>
  <c r="M58" i="38"/>
  <c r="N58" i="38"/>
  <c r="O58" i="38"/>
  <c r="P58" i="38"/>
  <c r="Q58" i="38"/>
  <c r="C59" i="38"/>
  <c r="D59" i="38"/>
  <c r="E59" i="38"/>
  <c r="F59" i="38"/>
  <c r="G59" i="38"/>
  <c r="H59" i="38"/>
  <c r="I59" i="38"/>
  <c r="J59" i="38"/>
  <c r="K59" i="38"/>
  <c r="L59" i="38"/>
  <c r="M59" i="38"/>
  <c r="N59" i="38"/>
  <c r="O59" i="38"/>
  <c r="P59" i="38"/>
  <c r="Q59" i="38"/>
  <c r="C60" i="38"/>
  <c r="D60" i="38"/>
  <c r="E60" i="38"/>
  <c r="F60" i="38"/>
  <c r="G60" i="38"/>
  <c r="H60" i="38"/>
  <c r="I60" i="38"/>
  <c r="J60" i="38"/>
  <c r="K60" i="38"/>
  <c r="L60" i="38"/>
  <c r="M60" i="38"/>
  <c r="N60" i="38"/>
  <c r="O60" i="38"/>
  <c r="P60" i="38"/>
  <c r="Q60" i="38"/>
  <c r="D61" i="38"/>
  <c r="E61" i="38"/>
  <c r="F61" i="38"/>
  <c r="G61" i="38"/>
  <c r="H61" i="38"/>
  <c r="I61" i="38"/>
  <c r="J61" i="38"/>
  <c r="K61" i="38"/>
  <c r="L61" i="38"/>
  <c r="M61" i="38"/>
  <c r="N61" i="38"/>
  <c r="O61" i="38"/>
  <c r="P61" i="38"/>
  <c r="Q61" i="38"/>
  <c r="D62" i="38"/>
  <c r="E62" i="38"/>
  <c r="F62" i="38"/>
  <c r="G62" i="38"/>
  <c r="H62" i="38"/>
  <c r="I62" i="38"/>
  <c r="J62" i="38"/>
  <c r="K62" i="38"/>
  <c r="L62" i="38"/>
  <c r="M62" i="38"/>
  <c r="N62" i="38"/>
  <c r="O62" i="38"/>
  <c r="P62" i="38"/>
  <c r="Q62" i="38"/>
  <c r="C63" i="38"/>
  <c r="D63" i="38"/>
  <c r="E63" i="38"/>
  <c r="F63" i="38"/>
  <c r="G63" i="38"/>
  <c r="H63" i="38"/>
  <c r="I63" i="38"/>
  <c r="J63" i="38"/>
  <c r="K63" i="38"/>
  <c r="L63" i="38"/>
  <c r="M63" i="38"/>
  <c r="N63" i="38"/>
  <c r="O63" i="38"/>
  <c r="P63" i="38"/>
  <c r="Q63" i="38"/>
  <c r="C64" i="38"/>
  <c r="D64" i="38"/>
  <c r="E64" i="38"/>
  <c r="F64" i="38"/>
  <c r="G64" i="38"/>
  <c r="H64" i="38"/>
  <c r="I64" i="38"/>
  <c r="J64" i="38"/>
  <c r="K64" i="38"/>
  <c r="L64" i="38"/>
  <c r="M64" i="38"/>
  <c r="N64" i="38"/>
  <c r="O64" i="38"/>
  <c r="P64" i="38"/>
  <c r="Q64" i="38"/>
  <c r="D56" i="38"/>
  <c r="E56" i="38"/>
  <c r="F56" i="38"/>
  <c r="G56" i="38"/>
  <c r="H56" i="38"/>
  <c r="I56" i="38"/>
  <c r="J56" i="38"/>
  <c r="K56" i="38"/>
  <c r="L56" i="38"/>
  <c r="M56" i="38"/>
  <c r="N56" i="38"/>
  <c r="O56" i="38"/>
  <c r="P56" i="38"/>
  <c r="Q56" i="38"/>
  <c r="C56" i="38"/>
  <c r="M31" i="6"/>
  <c r="M32" i="6" s="1"/>
  <c r="O31" i="6"/>
  <c r="O32" i="6" s="1"/>
  <c r="O35" i="6" s="1"/>
  <c r="P31" i="6"/>
  <c r="P32" i="6" s="1"/>
  <c r="Q31" i="6"/>
  <c r="Q32" i="6" s="1"/>
  <c r="Q35" i="6" s="1"/>
  <c r="R31" i="6"/>
  <c r="R32" i="6" s="1"/>
  <c r="S31" i="6"/>
  <c r="S32" i="6" s="1"/>
  <c r="S35" i="6" s="1"/>
  <c r="T31" i="6"/>
  <c r="T32" i="6" s="1"/>
  <c r="T33" i="6" s="1" a="1"/>
  <c r="T33" i="6" s="1"/>
  <c r="U31" i="6"/>
  <c r="U32" i="6" s="1"/>
  <c r="U35" i="6" s="1"/>
  <c r="V31" i="6"/>
  <c r="V32" i="6" s="1"/>
  <c r="V35" i="6" s="1"/>
  <c r="W31" i="6"/>
  <c r="W32" i="6" s="1"/>
  <c r="W33" i="6" s="1" a="1"/>
  <c r="W33" i="6" s="1"/>
  <c r="X31" i="6"/>
  <c r="X32" i="6" s="1"/>
  <c r="X35" i="6" s="1"/>
  <c r="Y31" i="6"/>
  <c r="Y32" i="6" s="1"/>
  <c r="Y35" i="6" s="1"/>
  <c r="Z31" i="6"/>
  <c r="Z32" i="6" s="1"/>
  <c r="AA31" i="6"/>
  <c r="AA32" i="6" s="1"/>
  <c r="AA35" i="6" s="1"/>
  <c r="P144" i="30"/>
  <c r="Q144" i="30"/>
  <c r="R144" i="30"/>
  <c r="S144" i="30"/>
  <c r="T144" i="30"/>
  <c r="U144" i="30"/>
  <c r="V144" i="30"/>
  <c r="W144" i="30"/>
  <c r="X144" i="30"/>
  <c r="P145" i="30"/>
  <c r="Q145" i="30"/>
  <c r="R145" i="30"/>
  <c r="S145" i="30"/>
  <c r="T145" i="30"/>
  <c r="U145" i="30"/>
  <c r="V145" i="30"/>
  <c r="W145" i="30"/>
  <c r="X145" i="30"/>
  <c r="P146" i="30"/>
  <c r="Q146" i="30"/>
  <c r="R146" i="30"/>
  <c r="S146" i="30"/>
  <c r="T146" i="30"/>
  <c r="U146" i="30"/>
  <c r="V146" i="30"/>
  <c r="W146" i="30"/>
  <c r="X146" i="30"/>
  <c r="P147" i="30"/>
  <c r="Q147" i="30"/>
  <c r="R147" i="30"/>
  <c r="S147" i="30"/>
  <c r="T147" i="30"/>
  <c r="U147" i="30"/>
  <c r="V147" i="30"/>
  <c r="W147" i="30"/>
  <c r="X147" i="30"/>
  <c r="P148" i="30"/>
  <c r="Q148" i="30"/>
  <c r="R148" i="30"/>
  <c r="S148" i="30"/>
  <c r="T148" i="30"/>
  <c r="U148" i="30"/>
  <c r="V148" i="30"/>
  <c r="W148" i="30"/>
  <c r="X148" i="30"/>
  <c r="P151" i="30"/>
  <c r="Q151" i="30"/>
  <c r="R151" i="30"/>
  <c r="S151" i="30"/>
  <c r="T151" i="30"/>
  <c r="U151" i="30"/>
  <c r="V151" i="30"/>
  <c r="W151" i="30"/>
  <c r="X151" i="30"/>
  <c r="P152" i="30"/>
  <c r="Q152" i="30"/>
  <c r="R152" i="30"/>
  <c r="S152" i="30"/>
  <c r="T152" i="30"/>
  <c r="U152" i="30"/>
  <c r="V152" i="30"/>
  <c r="W152" i="30"/>
  <c r="X152" i="30"/>
  <c r="P156" i="30"/>
  <c r="Q156" i="30"/>
  <c r="R156" i="30"/>
  <c r="S156" i="30"/>
  <c r="T156" i="30"/>
  <c r="U156" i="30"/>
  <c r="V156" i="30"/>
  <c r="W156" i="30"/>
  <c r="X156" i="30"/>
  <c r="P157" i="30"/>
  <c r="Q157" i="30"/>
  <c r="R157" i="30"/>
  <c r="S157" i="30"/>
  <c r="T157" i="30"/>
  <c r="U157" i="30"/>
  <c r="V157" i="30"/>
  <c r="W157" i="30"/>
  <c r="X157" i="30"/>
  <c r="P158" i="30"/>
  <c r="Q158" i="30"/>
  <c r="R158" i="30"/>
  <c r="S158" i="30"/>
  <c r="T158" i="30"/>
  <c r="U158" i="30"/>
  <c r="V158" i="30"/>
  <c r="W158" i="30"/>
  <c r="X158" i="30"/>
  <c r="P159" i="30"/>
  <c r="Q159" i="30"/>
  <c r="R159" i="30"/>
  <c r="S159" i="30"/>
  <c r="T159" i="30"/>
  <c r="U159" i="30"/>
  <c r="V159" i="30"/>
  <c r="W159" i="30"/>
  <c r="X159" i="30"/>
  <c r="P160" i="30"/>
  <c r="Q160" i="30"/>
  <c r="R160" i="30"/>
  <c r="S160" i="30"/>
  <c r="T160" i="30"/>
  <c r="U160" i="30"/>
  <c r="V160" i="30"/>
  <c r="W160" i="30"/>
  <c r="X160" i="30"/>
  <c r="P161" i="30"/>
  <c r="Q161" i="30"/>
  <c r="R161" i="30"/>
  <c r="S161" i="30"/>
  <c r="T161" i="30"/>
  <c r="U161" i="30"/>
  <c r="V161" i="30"/>
  <c r="W161" i="30"/>
  <c r="X161" i="30"/>
  <c r="P163" i="30"/>
  <c r="Q163" i="30"/>
  <c r="R163" i="30"/>
  <c r="S163" i="30"/>
  <c r="T163" i="30"/>
  <c r="U163" i="30"/>
  <c r="V163" i="30"/>
  <c r="W163" i="30"/>
  <c r="X163" i="30"/>
  <c r="P164" i="30"/>
  <c r="Q164" i="30"/>
  <c r="R164" i="30"/>
  <c r="S164" i="30"/>
  <c r="T164" i="30"/>
  <c r="U164" i="30"/>
  <c r="V164" i="30"/>
  <c r="W164" i="30"/>
  <c r="X164" i="30"/>
  <c r="P168" i="30"/>
  <c r="Q168" i="30"/>
  <c r="R168" i="30"/>
  <c r="S168" i="30"/>
  <c r="T168" i="30"/>
  <c r="U168" i="30"/>
  <c r="V168" i="30"/>
  <c r="W168" i="30"/>
  <c r="X168" i="30"/>
  <c r="P169" i="30"/>
  <c r="Q169" i="30"/>
  <c r="R169" i="30"/>
  <c r="S169" i="30"/>
  <c r="T169" i="30"/>
  <c r="U169" i="30"/>
  <c r="V169" i="30"/>
  <c r="W169" i="30"/>
  <c r="X169" i="30"/>
  <c r="P170" i="30"/>
  <c r="Q170" i="30"/>
  <c r="R170" i="30"/>
  <c r="S170" i="30"/>
  <c r="T170" i="30"/>
  <c r="U170" i="30"/>
  <c r="V170" i="30"/>
  <c r="W170" i="30"/>
  <c r="X170" i="30"/>
  <c r="P171" i="30"/>
  <c r="Q171" i="30"/>
  <c r="R171" i="30"/>
  <c r="S171" i="30"/>
  <c r="T171" i="30"/>
  <c r="U171" i="30"/>
  <c r="V171" i="30"/>
  <c r="W171" i="30"/>
  <c r="X171" i="30"/>
  <c r="P172" i="30"/>
  <c r="Q172" i="30"/>
  <c r="R172" i="30"/>
  <c r="S172" i="30"/>
  <c r="T172" i="30"/>
  <c r="U172" i="30"/>
  <c r="V172" i="30"/>
  <c r="W172" i="30"/>
  <c r="X172" i="30"/>
  <c r="P173" i="30"/>
  <c r="Q173" i="30"/>
  <c r="R173" i="30"/>
  <c r="S173" i="30"/>
  <c r="T173" i="30"/>
  <c r="U173" i="30"/>
  <c r="V173" i="30"/>
  <c r="W173" i="30"/>
  <c r="X173" i="30"/>
  <c r="P176" i="30"/>
  <c r="Q176" i="30"/>
  <c r="R176" i="30"/>
  <c r="S176" i="30"/>
  <c r="T176" i="30"/>
  <c r="U176" i="30"/>
  <c r="V176" i="30"/>
  <c r="W176" i="30"/>
  <c r="X176" i="30"/>
  <c r="P177" i="30"/>
  <c r="Q177" i="30"/>
  <c r="R177" i="30"/>
  <c r="S177" i="30"/>
  <c r="T177" i="30"/>
  <c r="U177" i="30"/>
  <c r="V177" i="30"/>
  <c r="W177" i="30"/>
  <c r="X177" i="30"/>
  <c r="P195" i="30"/>
  <c r="P196" i="30" s="1"/>
  <c r="Q195" i="30"/>
  <c r="Q196" i="30" s="1"/>
  <c r="R195" i="30"/>
  <c r="R196" i="30" s="1"/>
  <c r="S195" i="30"/>
  <c r="S196" i="30" s="1"/>
  <c r="T195" i="30"/>
  <c r="T196" i="30" s="1"/>
  <c r="U195" i="30"/>
  <c r="U196" i="30" s="1"/>
  <c r="V195" i="30"/>
  <c r="V196" i="30" s="1"/>
  <c r="W195" i="30"/>
  <c r="W196" i="30" s="1"/>
  <c r="X195" i="30"/>
  <c r="X196" i="30" s="1"/>
  <c r="P197" i="30"/>
  <c r="Q197" i="30"/>
  <c r="R197" i="30"/>
  <c r="S197" i="30"/>
  <c r="T197" i="30"/>
  <c r="U197" i="30"/>
  <c r="V197" i="30"/>
  <c r="W197" i="30"/>
  <c r="X197" i="30"/>
  <c r="P198" i="30"/>
  <c r="Q198" i="30"/>
  <c r="R198" i="30"/>
  <c r="S198" i="30"/>
  <c r="T198" i="30"/>
  <c r="U198" i="30"/>
  <c r="V198" i="30"/>
  <c r="W198" i="30"/>
  <c r="X198" i="30"/>
  <c r="P199" i="30"/>
  <c r="Q199" i="30"/>
  <c r="R199" i="30"/>
  <c r="S199" i="30"/>
  <c r="T199" i="30"/>
  <c r="U199" i="30"/>
  <c r="V199" i="30"/>
  <c r="W199" i="30"/>
  <c r="X199" i="30"/>
  <c r="P202" i="30"/>
  <c r="Q202" i="30"/>
  <c r="R202" i="30"/>
  <c r="S202" i="30"/>
  <c r="T202" i="30"/>
  <c r="U202" i="30"/>
  <c r="V202" i="30"/>
  <c r="W202" i="30"/>
  <c r="X202" i="30"/>
  <c r="P203" i="30"/>
  <c r="Q203" i="30"/>
  <c r="R203" i="30"/>
  <c r="S203" i="30"/>
  <c r="T203" i="30"/>
  <c r="U203" i="30"/>
  <c r="V203" i="30"/>
  <c r="W203" i="30"/>
  <c r="X203" i="30"/>
  <c r="P77" i="30"/>
  <c r="Q77" i="30"/>
  <c r="R77" i="30"/>
  <c r="S77" i="30"/>
  <c r="T77" i="30"/>
  <c r="U77" i="30"/>
  <c r="V77" i="30"/>
  <c r="W77" i="30"/>
  <c r="X77" i="30"/>
  <c r="P78" i="30"/>
  <c r="Q78" i="30"/>
  <c r="R78" i="30"/>
  <c r="S78" i="30"/>
  <c r="T78" i="30"/>
  <c r="U78" i="30"/>
  <c r="V78" i="30"/>
  <c r="W78" i="30"/>
  <c r="X78" i="30"/>
  <c r="P79" i="30"/>
  <c r="Q79" i="30"/>
  <c r="R79" i="30"/>
  <c r="S79" i="30"/>
  <c r="T79" i="30"/>
  <c r="U79" i="30"/>
  <c r="V79" i="30"/>
  <c r="W79" i="30"/>
  <c r="X79" i="30"/>
  <c r="P80" i="30"/>
  <c r="Q80" i="30"/>
  <c r="R80" i="30"/>
  <c r="S80" i="30"/>
  <c r="T80" i="30"/>
  <c r="U80" i="30"/>
  <c r="V80" i="30"/>
  <c r="W80" i="30"/>
  <c r="X80" i="30"/>
  <c r="P81" i="30"/>
  <c r="Q81" i="30"/>
  <c r="R81" i="30"/>
  <c r="S81" i="30"/>
  <c r="T81" i="30"/>
  <c r="U81" i="30"/>
  <c r="V81" i="30"/>
  <c r="W81" i="30"/>
  <c r="X81" i="30"/>
  <c r="P84" i="30"/>
  <c r="Q84" i="30"/>
  <c r="R84" i="30"/>
  <c r="S84" i="30"/>
  <c r="T84" i="30"/>
  <c r="U84" i="30"/>
  <c r="V84" i="30"/>
  <c r="W84" i="30"/>
  <c r="X84" i="30"/>
  <c r="P85" i="30"/>
  <c r="Q85" i="30"/>
  <c r="R85" i="30"/>
  <c r="S85" i="30"/>
  <c r="T85" i="30"/>
  <c r="U85" i="30"/>
  <c r="V85" i="30"/>
  <c r="W85" i="30"/>
  <c r="X85" i="30"/>
  <c r="P89" i="30"/>
  <c r="Q89" i="30"/>
  <c r="R89" i="30"/>
  <c r="S89" i="30"/>
  <c r="T89" i="30"/>
  <c r="U89" i="30"/>
  <c r="V89" i="30"/>
  <c r="W89" i="30"/>
  <c r="X89" i="30"/>
  <c r="P90" i="30"/>
  <c r="Q90" i="30"/>
  <c r="R90" i="30"/>
  <c r="S90" i="30"/>
  <c r="T90" i="30"/>
  <c r="U90" i="30"/>
  <c r="V90" i="30"/>
  <c r="W90" i="30"/>
  <c r="X90" i="30"/>
  <c r="P91" i="30"/>
  <c r="Q91" i="30"/>
  <c r="R91" i="30"/>
  <c r="S91" i="30"/>
  <c r="T91" i="30"/>
  <c r="U91" i="30"/>
  <c r="V91" i="30"/>
  <c r="W91" i="30"/>
  <c r="X91" i="30"/>
  <c r="P92" i="30"/>
  <c r="Q92" i="30"/>
  <c r="R92" i="30"/>
  <c r="S92" i="30"/>
  <c r="T92" i="30"/>
  <c r="U92" i="30"/>
  <c r="V92" i="30"/>
  <c r="W92" i="30"/>
  <c r="X92" i="30"/>
  <c r="P93" i="30"/>
  <c r="Q93" i="30"/>
  <c r="R93" i="30"/>
  <c r="S93" i="30"/>
  <c r="T93" i="30"/>
  <c r="U93" i="30"/>
  <c r="V93" i="30"/>
  <c r="W93" i="30"/>
  <c r="X93" i="30"/>
  <c r="P94" i="30"/>
  <c r="Q94" i="30"/>
  <c r="R94" i="30"/>
  <c r="S94" i="30"/>
  <c r="T94" i="30"/>
  <c r="U94" i="30"/>
  <c r="V94" i="30"/>
  <c r="W94" i="30"/>
  <c r="X94" i="30"/>
  <c r="P96" i="30"/>
  <c r="Q96" i="30"/>
  <c r="R96" i="30"/>
  <c r="S96" i="30"/>
  <c r="T96" i="30"/>
  <c r="U96" i="30"/>
  <c r="V96" i="30"/>
  <c r="W96" i="30"/>
  <c r="X96" i="30"/>
  <c r="P97" i="30"/>
  <c r="Q97" i="30"/>
  <c r="R97" i="30"/>
  <c r="S97" i="30"/>
  <c r="T97" i="30"/>
  <c r="U97" i="30"/>
  <c r="V97" i="30"/>
  <c r="W97" i="30"/>
  <c r="X97" i="30"/>
  <c r="P101" i="30"/>
  <c r="Q101" i="30"/>
  <c r="R101" i="30"/>
  <c r="S101" i="30"/>
  <c r="T101" i="30"/>
  <c r="U101" i="30"/>
  <c r="V101" i="30"/>
  <c r="W101" i="30"/>
  <c r="X101" i="30"/>
  <c r="P102" i="30"/>
  <c r="Q102" i="30"/>
  <c r="R102" i="30"/>
  <c r="S102" i="30"/>
  <c r="T102" i="30"/>
  <c r="U102" i="30"/>
  <c r="V102" i="30"/>
  <c r="W102" i="30"/>
  <c r="X102" i="30"/>
  <c r="P103" i="30"/>
  <c r="Q103" i="30"/>
  <c r="R103" i="30"/>
  <c r="S103" i="30"/>
  <c r="T103" i="30"/>
  <c r="U103" i="30"/>
  <c r="V103" i="30"/>
  <c r="W103" i="30"/>
  <c r="X103" i="30"/>
  <c r="P104" i="30"/>
  <c r="Q104" i="30"/>
  <c r="R104" i="30"/>
  <c r="S104" i="30"/>
  <c r="T104" i="30"/>
  <c r="U104" i="30"/>
  <c r="V104" i="30"/>
  <c r="W104" i="30"/>
  <c r="X104" i="30"/>
  <c r="P105" i="30"/>
  <c r="Q105" i="30"/>
  <c r="R105" i="30"/>
  <c r="S105" i="30"/>
  <c r="T105" i="30"/>
  <c r="U105" i="30"/>
  <c r="V105" i="30"/>
  <c r="W105" i="30"/>
  <c r="X105" i="30"/>
  <c r="P106" i="30"/>
  <c r="Q106" i="30"/>
  <c r="R106" i="30"/>
  <c r="S106" i="30"/>
  <c r="T106" i="30"/>
  <c r="U106" i="30"/>
  <c r="V106" i="30"/>
  <c r="W106" i="30"/>
  <c r="X106" i="30"/>
  <c r="P109" i="30"/>
  <c r="Q109" i="30"/>
  <c r="R109" i="30"/>
  <c r="S109" i="30"/>
  <c r="T109" i="30"/>
  <c r="U109" i="30"/>
  <c r="V109" i="30"/>
  <c r="W109" i="30"/>
  <c r="X109" i="30"/>
  <c r="P110" i="30"/>
  <c r="Q110" i="30"/>
  <c r="R110" i="30"/>
  <c r="S110" i="30"/>
  <c r="T110" i="30"/>
  <c r="U110" i="30"/>
  <c r="V110" i="30"/>
  <c r="W110" i="30"/>
  <c r="X110" i="30"/>
  <c r="P128" i="30"/>
  <c r="P129" i="30" s="1"/>
  <c r="Q128" i="30"/>
  <c r="R128" i="30"/>
  <c r="S128" i="30"/>
  <c r="T128" i="30"/>
  <c r="T129" i="30" s="1"/>
  <c r="U128" i="30"/>
  <c r="U129" i="30" s="1"/>
  <c r="V128" i="30"/>
  <c r="V129" i="30" s="1"/>
  <c r="W128" i="30"/>
  <c r="W129" i="30" s="1"/>
  <c r="X128" i="30"/>
  <c r="X129" i="30" s="1"/>
  <c r="P130" i="30"/>
  <c r="Q130" i="30"/>
  <c r="R130" i="30"/>
  <c r="S130" i="30"/>
  <c r="T130" i="30"/>
  <c r="U130" i="30"/>
  <c r="V130" i="30"/>
  <c r="W130" i="30"/>
  <c r="X130" i="30"/>
  <c r="P131" i="30"/>
  <c r="Q131" i="30"/>
  <c r="R131" i="30"/>
  <c r="S131" i="30"/>
  <c r="T131" i="30"/>
  <c r="U131" i="30"/>
  <c r="V131" i="30"/>
  <c r="W131" i="30"/>
  <c r="X131" i="30"/>
  <c r="P132" i="30"/>
  <c r="Q132" i="30"/>
  <c r="R132" i="30"/>
  <c r="S132" i="30"/>
  <c r="T132" i="30"/>
  <c r="U132" i="30"/>
  <c r="V132" i="30"/>
  <c r="W132" i="30"/>
  <c r="X132" i="30"/>
  <c r="P135" i="30"/>
  <c r="Q135" i="30"/>
  <c r="R135" i="30"/>
  <c r="S135" i="30"/>
  <c r="T135" i="30"/>
  <c r="U135" i="30"/>
  <c r="V135" i="30"/>
  <c r="W135" i="30"/>
  <c r="X135" i="30"/>
  <c r="P136" i="30"/>
  <c r="Q136" i="30"/>
  <c r="R136" i="30"/>
  <c r="S136" i="30"/>
  <c r="T136" i="30"/>
  <c r="U136" i="30"/>
  <c r="V136" i="30"/>
  <c r="W136" i="30"/>
  <c r="X136" i="30"/>
  <c r="P11" i="30"/>
  <c r="Q11" i="30"/>
  <c r="R11" i="30"/>
  <c r="S11" i="30"/>
  <c r="T11" i="30"/>
  <c r="U11" i="30"/>
  <c r="V11" i="30"/>
  <c r="W11" i="30"/>
  <c r="X11" i="30"/>
  <c r="P12" i="30"/>
  <c r="Q12" i="30"/>
  <c r="R12" i="30"/>
  <c r="S12" i="30"/>
  <c r="T12" i="30"/>
  <c r="U12" i="30"/>
  <c r="V12" i="30"/>
  <c r="W12" i="30"/>
  <c r="X12" i="30"/>
  <c r="P13" i="30"/>
  <c r="Q13" i="30"/>
  <c r="R13" i="30"/>
  <c r="S13" i="30"/>
  <c r="T13" i="30"/>
  <c r="U13" i="30"/>
  <c r="V13" i="30"/>
  <c r="W13" i="30"/>
  <c r="X13" i="30"/>
  <c r="P14" i="30"/>
  <c r="Q14" i="30"/>
  <c r="R14" i="30"/>
  <c r="S14" i="30"/>
  <c r="T14" i="30"/>
  <c r="U14" i="30"/>
  <c r="V14" i="30"/>
  <c r="W14" i="30"/>
  <c r="X14" i="30"/>
  <c r="P15" i="30"/>
  <c r="Q15" i="30"/>
  <c r="R15" i="30"/>
  <c r="S15" i="30"/>
  <c r="T15" i="30"/>
  <c r="U15" i="30"/>
  <c r="V15" i="30"/>
  <c r="W15" i="30"/>
  <c r="X15" i="30"/>
  <c r="P18" i="30"/>
  <c r="Q18" i="30"/>
  <c r="R18" i="30"/>
  <c r="S18" i="30"/>
  <c r="T18" i="30"/>
  <c r="U18" i="30"/>
  <c r="V18" i="30"/>
  <c r="W18" i="30"/>
  <c r="X18" i="30"/>
  <c r="P19" i="30"/>
  <c r="Q19" i="30"/>
  <c r="R19" i="30"/>
  <c r="S19" i="30"/>
  <c r="T19" i="30"/>
  <c r="U19" i="30"/>
  <c r="V19" i="30"/>
  <c r="W19" i="30"/>
  <c r="X19" i="30"/>
  <c r="P23" i="30"/>
  <c r="Q23" i="30"/>
  <c r="R23" i="30"/>
  <c r="S23" i="30"/>
  <c r="T23" i="30"/>
  <c r="U23" i="30"/>
  <c r="V23" i="30"/>
  <c r="W23" i="30"/>
  <c r="X23" i="30"/>
  <c r="P24" i="30"/>
  <c r="Q24" i="30"/>
  <c r="R24" i="30"/>
  <c r="S24" i="30"/>
  <c r="T24" i="30"/>
  <c r="U24" i="30"/>
  <c r="V24" i="30"/>
  <c r="W24" i="30"/>
  <c r="X24" i="30"/>
  <c r="P25" i="30"/>
  <c r="Q25" i="30"/>
  <c r="R25" i="30"/>
  <c r="S25" i="30"/>
  <c r="T25" i="30"/>
  <c r="U25" i="30"/>
  <c r="V25" i="30"/>
  <c r="W25" i="30"/>
  <c r="X25" i="30"/>
  <c r="P26" i="30"/>
  <c r="Q26" i="30"/>
  <c r="R26" i="30"/>
  <c r="S26" i="30"/>
  <c r="T26" i="30"/>
  <c r="U26" i="30"/>
  <c r="V26" i="30"/>
  <c r="W26" i="30"/>
  <c r="X26" i="30"/>
  <c r="P27" i="30"/>
  <c r="Q27" i="30"/>
  <c r="R27" i="30"/>
  <c r="S27" i="30"/>
  <c r="T27" i="30"/>
  <c r="U27" i="30"/>
  <c r="V27" i="30"/>
  <c r="W27" i="30"/>
  <c r="X27" i="30"/>
  <c r="P28" i="30"/>
  <c r="Q28" i="30"/>
  <c r="R28" i="30"/>
  <c r="S28" i="30"/>
  <c r="T28" i="30"/>
  <c r="U28" i="30"/>
  <c r="V28" i="30"/>
  <c r="W28" i="30"/>
  <c r="X28" i="30"/>
  <c r="P30" i="30"/>
  <c r="Q30" i="30"/>
  <c r="R30" i="30"/>
  <c r="S30" i="30"/>
  <c r="T30" i="30"/>
  <c r="U30" i="30"/>
  <c r="V30" i="30"/>
  <c r="W30" i="30"/>
  <c r="X30" i="30"/>
  <c r="P31" i="30"/>
  <c r="Q31" i="30"/>
  <c r="R31" i="30"/>
  <c r="S31" i="30"/>
  <c r="T31" i="30"/>
  <c r="U31" i="30"/>
  <c r="V31" i="30"/>
  <c r="W31" i="30"/>
  <c r="X31" i="30"/>
  <c r="P35" i="30"/>
  <c r="Q35" i="30"/>
  <c r="R35" i="30"/>
  <c r="S35" i="30"/>
  <c r="T35" i="30"/>
  <c r="U35" i="30"/>
  <c r="V35" i="30"/>
  <c r="W35" i="30"/>
  <c r="X35" i="30"/>
  <c r="P36" i="30"/>
  <c r="Q36" i="30"/>
  <c r="R36" i="30"/>
  <c r="S36" i="30"/>
  <c r="T36" i="30"/>
  <c r="U36" i="30"/>
  <c r="V36" i="30"/>
  <c r="W36" i="30"/>
  <c r="X36" i="30"/>
  <c r="P37" i="30"/>
  <c r="Q37" i="30"/>
  <c r="R37" i="30"/>
  <c r="S37" i="30"/>
  <c r="T37" i="30"/>
  <c r="U37" i="30"/>
  <c r="V37" i="30"/>
  <c r="W37" i="30"/>
  <c r="X37" i="30"/>
  <c r="P38" i="30"/>
  <c r="Q38" i="30"/>
  <c r="R38" i="30"/>
  <c r="S38" i="30"/>
  <c r="T38" i="30"/>
  <c r="U38" i="30"/>
  <c r="V38" i="30"/>
  <c r="W38" i="30"/>
  <c r="X38" i="30"/>
  <c r="P39" i="30"/>
  <c r="Q39" i="30"/>
  <c r="R39" i="30"/>
  <c r="S39" i="30"/>
  <c r="T39" i="30"/>
  <c r="U39" i="30"/>
  <c r="V39" i="30"/>
  <c r="W39" i="30"/>
  <c r="X39" i="30"/>
  <c r="P40" i="30"/>
  <c r="Q40" i="30"/>
  <c r="R40" i="30"/>
  <c r="S40" i="30"/>
  <c r="T40" i="30"/>
  <c r="U40" i="30"/>
  <c r="V40" i="30"/>
  <c r="W40" i="30"/>
  <c r="X40" i="30"/>
  <c r="P43" i="30"/>
  <c r="Q43" i="30"/>
  <c r="R43" i="30"/>
  <c r="S43" i="30"/>
  <c r="T43" i="30"/>
  <c r="U43" i="30"/>
  <c r="V43" i="30"/>
  <c r="W43" i="30"/>
  <c r="X43" i="30"/>
  <c r="P44" i="30"/>
  <c r="Q44" i="30"/>
  <c r="R44" i="30"/>
  <c r="S44" i="30"/>
  <c r="T44" i="30"/>
  <c r="U44" i="30"/>
  <c r="V44" i="30"/>
  <c r="W44" i="30"/>
  <c r="X44" i="30"/>
  <c r="P62" i="30"/>
  <c r="P63" i="30" s="1"/>
  <c r="Q62" i="30"/>
  <c r="Q63" i="30" s="1"/>
  <c r="R62" i="30"/>
  <c r="R63" i="30" s="1"/>
  <c r="S62" i="30"/>
  <c r="S63" i="30" s="1"/>
  <c r="T62" i="30"/>
  <c r="T63" i="30" s="1"/>
  <c r="U62" i="30"/>
  <c r="V62" i="30"/>
  <c r="V63" i="30" s="1"/>
  <c r="W62" i="30"/>
  <c r="W63" i="30" s="1"/>
  <c r="X62" i="30"/>
  <c r="X63" i="30" s="1"/>
  <c r="P64" i="30"/>
  <c r="Q64" i="30"/>
  <c r="R64" i="30"/>
  <c r="S64" i="30"/>
  <c r="T64" i="30"/>
  <c r="U64" i="30"/>
  <c r="V64" i="30"/>
  <c r="W64" i="30"/>
  <c r="X64" i="30"/>
  <c r="P65" i="30"/>
  <c r="Q65" i="30"/>
  <c r="R65" i="30"/>
  <c r="S65" i="30"/>
  <c r="T65" i="30"/>
  <c r="U65" i="30"/>
  <c r="V65" i="30"/>
  <c r="W65" i="30"/>
  <c r="X65" i="30"/>
  <c r="P66" i="30"/>
  <c r="Q66" i="30"/>
  <c r="R66" i="30"/>
  <c r="S66" i="30"/>
  <c r="T66" i="30"/>
  <c r="U66" i="30"/>
  <c r="V66" i="30"/>
  <c r="W66" i="30"/>
  <c r="X66" i="30"/>
  <c r="P69" i="30"/>
  <c r="Q69" i="30"/>
  <c r="R69" i="30"/>
  <c r="S69" i="30"/>
  <c r="T69" i="30"/>
  <c r="U69" i="30"/>
  <c r="V69" i="30"/>
  <c r="W69" i="30"/>
  <c r="X69" i="30"/>
  <c r="P70" i="30"/>
  <c r="Q70" i="30"/>
  <c r="R70" i="30"/>
  <c r="S70" i="30"/>
  <c r="T70" i="30"/>
  <c r="U70" i="30"/>
  <c r="V70" i="30"/>
  <c r="W70" i="30"/>
  <c r="X70" i="30"/>
  <c r="K10" i="30"/>
  <c r="K1" i="30" s="1"/>
  <c r="L10" i="30"/>
  <c r="L1" i="30" s="1"/>
  <c r="M10" i="30"/>
  <c r="M1" i="30" s="1"/>
  <c r="N10" i="30"/>
  <c r="N1" i="30" s="1"/>
  <c r="O10" i="30"/>
  <c r="O1" i="30" s="1"/>
  <c r="P10" i="30"/>
  <c r="P1" i="30" s="1"/>
  <c r="Q10" i="30"/>
  <c r="Q1" i="30" s="1"/>
  <c r="R10" i="30"/>
  <c r="R1" i="30" s="1"/>
  <c r="S10" i="30"/>
  <c r="S1" i="30" s="1"/>
  <c r="T10" i="30"/>
  <c r="T1" i="30" s="1"/>
  <c r="U10" i="30"/>
  <c r="U1" i="30" s="1"/>
  <c r="V10" i="30"/>
  <c r="V1" i="30" s="1"/>
  <c r="W10" i="30"/>
  <c r="W1" i="30" s="1"/>
  <c r="X10" i="30"/>
  <c r="X1" i="30" s="1"/>
  <c r="J10" i="30"/>
  <c r="N3" i="6"/>
  <c r="O3" i="6"/>
  <c r="P3" i="6"/>
  <c r="Q3" i="6"/>
  <c r="R3" i="6"/>
  <c r="S3" i="6"/>
  <c r="T3" i="6"/>
  <c r="U3" i="6"/>
  <c r="V3" i="6"/>
  <c r="W3" i="6"/>
  <c r="X3" i="6"/>
  <c r="Y3" i="6"/>
  <c r="Z3" i="6"/>
  <c r="AA3" i="6"/>
  <c r="N4" i="6"/>
  <c r="O4" i="6"/>
  <c r="P4" i="6"/>
  <c r="Q4" i="6"/>
  <c r="R4" i="6"/>
  <c r="S4" i="6"/>
  <c r="T4" i="6"/>
  <c r="U4" i="6"/>
  <c r="V4" i="6"/>
  <c r="W4" i="6"/>
  <c r="X4" i="6"/>
  <c r="Y4" i="6"/>
  <c r="Z4" i="6"/>
  <c r="AA4" i="6"/>
  <c r="Y2" i="6"/>
  <c r="Z2" i="6"/>
  <c r="AA2" i="6"/>
  <c r="S2" i="6"/>
  <c r="T2" i="6"/>
  <c r="U2" i="6"/>
  <c r="V2" i="6"/>
  <c r="W2" i="6"/>
  <c r="X2" i="6"/>
  <c r="AA19" i="6"/>
  <c r="AA22" i="6" s="1"/>
  <c r="AA23" i="6" s="1"/>
  <c r="Z19" i="6"/>
  <c r="Z22" i="6" s="1"/>
  <c r="Z23" i="6" s="1"/>
  <c r="Y19" i="6"/>
  <c r="Y22" i="6" s="1"/>
  <c r="Y23" i="6" s="1"/>
  <c r="X19" i="6"/>
  <c r="X22" i="6" s="1"/>
  <c r="X23" i="6" s="1"/>
  <c r="W19" i="6"/>
  <c r="W22" i="6" s="1"/>
  <c r="W23" i="6" s="1"/>
  <c r="V19" i="6"/>
  <c r="V22" i="6" s="1"/>
  <c r="V23" i="6" s="1"/>
  <c r="AA10" i="6"/>
  <c r="Z10" i="6"/>
  <c r="Y10" i="6"/>
  <c r="X10" i="6"/>
  <c r="W10" i="6"/>
  <c r="V10" i="6"/>
  <c r="AA6" i="6"/>
  <c r="AA11" i="6" s="1"/>
  <c r="Z6" i="6"/>
  <c r="Z11" i="6" s="1"/>
  <c r="Y6" i="6"/>
  <c r="Y11" i="6" s="1"/>
  <c r="X6" i="6"/>
  <c r="X11" i="6" s="1"/>
  <c r="W6" i="6"/>
  <c r="W11" i="6" s="1"/>
  <c r="V6" i="6"/>
  <c r="V11" i="6" s="1"/>
  <c r="S19" i="6"/>
  <c r="S22" i="6" s="1"/>
  <c r="S23" i="6" s="1"/>
  <c r="T19" i="6"/>
  <c r="T22" i="6" s="1"/>
  <c r="T23" i="6" s="1"/>
  <c r="U19" i="6"/>
  <c r="U22" i="6" s="1"/>
  <c r="U23" i="6" s="1"/>
  <c r="S6" i="6"/>
  <c r="S11" i="6" s="1"/>
  <c r="T6" i="6"/>
  <c r="T11" i="6" s="1"/>
  <c r="U6" i="6"/>
  <c r="U11" i="6" s="1"/>
  <c r="S10" i="6"/>
  <c r="T10" i="6"/>
  <c r="U10" i="6"/>
  <c r="J163" i="30"/>
  <c r="J161" i="30"/>
  <c r="K161" i="30"/>
  <c r="L161" i="30"/>
  <c r="M161" i="30"/>
  <c r="N161" i="30"/>
  <c r="O161" i="30"/>
  <c r="R11" i="2" a="1"/>
  <c r="S67" i="30"/>
  <c r="U174" i="30" a="1"/>
  <c r="Q67" i="30"/>
  <c r="S42" i="30" a="1"/>
  <c r="X200" i="30"/>
  <c r="Q17" i="30"/>
  <c r="V41" i="30" a="1"/>
  <c r="T17" i="30"/>
  <c r="W200" i="30"/>
  <c r="R67" i="30"/>
  <c r="V67" i="30"/>
  <c r="P67" i="30"/>
  <c r="S200" i="30"/>
  <c r="X174" i="30" a="1"/>
  <c r="P41" i="30" a="1"/>
  <c r="X67" i="30"/>
  <c r="P16" i="30"/>
  <c r="T16" i="30"/>
  <c r="W67" i="30"/>
  <c r="Q68" i="30"/>
  <c r="T67" i="30"/>
  <c r="X201" i="30"/>
  <c r="X29" i="30"/>
  <c r="R201" i="30"/>
  <c r="T41" i="30" a="1"/>
  <c r="X16" i="30"/>
  <c r="S174" i="30" a="1"/>
  <c r="P200" i="30"/>
  <c r="Q200" i="30"/>
  <c r="P174" i="30" a="1"/>
  <c r="S41" i="30" a="1"/>
  <c r="R174" i="30" a="1"/>
  <c r="T68" i="30"/>
  <c r="R68" i="30"/>
  <c r="X68" i="30"/>
  <c r="P42" i="30" a="1"/>
  <c r="Q174" i="30" a="1"/>
  <c r="R16" i="30"/>
  <c r="R29" i="30"/>
  <c r="P68" i="30"/>
  <c r="U201" i="30"/>
  <c r="W201" i="30"/>
  <c r="S201" i="30"/>
  <c r="X42" i="30" a="1"/>
  <c r="R41" i="30" a="1"/>
  <c r="P29" i="30"/>
  <c r="P201" i="30"/>
  <c r="W41" i="30" a="1"/>
  <c r="W42" i="30" a="1"/>
  <c r="W29" i="30"/>
  <c r="T201" i="30"/>
  <c r="T174" i="30" a="1"/>
  <c r="U42" i="30" a="1"/>
  <c r="R200" i="30"/>
  <c r="U29" i="30"/>
  <c r="V42" i="30" a="1"/>
  <c r="X41" i="30" a="1"/>
  <c r="V200" i="30"/>
  <c r="W68" i="30"/>
  <c r="V174" i="30" a="1"/>
  <c r="Q29" i="30"/>
  <c r="V68" i="30"/>
  <c r="T200" i="30"/>
  <c r="V16" i="30"/>
  <c r="U200" i="30"/>
  <c r="T42" i="30" a="1"/>
  <c r="Q42" i="30" a="1"/>
  <c r="Q16" i="30"/>
  <c r="U41" i="30" a="1"/>
  <c r="R17" i="30"/>
  <c r="V201" i="30"/>
  <c r="R42" i="30" a="1"/>
  <c r="W174" i="30" a="1"/>
  <c r="Q41" i="30" a="1"/>
  <c r="S16" i="30"/>
  <c r="Q201" i="30"/>
  <c r="S68" i="30"/>
  <c r="T29" i="30"/>
  <c r="S29" i="30"/>
  <c r="V29" i="30"/>
  <c r="R11" i="2" l="1"/>
  <c r="T37" i="6" a="1"/>
  <c r="T37" i="6" s="1"/>
  <c r="S37" i="6" a="1"/>
  <c r="S37" i="6" s="1"/>
  <c r="X12" i="6"/>
  <c r="N6" i="38" s="1"/>
  <c r="Y12" i="6"/>
  <c r="O6" i="38" s="1"/>
  <c r="U12" i="6"/>
  <c r="K6" i="38" s="1"/>
  <c r="Z12" i="6"/>
  <c r="AA12" i="6"/>
  <c r="T12" i="6"/>
  <c r="J6" i="38" s="1"/>
  <c r="V12" i="6"/>
  <c r="L6" i="38" s="1"/>
  <c r="W12" i="6"/>
  <c r="V20" i="30"/>
  <c r="S12" i="6"/>
  <c r="I6" i="38" s="1"/>
  <c r="N12" i="6"/>
  <c r="P35" i="6"/>
  <c r="P33" i="6" a="1"/>
  <c r="P33" i="6" s="1"/>
  <c r="W35" i="6"/>
  <c r="M16" i="38" s="1"/>
  <c r="N37" i="6" a="1"/>
  <c r="N37" i="6" s="1"/>
  <c r="O33" i="6" a="1"/>
  <c r="O33" i="6" s="1"/>
  <c r="N33" i="6" a="1"/>
  <c r="N33" i="6" s="1"/>
  <c r="N35" i="6"/>
  <c r="Z35" i="6"/>
  <c r="Z33" i="6" a="1"/>
  <c r="Z33" i="6" s="1"/>
  <c r="R33" i="6" a="1"/>
  <c r="R33" i="6" s="1"/>
  <c r="R35" i="6"/>
  <c r="Z62" i="6" a="1"/>
  <c r="Z62" i="6" s="1"/>
  <c r="X68" i="6" a="1"/>
  <c r="X68" i="6" s="1"/>
  <c r="T68" i="6" a="1"/>
  <c r="T68" i="6" s="1"/>
  <c r="V33" i="6" a="1"/>
  <c r="V33" i="6" s="1"/>
  <c r="V68" i="6" a="1"/>
  <c r="V68" i="6" s="1"/>
  <c r="X33" i="6" a="1"/>
  <c r="X33" i="6" s="1"/>
  <c r="T35" i="6"/>
  <c r="Y33" i="6" a="1"/>
  <c r="Y33" i="6" s="1"/>
  <c r="Z68" i="6" a="1"/>
  <c r="Z68" i="6" s="1"/>
  <c r="AA33" i="6" a="1"/>
  <c r="AA33" i="6" s="1"/>
  <c r="P68" i="6" a="1"/>
  <c r="P68" i="6" s="1"/>
  <c r="Q33" i="6" a="1"/>
  <c r="Q33" i="6" s="1"/>
  <c r="S33" i="6" a="1"/>
  <c r="S33" i="6" s="1"/>
  <c r="U33" i="6" a="1"/>
  <c r="U33" i="6" s="1"/>
  <c r="N68" i="6" a="1"/>
  <c r="N68" i="6" s="1"/>
  <c r="O68" i="6" a="1"/>
  <c r="O68" i="6" s="1"/>
  <c r="AA68" i="6" a="1"/>
  <c r="AA68" i="6" s="1"/>
  <c r="Q68" i="6" a="1"/>
  <c r="Q68" i="6" s="1"/>
  <c r="R137" i="30"/>
  <c r="R139" i="30" s="1"/>
  <c r="S178" i="30"/>
  <c r="L16" i="38"/>
  <c r="Q98" i="30"/>
  <c r="Q100" i="30" s="1"/>
  <c r="P98" i="30"/>
  <c r="P100" i="30" s="1"/>
  <c r="AA37" i="6" a="1"/>
  <c r="AA37" i="6" s="1"/>
  <c r="Z37" i="6" a="1"/>
  <c r="Z37" i="6" s="1"/>
  <c r="Q150" i="30"/>
  <c r="X37" i="6" a="1"/>
  <c r="X37" i="6" s="1"/>
  <c r="W37" i="6" a="1"/>
  <c r="W37" i="6" s="1"/>
  <c r="V37" i="6" a="1"/>
  <c r="V37" i="6" s="1"/>
  <c r="Y37" i="6" a="1"/>
  <c r="Y37" i="6" s="1"/>
  <c r="U37" i="6" a="1"/>
  <c r="U37" i="6" s="1"/>
  <c r="P149" i="30"/>
  <c r="M37" i="6" a="1"/>
  <c r="M37" i="6" s="1"/>
  <c r="P10" i="38"/>
  <c r="K10" i="38"/>
  <c r="I10" i="38"/>
  <c r="T107" i="30" a="1"/>
  <c r="T107" i="30" s="1"/>
  <c r="Q208" i="30"/>
  <c r="P150" i="30"/>
  <c r="X150" i="30"/>
  <c r="Q149" i="30"/>
  <c r="K16" i="38"/>
  <c r="Q83" i="30"/>
  <c r="S107" i="30" a="1"/>
  <c r="S107" i="30" s="1"/>
  <c r="R82" i="30"/>
  <c r="Q10" i="38"/>
  <c r="R107" i="30" a="1"/>
  <c r="R107" i="30" s="1"/>
  <c r="T82" i="30"/>
  <c r="T162" i="30"/>
  <c r="X149" i="30"/>
  <c r="U74" i="30"/>
  <c r="X111" i="30"/>
  <c r="X113" i="30" s="1"/>
  <c r="T207" i="30"/>
  <c r="V141" i="30"/>
  <c r="P86" i="30"/>
  <c r="P88" i="30" s="1"/>
  <c r="S71" i="30"/>
  <c r="S72" i="30" s="1"/>
  <c r="Q75" i="30"/>
  <c r="U141" i="30"/>
  <c r="T95" i="30"/>
  <c r="V140" i="30"/>
  <c r="S165" i="30"/>
  <c r="S208" i="30"/>
  <c r="T141" i="30"/>
  <c r="T134" i="30"/>
  <c r="S141" i="30"/>
  <c r="T140" i="30"/>
  <c r="U162" i="30"/>
  <c r="T204" i="30"/>
  <c r="T205" i="30" s="1"/>
  <c r="T153" i="30"/>
  <c r="T155" i="30" s="1"/>
  <c r="T86" i="30"/>
  <c r="T88" i="30" s="1"/>
  <c r="V137" i="30"/>
  <c r="V139" i="30" s="1"/>
  <c r="M10" i="38"/>
  <c r="R150" i="30"/>
  <c r="R149" i="30"/>
  <c r="R208" i="30"/>
  <c r="Q165" i="30"/>
  <c r="Q32" i="30"/>
  <c r="Q178" i="30"/>
  <c r="W204" i="30"/>
  <c r="W205" i="30" s="1"/>
  <c r="W165" i="30"/>
  <c r="W71" i="30"/>
  <c r="R141" i="30"/>
  <c r="R129" i="30"/>
  <c r="R133" i="30" s="1"/>
  <c r="Q129" i="30"/>
  <c r="Q134" i="30" s="1"/>
  <c r="W137" i="30"/>
  <c r="W139" i="30" s="1"/>
  <c r="X137" i="30"/>
  <c r="X139" i="30" s="1"/>
  <c r="U165" i="30"/>
  <c r="P71" i="30"/>
  <c r="P72" i="30" s="1"/>
  <c r="R75" i="30"/>
  <c r="V98" i="30"/>
  <c r="V100" i="30" s="1"/>
  <c r="Q6" i="38"/>
  <c r="S45" i="30"/>
  <c r="S153" i="30"/>
  <c r="S155" i="30" s="1"/>
  <c r="S111" i="30"/>
  <c r="S113" i="30" s="1"/>
  <c r="T208" i="30"/>
  <c r="O10" i="38"/>
  <c r="U32" i="30"/>
  <c r="U33" i="30" s="1"/>
  <c r="X20" i="30"/>
  <c r="W108" i="30" a="1"/>
  <c r="W108" i="30" s="1"/>
  <c r="P32" i="30"/>
  <c r="P178" i="30"/>
  <c r="P165" i="30"/>
  <c r="U204" i="30"/>
  <c r="U86" i="30"/>
  <c r="U88" i="30" s="1"/>
  <c r="U153" i="30"/>
  <c r="U155" i="30" s="1"/>
  <c r="V204" i="30"/>
  <c r="V205" i="30" s="1"/>
  <c r="V71" i="30"/>
  <c r="V72" i="30" s="1"/>
  <c r="V45" i="30"/>
  <c r="V86" i="30"/>
  <c r="V88" i="30" s="1"/>
  <c r="V153" i="30"/>
  <c r="V155" i="30" s="1"/>
  <c r="P45" i="30"/>
  <c r="V75" i="30"/>
  <c r="Q86" i="30"/>
  <c r="Q88" i="30" s="1"/>
  <c r="X165" i="30"/>
  <c r="X98" i="30"/>
  <c r="X100" i="30" s="1"/>
  <c r="X32" i="30"/>
  <c r="X33" i="30" s="1"/>
  <c r="W98" i="30"/>
  <c r="W100" i="30" s="1"/>
  <c r="U95" i="30"/>
  <c r="T74" i="30"/>
  <c r="X71" i="30"/>
  <c r="X72" i="30" s="1"/>
  <c r="T32" i="30"/>
  <c r="U20" i="30"/>
  <c r="T75" i="30"/>
  <c r="T133" i="30"/>
  <c r="Q111" i="30"/>
  <c r="Q113" i="30" s="1"/>
  <c r="Q153" i="30"/>
  <c r="Q155" i="30" s="1"/>
  <c r="R98" i="30"/>
  <c r="R100" i="30" s="1"/>
  <c r="R165" i="30"/>
  <c r="R71" i="30"/>
  <c r="R72" i="30" s="1"/>
  <c r="R32" i="30"/>
  <c r="R33" i="30" s="1"/>
  <c r="R45" i="30"/>
  <c r="R111" i="30"/>
  <c r="R113" i="30" s="1"/>
  <c r="R178" i="30"/>
  <c r="P6" i="38"/>
  <c r="R74" i="30"/>
  <c r="V32" i="30"/>
  <c r="V33" i="30" s="1"/>
  <c r="T20" i="30"/>
  <c r="T21" i="30" s="1"/>
  <c r="S75" i="30"/>
  <c r="X108" i="30" a="1"/>
  <c r="X108" i="30" s="1"/>
  <c r="X178" i="30"/>
  <c r="S204" i="30"/>
  <c r="S205" i="30" s="1"/>
  <c r="P162" i="30"/>
  <c r="T149" i="30"/>
  <c r="Q74" i="30"/>
  <c r="Q45" i="30"/>
  <c r="W111" i="30"/>
  <c r="W113" i="30" s="1"/>
  <c r="T98" i="30"/>
  <c r="T100" i="30" s="1"/>
  <c r="X95" i="30"/>
  <c r="P82" i="30"/>
  <c r="W178" i="30"/>
  <c r="X153" i="30"/>
  <c r="X155" i="30" s="1"/>
  <c r="T178" i="30"/>
  <c r="S32" i="30"/>
  <c r="S33" i="30" s="1"/>
  <c r="U98" i="30"/>
  <c r="U100" i="30" s="1"/>
  <c r="W140" i="30"/>
  <c r="U178" i="30"/>
  <c r="U137" i="30"/>
  <c r="U139" i="30" s="1"/>
  <c r="T108" i="30" a="1"/>
  <c r="T108" i="30" s="1"/>
  <c r="R204" i="30"/>
  <c r="R205" i="30" s="1"/>
  <c r="X162" i="30"/>
  <c r="S149" i="30"/>
  <c r="Q20" i="30"/>
  <c r="Q137" i="30"/>
  <c r="Q139" i="30" s="1"/>
  <c r="V111" i="30"/>
  <c r="V113" i="30" s="1"/>
  <c r="T71" i="30"/>
  <c r="T72" i="30" s="1"/>
  <c r="R108" i="30" a="1"/>
  <c r="R108" i="30" s="1"/>
  <c r="W86" i="30"/>
  <c r="W88" i="30" s="1"/>
  <c r="W20" i="30"/>
  <c r="S98" i="30"/>
  <c r="S100" i="30" s="1"/>
  <c r="Q95" i="30"/>
  <c r="V178" i="30"/>
  <c r="X45" i="30"/>
  <c r="X82" i="30"/>
  <c r="P20" i="30"/>
  <c r="P137" i="30"/>
  <c r="P139" i="30" s="1"/>
  <c r="U107" i="30" a="1"/>
  <c r="U107" i="30" s="1"/>
  <c r="V95" i="30"/>
  <c r="S162" i="30"/>
  <c r="W207" i="30"/>
  <c r="W45" i="30"/>
  <c r="R20" i="30"/>
  <c r="U140" i="30"/>
  <c r="S86" i="30"/>
  <c r="S88" i="30" s="1"/>
  <c r="X204" i="30"/>
  <c r="X205" i="30" s="1"/>
  <c r="V207" i="30"/>
  <c r="U71" i="30"/>
  <c r="V74" i="30"/>
  <c r="W32" i="30"/>
  <c r="W33" i="30" s="1"/>
  <c r="W74" i="30"/>
  <c r="P111" i="30"/>
  <c r="P113" i="30" s="1"/>
  <c r="P108" i="30" a="1"/>
  <c r="P108" i="30" s="1"/>
  <c r="R86" i="30"/>
  <c r="R88" i="30" s="1"/>
  <c r="R83" i="30"/>
  <c r="W162" i="30"/>
  <c r="Q162" i="30"/>
  <c r="U149" i="30"/>
  <c r="T137" i="30"/>
  <c r="T139" i="30" s="1"/>
  <c r="V107" i="30" a="1"/>
  <c r="V107" i="30" s="1"/>
  <c r="X86" i="30"/>
  <c r="X88" i="30" s="1"/>
  <c r="Q204" i="30"/>
  <c r="Q205" i="30" s="1"/>
  <c r="W153" i="30"/>
  <c r="W155" i="30" s="1"/>
  <c r="S20" i="30"/>
  <c r="S137" i="30"/>
  <c r="S139" i="30" s="1"/>
  <c r="U111" i="30"/>
  <c r="U113" i="30" s="1"/>
  <c r="T83" i="30"/>
  <c r="P204" i="30"/>
  <c r="P205" i="30" s="1"/>
  <c r="T111" i="30"/>
  <c r="T113" i="30" s="1"/>
  <c r="Q108" i="30" a="1"/>
  <c r="Q108" i="30" s="1"/>
  <c r="W133" i="30"/>
  <c r="W95" i="30"/>
  <c r="U45" i="30"/>
  <c r="V134" i="30"/>
  <c r="T45" i="30"/>
  <c r="Q107" i="30" a="1"/>
  <c r="Q107" i="30" s="1"/>
  <c r="S82" i="30"/>
  <c r="V82" i="30"/>
  <c r="V165" i="30"/>
  <c r="R207" i="30"/>
  <c r="R153" i="30"/>
  <c r="R155" i="30" s="1"/>
  <c r="Q71" i="30"/>
  <c r="Q72" i="30" s="1"/>
  <c r="U75" i="30"/>
  <c r="P95" i="30"/>
  <c r="S95" i="30"/>
  <c r="Q82" i="30"/>
  <c r="U207" i="30"/>
  <c r="T165" i="30"/>
  <c r="V162" i="30"/>
  <c r="P153" i="30"/>
  <c r="P155" i="30" s="1"/>
  <c r="W174" i="30"/>
  <c r="S174" i="30"/>
  <c r="V174" i="30"/>
  <c r="R174" i="30"/>
  <c r="T174" i="30"/>
  <c r="X174" i="30"/>
  <c r="P174" i="30"/>
  <c r="U174" i="30"/>
  <c r="Q174" i="30"/>
  <c r="S207" i="30"/>
  <c r="X208" i="30"/>
  <c r="P208" i="30"/>
  <c r="Q207" i="30"/>
  <c r="R162" i="30"/>
  <c r="V150" i="30"/>
  <c r="W149" i="30"/>
  <c r="W150" i="30"/>
  <c r="W208" i="30"/>
  <c r="X207" i="30"/>
  <c r="P207" i="30"/>
  <c r="U150" i="30"/>
  <c r="V149" i="30"/>
  <c r="V208" i="30"/>
  <c r="T150" i="30"/>
  <c r="U208" i="30"/>
  <c r="S150" i="30"/>
  <c r="U133" i="30"/>
  <c r="U134" i="30"/>
  <c r="P107" i="30" a="1"/>
  <c r="P107" i="30" s="1"/>
  <c r="X83" i="30"/>
  <c r="P83" i="30"/>
  <c r="S140" i="30"/>
  <c r="S108" i="30" a="1"/>
  <c r="S108" i="30" s="1"/>
  <c r="Q141" i="30"/>
  <c r="R140" i="30"/>
  <c r="X134" i="30"/>
  <c r="P134" i="30"/>
  <c r="W83" i="30"/>
  <c r="X107" i="30" a="1"/>
  <c r="X107" i="30" s="1"/>
  <c r="X141" i="30"/>
  <c r="P141" i="30"/>
  <c r="Q140" i="30"/>
  <c r="W134" i="30"/>
  <c r="X133" i="30"/>
  <c r="P133" i="30"/>
  <c r="V108" i="30" a="1"/>
  <c r="V108" i="30" s="1"/>
  <c r="W107" i="30" a="1"/>
  <c r="W107" i="30" s="1"/>
  <c r="R95" i="30"/>
  <c r="V83" i="30"/>
  <c r="W82" i="30"/>
  <c r="W141" i="30"/>
  <c r="X140" i="30"/>
  <c r="P140" i="30"/>
  <c r="S129" i="30"/>
  <c r="S133" i="30" s="1"/>
  <c r="U83" i="30"/>
  <c r="V133" i="30"/>
  <c r="U108" i="30" a="1"/>
  <c r="U108" i="30" s="1"/>
  <c r="U82" i="30"/>
  <c r="S83" i="30"/>
  <c r="R42" i="30"/>
  <c r="V42" i="30"/>
  <c r="X42" i="30"/>
  <c r="P42" i="30"/>
  <c r="T42" i="30"/>
  <c r="W42" i="30"/>
  <c r="S42" i="30"/>
  <c r="X41" i="30"/>
  <c r="T41" i="30"/>
  <c r="P41" i="30"/>
  <c r="W72" i="30"/>
  <c r="W41" i="30"/>
  <c r="S41" i="30"/>
  <c r="U42" i="30"/>
  <c r="Q42" i="30"/>
  <c r="V41" i="30"/>
  <c r="R41" i="30"/>
  <c r="U41" i="30"/>
  <c r="Q41" i="30"/>
  <c r="S74" i="30"/>
  <c r="U63" i="30"/>
  <c r="X75" i="30"/>
  <c r="P75" i="30"/>
  <c r="W75" i="30"/>
  <c r="X74" i="30"/>
  <c r="P74" i="30"/>
  <c r="K94" i="30"/>
  <c r="L94" i="30"/>
  <c r="M94" i="30"/>
  <c r="N94" i="30"/>
  <c r="O94" i="30"/>
  <c r="J94" i="30"/>
  <c r="Q175" i="30" a="1"/>
  <c r="U73" i="30"/>
  <c r="T167" i="30"/>
  <c r="Q206" i="30"/>
  <c r="X175" i="30" a="1"/>
  <c r="T180" i="30"/>
  <c r="X17" i="30"/>
  <c r="U180" i="30"/>
  <c r="T47" i="30"/>
  <c r="T175" i="30" a="1"/>
  <c r="R180" i="30"/>
  <c r="U175" i="30" a="1"/>
  <c r="T22" i="30"/>
  <c r="P175" i="30" a="1"/>
  <c r="X206" i="30"/>
  <c r="R34" i="30"/>
  <c r="W47" i="30"/>
  <c r="W17" i="30"/>
  <c r="W180" i="30"/>
  <c r="S73" i="30"/>
  <c r="U167" i="30"/>
  <c r="P47" i="30"/>
  <c r="P73" i="30"/>
  <c r="S34" i="30"/>
  <c r="U34" i="30"/>
  <c r="V175" i="30" a="1"/>
  <c r="S22" i="30"/>
  <c r="R206" i="30"/>
  <c r="S167" i="30"/>
  <c r="X73" i="30"/>
  <c r="W206" i="30"/>
  <c r="X180" i="30"/>
  <c r="U16" i="30"/>
  <c r="V180" i="30"/>
  <c r="S206" i="30"/>
  <c r="W16" i="30"/>
  <c r="Q34" i="30"/>
  <c r="W73" i="30"/>
  <c r="X34" i="30"/>
  <c r="U22" i="30"/>
  <c r="X167" i="30"/>
  <c r="P167" i="30"/>
  <c r="V167" i="30"/>
  <c r="P17" i="30"/>
  <c r="P34" i="30"/>
  <c r="R73" i="30"/>
  <c r="Q180" i="30"/>
  <c r="S47" i="30"/>
  <c r="U206" i="30"/>
  <c r="U17" i="30"/>
  <c r="P180" i="30"/>
  <c r="S17" i="30"/>
  <c r="Q47" i="30"/>
  <c r="U68" i="30"/>
  <c r="R22" i="30"/>
  <c r="V17" i="30"/>
  <c r="X47" i="30"/>
  <c r="W167" i="30"/>
  <c r="R167" i="30"/>
  <c r="S180" i="30"/>
  <c r="T34" i="30"/>
  <c r="V206" i="30"/>
  <c r="P22" i="30"/>
  <c r="W22" i="30"/>
  <c r="Q73" i="30"/>
  <c r="R47" i="30"/>
  <c r="Q22" i="30"/>
  <c r="U47" i="30"/>
  <c r="W34" i="30"/>
  <c r="T206" i="30"/>
  <c r="T73" i="30"/>
  <c r="V22" i="30"/>
  <c r="V47" i="30"/>
  <c r="Q167" i="30"/>
  <c r="X22" i="30"/>
  <c r="S175" i="30" a="1"/>
  <c r="R175" i="30" a="1"/>
  <c r="U67" i="30"/>
  <c r="V73" i="30"/>
  <c r="W175" i="30" a="1"/>
  <c r="P206" i="30"/>
  <c r="V34" i="30"/>
  <c r="U112" i="30" l="1"/>
  <c r="P99" i="30"/>
  <c r="U166" i="30"/>
  <c r="M6" i="38"/>
  <c r="S154" i="30"/>
  <c r="Q99" i="30"/>
  <c r="S166" i="30"/>
  <c r="T211" i="30"/>
  <c r="M17" i="38" s="1"/>
  <c r="N10" i="38"/>
  <c r="N16" i="38"/>
  <c r="J10" i="38"/>
  <c r="P16" i="38"/>
  <c r="L10" i="38"/>
  <c r="S99" i="30"/>
  <c r="T87" i="30"/>
  <c r="P87" i="30"/>
  <c r="Q212" i="30"/>
  <c r="J18" i="38" s="1"/>
  <c r="W99" i="30"/>
  <c r="W166" i="30"/>
  <c r="Q16" i="38"/>
  <c r="R87" i="30"/>
  <c r="J16" i="38"/>
  <c r="Q154" i="30"/>
  <c r="U99" i="30"/>
  <c r="U212" i="30"/>
  <c r="N18" i="38" s="1"/>
  <c r="I16" i="38"/>
  <c r="T99" i="30"/>
  <c r="O16" i="38"/>
  <c r="S112" i="30"/>
  <c r="S212" i="30"/>
  <c r="L18" i="38" s="1"/>
  <c r="R99" i="30"/>
  <c r="W112" i="30"/>
  <c r="U154" i="30"/>
  <c r="T112" i="30"/>
  <c r="T212" i="30"/>
  <c r="M18" i="38" s="1"/>
  <c r="R134" i="30"/>
  <c r="R138" i="30" s="1"/>
  <c r="U211" i="30"/>
  <c r="N17" i="38" s="1"/>
  <c r="V112" i="30"/>
  <c r="W211" i="30"/>
  <c r="P17" i="38" s="1"/>
  <c r="S211" i="30"/>
  <c r="L17" i="38" s="1"/>
  <c r="Q112" i="30"/>
  <c r="P154" i="30"/>
  <c r="R166" i="30"/>
  <c r="V166" i="30"/>
  <c r="P212" i="30"/>
  <c r="I18" i="38" s="1"/>
  <c r="X212" i="30"/>
  <c r="Q18" i="38" s="1"/>
  <c r="T138" i="30"/>
  <c r="V138" i="30"/>
  <c r="T154" i="30"/>
  <c r="P166" i="30"/>
  <c r="Q133" i="30"/>
  <c r="Q138" i="30" s="1"/>
  <c r="W138" i="30"/>
  <c r="Q211" i="30"/>
  <c r="J17" i="38" s="1"/>
  <c r="X166" i="30"/>
  <c r="V99" i="30"/>
  <c r="R212" i="30"/>
  <c r="K18" i="38" s="1"/>
  <c r="U205" i="30"/>
  <c r="R21" i="30"/>
  <c r="X87" i="30"/>
  <c r="W212" i="30"/>
  <c r="P18" i="38" s="1"/>
  <c r="R154" i="30"/>
  <c r="T166" i="30"/>
  <c r="V212" i="30"/>
  <c r="O18" i="38" s="1"/>
  <c r="P211" i="30"/>
  <c r="I17" i="38" s="1"/>
  <c r="X154" i="30"/>
  <c r="Q87" i="30"/>
  <c r="Q21" i="30"/>
  <c r="T33" i="30"/>
  <c r="X112" i="30"/>
  <c r="W154" i="30"/>
  <c r="P33" i="30"/>
  <c r="S134" i="30"/>
  <c r="S138" i="30" s="1"/>
  <c r="R112" i="30"/>
  <c r="X211" i="30"/>
  <c r="Q17" i="38" s="1"/>
  <c r="X99" i="30"/>
  <c r="Q33" i="30"/>
  <c r="S87" i="30"/>
  <c r="V87" i="30"/>
  <c r="P112" i="30"/>
  <c r="U138" i="30"/>
  <c r="R211" i="30"/>
  <c r="K17" i="38" s="1"/>
  <c r="Q166" i="30"/>
  <c r="V211" i="30"/>
  <c r="O17" i="38" s="1"/>
  <c r="Q46" i="30"/>
  <c r="X46" i="30"/>
  <c r="P175" i="30"/>
  <c r="P179" i="30" s="1"/>
  <c r="S175" i="30"/>
  <c r="S179" i="30" s="1"/>
  <c r="X175" i="30"/>
  <c r="X179" i="30" s="1"/>
  <c r="W175" i="30"/>
  <c r="W179" i="30" s="1"/>
  <c r="T175" i="30"/>
  <c r="T179" i="30" s="1"/>
  <c r="Q175" i="30"/>
  <c r="Q179" i="30" s="1"/>
  <c r="R175" i="30"/>
  <c r="R179" i="30" s="1"/>
  <c r="U175" i="30"/>
  <c r="U179" i="30" s="1"/>
  <c r="V175" i="30"/>
  <c r="V179" i="30" s="1"/>
  <c r="V154" i="30"/>
  <c r="W87" i="30"/>
  <c r="W46" i="30"/>
  <c r="P138" i="30"/>
  <c r="X138" i="30"/>
  <c r="U46" i="30"/>
  <c r="U87" i="30"/>
  <c r="S21" i="30"/>
  <c r="U72" i="30"/>
  <c r="W21" i="30"/>
  <c r="P21" i="30"/>
  <c r="U21" i="30"/>
  <c r="X21" i="30"/>
  <c r="V21" i="30"/>
  <c r="T46" i="30"/>
  <c r="V46" i="30"/>
  <c r="S46" i="30"/>
  <c r="P46" i="30"/>
  <c r="R46" i="30"/>
  <c r="K28" i="30"/>
  <c r="L28" i="30"/>
  <c r="M28" i="30"/>
  <c r="N28" i="30"/>
  <c r="O28" i="30"/>
  <c r="J28" i="30"/>
  <c r="L13" i="30"/>
  <c r="M13" i="30"/>
  <c r="N13" i="30"/>
  <c r="O13" i="30"/>
  <c r="L14" i="30"/>
  <c r="M14" i="30"/>
  <c r="N14" i="30"/>
  <c r="O14" i="30"/>
  <c r="L15" i="30"/>
  <c r="M15" i="30"/>
  <c r="N15" i="30"/>
  <c r="O15" i="30"/>
  <c r="L18" i="30"/>
  <c r="M18" i="30"/>
  <c r="N18" i="30"/>
  <c r="O18" i="30"/>
  <c r="L19" i="30"/>
  <c r="M19" i="30"/>
  <c r="N19" i="30"/>
  <c r="O19" i="30"/>
  <c r="J15" i="30" l="1"/>
  <c r="K144" i="30"/>
  <c r="L144" i="30"/>
  <c r="M144" i="30"/>
  <c r="N144" i="30"/>
  <c r="O144" i="30"/>
  <c r="J144" i="30"/>
  <c r="K77" i="30"/>
  <c r="L77" i="30"/>
  <c r="M77" i="30"/>
  <c r="N77" i="30"/>
  <c r="O77" i="30"/>
  <c r="J77" i="30"/>
  <c r="K11" i="30"/>
  <c r="L11" i="30"/>
  <c r="M11" i="30"/>
  <c r="N11" i="30"/>
  <c r="O11" i="30"/>
  <c r="J11" i="30"/>
  <c r="K15" i="30"/>
  <c r="K12" i="30"/>
  <c r="L12" i="30"/>
  <c r="M12" i="30"/>
  <c r="N12" i="30"/>
  <c r="O12" i="30"/>
  <c r="K13" i="30"/>
  <c r="K14" i="30"/>
  <c r="K18" i="30"/>
  <c r="K19" i="30"/>
  <c r="K23" i="30"/>
  <c r="L23" i="30"/>
  <c r="M23" i="30"/>
  <c r="N23" i="30"/>
  <c r="O23" i="30"/>
  <c r="K24" i="30"/>
  <c r="L24" i="30"/>
  <c r="M24" i="30"/>
  <c r="N24" i="30"/>
  <c r="O24" i="30"/>
  <c r="K25" i="30"/>
  <c r="L25" i="30"/>
  <c r="M25" i="30"/>
  <c r="N25" i="30"/>
  <c r="O25" i="30"/>
  <c r="K26" i="30"/>
  <c r="L26" i="30"/>
  <c r="M26" i="30"/>
  <c r="N26" i="30"/>
  <c r="O26" i="30"/>
  <c r="K27" i="30"/>
  <c r="L27" i="30"/>
  <c r="M27" i="30"/>
  <c r="N27" i="30"/>
  <c r="O27" i="30"/>
  <c r="K30" i="30"/>
  <c r="L30" i="30"/>
  <c r="M30" i="30"/>
  <c r="N30" i="30"/>
  <c r="O30" i="30"/>
  <c r="K31" i="30"/>
  <c r="L31" i="30"/>
  <c r="M31" i="30"/>
  <c r="N31" i="30"/>
  <c r="O31" i="30"/>
  <c r="K35" i="30"/>
  <c r="L35" i="30"/>
  <c r="M35" i="30"/>
  <c r="N35" i="30"/>
  <c r="O35" i="30"/>
  <c r="K36" i="30"/>
  <c r="L36" i="30"/>
  <c r="M36" i="30"/>
  <c r="N36" i="30"/>
  <c r="O36" i="30"/>
  <c r="K37" i="30"/>
  <c r="L37" i="30"/>
  <c r="M37" i="30"/>
  <c r="N37" i="30"/>
  <c r="O37" i="30"/>
  <c r="K38" i="30"/>
  <c r="L38" i="30"/>
  <c r="M38" i="30"/>
  <c r="N38" i="30"/>
  <c r="O38" i="30"/>
  <c r="K39" i="30"/>
  <c r="L39" i="30"/>
  <c r="M39" i="30"/>
  <c r="N39" i="30"/>
  <c r="O39" i="30"/>
  <c r="K40" i="30"/>
  <c r="L40" i="30"/>
  <c r="M40" i="30"/>
  <c r="N40" i="30"/>
  <c r="O40" i="30"/>
  <c r="K43" i="30"/>
  <c r="L43" i="30"/>
  <c r="M43" i="30"/>
  <c r="N43" i="30"/>
  <c r="O43" i="30"/>
  <c r="K44" i="30"/>
  <c r="L44" i="30"/>
  <c r="M44" i="30"/>
  <c r="N44" i="30"/>
  <c r="O44" i="30"/>
  <c r="K62" i="30"/>
  <c r="L62" i="30"/>
  <c r="M62" i="30"/>
  <c r="N62" i="30"/>
  <c r="O62" i="30"/>
  <c r="K64" i="30"/>
  <c r="L64" i="30"/>
  <c r="M64" i="30"/>
  <c r="N64" i="30"/>
  <c r="O64" i="30"/>
  <c r="K65" i="30"/>
  <c r="L65" i="30"/>
  <c r="M65" i="30"/>
  <c r="N65" i="30"/>
  <c r="O65" i="30"/>
  <c r="K66" i="30"/>
  <c r="L66" i="30"/>
  <c r="M66" i="30"/>
  <c r="N66" i="30"/>
  <c r="O66" i="30"/>
  <c r="K69" i="30"/>
  <c r="L69" i="30"/>
  <c r="M69" i="30"/>
  <c r="N69" i="30"/>
  <c r="O69" i="30"/>
  <c r="K70" i="30"/>
  <c r="L70" i="30"/>
  <c r="M70" i="30"/>
  <c r="N70" i="30"/>
  <c r="O70" i="30"/>
  <c r="K78" i="30"/>
  <c r="L78" i="30"/>
  <c r="M78" i="30"/>
  <c r="N78" i="30"/>
  <c r="O78" i="30"/>
  <c r="K79" i="30"/>
  <c r="L79" i="30"/>
  <c r="M79" i="30"/>
  <c r="N79" i="30"/>
  <c r="O79" i="30"/>
  <c r="K80" i="30"/>
  <c r="L80" i="30"/>
  <c r="M80" i="30"/>
  <c r="N80" i="30"/>
  <c r="O80" i="30"/>
  <c r="K81" i="30"/>
  <c r="L81" i="30"/>
  <c r="M81" i="30"/>
  <c r="N81" i="30"/>
  <c r="O81" i="30"/>
  <c r="K84" i="30"/>
  <c r="L84" i="30"/>
  <c r="M84" i="30"/>
  <c r="N84" i="30"/>
  <c r="O84" i="30"/>
  <c r="K85" i="30"/>
  <c r="L85" i="30"/>
  <c r="M85" i="30"/>
  <c r="N85" i="30"/>
  <c r="O85" i="30"/>
  <c r="K89" i="30"/>
  <c r="L89" i="30"/>
  <c r="M89" i="30"/>
  <c r="N89" i="30"/>
  <c r="O89" i="30"/>
  <c r="K90" i="30"/>
  <c r="L90" i="30"/>
  <c r="M90" i="30"/>
  <c r="N90" i="30"/>
  <c r="O90" i="30"/>
  <c r="K91" i="30"/>
  <c r="L91" i="30"/>
  <c r="M91" i="30"/>
  <c r="N91" i="30"/>
  <c r="O91" i="30"/>
  <c r="K92" i="30"/>
  <c r="L92" i="30"/>
  <c r="M92" i="30"/>
  <c r="N92" i="30"/>
  <c r="O92" i="30"/>
  <c r="K93" i="30"/>
  <c r="L93" i="30"/>
  <c r="M93" i="30"/>
  <c r="N93" i="30"/>
  <c r="O93" i="30"/>
  <c r="K96" i="30"/>
  <c r="L96" i="30"/>
  <c r="M96" i="30"/>
  <c r="N96" i="30"/>
  <c r="O96" i="30"/>
  <c r="K97" i="30"/>
  <c r="L97" i="30"/>
  <c r="M97" i="30"/>
  <c r="N97" i="30"/>
  <c r="O97" i="30"/>
  <c r="K101" i="30"/>
  <c r="L101" i="30"/>
  <c r="M101" i="30"/>
  <c r="N101" i="30"/>
  <c r="O101" i="30"/>
  <c r="K102" i="30"/>
  <c r="L102" i="30"/>
  <c r="M102" i="30"/>
  <c r="N102" i="30"/>
  <c r="O102" i="30"/>
  <c r="K103" i="30"/>
  <c r="L103" i="30"/>
  <c r="M103" i="30"/>
  <c r="N103" i="30"/>
  <c r="O103" i="30"/>
  <c r="K104" i="30"/>
  <c r="L104" i="30"/>
  <c r="M104" i="30"/>
  <c r="N104" i="30"/>
  <c r="O104" i="30"/>
  <c r="K105" i="30"/>
  <c r="L105" i="30"/>
  <c r="M105" i="30"/>
  <c r="N105" i="30"/>
  <c r="O105" i="30"/>
  <c r="K106" i="30"/>
  <c r="L106" i="30"/>
  <c r="M106" i="30"/>
  <c r="N106" i="30"/>
  <c r="O106" i="30"/>
  <c r="K109" i="30"/>
  <c r="L109" i="30"/>
  <c r="M109" i="30"/>
  <c r="N109" i="30"/>
  <c r="O109" i="30"/>
  <c r="K110" i="30"/>
  <c r="L110" i="30"/>
  <c r="M110" i="30"/>
  <c r="N110" i="30"/>
  <c r="O110" i="30"/>
  <c r="K128" i="30"/>
  <c r="L128" i="30"/>
  <c r="L129" i="30" s="1"/>
  <c r="M128" i="30"/>
  <c r="M129" i="30" s="1"/>
  <c r="N128" i="30"/>
  <c r="N129" i="30" s="1"/>
  <c r="O128" i="30"/>
  <c r="O129" i="30" s="1"/>
  <c r="K130" i="30"/>
  <c r="L130" i="30"/>
  <c r="M130" i="30"/>
  <c r="N130" i="30"/>
  <c r="O130" i="30"/>
  <c r="K131" i="30"/>
  <c r="L131" i="30"/>
  <c r="M131" i="30"/>
  <c r="N131" i="30"/>
  <c r="O131" i="30"/>
  <c r="K132" i="30"/>
  <c r="L132" i="30"/>
  <c r="M132" i="30"/>
  <c r="N132" i="30"/>
  <c r="O132" i="30"/>
  <c r="K135" i="30"/>
  <c r="L135" i="30"/>
  <c r="M135" i="30"/>
  <c r="N135" i="30"/>
  <c r="O135" i="30"/>
  <c r="K136" i="30"/>
  <c r="L136" i="30"/>
  <c r="M136" i="30"/>
  <c r="N136" i="30"/>
  <c r="O136" i="30"/>
  <c r="K145" i="30"/>
  <c r="L145" i="30"/>
  <c r="M145" i="30"/>
  <c r="N145" i="30"/>
  <c r="O145" i="30"/>
  <c r="K146" i="30"/>
  <c r="L146" i="30"/>
  <c r="M146" i="30"/>
  <c r="N146" i="30"/>
  <c r="O146" i="30"/>
  <c r="K147" i="30"/>
  <c r="L147" i="30"/>
  <c r="M147" i="30"/>
  <c r="N147" i="30"/>
  <c r="O147" i="30"/>
  <c r="K148" i="30"/>
  <c r="L148" i="30"/>
  <c r="M148" i="30"/>
  <c r="N148" i="30"/>
  <c r="O148" i="30"/>
  <c r="K151" i="30"/>
  <c r="L151" i="30"/>
  <c r="M151" i="30"/>
  <c r="N151" i="30"/>
  <c r="O151" i="30"/>
  <c r="K152" i="30"/>
  <c r="L152" i="30"/>
  <c r="M152" i="30"/>
  <c r="N152" i="30"/>
  <c r="O152" i="30"/>
  <c r="K156" i="30"/>
  <c r="L156" i="30"/>
  <c r="M156" i="30"/>
  <c r="N156" i="30"/>
  <c r="O156" i="30"/>
  <c r="K157" i="30"/>
  <c r="L157" i="30"/>
  <c r="M157" i="30"/>
  <c r="N157" i="30"/>
  <c r="O157" i="30"/>
  <c r="K158" i="30"/>
  <c r="L158" i="30"/>
  <c r="M158" i="30"/>
  <c r="N158" i="30"/>
  <c r="O158" i="30"/>
  <c r="K159" i="30"/>
  <c r="L159" i="30"/>
  <c r="M159" i="30"/>
  <c r="N159" i="30"/>
  <c r="O159" i="30"/>
  <c r="K160" i="30"/>
  <c r="L160" i="30"/>
  <c r="M160" i="30"/>
  <c r="N160" i="30"/>
  <c r="O160" i="30"/>
  <c r="K163" i="30"/>
  <c r="L163" i="30"/>
  <c r="M163" i="30"/>
  <c r="N163" i="30"/>
  <c r="O163" i="30"/>
  <c r="K164" i="30"/>
  <c r="L164" i="30"/>
  <c r="M164" i="30"/>
  <c r="N164" i="30"/>
  <c r="O164" i="30"/>
  <c r="K168" i="30"/>
  <c r="L168" i="30"/>
  <c r="M168" i="30"/>
  <c r="N168" i="30"/>
  <c r="O168" i="30"/>
  <c r="K169" i="30"/>
  <c r="L169" i="30"/>
  <c r="M169" i="30"/>
  <c r="N169" i="30"/>
  <c r="O169" i="30"/>
  <c r="K170" i="30"/>
  <c r="L170" i="30"/>
  <c r="M170" i="30"/>
  <c r="N170" i="30"/>
  <c r="O170" i="30"/>
  <c r="K171" i="30"/>
  <c r="L171" i="30"/>
  <c r="M171" i="30"/>
  <c r="N171" i="30"/>
  <c r="O171" i="30"/>
  <c r="K172" i="30"/>
  <c r="L172" i="30"/>
  <c r="M172" i="30"/>
  <c r="N172" i="30"/>
  <c r="O172" i="30"/>
  <c r="K173" i="30"/>
  <c r="L173" i="30"/>
  <c r="M173" i="30"/>
  <c r="N173" i="30"/>
  <c r="O173" i="30"/>
  <c r="K176" i="30"/>
  <c r="L176" i="30"/>
  <c r="M176" i="30"/>
  <c r="N176" i="30"/>
  <c r="O176" i="30"/>
  <c r="K177" i="30"/>
  <c r="L177" i="30"/>
  <c r="M177" i="30"/>
  <c r="N177" i="30"/>
  <c r="O177" i="30"/>
  <c r="K195" i="30"/>
  <c r="L195" i="30"/>
  <c r="M195" i="30"/>
  <c r="N195" i="30"/>
  <c r="O195" i="30"/>
  <c r="O196" i="30" s="1"/>
  <c r="K197" i="30"/>
  <c r="L197" i="30"/>
  <c r="M197" i="30"/>
  <c r="N197" i="30"/>
  <c r="O197" i="30"/>
  <c r="K198" i="30"/>
  <c r="L198" i="30"/>
  <c r="M198" i="30"/>
  <c r="N198" i="30"/>
  <c r="O198" i="30"/>
  <c r="K199" i="30"/>
  <c r="L199" i="30"/>
  <c r="M199" i="30"/>
  <c r="N199" i="30"/>
  <c r="O199" i="30"/>
  <c r="K202" i="30"/>
  <c r="L202" i="30"/>
  <c r="M202" i="30"/>
  <c r="N202" i="30"/>
  <c r="O202" i="30"/>
  <c r="K203" i="30"/>
  <c r="L203" i="30"/>
  <c r="M203" i="30"/>
  <c r="N203" i="30"/>
  <c r="O203" i="30"/>
  <c r="P10" i="6"/>
  <c r="P19" i="6"/>
  <c r="P22" i="6" s="1"/>
  <c r="P23" i="6" s="1"/>
  <c r="Q10" i="6"/>
  <c r="Q19" i="6"/>
  <c r="Q22" i="6" s="1"/>
  <c r="Q23" i="6" s="1"/>
  <c r="R10" i="6"/>
  <c r="R19" i="6"/>
  <c r="R22" i="6" s="1"/>
  <c r="R23" i="6" s="1"/>
  <c r="S11" i="28"/>
  <c r="U11" i="28" s="1"/>
  <c r="T9" i="28" a="1"/>
  <c r="T9" i="28" s="1"/>
  <c r="U9" i="28" s="1"/>
  <c r="O200" i="30"/>
  <c r="O201" i="30"/>
  <c r="Q6" i="6" l="1"/>
  <c r="Q11" i="6" s="1"/>
  <c r="Q12" i="6" s="1"/>
  <c r="P6" i="6"/>
  <c r="P11" i="6" s="1"/>
  <c r="P12" i="6" s="1"/>
  <c r="R6" i="6"/>
  <c r="R11" i="6" s="1"/>
  <c r="R12" i="6" s="1"/>
  <c r="T34" i="6" a="1"/>
  <c r="T34" i="6" s="1"/>
  <c r="J15" i="38" s="1"/>
  <c r="P34" i="6" a="1"/>
  <c r="P34" i="6" s="1"/>
  <c r="W34" i="6" a="1"/>
  <c r="W34" i="6" s="1"/>
  <c r="M15" i="38" s="1"/>
  <c r="U34" i="6" a="1"/>
  <c r="U34" i="6" s="1"/>
  <c r="K15" i="38" s="1"/>
  <c r="O34" i="6" a="1"/>
  <c r="O34" i="6" s="1"/>
  <c r="S34" i="6" a="1"/>
  <c r="S34" i="6" s="1"/>
  <c r="I15" i="38" s="1"/>
  <c r="X34" i="6" a="1"/>
  <c r="X34" i="6" s="1"/>
  <c r="N15" i="38" s="1"/>
  <c r="N34" i="6" a="1"/>
  <c r="N34" i="6" s="1"/>
  <c r="Y34" i="6" a="1"/>
  <c r="Y34" i="6" s="1"/>
  <c r="O15" i="38" s="1"/>
  <c r="Z34" i="6" a="1"/>
  <c r="Z34" i="6" s="1"/>
  <c r="P15" i="38" s="1"/>
  <c r="Q34" i="6" a="1"/>
  <c r="Q34" i="6" s="1"/>
  <c r="AA34" i="6" a="1"/>
  <c r="AA34" i="6" s="1"/>
  <c r="Q15" i="38" s="1"/>
  <c r="V34" i="6" a="1"/>
  <c r="V34" i="6" s="1"/>
  <c r="L15" i="38" s="1"/>
  <c r="R34" i="6" a="1"/>
  <c r="R34" i="6" s="1"/>
  <c r="P37" i="6" a="1"/>
  <c r="P37" i="6" s="1"/>
  <c r="R37" i="6" a="1"/>
  <c r="R37" i="6" s="1"/>
  <c r="Q37" i="6" a="1"/>
  <c r="Q37" i="6" s="1"/>
  <c r="N196" i="30"/>
  <c r="O150" i="30"/>
  <c r="M63" i="30"/>
  <c r="M95" i="30"/>
  <c r="K63" i="30"/>
  <c r="L207" i="30"/>
  <c r="N208" i="30"/>
  <c r="N63" i="30"/>
  <c r="M108" i="30" a="1"/>
  <c r="M108" i="30" s="1"/>
  <c r="M141" i="30"/>
  <c r="L107" i="30" a="1"/>
  <c r="L107" i="30" s="1"/>
  <c r="O107" i="30" a="1"/>
  <c r="O107" i="30" s="1"/>
  <c r="M82" i="30"/>
  <c r="O133" i="30"/>
  <c r="O140" i="30"/>
  <c r="O83" i="30"/>
  <c r="L133" i="30"/>
  <c r="M107" i="30" a="1"/>
  <c r="M107" i="30" s="1"/>
  <c r="M150" i="30"/>
  <c r="L149" i="30"/>
  <c r="O108" i="30" a="1"/>
  <c r="O108" i="30" s="1"/>
  <c r="O162" i="30"/>
  <c r="O208" i="30"/>
  <c r="L196" i="30"/>
  <c r="L208" i="30"/>
  <c r="L141" i="30"/>
  <c r="O95" i="30"/>
  <c r="M140" i="30"/>
  <c r="O82" i="30"/>
  <c r="K129" i="30"/>
  <c r="K133" i="30" s="1"/>
  <c r="L82" i="30"/>
  <c r="K149" i="30"/>
  <c r="M149" i="30"/>
  <c r="M207" i="30"/>
  <c r="O141" i="30"/>
  <c r="L140" i="30"/>
  <c r="O74" i="30"/>
  <c r="N74" i="30"/>
  <c r="M74" i="30"/>
  <c r="M208" i="30"/>
  <c r="M196" i="30"/>
  <c r="O149" i="30"/>
  <c r="N140" i="30"/>
  <c r="M133" i="30"/>
  <c r="K107" i="30" a="1"/>
  <c r="K107" i="30" s="1"/>
  <c r="K82" i="30"/>
  <c r="M162" i="30"/>
  <c r="O75" i="30"/>
  <c r="O207" i="30"/>
  <c r="N75" i="30"/>
  <c r="K196" i="30"/>
  <c r="O63" i="30"/>
  <c r="N207" i="30"/>
  <c r="M75" i="30"/>
  <c r="O134" i="30"/>
  <c r="M83" i="30"/>
  <c r="L63" i="30"/>
  <c r="M134" i="30"/>
  <c r="N141" i="30"/>
  <c r="Q23" i="2"/>
  <c r="Q19" i="2"/>
  <c r="Q15" i="2"/>
  <c r="Q43" i="2"/>
  <c r="M201" i="30"/>
  <c r="K200" i="30"/>
  <c r="L200" i="30"/>
  <c r="N200" i="30"/>
  <c r="N201" i="30"/>
  <c r="M200" i="30"/>
  <c r="O212" i="30" l="1"/>
  <c r="H18" i="38" s="1"/>
  <c r="R43" i="2"/>
  <c r="R23" i="2"/>
  <c r="O37" i="6" a="1"/>
  <c r="O37" i="6" s="1"/>
  <c r="M212" i="30"/>
  <c r="F18" i="38" s="1"/>
  <c r="N211" i="30"/>
  <c r="G17" i="38" s="1"/>
  <c r="M211" i="30"/>
  <c r="F17" i="38" s="1"/>
  <c r="O211" i="30"/>
  <c r="H17" i="38" s="1"/>
  <c r="N212" i="30"/>
  <c r="G18" i="38" s="1"/>
  <c r="Z149" i="4" l="1"/>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48" i="4"/>
  <c r="J62" i="30"/>
  <c r="J128" i="30" l="1"/>
  <c r="J129" i="30" s="1"/>
  <c r="M20" i="6"/>
  <c r="M21" i="6" s="1"/>
  <c r="M60" i="6"/>
  <c r="M62" i="6" s="1" a="1"/>
  <c r="M62" i="6" s="1"/>
  <c r="R2" i="6"/>
  <c r="Q2" i="6"/>
  <c r="P2" i="6"/>
  <c r="O2" i="6"/>
  <c r="N2" i="6"/>
  <c r="L34" i="33"/>
  <c r="J16" i="33"/>
  <c r="K16" i="33"/>
  <c r="L16" i="33"/>
  <c r="J27" i="33"/>
  <c r="K27" i="33"/>
  <c r="L27" i="33"/>
  <c r="J28" i="33"/>
  <c r="K28" i="33"/>
  <c r="L28" i="33"/>
  <c r="O10" i="6"/>
  <c r="M10" i="6"/>
  <c r="K86" i="30" l="1"/>
  <c r="N71" i="30"/>
  <c r="N20" i="30"/>
  <c r="N165" i="30"/>
  <c r="N45" i="30"/>
  <c r="N178" i="30"/>
  <c r="N204" i="30"/>
  <c r="N153" i="30"/>
  <c r="N86" i="30"/>
  <c r="N98" i="30"/>
  <c r="N111" i="30"/>
  <c r="N137" i="30"/>
  <c r="N32" i="30"/>
  <c r="M20" i="30"/>
  <c r="M98" i="30"/>
  <c r="M165" i="30"/>
  <c r="M178" i="30"/>
  <c r="M86" i="30"/>
  <c r="M204" i="30"/>
  <c r="M153" i="30"/>
  <c r="M32" i="30"/>
  <c r="M137" i="30"/>
  <c r="M45" i="30"/>
  <c r="M71" i="30"/>
  <c r="M111" i="30"/>
  <c r="K178" i="30"/>
  <c r="K204" i="30"/>
  <c r="K165" i="30"/>
  <c r="K137" i="30"/>
  <c r="K45" i="30"/>
  <c r="K111" i="30"/>
  <c r="K98" i="30"/>
  <c r="K153" i="30"/>
  <c r="K71" i="30"/>
  <c r="K32" i="30"/>
  <c r="K20" i="30"/>
  <c r="L20" i="30"/>
  <c r="L153" i="30"/>
  <c r="L45" i="30"/>
  <c r="L71" i="30"/>
  <c r="L178" i="30"/>
  <c r="L98" i="30"/>
  <c r="L32" i="30"/>
  <c r="L165" i="30"/>
  <c r="L86" i="30"/>
  <c r="L111" i="30"/>
  <c r="L204" i="30"/>
  <c r="L137" i="30"/>
  <c r="O20" i="30"/>
  <c r="O71" i="30"/>
  <c r="O45" i="30"/>
  <c r="O32" i="30"/>
  <c r="O204" i="30"/>
  <c r="O178" i="30"/>
  <c r="O165" i="30"/>
  <c r="O137" i="30"/>
  <c r="O153" i="30"/>
  <c r="O86" i="30"/>
  <c r="O111" i="30"/>
  <c r="O98" i="30"/>
  <c r="H15" i="38"/>
  <c r="K34" i="33"/>
  <c r="J33" i="33"/>
  <c r="G15" i="38"/>
  <c r="F15" i="38"/>
  <c r="J34" i="33"/>
  <c r="K33" i="33"/>
  <c r="L33" i="33"/>
  <c r="J63" i="30"/>
  <c r="M42" i="6"/>
  <c r="O19" i="6"/>
  <c r="O22" i="6" s="1"/>
  <c r="O23" i="6" s="1"/>
  <c r="J195" i="30"/>
  <c r="R62" i="2"/>
  <c r="J199" i="30"/>
  <c r="J198" i="30"/>
  <c r="J197" i="30"/>
  <c r="J172" i="30"/>
  <c r="J171" i="30"/>
  <c r="J170" i="30"/>
  <c r="J169" i="30"/>
  <c r="J168" i="30"/>
  <c r="J159" i="30"/>
  <c r="J158" i="30"/>
  <c r="J157" i="30"/>
  <c r="J156" i="30"/>
  <c r="J148" i="30"/>
  <c r="J147" i="30"/>
  <c r="J146" i="30"/>
  <c r="J145" i="30"/>
  <c r="J203" i="30"/>
  <c r="J202" i="30"/>
  <c r="J177" i="30"/>
  <c r="J176" i="30"/>
  <c r="J164" i="30"/>
  <c r="J152" i="30"/>
  <c r="J151" i="30"/>
  <c r="M167" i="30"/>
  <c r="O167" i="30"/>
  <c r="L206" i="30"/>
  <c r="K180" i="30"/>
  <c r="O180" i="30"/>
  <c r="N180" i="30"/>
  <c r="M180" i="30"/>
  <c r="O206" i="30"/>
  <c r="L167" i="30"/>
  <c r="M206" i="30"/>
  <c r="K206" i="30"/>
  <c r="K167" i="30"/>
  <c r="N167" i="30"/>
  <c r="N206" i="30"/>
  <c r="L180" i="30"/>
  <c r="L201" i="30"/>
  <c r="K201" i="30"/>
  <c r="O6" i="6" l="1"/>
  <c r="O11" i="6" s="1"/>
  <c r="O12" i="6" s="1"/>
  <c r="D6" i="38"/>
  <c r="D15" i="38"/>
  <c r="K113" i="30"/>
  <c r="K141" i="30" s="1"/>
  <c r="K208" i="30"/>
  <c r="O205" i="30"/>
  <c r="J196" i="30"/>
  <c r="M205" i="30"/>
  <c r="L205" i="30"/>
  <c r="L162" i="30"/>
  <c r="L166" i="30" s="1"/>
  <c r="L150" i="30"/>
  <c r="L154" i="30" s="1"/>
  <c r="L83" i="30"/>
  <c r="L87" i="30" s="1"/>
  <c r="L134" i="30"/>
  <c r="L138" i="30" s="1"/>
  <c r="L108" i="30" a="1"/>
  <c r="L108" i="30" s="1"/>
  <c r="L112" i="30" s="1"/>
  <c r="L95" i="30"/>
  <c r="L99" i="30" s="1"/>
  <c r="K83" i="30"/>
  <c r="K87" i="30" s="1"/>
  <c r="K95" i="30"/>
  <c r="K99" i="30" s="1"/>
  <c r="K108" i="30" a="1"/>
  <c r="K108" i="30" s="1"/>
  <c r="K112" i="30" s="1"/>
  <c r="K140" i="30" s="1"/>
  <c r="K134" i="30"/>
  <c r="K138" i="30" s="1"/>
  <c r="K162" i="30"/>
  <c r="K166" i="30" s="1"/>
  <c r="K150" i="30"/>
  <c r="K154" i="30" s="1"/>
  <c r="K205" i="30"/>
  <c r="K207" i="30" s="1"/>
  <c r="O87" i="30"/>
  <c r="O88" i="30"/>
  <c r="L113" i="30"/>
  <c r="M112" i="30"/>
  <c r="M113" i="30"/>
  <c r="O155" i="30"/>
  <c r="O154" i="30"/>
  <c r="L88" i="30"/>
  <c r="O139" i="30"/>
  <c r="O138" i="30"/>
  <c r="O166" i="30"/>
  <c r="K155" i="30"/>
  <c r="M139" i="30"/>
  <c r="M138" i="30"/>
  <c r="L100" i="30"/>
  <c r="K100" i="30"/>
  <c r="M155" i="30"/>
  <c r="M154" i="30"/>
  <c r="K139" i="30"/>
  <c r="M88" i="30"/>
  <c r="M87" i="30"/>
  <c r="L155" i="30"/>
  <c r="K88" i="30"/>
  <c r="M166" i="30"/>
  <c r="O100" i="30"/>
  <c r="O99" i="30"/>
  <c r="L139" i="30"/>
  <c r="M100" i="30"/>
  <c r="M99" i="30"/>
  <c r="O113" i="30"/>
  <c r="O112" i="30"/>
  <c r="J132" i="30"/>
  <c r="J131" i="30"/>
  <c r="J130" i="30"/>
  <c r="J105" i="30"/>
  <c r="J104" i="30"/>
  <c r="J103" i="30"/>
  <c r="J102" i="30"/>
  <c r="J101" i="30"/>
  <c r="J92" i="30"/>
  <c r="J91" i="30"/>
  <c r="J90" i="30"/>
  <c r="J89" i="30"/>
  <c r="J23" i="30"/>
  <c r="J24" i="30"/>
  <c r="J81" i="30"/>
  <c r="J80" i="30"/>
  <c r="J79" i="30"/>
  <c r="J78" i="30"/>
  <c r="J136" i="30"/>
  <c r="J135" i="30"/>
  <c r="J110" i="30"/>
  <c r="J109" i="30"/>
  <c r="J97" i="30"/>
  <c r="J96" i="30"/>
  <c r="J85" i="30"/>
  <c r="J84" i="30"/>
  <c r="J25" i="30"/>
  <c r="J26" i="30"/>
  <c r="J27" i="30"/>
  <c r="J35" i="30"/>
  <c r="J36" i="30"/>
  <c r="J37" i="30"/>
  <c r="J38" i="30"/>
  <c r="J39" i="30"/>
  <c r="J40" i="30"/>
  <c r="J64" i="30"/>
  <c r="J65" i="30"/>
  <c r="J66" i="30"/>
  <c r="J70" i="30"/>
  <c r="J69" i="30"/>
  <c r="J106" i="30"/>
  <c r="J44" i="30"/>
  <c r="J43" i="30"/>
  <c r="J31" i="30"/>
  <c r="J30" i="30"/>
  <c r="C4" i="20"/>
  <c r="C3" i="20"/>
  <c r="J19" i="30"/>
  <c r="J18" i="30"/>
  <c r="J200" i="30"/>
  <c r="H27" i="33" l="1"/>
  <c r="J93" i="30"/>
  <c r="C12" i="17"/>
  <c r="C7" i="17"/>
  <c r="C6" i="17"/>
  <c r="C4" i="17"/>
  <c r="C3" i="17"/>
  <c r="J14" i="30"/>
  <c r="E34" i="4"/>
  <c r="E6" i="4"/>
  <c r="E35" i="4" l="1"/>
  <c r="E36" i="4" s="1"/>
  <c r="E37" i="4" s="1"/>
  <c r="E38" i="4" s="1"/>
  <c r="E39" i="4" s="1"/>
  <c r="E40" i="4" s="1"/>
  <c r="E41" i="4" s="1"/>
  <c r="E42" i="4" s="1"/>
  <c r="E43" i="4" s="1"/>
  <c r="E44" i="4" s="1"/>
  <c r="E45" i="4" s="1"/>
  <c r="E46" i="4" s="1"/>
  <c r="E47" i="4" s="1"/>
  <c r="E48" i="4" s="1"/>
  <c r="E49" i="4" s="1"/>
  <c r="E50" i="4" s="1"/>
  <c r="E51" i="4" s="1"/>
  <c r="E52" i="4" s="1"/>
  <c r="E53" i="4" s="1"/>
  <c r="E54" i="4" s="1"/>
  <c r="E55" i="4" s="1"/>
  <c r="E56" i="4" s="1"/>
  <c r="E57" i="4" s="1"/>
  <c r="E58" i="4" s="1"/>
  <c r="E59" i="4" s="1"/>
  <c r="E60" i="4" s="1"/>
  <c r="E7" i="4"/>
  <c r="E8" i="4" l="1"/>
  <c r="E9" i="4" l="1"/>
  <c r="E10" i="4" l="1"/>
  <c r="J13" i="30"/>
  <c r="J12" i="30"/>
  <c r="M66" i="6"/>
  <c r="M68" i="6" s="1" a="1"/>
  <c r="M68" i="6" s="1"/>
  <c r="M54" i="6"/>
  <c r="M58" i="6" s="1"/>
  <c r="M48" i="6"/>
  <c r="E11" i="4" l="1"/>
  <c r="Q28" i="2"/>
  <c r="N14" i="6" l="1" a="1"/>
  <c r="N14" i="6" s="1"/>
  <c r="N15" i="6" s="1" a="1"/>
  <c r="N15" i="6" s="1"/>
  <c r="N16" i="6" s="1" a="1"/>
  <c r="N16" i="6" s="1"/>
  <c r="R28" i="2"/>
  <c r="M14" i="6" s="1" a="1"/>
  <c r="M14" i="6" s="1"/>
  <c r="M26" i="6" a="1"/>
  <c r="M26" i="6" s="1"/>
  <c r="M25" i="6" s="1"/>
  <c r="E12" i="4"/>
  <c r="D7" i="38" l="1"/>
  <c r="N26" i="6" a="1"/>
  <c r="N26" i="6" s="1"/>
  <c r="O26" i="6" a="1"/>
  <c r="O26" i="6" s="1"/>
  <c r="O14" i="6" a="1"/>
  <c r="O14" i="6" s="1"/>
  <c r="Z26" i="6" a="1"/>
  <c r="Z26" i="6" s="1"/>
  <c r="Z14" i="6" a="1"/>
  <c r="Z14" i="6" s="1"/>
  <c r="X26" i="6" a="1"/>
  <c r="X26" i="6" s="1"/>
  <c r="X14" i="6" a="1"/>
  <c r="X14" i="6" s="1"/>
  <c r="S26" i="6" a="1"/>
  <c r="S26" i="6" s="1"/>
  <c r="S14" i="6" a="1"/>
  <c r="S14" i="6" s="1"/>
  <c r="R26" i="6" a="1"/>
  <c r="R26" i="6" s="1"/>
  <c r="R14" i="6" a="1"/>
  <c r="R14" i="6" s="1"/>
  <c r="P26" i="6" a="1"/>
  <c r="P26" i="6" s="1"/>
  <c r="P14" i="6" a="1"/>
  <c r="P14" i="6" s="1"/>
  <c r="V26" i="6" a="1"/>
  <c r="V26" i="6" s="1"/>
  <c r="V14" i="6" a="1"/>
  <c r="V14" i="6" s="1"/>
  <c r="Q26" i="6" a="1"/>
  <c r="Q26" i="6" s="1"/>
  <c r="Q14" i="6" a="1"/>
  <c r="Q14" i="6" s="1"/>
  <c r="AA26" i="6" a="1"/>
  <c r="AA26" i="6" s="1"/>
  <c r="AA14" i="6" a="1"/>
  <c r="AA14" i="6" s="1"/>
  <c r="W26" i="6" a="1"/>
  <c r="W26" i="6" s="1"/>
  <c r="W14" i="6" a="1"/>
  <c r="W14" i="6" s="1"/>
  <c r="Y26" i="6" a="1"/>
  <c r="Y26" i="6" s="1"/>
  <c r="Y14" i="6" a="1"/>
  <c r="Y14" i="6" s="1"/>
  <c r="T26" i="6" a="1"/>
  <c r="T26" i="6" s="1"/>
  <c r="T14" i="6" a="1"/>
  <c r="T14" i="6" s="1"/>
  <c r="U26" i="6" a="1"/>
  <c r="U26" i="6" s="1"/>
  <c r="U14" i="6" a="1"/>
  <c r="U14" i="6" s="1"/>
  <c r="E13" i="4"/>
  <c r="B3" i="11"/>
  <c r="Q47" i="2"/>
  <c r="M19" i="6"/>
  <c r="P13" i="28"/>
  <c r="P12" i="28"/>
  <c r="R69" i="2"/>
  <c r="R55" i="2"/>
  <c r="M5" i="6"/>
  <c r="M4" i="6"/>
  <c r="J201" i="30"/>
  <c r="W25" i="6" l="1"/>
  <c r="S25" i="6"/>
  <c r="AA25" i="6"/>
  <c r="X25" i="6"/>
  <c r="Y25" i="6"/>
  <c r="R25" i="6"/>
  <c r="Q25" i="6"/>
  <c r="Z25" i="6"/>
  <c r="U25" i="6"/>
  <c r="V25" i="6"/>
  <c r="O25" i="6"/>
  <c r="N25" i="6"/>
  <c r="T25" i="6"/>
  <c r="P25" i="6"/>
  <c r="R15" i="6" a="1"/>
  <c r="R15" i="6" s="1"/>
  <c r="R16" i="6" s="1" a="1"/>
  <c r="R16" i="6" s="1"/>
  <c r="Y15" i="6" a="1"/>
  <c r="Y15" i="6" s="1"/>
  <c r="Y16" i="6" s="1" a="1"/>
  <c r="Y16" i="6" s="1"/>
  <c r="S15" i="6" a="1"/>
  <c r="S15" i="6" s="1"/>
  <c r="S16" i="6" s="1" a="1"/>
  <c r="S16" i="6" s="1"/>
  <c r="W15" i="6" a="1"/>
  <c r="W15" i="6" s="1"/>
  <c r="W16" i="6" s="1" a="1"/>
  <c r="W16" i="6" s="1"/>
  <c r="X15" i="6" a="1"/>
  <c r="X15" i="6" s="1"/>
  <c r="X16" i="6" s="1" a="1"/>
  <c r="X16" i="6" s="1"/>
  <c r="P15" i="6" a="1"/>
  <c r="P15" i="6" s="1"/>
  <c r="P16" i="6" s="1" a="1"/>
  <c r="P16" i="6" s="1"/>
  <c r="AA15" i="6" a="1"/>
  <c r="AA15" i="6" s="1"/>
  <c r="AA16" i="6" s="1" a="1"/>
  <c r="AA16" i="6" s="1"/>
  <c r="R47" i="2"/>
  <c r="Z15" i="6" a="1"/>
  <c r="Z15" i="6" s="1"/>
  <c r="Z16" i="6" s="1" a="1"/>
  <c r="Z16" i="6" s="1"/>
  <c r="T15" i="6" a="1"/>
  <c r="T15" i="6" s="1"/>
  <c r="T16" i="6" s="1" a="1"/>
  <c r="T16" i="6" s="1"/>
  <c r="Q15" i="6" a="1"/>
  <c r="Q15" i="6" s="1"/>
  <c r="Q16" i="6" s="1" a="1"/>
  <c r="Q16" i="6" s="1"/>
  <c r="V15" i="6" a="1"/>
  <c r="V15" i="6" s="1"/>
  <c r="V16" i="6" s="1" a="1"/>
  <c r="V16" i="6" s="1"/>
  <c r="O15" i="6" a="1"/>
  <c r="O15" i="6" s="1"/>
  <c r="O16" i="6" s="1" a="1"/>
  <c r="O16" i="6" s="1"/>
  <c r="U15" i="6" a="1"/>
  <c r="U15" i="6" s="1"/>
  <c r="U16" i="6" s="1" a="1"/>
  <c r="U16" i="6" s="1"/>
  <c r="J160" i="30"/>
  <c r="J173" i="30"/>
  <c r="J153" i="30"/>
  <c r="J165" i="30"/>
  <c r="J204" i="30"/>
  <c r="J178" i="30"/>
  <c r="J111" i="30"/>
  <c r="J137" i="30"/>
  <c r="J45" i="30"/>
  <c r="J71" i="30"/>
  <c r="J98" i="30"/>
  <c r="J86" i="30"/>
  <c r="J32" i="30"/>
  <c r="E14" i="4"/>
  <c r="J20" i="30"/>
  <c r="J180" i="30"/>
  <c r="J206" i="30"/>
  <c r="G7" i="38" l="1"/>
  <c r="P7" i="38"/>
  <c r="M7" i="38"/>
  <c r="I7" i="38"/>
  <c r="Q7" i="38"/>
  <c r="O7" i="38"/>
  <c r="H7" i="38"/>
  <c r="F7" i="38"/>
  <c r="N7" i="38"/>
  <c r="J7" i="38"/>
  <c r="J11" i="33"/>
  <c r="L7" i="38"/>
  <c r="L11" i="33"/>
  <c r="K7" i="38"/>
  <c r="K11" i="33"/>
  <c r="E7" i="38"/>
  <c r="I11" i="33"/>
  <c r="H11" i="33"/>
  <c r="E15" i="4"/>
  <c r="M2" i="6"/>
  <c r="M3" i="6"/>
  <c r="N52" i="6" l="1"/>
  <c r="N22" i="6"/>
  <c r="N46" i="6"/>
  <c r="E16" i="4"/>
  <c r="F24" i="2"/>
  <c r="F23" i="2"/>
  <c r="F22" i="2"/>
  <c r="F21" i="2"/>
  <c r="F20" i="2"/>
  <c r="F19" i="2"/>
  <c r="F18" i="2"/>
  <c r="F17" i="2"/>
  <c r="F16" i="2"/>
  <c r="F15" i="2"/>
  <c r="F14" i="2"/>
  <c r="F13" i="2"/>
  <c r="D20" i="29"/>
  <c r="Z19" i="29"/>
  <c r="N19" i="29"/>
  <c r="C19" i="29"/>
  <c r="AR18" i="29"/>
  <c r="Z18" i="29"/>
  <c r="R18" i="29"/>
  <c r="N18" i="29"/>
  <c r="C18" i="29"/>
  <c r="Z17" i="29"/>
  <c r="R17" i="29"/>
  <c r="N17" i="29"/>
  <c r="C17" i="29"/>
  <c r="BI16" i="29"/>
  <c r="BH16" i="29"/>
  <c r="BG16" i="29"/>
  <c r="BF16" i="29"/>
  <c r="BE16" i="29"/>
  <c r="BD16" i="29"/>
  <c r="BC16" i="29"/>
  <c r="BB16" i="29"/>
  <c r="BA16" i="29"/>
  <c r="AZ16" i="29"/>
  <c r="AY16" i="29"/>
  <c r="AX16" i="29"/>
  <c r="AW16" i="29"/>
  <c r="AV16" i="29"/>
  <c r="AU16" i="29"/>
  <c r="BE15" i="29"/>
  <c r="BA15" i="29"/>
  <c r="AW15" i="29"/>
  <c r="AF15" i="29"/>
  <c r="Z15" i="29"/>
  <c r="V15" i="29"/>
  <c r="R15" i="29"/>
  <c r="O15" i="29"/>
  <c r="N15" i="29"/>
  <c r="BD14" i="29"/>
  <c r="AZ14" i="29"/>
  <c r="AV14" i="29"/>
  <c r="P21" i="28"/>
  <c r="P22" i="28" s="1"/>
  <c r="F10" i="26"/>
  <c r="E17" i="4" l="1"/>
  <c r="P22" i="2"/>
  <c r="P18" i="2"/>
  <c r="P14" i="2"/>
  <c r="C11" i="17"/>
  <c r="B262" i="16"/>
  <c r="F261" i="16"/>
  <c r="B261" i="16"/>
  <c r="F260" i="16"/>
  <c r="B260" i="16"/>
  <c r="B259" i="16"/>
  <c r="B258" i="16"/>
  <c r="B257" i="16"/>
  <c r="B256" i="16"/>
  <c r="B255" i="16"/>
  <c r="B254" i="16"/>
  <c r="B253" i="16"/>
  <c r="B252" i="16"/>
  <c r="B251" i="16"/>
  <c r="B250" i="16"/>
  <c r="B249" i="16"/>
  <c r="B81" i="16"/>
  <c r="B82" i="16"/>
  <c r="B83" i="16"/>
  <c r="B84" i="16"/>
  <c r="B85" i="16"/>
  <c r="B86" i="16"/>
  <c r="B87" i="16"/>
  <c r="B88" i="16"/>
  <c r="B89" i="16"/>
  <c r="B90" i="16"/>
  <c r="B91" i="16"/>
  <c r="F91" i="16"/>
  <c r="B92" i="16"/>
  <c r="F92" i="16"/>
  <c r="B93" i="16"/>
  <c r="F93" i="16"/>
  <c r="O46" i="6" l="1"/>
  <c r="N23" i="6"/>
  <c r="E18" i="4"/>
  <c r="E19" i="4" l="1"/>
  <c r="AU18" i="1"/>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5" i="4"/>
  <c r="E20" i="4" l="1"/>
  <c r="W25" i="3"/>
  <c r="W26" i="3" s="1"/>
  <c r="W27" i="3" s="1"/>
  <c r="W28" i="3" s="1"/>
  <c r="W29" i="3" s="1"/>
  <c r="W30" i="3" s="1"/>
  <c r="W31" i="3" s="1"/>
  <c r="W32" i="3" s="1"/>
  <c r="W33" i="3" s="1"/>
  <c r="W34" i="3" s="1"/>
  <c r="W35" i="3" s="1"/>
  <c r="W36" i="3" s="1"/>
  <c r="W37" i="3" s="1"/>
  <c r="W38" i="3" s="1"/>
  <c r="W39" i="3" s="1"/>
  <c r="W40" i="3" s="1"/>
  <c r="W41" i="3" s="1"/>
  <c r="W42" i="3" s="1"/>
  <c r="W43" i="3" s="1"/>
  <c r="W44" i="3" s="1"/>
  <c r="W45" i="3" s="1"/>
  <c r="W46" i="3" s="1"/>
  <c r="W47" i="3" s="1"/>
  <c r="W48" i="3" s="1"/>
  <c r="W49" i="3" s="1"/>
  <c r="W50" i="3" s="1"/>
  <c r="C23" i="22"/>
  <c r="C24" i="22"/>
  <c r="C25" i="22"/>
  <c r="C26" i="22"/>
  <c r="C27" i="22"/>
  <c r="C28" i="22"/>
  <c r="C29" i="22"/>
  <c r="E21" i="4" l="1"/>
  <c r="Z59" i="4"/>
  <c r="Z56" i="4"/>
  <c r="Z52" i="4"/>
  <c r="Z49" i="4"/>
  <c r="Z45" i="4"/>
  <c r="Z42" i="4"/>
  <c r="Z38" i="4"/>
  <c r="X38" i="4"/>
  <c r="Z35" i="4"/>
  <c r="O8" i="24"/>
  <c r="O10" i="24" s="1"/>
  <c r="Z31" i="4"/>
  <c r="X31" i="4"/>
  <c r="Z28" i="4"/>
  <c r="X28" i="4"/>
  <c r="Z24" i="4"/>
  <c r="X24" i="4"/>
  <c r="Z21" i="4"/>
  <c r="X17" i="4"/>
  <c r="X21" i="4"/>
  <c r="Z17" i="4"/>
  <c r="X7" i="4"/>
  <c r="X10" i="4"/>
  <c r="X14" i="4"/>
  <c r="Z14" i="4"/>
  <c r="Z10" i="4"/>
  <c r="Z7" i="4"/>
  <c r="B36" i="24"/>
  <c r="B35" i="24"/>
  <c r="B34" i="24"/>
  <c r="B33" i="24"/>
  <c r="B32" i="24"/>
  <c r="B31" i="24"/>
  <c r="G30" i="24"/>
  <c r="O35" i="24" s="1"/>
  <c r="B30" i="24"/>
  <c r="C29" i="24"/>
  <c r="C28" i="24"/>
  <c r="C27" i="24"/>
  <c r="C26" i="24"/>
  <c r="C25" i="24"/>
  <c r="C24" i="24"/>
  <c r="C23" i="24"/>
  <c r="G10" i="24"/>
  <c r="O15" i="24" s="1"/>
  <c r="C9" i="24"/>
  <c r="B9" i="24"/>
  <c r="B29" i="24" s="1"/>
  <c r="C8" i="24"/>
  <c r="B8" i="24"/>
  <c r="B28" i="24" s="1"/>
  <c r="C7" i="24"/>
  <c r="B7" i="24"/>
  <c r="B27" i="24" s="1"/>
  <c r="C6" i="24"/>
  <c r="B6" i="24"/>
  <c r="B26" i="24" s="1"/>
  <c r="B5" i="24"/>
  <c r="B25" i="24" s="1"/>
  <c r="C4" i="24"/>
  <c r="B4" i="24"/>
  <c r="B24" i="24" s="1"/>
  <c r="C3" i="24"/>
  <c r="B3" i="24"/>
  <c r="B23" i="24" s="1"/>
  <c r="AS2" i="1"/>
  <c r="AT2" i="1"/>
  <c r="AT20" i="1"/>
  <c r="C24" i="17"/>
  <c r="AO18" i="1"/>
  <c r="B18" i="23"/>
  <c r="B24" i="23" s="1"/>
  <c r="B30" i="23" s="1"/>
  <c r="B36" i="23" s="1"/>
  <c r="B17" i="23"/>
  <c r="B23" i="23" s="1"/>
  <c r="B29" i="23" s="1"/>
  <c r="B35" i="23" s="1"/>
  <c r="B16" i="23"/>
  <c r="B22" i="23" s="1"/>
  <c r="B28" i="23" s="1"/>
  <c r="B34" i="23" s="1"/>
  <c r="B15" i="23"/>
  <c r="B21" i="23" s="1"/>
  <c r="B27" i="23" s="1"/>
  <c r="B33" i="23" s="1"/>
  <c r="B2" i="23"/>
  <c r="O38" i="22"/>
  <c r="G38" i="22"/>
  <c r="B36" i="22"/>
  <c r="B35" i="22"/>
  <c r="B34" i="22"/>
  <c r="B33" i="22"/>
  <c r="B32" i="22"/>
  <c r="B31" i="22"/>
  <c r="G30" i="22"/>
  <c r="O35" i="22" s="1"/>
  <c r="B30" i="22"/>
  <c r="O18" i="22"/>
  <c r="G18" i="22"/>
  <c r="G10" i="22"/>
  <c r="G15" i="22" s="1"/>
  <c r="C9" i="22"/>
  <c r="B9" i="22"/>
  <c r="B29" i="22" s="1"/>
  <c r="C8" i="22"/>
  <c r="B8" i="22"/>
  <c r="B28" i="22" s="1"/>
  <c r="C7" i="22"/>
  <c r="B7" i="22"/>
  <c r="B27" i="22" s="1"/>
  <c r="C6" i="22"/>
  <c r="B6" i="22"/>
  <c r="B26" i="22" s="1"/>
  <c r="C5" i="22"/>
  <c r="B5" i="22"/>
  <c r="B25" i="22" s="1"/>
  <c r="C4" i="22"/>
  <c r="C31" i="22" s="1" a="1"/>
  <c r="C31" i="22" s="1"/>
  <c r="B4" i="22"/>
  <c r="B24" i="22" s="1"/>
  <c r="C3" i="22"/>
  <c r="B3" i="22"/>
  <c r="B23" i="22" s="1"/>
  <c r="O18" i="20"/>
  <c r="C23" i="17"/>
  <c r="B18" i="21"/>
  <c r="B24" i="21" s="1"/>
  <c r="B30" i="21" s="1"/>
  <c r="B36" i="21" s="1"/>
  <c r="B17" i="21"/>
  <c r="B23" i="21" s="1"/>
  <c r="B29" i="21" s="1"/>
  <c r="B35" i="21" s="1"/>
  <c r="B16" i="21"/>
  <c r="B22" i="21" s="1"/>
  <c r="B28" i="21" s="1"/>
  <c r="B34" i="21" s="1"/>
  <c r="B15" i="21"/>
  <c r="B21" i="21" s="1"/>
  <c r="B27" i="21" s="1"/>
  <c r="B33" i="21" s="1"/>
  <c r="B2" i="21"/>
  <c r="B36" i="20"/>
  <c r="O35" i="20"/>
  <c r="G35" i="20"/>
  <c r="B35" i="20"/>
  <c r="B34" i="20"/>
  <c r="B33" i="20"/>
  <c r="B32" i="20"/>
  <c r="B31" i="20"/>
  <c r="G30" i="20"/>
  <c r="B30" i="20"/>
  <c r="C29" i="20"/>
  <c r="C28" i="20"/>
  <c r="C27" i="20"/>
  <c r="C26" i="20"/>
  <c r="C25" i="20"/>
  <c r="C24" i="20"/>
  <c r="C23" i="20"/>
  <c r="O15" i="20"/>
  <c r="G15" i="20"/>
  <c r="G10" i="20"/>
  <c r="C9" i="20"/>
  <c r="B9" i="20"/>
  <c r="B29" i="20" s="1"/>
  <c r="C8" i="20"/>
  <c r="B8" i="20"/>
  <c r="B28" i="20" s="1"/>
  <c r="C7" i="20"/>
  <c r="B7" i="20"/>
  <c r="B27" i="20" s="1"/>
  <c r="C6" i="20"/>
  <c r="B6" i="20"/>
  <c r="B26" i="20" s="1"/>
  <c r="B5" i="20"/>
  <c r="B25" i="20" s="1"/>
  <c r="B4" i="20"/>
  <c r="B24" i="20" s="1"/>
  <c r="B3" i="20"/>
  <c r="B23" i="20" s="1"/>
  <c r="C25" i="17"/>
  <c r="C26" i="17"/>
  <c r="C27" i="17"/>
  <c r="C28" i="17"/>
  <c r="C29" i="17"/>
  <c r="C8" i="17"/>
  <c r="E22" i="4" l="1"/>
  <c r="C11" i="20"/>
  <c r="O17" i="20" s="1"/>
  <c r="C32" i="24"/>
  <c r="O28" i="24" s="1"/>
  <c r="O30" i="24" s="1"/>
  <c r="O36" i="24" s="1"/>
  <c r="C12" i="22"/>
  <c r="O8" i="22" s="1"/>
  <c r="O10" i="22" s="1"/>
  <c r="O16" i="22" s="1"/>
  <c r="C11" i="22" a="1"/>
  <c r="C11" i="22" s="1"/>
  <c r="O37" i="22"/>
  <c r="C31" i="20"/>
  <c r="C12" i="20"/>
  <c r="O8" i="20" s="1"/>
  <c r="O10" i="20" s="1"/>
  <c r="C32" i="20"/>
  <c r="O28" i="20" s="1"/>
  <c r="O30" i="20" s="1"/>
  <c r="O36" i="20" s="1"/>
  <c r="C10" i="24"/>
  <c r="G18" i="24" s="1"/>
  <c r="C32" i="22"/>
  <c r="O28" i="22" s="1"/>
  <c r="O30" i="22" s="1"/>
  <c r="O36" i="22" s="1"/>
  <c r="C31" i="17"/>
  <c r="C30" i="24" a="1"/>
  <c r="C30" i="24" s="1"/>
  <c r="O38" i="24" s="1"/>
  <c r="O16" i="24"/>
  <c r="G16" i="24"/>
  <c r="G35" i="24"/>
  <c r="G15" i="24"/>
  <c r="C31" i="24"/>
  <c r="O37" i="24" s="1"/>
  <c r="O17" i="24"/>
  <c r="O15" i="22"/>
  <c r="G35" i="22"/>
  <c r="O38" i="20"/>
  <c r="G38" i="20"/>
  <c r="G18" i="20"/>
  <c r="B25" i="17"/>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48" i="4"/>
  <c r="I185" i="4"/>
  <c r="I186" i="4"/>
  <c r="I187" i="4"/>
  <c r="I188" i="4"/>
  <c r="I189" i="4"/>
  <c r="I190" i="4"/>
  <c r="I191" i="4"/>
  <c r="I192" i="4"/>
  <c r="I193" i="4"/>
  <c r="I194" i="4"/>
  <c r="I195" i="4"/>
  <c r="I196" i="4"/>
  <c r="I197" i="4"/>
  <c r="I198" i="4"/>
  <c r="I199" i="4"/>
  <c r="I184" i="4"/>
  <c r="B19" i="18"/>
  <c r="B25" i="18" s="1"/>
  <c r="B31" i="18" s="1"/>
  <c r="B37" i="18" s="1"/>
  <c r="B30" i="17"/>
  <c r="B31" i="17"/>
  <c r="B32" i="17"/>
  <c r="B33" i="17"/>
  <c r="B34" i="17"/>
  <c r="B35" i="17"/>
  <c r="B36" i="17"/>
  <c r="G30" i="17"/>
  <c r="O35" i="17" s="1"/>
  <c r="B17" i="18"/>
  <c r="B23" i="18" s="1"/>
  <c r="B29" i="18" s="1"/>
  <c r="B35" i="18" s="1"/>
  <c r="B18" i="18"/>
  <c r="B24" i="18" s="1"/>
  <c r="B30" i="18" s="1"/>
  <c r="B36" i="18" s="1"/>
  <c r="B16" i="18"/>
  <c r="B22" i="18" s="1"/>
  <c r="B28" i="18" s="1"/>
  <c r="B34" i="18" s="1"/>
  <c r="B2" i="18"/>
  <c r="G10" i="17"/>
  <c r="O15" i="17" s="1"/>
  <c r="N162" i="30" l="1"/>
  <c r="N166" i="30" s="1"/>
  <c r="N108" i="30" a="1"/>
  <c r="N108" i="30" s="1"/>
  <c r="N133" i="30"/>
  <c r="N155" i="30"/>
  <c r="N139" i="30"/>
  <c r="N113" i="30"/>
  <c r="N149" i="30"/>
  <c r="N82" i="30"/>
  <c r="N134" i="30"/>
  <c r="N83" i="30"/>
  <c r="N107" i="30" a="1"/>
  <c r="N107" i="30" s="1"/>
  <c r="N88" i="30"/>
  <c r="N95" i="30"/>
  <c r="N99" i="30" s="1"/>
  <c r="N100" i="30"/>
  <c r="N150" i="30"/>
  <c r="E23" i="4"/>
  <c r="C4" i="21"/>
  <c r="G36" i="24"/>
  <c r="G36" i="20"/>
  <c r="O37" i="20"/>
  <c r="O40" i="20" s="1"/>
  <c r="C4" i="23"/>
  <c r="O40" i="22"/>
  <c r="C36" i="22" s="1"/>
  <c r="C35" i="22" s="1"/>
  <c r="G36" i="22"/>
  <c r="G16" i="22"/>
  <c r="O16" i="20"/>
  <c r="O20" i="20" s="1"/>
  <c r="C16" i="20" s="1"/>
  <c r="G16" i="20"/>
  <c r="G38" i="24"/>
  <c r="O20" i="24"/>
  <c r="C16" i="24" s="1"/>
  <c r="C15" i="24" s="1"/>
  <c r="O40" i="24"/>
  <c r="C36" i="24" s="1"/>
  <c r="C35" i="24" s="1"/>
  <c r="O17" i="22"/>
  <c r="O20" i="22" s="1"/>
  <c r="C16" i="22" s="1"/>
  <c r="C15" i="22" s="1"/>
  <c r="G35" i="17"/>
  <c r="G15" i="17"/>
  <c r="N154" i="30" l="1"/>
  <c r="N87" i="30"/>
  <c r="N112" i="30"/>
  <c r="N138" i="30"/>
  <c r="N205" i="30"/>
  <c r="E24" i="4"/>
  <c r="C15" i="20"/>
  <c r="C36" i="20"/>
  <c r="C6" i="21" s="1"/>
  <c r="B27" i="17"/>
  <c r="B28" i="17"/>
  <c r="B29" i="17"/>
  <c r="B26" i="17"/>
  <c r="B24" i="17"/>
  <c r="B23" i="17"/>
  <c r="E25" i="4" l="1"/>
  <c r="C6" i="23"/>
  <c r="C35" i="20"/>
  <c r="C30" i="17" a="1"/>
  <c r="C30" i="17" s="1"/>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30" i="16"/>
  <c r="F103" i="16"/>
  <c r="F79" i="16"/>
  <c r="F127" i="16" s="1"/>
  <c r="H66" i="16"/>
  <c r="H54" i="16"/>
  <c r="H53" i="16"/>
  <c r="F40" i="16"/>
  <c r="F216" i="16"/>
  <c r="F215" i="16"/>
  <c r="F167" i="16"/>
  <c r="F166" i="16"/>
  <c r="F154" i="16"/>
  <c r="F153" i="16"/>
  <c r="F204" i="16"/>
  <c r="F203" i="16"/>
  <c r="F205" i="16"/>
  <c r="F155" i="16"/>
  <c r="F116" i="16"/>
  <c r="F115" i="16"/>
  <c r="F217" i="16"/>
  <c r="F168" i="16"/>
  <c r="F117" i="16"/>
  <c r="F105" i="16"/>
  <c r="F193" i="16"/>
  <c r="F142" i="16"/>
  <c r="F104" i="16"/>
  <c r="F181" i="16"/>
  <c r="F228" i="16"/>
  <c r="F41" i="16"/>
  <c r="F141" i="16" s="1"/>
  <c r="BD2" i="16"/>
  <c r="BC2" i="16"/>
  <c r="BB2" i="16"/>
  <c r="BA2" i="16"/>
  <c r="AZ2" i="16"/>
  <c r="AY2" i="16"/>
  <c r="AX2" i="16"/>
  <c r="AW2" i="16"/>
  <c r="AV2" i="16"/>
  <c r="AU2" i="16"/>
  <c r="AT2" i="16"/>
  <c r="AS2" i="16"/>
  <c r="AR2" i="16"/>
  <c r="AQ2" i="16"/>
  <c r="AP2"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E2" i="16"/>
  <c r="D2" i="16"/>
  <c r="C2" i="16"/>
  <c r="E26" i="4" l="1"/>
  <c r="F140" i="16"/>
  <c r="F192" i="16"/>
  <c r="C32" i="17"/>
  <c r="O28" i="17" s="1"/>
  <c r="O30" i="17" s="1"/>
  <c r="O38" i="17"/>
  <c r="G38" i="17"/>
  <c r="F129" i="16"/>
  <c r="F229" i="16"/>
  <c r="F128" i="16"/>
  <c r="P27" i="6" s="1" a="1"/>
  <c r="P27" i="6" s="1"/>
  <c r="P28" i="6" s="1" a="1"/>
  <c r="P28" i="6" s="1"/>
  <c r="P24" i="6" s="1"/>
  <c r="F180" i="16"/>
  <c r="F179" i="16"/>
  <c r="M50" i="6" s="1" a="1"/>
  <c r="M50" i="6" s="1"/>
  <c r="F227" i="16"/>
  <c r="F191" i="16"/>
  <c r="F11" i="38" l="1"/>
  <c r="S55" i="6" a="1"/>
  <c r="S55" i="6" s="1"/>
  <c r="X38" i="6" a="1"/>
  <c r="X38" i="6" s="1"/>
  <c r="Q50" i="6" a="1"/>
  <c r="Q50" i="6" s="1"/>
  <c r="Q51" i="6" s="1"/>
  <c r="R38" i="6" a="1"/>
  <c r="R38" i="6" s="1"/>
  <c r="X56" i="6" a="1"/>
  <c r="X56" i="6" s="1"/>
  <c r="X57" i="6" s="1"/>
  <c r="Z61" i="6" a="1"/>
  <c r="Z61" i="6" s="1"/>
  <c r="Z63" i="6" s="1"/>
  <c r="O50" i="6" a="1"/>
  <c r="O50" i="6" s="1"/>
  <c r="O51" i="6" s="1"/>
  <c r="W67" i="6" a="1"/>
  <c r="W67" i="6" s="1"/>
  <c r="W69" i="6" s="1"/>
  <c r="O44" i="6" a="1"/>
  <c r="O44" i="6" s="1"/>
  <c r="O45" i="6" s="1"/>
  <c r="Z50" i="6" a="1"/>
  <c r="Z50" i="6" s="1"/>
  <c r="Z51" i="6" s="1"/>
  <c r="N55" i="6" a="1"/>
  <c r="N55" i="6" s="1"/>
  <c r="U43" i="6" a="1"/>
  <c r="U43" i="6" s="1"/>
  <c r="P56" i="6" a="1"/>
  <c r="P56" i="6" s="1"/>
  <c r="P57" i="6" s="1"/>
  <c r="O43" i="6" a="1"/>
  <c r="O43" i="6" s="1"/>
  <c r="T49" i="6" a="1"/>
  <c r="T49" i="6" s="1"/>
  <c r="R50" i="6" a="1"/>
  <c r="R50" i="6" s="1"/>
  <c r="R51" i="6" s="1"/>
  <c r="U49" i="6" a="1"/>
  <c r="U49" i="6" s="1"/>
  <c r="Z38" i="6" a="1"/>
  <c r="Z38" i="6" s="1"/>
  <c r="AA49" i="6" a="1"/>
  <c r="AA49" i="6" s="1"/>
  <c r="R61" i="6" a="1"/>
  <c r="R61" i="6" s="1"/>
  <c r="R63" i="6" s="1"/>
  <c r="W27" i="6" a="1"/>
  <c r="W27" i="6" s="1"/>
  <c r="W28" i="6" s="1" a="1"/>
  <c r="W28" i="6" s="1"/>
  <c r="W24" i="6" s="1"/>
  <c r="Q43" i="6" a="1"/>
  <c r="Q43" i="6" s="1"/>
  <c r="AA67" i="6" a="1"/>
  <c r="AA67" i="6" s="1"/>
  <c r="AA69" i="6" s="1"/>
  <c r="O67" i="6" a="1"/>
  <c r="O67" i="6" s="1"/>
  <c r="O69" i="6" s="1"/>
  <c r="P43" i="6" a="1"/>
  <c r="P43" i="6" s="1"/>
  <c r="AA55" i="6" a="1"/>
  <c r="AA55" i="6" s="1"/>
  <c r="U56" i="6" a="1"/>
  <c r="U56" i="6" s="1"/>
  <c r="U57" i="6" s="1"/>
  <c r="U27" i="6" a="1"/>
  <c r="U27" i="6" s="1"/>
  <c r="U28" i="6" s="1" a="1"/>
  <c r="U28" i="6" s="1"/>
  <c r="U24" i="6" s="1"/>
  <c r="T44" i="6" a="1"/>
  <c r="T44" i="6" s="1"/>
  <c r="T45" i="6" s="1"/>
  <c r="R43" i="6" a="1"/>
  <c r="R43" i="6" s="1"/>
  <c r="U61" i="6" a="1"/>
  <c r="U61" i="6" s="1"/>
  <c r="U63" i="6" s="1"/>
  <c r="O61" i="6" a="1"/>
  <c r="O61" i="6" s="1"/>
  <c r="O63" i="6" s="1"/>
  <c r="Y43" i="6" a="1"/>
  <c r="Y43" i="6" s="1"/>
  <c r="S49" i="6" a="1"/>
  <c r="S49" i="6" s="1"/>
  <c r="U44" i="6" a="1"/>
  <c r="U44" i="6" s="1"/>
  <c r="U45" i="6" s="1"/>
  <c r="M44" i="6" a="1"/>
  <c r="M44" i="6" s="1"/>
  <c r="Y49" i="6" a="1"/>
  <c r="Y49" i="6" s="1"/>
  <c r="X67" i="6" a="1"/>
  <c r="X67" i="6" s="1"/>
  <c r="X69" i="6" s="1"/>
  <c r="Q56" i="6" a="1"/>
  <c r="Q56" i="6" s="1"/>
  <c r="Q57" i="6" s="1"/>
  <c r="P49" i="6" a="1"/>
  <c r="P49" i="6" s="1"/>
  <c r="S50" i="6" a="1"/>
  <c r="S50" i="6" s="1"/>
  <c r="S51" i="6" s="1"/>
  <c r="W61" i="6" a="1"/>
  <c r="W61" i="6" s="1"/>
  <c r="W63" i="6" s="1"/>
  <c r="R67" i="6" a="1"/>
  <c r="R67" i="6" s="1"/>
  <c r="R69" i="6" s="1"/>
  <c r="Y56" i="6" a="1"/>
  <c r="Y56" i="6" s="1"/>
  <c r="Y57" i="6" s="1"/>
  <c r="V56" i="6" a="1"/>
  <c r="V56" i="6" s="1"/>
  <c r="V57" i="6" s="1"/>
  <c r="Z67" i="6" a="1"/>
  <c r="Z67" i="6" s="1"/>
  <c r="Z69" i="6" s="1"/>
  <c r="Y27" i="6" a="1"/>
  <c r="Y27" i="6" s="1"/>
  <c r="Y28" i="6" s="1" a="1"/>
  <c r="Y28" i="6" s="1"/>
  <c r="Y24" i="6" s="1"/>
  <c r="T43" i="6" a="1"/>
  <c r="T43" i="6" s="1"/>
  <c r="O49" i="6" a="1"/>
  <c r="O49" i="6" s="1"/>
  <c r="Q38" i="6" a="1"/>
  <c r="Q38" i="6" s="1"/>
  <c r="V67" i="6" a="1"/>
  <c r="V67" i="6" s="1"/>
  <c r="V69" i="6" s="1"/>
  <c r="R49" i="6" a="1"/>
  <c r="R49" i="6" s="1"/>
  <c r="W43" i="6" a="1"/>
  <c r="W43" i="6" s="1"/>
  <c r="Z49" i="6" a="1"/>
  <c r="Z49" i="6" s="1"/>
  <c r="T61" i="6" a="1"/>
  <c r="T61" i="6" s="1"/>
  <c r="T63" i="6" s="1"/>
  <c r="T38" i="6" a="1"/>
  <c r="T38" i="6" s="1"/>
  <c r="Y38" i="6" a="1"/>
  <c r="Y38" i="6" s="1"/>
  <c r="Y39" i="6" s="1" a="1"/>
  <c r="Y39" i="6" s="1"/>
  <c r="O13" i="38" s="1"/>
  <c r="P44" i="6" a="1"/>
  <c r="P44" i="6" s="1"/>
  <c r="P45" i="6" s="1"/>
  <c r="U38" i="6" a="1"/>
  <c r="U38" i="6" s="1"/>
  <c r="Z55" i="6" a="1"/>
  <c r="Z55" i="6" s="1"/>
  <c r="W56" i="6" a="1"/>
  <c r="W56" i="6" s="1"/>
  <c r="W57" i="6" s="1"/>
  <c r="X50" i="6" a="1"/>
  <c r="X50" i="6" s="1"/>
  <c r="X51" i="6" s="1"/>
  <c r="P67" i="6" a="1"/>
  <c r="P67" i="6" s="1"/>
  <c r="P69" i="6" s="1"/>
  <c r="Q67" i="6" a="1"/>
  <c r="Q67" i="6" s="1"/>
  <c r="Q69" i="6" s="1"/>
  <c r="V55" i="6" a="1"/>
  <c r="V55" i="6" s="1"/>
  <c r="V61" i="6" a="1"/>
  <c r="V61" i="6" s="1"/>
  <c r="V63" i="6" s="1"/>
  <c r="X55" i="6" a="1"/>
  <c r="X55" i="6" s="1"/>
  <c r="T50" i="6" a="1"/>
  <c r="T50" i="6" s="1"/>
  <c r="T51" i="6" s="1"/>
  <c r="T56" i="6" a="1"/>
  <c r="T56" i="6" s="1"/>
  <c r="T57" i="6" s="1"/>
  <c r="U50" i="6" a="1"/>
  <c r="U50" i="6" s="1"/>
  <c r="U51" i="6" s="1"/>
  <c r="X44" i="6" a="1"/>
  <c r="X44" i="6" s="1"/>
  <c r="X45" i="6" s="1"/>
  <c r="Q44" i="6" a="1"/>
  <c r="Q44" i="6" s="1"/>
  <c r="Q45" i="6" s="1"/>
  <c r="V38" i="6" a="1"/>
  <c r="V38" i="6" s="1"/>
  <c r="N67" i="6" a="1"/>
  <c r="N67" i="6" s="1"/>
  <c r="N69" i="6" s="1"/>
  <c r="W49" i="6" a="1"/>
  <c r="W49" i="6" s="1"/>
  <c r="Z27" i="6" a="1"/>
  <c r="Z27" i="6" s="1"/>
  <c r="Z28" i="6" s="1" a="1"/>
  <c r="Z28" i="6" s="1"/>
  <c r="Z24" i="6" s="1"/>
  <c r="AA27" i="6" a="1"/>
  <c r="AA27" i="6" s="1"/>
  <c r="AA28" i="6" s="1" a="1"/>
  <c r="AA28" i="6" s="1"/>
  <c r="AA24" i="6" s="1"/>
  <c r="N44" i="6" a="1"/>
  <c r="N44" i="6" s="1"/>
  <c r="N45" i="6" s="1"/>
  <c r="N38" i="6" a="1"/>
  <c r="N38" i="6" s="1"/>
  <c r="Z44" i="6" a="1"/>
  <c r="Z44" i="6" s="1"/>
  <c r="Z45" i="6" s="1"/>
  <c r="X27" i="6" a="1"/>
  <c r="X27" i="6" s="1"/>
  <c r="X28" i="6" s="1" a="1"/>
  <c r="X28" i="6" s="1"/>
  <c r="X24" i="6" s="1"/>
  <c r="Y44" i="6" a="1"/>
  <c r="Y44" i="6" s="1"/>
  <c r="Y45" i="6" s="1"/>
  <c r="AA38" i="6" a="1"/>
  <c r="AA38" i="6" s="1"/>
  <c r="V49" i="6" a="1"/>
  <c r="V49" i="6" s="1"/>
  <c r="Y67" i="6" a="1"/>
  <c r="Y67" i="6" s="1"/>
  <c r="Y69" i="6" s="1"/>
  <c r="W55" i="6" a="1"/>
  <c r="W55" i="6" s="1"/>
  <c r="W50" i="6" a="1"/>
  <c r="W50" i="6" s="1"/>
  <c r="W51" i="6" s="1"/>
  <c r="R55" i="6" a="1"/>
  <c r="R55" i="6" s="1"/>
  <c r="T67" i="6" a="1"/>
  <c r="T67" i="6" s="1"/>
  <c r="T69" i="6" s="1"/>
  <c r="N27" i="6" a="1"/>
  <c r="N27" i="6" s="1"/>
  <c r="N28" i="6" s="1" a="1"/>
  <c r="N28" i="6" s="1"/>
  <c r="N24" i="6" s="1"/>
  <c r="M15" i="6" a="1"/>
  <c r="M15" i="6" s="1"/>
  <c r="Z43" i="6" a="1"/>
  <c r="Z43" i="6" s="1"/>
  <c r="N43" i="6" a="1"/>
  <c r="N43" i="6" s="1"/>
  <c r="S43" i="6" a="1"/>
  <c r="S43" i="6" s="1"/>
  <c r="S38" i="6" a="1"/>
  <c r="S38" i="6" s="1"/>
  <c r="Q55" i="6" a="1"/>
  <c r="Q55" i="6" s="1"/>
  <c r="V43" i="6" a="1"/>
  <c r="V43" i="6" s="1"/>
  <c r="Y55" i="6" a="1"/>
  <c r="Y55" i="6" s="1"/>
  <c r="S61" i="6" a="1"/>
  <c r="S61" i="6" s="1"/>
  <c r="S63" i="6" s="1"/>
  <c r="X49" i="6" a="1"/>
  <c r="X49" i="6" s="1"/>
  <c r="V50" i="6" a="1"/>
  <c r="V50" i="6" s="1"/>
  <c r="V51" i="6" s="1"/>
  <c r="X43" i="6" a="1"/>
  <c r="X43" i="6" s="1"/>
  <c r="N49" i="6" a="1"/>
  <c r="N49" i="6" s="1"/>
  <c r="R44" i="6" a="1"/>
  <c r="R44" i="6" s="1"/>
  <c r="R45" i="6" s="1"/>
  <c r="Q27" i="6" a="1"/>
  <c r="Q27" i="6" s="1"/>
  <c r="Q28" i="6" s="1" a="1"/>
  <c r="Q28" i="6" s="1"/>
  <c r="Q24" i="6" s="1"/>
  <c r="N61" i="6" a="1"/>
  <c r="N61" i="6" s="1"/>
  <c r="N63" i="6" s="1"/>
  <c r="AA50" i="6" a="1"/>
  <c r="AA50" i="6" s="1"/>
  <c r="AA51" i="6" s="1"/>
  <c r="R56" i="6" a="1"/>
  <c r="R56" i="6" s="1"/>
  <c r="R57" i="6" s="1"/>
  <c r="AA43" i="6" a="1"/>
  <c r="AA43" i="6" s="1"/>
  <c r="N50" i="6" a="1"/>
  <c r="N50" i="6" s="1"/>
  <c r="N51" i="6" s="1"/>
  <c r="U67" i="6" a="1"/>
  <c r="U67" i="6" s="1"/>
  <c r="U69" i="6" s="1"/>
  <c r="O55" i="6" a="1"/>
  <c r="O55" i="6" s="1"/>
  <c r="S44" i="6" a="1"/>
  <c r="S44" i="6" s="1"/>
  <c r="S45" i="6" s="1"/>
  <c r="Z56" i="6" a="1"/>
  <c r="Z56" i="6" s="1"/>
  <c r="Z57" i="6" s="1"/>
  <c r="W38" i="6" a="1"/>
  <c r="W38" i="6" s="1"/>
  <c r="AA56" i="6" a="1"/>
  <c r="AA56" i="6" s="1"/>
  <c r="AA57" i="6" s="1"/>
  <c r="O27" i="6" a="1"/>
  <c r="O27" i="6" s="1"/>
  <c r="O28" i="6" s="1" a="1"/>
  <c r="O28" i="6" s="1"/>
  <c r="O24" i="6" s="1"/>
  <c r="Q61" i="6" a="1"/>
  <c r="Q61" i="6" s="1"/>
  <c r="Q63" i="6" s="1"/>
  <c r="V27" i="6" a="1"/>
  <c r="V27" i="6" s="1"/>
  <c r="V28" i="6" s="1" a="1"/>
  <c r="V28" i="6" s="1"/>
  <c r="V24" i="6" s="1"/>
  <c r="O56" i="6" a="1"/>
  <c r="O56" i="6" s="1"/>
  <c r="O57" i="6" s="1"/>
  <c r="P61" i="6" a="1"/>
  <c r="P61" i="6" s="1"/>
  <c r="P63" i="6" s="1"/>
  <c r="Q49" i="6" a="1"/>
  <c r="Q49" i="6" s="1"/>
  <c r="Y61" i="6" a="1"/>
  <c r="Y61" i="6" s="1"/>
  <c r="Y63" i="6" s="1"/>
  <c r="S67" i="6" a="1"/>
  <c r="S67" i="6" s="1"/>
  <c r="S69" i="6" s="1"/>
  <c r="Y50" i="6" a="1"/>
  <c r="Y50" i="6" s="1"/>
  <c r="Y51" i="6" s="1"/>
  <c r="AA61" i="6" a="1"/>
  <c r="AA61" i="6" s="1"/>
  <c r="AA63" i="6" s="1"/>
  <c r="P38" i="6" a="1"/>
  <c r="P38" i="6" s="1"/>
  <c r="AA44" i="6" a="1"/>
  <c r="AA44" i="6" s="1"/>
  <c r="AA45" i="6" s="1"/>
  <c r="W44" i="6" a="1"/>
  <c r="W44" i="6" s="1"/>
  <c r="W45" i="6" s="1"/>
  <c r="T55" i="6" a="1"/>
  <c r="T55" i="6" s="1"/>
  <c r="R27" i="6" a="1"/>
  <c r="R27" i="6" s="1"/>
  <c r="R28" i="6" s="1" a="1"/>
  <c r="R28" i="6" s="1"/>
  <c r="R24" i="6" s="1"/>
  <c r="T27" i="6" a="1"/>
  <c r="T27" i="6" s="1"/>
  <c r="T28" i="6" s="1" a="1"/>
  <c r="T28" i="6" s="1"/>
  <c r="T24" i="6" s="1"/>
  <c r="O38" i="6" a="1"/>
  <c r="O38" i="6" s="1"/>
  <c r="S27" i="6" a="1"/>
  <c r="S27" i="6" s="1"/>
  <c r="S28" i="6" s="1" a="1"/>
  <c r="S28" i="6" s="1"/>
  <c r="S24" i="6" s="1"/>
  <c r="V44" i="6" a="1"/>
  <c r="V44" i="6" s="1"/>
  <c r="V45" i="6" s="1"/>
  <c r="P50" i="6" a="1"/>
  <c r="P50" i="6" s="1"/>
  <c r="P51" i="6" s="1"/>
  <c r="P55" i="6" a="1"/>
  <c r="P55" i="6" s="1"/>
  <c r="U55" i="6" a="1"/>
  <c r="U55" i="6" s="1"/>
  <c r="N56" i="6" a="1"/>
  <c r="N56" i="6" s="1"/>
  <c r="N57" i="6" s="1"/>
  <c r="X61" i="6" a="1"/>
  <c r="X61" i="6" s="1"/>
  <c r="X63" i="6" s="1"/>
  <c r="S56" i="6" a="1"/>
  <c r="S56" i="6" s="1"/>
  <c r="S57" i="6" s="1"/>
  <c r="M56" i="6" a="1"/>
  <c r="M56" i="6" s="1"/>
  <c r="M57" i="6" s="1"/>
  <c r="M27" i="6" a="1"/>
  <c r="M27" i="6" s="1"/>
  <c r="M38" i="6" a="1"/>
  <c r="M38" i="6" s="1"/>
  <c r="M33" i="6" a="1"/>
  <c r="M33" i="6" s="1"/>
  <c r="M61" i="6" a="1"/>
  <c r="M61" i="6" s="1"/>
  <c r="M63" i="6" s="1"/>
  <c r="E27" i="4"/>
  <c r="M55" i="6" a="1"/>
  <c r="M55" i="6" s="1"/>
  <c r="M67" i="6" a="1"/>
  <c r="M67" i="6" s="1"/>
  <c r="M69" i="6" s="1"/>
  <c r="M49" i="6" a="1"/>
  <c r="M49" i="6" s="1"/>
  <c r="M51" i="6" s="1"/>
  <c r="M43" i="6" a="1"/>
  <c r="M43" i="6" s="1"/>
  <c r="O8" i="17"/>
  <c r="G36" i="17"/>
  <c r="O36" i="17"/>
  <c r="M16" i="6" l="1" a="1"/>
  <c r="M16" i="6" s="1"/>
  <c r="K16" i="6" s="1"/>
  <c r="G9" i="38"/>
  <c r="M9" i="38"/>
  <c r="Y8" i="6"/>
  <c r="C7" i="38"/>
  <c r="Q9" i="38"/>
  <c r="E9" i="38"/>
  <c r="H9" i="38"/>
  <c r="H11" i="38"/>
  <c r="Q11" i="38"/>
  <c r="M11" i="38"/>
  <c r="P39" i="6" a="1"/>
  <c r="P39" i="6" s="1"/>
  <c r="E11" i="38"/>
  <c r="I19" i="33"/>
  <c r="S39" i="6" a="1"/>
  <c r="S39" i="6" s="1"/>
  <c r="I13" i="38" s="1"/>
  <c r="L11" i="38"/>
  <c r="L19" i="33"/>
  <c r="V39" i="6" a="1"/>
  <c r="V39" i="6" s="1"/>
  <c r="L13" i="38" s="1"/>
  <c r="L23" i="33"/>
  <c r="J15" i="33"/>
  <c r="J9" i="38"/>
  <c r="Z39" i="6" a="1"/>
  <c r="Z39" i="6" s="1"/>
  <c r="P13" i="38" s="1"/>
  <c r="W39" i="6" a="1"/>
  <c r="W39" i="6" s="1"/>
  <c r="M13" i="38" s="1"/>
  <c r="G11" i="38"/>
  <c r="AA39" i="6" a="1"/>
  <c r="AA39" i="6" s="1"/>
  <c r="Q13" i="38" s="1"/>
  <c r="Q39" i="6" a="1"/>
  <c r="Q39" i="6" s="1"/>
  <c r="G13" i="38" s="1"/>
  <c r="K11" i="38"/>
  <c r="K19" i="33"/>
  <c r="L9" i="38"/>
  <c r="L15" i="33"/>
  <c r="O9" i="38"/>
  <c r="N9" i="38"/>
  <c r="R39" i="6" a="1"/>
  <c r="R39" i="6" s="1"/>
  <c r="H13" i="38" s="1"/>
  <c r="I11" i="38"/>
  <c r="U39" i="6" a="1"/>
  <c r="U39" i="6" s="1"/>
  <c r="K13" i="38" s="1"/>
  <c r="K23" i="33"/>
  <c r="O39" i="6" a="1"/>
  <c r="O39" i="6" s="1"/>
  <c r="E13" i="38" s="1"/>
  <c r="I23" i="33"/>
  <c r="I9" i="38"/>
  <c r="N11" i="38"/>
  <c r="O11" i="38"/>
  <c r="X39" i="6" a="1"/>
  <c r="X39" i="6" s="1"/>
  <c r="N13" i="38" s="1"/>
  <c r="P11" i="38"/>
  <c r="J11" i="38"/>
  <c r="J19" i="33"/>
  <c r="D11" i="38"/>
  <c r="P9" i="38"/>
  <c r="K9" i="38"/>
  <c r="K15" i="33"/>
  <c r="N39" i="6" a="1"/>
  <c r="N39" i="6" s="1"/>
  <c r="D13" i="38" s="1"/>
  <c r="T39" i="6" a="1"/>
  <c r="T39" i="6" s="1"/>
  <c r="J13" i="38" s="1"/>
  <c r="J23" i="33"/>
  <c r="D9" i="38"/>
  <c r="M34" i="6" a="1"/>
  <c r="M34" i="6" s="1"/>
  <c r="C15" i="38" s="1"/>
  <c r="F9" i="38"/>
  <c r="I27" i="33"/>
  <c r="E15" i="38"/>
  <c r="M39" i="6" a="1"/>
  <c r="M39" i="6" s="1"/>
  <c r="I15" i="33"/>
  <c r="M28" i="6" a="1"/>
  <c r="M28" i="6" s="1"/>
  <c r="M24" i="6" s="1"/>
  <c r="E28" i="4"/>
  <c r="F10" i="38"/>
  <c r="F16" i="38"/>
  <c r="M45" i="6"/>
  <c r="C9" i="38" s="1"/>
  <c r="G11" i="33"/>
  <c r="H15" i="33"/>
  <c r="H23" i="33"/>
  <c r="H19" i="33"/>
  <c r="O10" i="17"/>
  <c r="O16" i="17" s="1"/>
  <c r="B3" i="13"/>
  <c r="B4" i="13" s="1" a="1"/>
  <c r="B4" i="13" s="1"/>
  <c r="B5" i="11" a="1"/>
  <c r="B5" i="11" s="1"/>
  <c r="B6" i="11" s="1"/>
  <c r="Y40" i="6" l="1"/>
  <c r="Y29" i="6"/>
  <c r="Y17" i="6"/>
  <c r="V8" i="6"/>
  <c r="S8" i="6"/>
  <c r="R8" i="6"/>
  <c r="T8" i="6"/>
  <c r="T64" i="6" s="1"/>
  <c r="X8" i="6"/>
  <c r="U8" i="6"/>
  <c r="Z8" i="6"/>
  <c r="AA8" i="6"/>
  <c r="W8" i="6"/>
  <c r="N8" i="6"/>
  <c r="N29" i="6" s="1"/>
  <c r="H20" i="33" s="1"/>
  <c r="O8" i="6"/>
  <c r="F13" i="38"/>
  <c r="P8" i="6"/>
  <c r="Q8" i="6"/>
  <c r="M8" i="6"/>
  <c r="Y70" i="6"/>
  <c r="Y64" i="6"/>
  <c r="S64" i="6"/>
  <c r="S40" i="6"/>
  <c r="C13" i="38"/>
  <c r="G23" i="33"/>
  <c r="G19" i="33"/>
  <c r="C11" i="38"/>
  <c r="F6" i="38"/>
  <c r="E6" i="38"/>
  <c r="G6" i="38"/>
  <c r="H6" i="38"/>
  <c r="E29" i="4"/>
  <c r="H16" i="38"/>
  <c r="H10" i="38"/>
  <c r="G16" i="38"/>
  <c r="D10" i="38"/>
  <c r="G15" i="33"/>
  <c r="M52" i="6"/>
  <c r="G16" i="17"/>
  <c r="AB384" i="4"/>
  <c r="AB383" i="4"/>
  <c r="AB382" i="4"/>
  <c r="BA18" i="1"/>
  <c r="AV18" i="1"/>
  <c r="AO69" i="1"/>
  <c r="AN18" i="1"/>
  <c r="AS522" i="4"/>
  <c r="AR522" i="4"/>
  <c r="AQ522" i="4"/>
  <c r="AP522" i="4"/>
  <c r="AO522" i="4"/>
  <c r="AN522" i="4"/>
  <c r="AM522" i="4"/>
  <c r="AL522" i="4"/>
  <c r="AK522" i="4"/>
  <c r="AJ522" i="4"/>
  <c r="AI522" i="4"/>
  <c r="AH522" i="4"/>
  <c r="AG522" i="4"/>
  <c r="AF522" i="4"/>
  <c r="AS521" i="4"/>
  <c r="AR521" i="4"/>
  <c r="AQ521" i="4"/>
  <c r="AP521" i="4"/>
  <c r="AO521" i="4"/>
  <c r="AN521" i="4"/>
  <c r="AM521" i="4"/>
  <c r="AL521" i="4"/>
  <c r="AK521" i="4"/>
  <c r="AJ521" i="4"/>
  <c r="AI521" i="4"/>
  <c r="AH521" i="4"/>
  <c r="AG521" i="4"/>
  <c r="AF521" i="4"/>
  <c r="AS520" i="4"/>
  <c r="AR520" i="4"/>
  <c r="AQ520" i="4"/>
  <c r="AP520" i="4"/>
  <c r="AO520" i="4"/>
  <c r="AN520" i="4"/>
  <c r="AM520" i="4"/>
  <c r="AL520" i="4"/>
  <c r="AK520" i="4"/>
  <c r="AJ520" i="4"/>
  <c r="AI520" i="4"/>
  <c r="AH520" i="4"/>
  <c r="AG520" i="4"/>
  <c r="AF520" i="4"/>
  <c r="AS519" i="4"/>
  <c r="AR519" i="4"/>
  <c r="AQ519" i="4"/>
  <c r="AP519" i="4"/>
  <c r="AO519" i="4"/>
  <c r="AN519" i="4"/>
  <c r="AM519" i="4"/>
  <c r="AL519" i="4"/>
  <c r="AK519" i="4"/>
  <c r="AJ519" i="4"/>
  <c r="AI519" i="4"/>
  <c r="AH519" i="4"/>
  <c r="AG519" i="4"/>
  <c r="AF519" i="4"/>
  <c r="AJ500" i="4"/>
  <c r="AI500" i="4"/>
  <c r="AH500" i="4"/>
  <c r="AG500" i="4"/>
  <c r="AF500" i="4"/>
  <c r="AJ499" i="4"/>
  <c r="AI499" i="4"/>
  <c r="AH499" i="4"/>
  <c r="AG499" i="4"/>
  <c r="AF499" i="4"/>
  <c r="AJ498" i="4"/>
  <c r="AI498" i="4"/>
  <c r="AH498" i="4"/>
  <c r="AG498" i="4"/>
  <c r="AF498" i="4"/>
  <c r="AJ497" i="4"/>
  <c r="AI497" i="4"/>
  <c r="AH497" i="4"/>
  <c r="AG497" i="4"/>
  <c r="AF497" i="4"/>
  <c r="AL479" i="4"/>
  <c r="AK479" i="4"/>
  <c r="AJ479" i="4"/>
  <c r="AI479" i="4"/>
  <c r="AH479" i="4"/>
  <c r="AG479" i="4"/>
  <c r="AF479" i="4"/>
  <c r="AL478" i="4"/>
  <c r="AK478" i="4"/>
  <c r="AJ478" i="4"/>
  <c r="AI478" i="4"/>
  <c r="AH478" i="4"/>
  <c r="AG478" i="4"/>
  <c r="AF478" i="4"/>
  <c r="AL477" i="4"/>
  <c r="AK477" i="4"/>
  <c r="AJ477" i="4"/>
  <c r="AI477" i="4"/>
  <c r="AH477" i="4"/>
  <c r="AG477" i="4"/>
  <c r="AF477" i="4"/>
  <c r="AL476" i="4"/>
  <c r="AK476" i="4"/>
  <c r="AJ476" i="4"/>
  <c r="AI476" i="4"/>
  <c r="AH476" i="4"/>
  <c r="AG476" i="4"/>
  <c r="AF476" i="4"/>
  <c r="AL457" i="4"/>
  <c r="AK457" i="4"/>
  <c r="AJ457" i="4"/>
  <c r="AI457" i="4"/>
  <c r="AH457" i="4"/>
  <c r="AG457" i="4"/>
  <c r="AF457" i="4"/>
  <c r="AL456" i="4"/>
  <c r="AK456" i="4"/>
  <c r="AJ456" i="4"/>
  <c r="AI456" i="4"/>
  <c r="AH456" i="4"/>
  <c r="AG456" i="4"/>
  <c r="AF456" i="4"/>
  <c r="AL455" i="4"/>
  <c r="AK455" i="4"/>
  <c r="AJ455" i="4"/>
  <c r="AI455" i="4"/>
  <c r="AH455" i="4"/>
  <c r="AG455" i="4"/>
  <c r="AF455" i="4"/>
  <c r="AL454" i="4"/>
  <c r="AK454" i="4"/>
  <c r="AJ454" i="4"/>
  <c r="AI454" i="4"/>
  <c r="AH454" i="4"/>
  <c r="AG454" i="4"/>
  <c r="AF454" i="4"/>
  <c r="AL436" i="4"/>
  <c r="AK436" i="4"/>
  <c r="AJ436" i="4"/>
  <c r="AI436" i="4"/>
  <c r="AH436" i="4"/>
  <c r="AG436" i="4"/>
  <c r="AF436" i="4"/>
  <c r="AL435" i="4"/>
  <c r="AK435" i="4"/>
  <c r="AJ435" i="4"/>
  <c r="AI435" i="4"/>
  <c r="AH435" i="4"/>
  <c r="AG435" i="4"/>
  <c r="AF435" i="4"/>
  <c r="AL434" i="4"/>
  <c r="AK434" i="4"/>
  <c r="AJ434" i="4"/>
  <c r="AI434" i="4"/>
  <c r="AH434" i="4"/>
  <c r="AG434" i="4"/>
  <c r="AF434" i="4"/>
  <c r="AL433" i="4"/>
  <c r="AK433" i="4"/>
  <c r="AJ433" i="4"/>
  <c r="AI433" i="4"/>
  <c r="AH433" i="4"/>
  <c r="AG433" i="4"/>
  <c r="AF433" i="4"/>
  <c r="AM414" i="4"/>
  <c r="AK414" i="4"/>
  <c r="AJ414" i="4"/>
  <c r="AI414" i="4"/>
  <c r="AH414" i="4"/>
  <c r="AG414" i="4"/>
  <c r="AF414" i="4"/>
  <c r="AE414" i="4"/>
  <c r="AM413" i="4"/>
  <c r="AK413" i="4"/>
  <c r="AJ413" i="4"/>
  <c r="AI413" i="4"/>
  <c r="AH413" i="4"/>
  <c r="AG413" i="4"/>
  <c r="AF413" i="4"/>
  <c r="AE413" i="4"/>
  <c r="AM412" i="4"/>
  <c r="AK412" i="4"/>
  <c r="AJ412" i="4"/>
  <c r="AI412" i="4"/>
  <c r="AH412" i="4"/>
  <c r="AG412" i="4"/>
  <c r="AF412" i="4"/>
  <c r="AE412" i="4"/>
  <c r="AM411" i="4"/>
  <c r="AK411" i="4"/>
  <c r="AJ411" i="4"/>
  <c r="AI411" i="4"/>
  <c r="AH411" i="4"/>
  <c r="AG411" i="4"/>
  <c r="AF411" i="4"/>
  <c r="AE411" i="4"/>
  <c r="AF398" i="4"/>
  <c r="AM392" i="4"/>
  <c r="AL392" i="4"/>
  <c r="AK392" i="4"/>
  <c r="AJ392" i="4"/>
  <c r="AI392" i="4"/>
  <c r="AH392" i="4"/>
  <c r="AG392" i="4"/>
  <c r="AF392" i="4"/>
  <c r="AM391" i="4"/>
  <c r="AL391" i="4"/>
  <c r="AK391" i="4"/>
  <c r="AJ391" i="4"/>
  <c r="AI391" i="4"/>
  <c r="AH391" i="4"/>
  <c r="AG391" i="4"/>
  <c r="AF391" i="4"/>
  <c r="AM390" i="4"/>
  <c r="AL390" i="4"/>
  <c r="AK390" i="4"/>
  <c r="AJ390" i="4"/>
  <c r="AI390" i="4"/>
  <c r="AH390" i="4"/>
  <c r="AG390" i="4"/>
  <c r="AF390" i="4"/>
  <c r="AM389" i="4"/>
  <c r="AL389" i="4"/>
  <c r="AK389" i="4"/>
  <c r="AJ389" i="4"/>
  <c r="AI389" i="4"/>
  <c r="AH389" i="4"/>
  <c r="AG389" i="4"/>
  <c r="AF389" i="4"/>
  <c r="AM379" i="4"/>
  <c r="AL379" i="4"/>
  <c r="AK379" i="4"/>
  <c r="AJ379" i="4"/>
  <c r="AI379" i="4"/>
  <c r="AH379" i="4"/>
  <c r="AG379" i="4"/>
  <c r="AF379" i="4"/>
  <c r="AM378" i="4"/>
  <c r="AL378" i="4"/>
  <c r="AK378" i="4"/>
  <c r="AJ378" i="4"/>
  <c r="AI378" i="4"/>
  <c r="AH378" i="4"/>
  <c r="AG378" i="4"/>
  <c r="AF378" i="4"/>
  <c r="AM377" i="4"/>
  <c r="AL377" i="4"/>
  <c r="AK377" i="4"/>
  <c r="AJ377" i="4"/>
  <c r="AI377" i="4"/>
  <c r="AH377" i="4"/>
  <c r="AG377" i="4"/>
  <c r="AF377" i="4"/>
  <c r="AM376" i="4"/>
  <c r="AL376" i="4"/>
  <c r="AK376" i="4"/>
  <c r="AJ376" i="4"/>
  <c r="AI376" i="4"/>
  <c r="AH376" i="4"/>
  <c r="AG376" i="4"/>
  <c r="AF376" i="4"/>
  <c r="AL357" i="4"/>
  <c r="AK357" i="4"/>
  <c r="AJ357" i="4"/>
  <c r="AI357" i="4"/>
  <c r="AH357" i="4"/>
  <c r="AG357" i="4"/>
  <c r="AF357" i="4"/>
  <c r="AL356" i="4"/>
  <c r="AK356" i="4"/>
  <c r="AJ356" i="4"/>
  <c r="AI356" i="4"/>
  <c r="AH356" i="4"/>
  <c r="AG356" i="4"/>
  <c r="AF356" i="4"/>
  <c r="AL355" i="4"/>
  <c r="AK355" i="4"/>
  <c r="AJ355" i="4"/>
  <c r="AI355" i="4"/>
  <c r="AH355" i="4"/>
  <c r="AG355" i="4"/>
  <c r="AF355" i="4"/>
  <c r="AL354" i="4"/>
  <c r="AK354" i="4"/>
  <c r="AJ354" i="4"/>
  <c r="AI354" i="4"/>
  <c r="AH354" i="4"/>
  <c r="AG354" i="4"/>
  <c r="AF354" i="4"/>
  <c r="AG397" i="4"/>
  <c r="AG463" i="4" a="1"/>
  <c r="AG442" i="4" a="1"/>
  <c r="AG399" i="4"/>
  <c r="AH441" i="4" a="1"/>
  <c r="AH462" i="4" a="1"/>
  <c r="AG398" i="4"/>
  <c r="R70" i="6" l="1"/>
  <c r="R29" i="6"/>
  <c r="R17" i="6"/>
  <c r="Q40" i="6"/>
  <c r="Q29" i="6"/>
  <c r="Q17" i="6"/>
  <c r="S70" i="6"/>
  <c r="S29" i="6"/>
  <c r="S17" i="6"/>
  <c r="P64" i="6"/>
  <c r="P29" i="6"/>
  <c r="P17" i="6"/>
  <c r="V40" i="6"/>
  <c r="L24" i="33" s="1"/>
  <c r="V29" i="6"/>
  <c r="V17" i="6"/>
  <c r="O29" i="6"/>
  <c r="O17" i="6"/>
  <c r="O8" i="38"/>
  <c r="Y72" i="6"/>
  <c r="Y18" i="6" s="1"/>
  <c r="O12" i="38"/>
  <c r="W40" i="6"/>
  <c r="M14" i="38" s="1"/>
  <c r="W29" i="6"/>
  <c r="W17" i="6"/>
  <c r="AA70" i="6"/>
  <c r="AA29" i="6"/>
  <c r="AA17" i="6"/>
  <c r="O14" i="38"/>
  <c r="Z64" i="6"/>
  <c r="Z29" i="6"/>
  <c r="Z17" i="6"/>
  <c r="U70" i="6"/>
  <c r="U29" i="6"/>
  <c r="U17" i="6"/>
  <c r="X70" i="6"/>
  <c r="X29" i="6"/>
  <c r="X17" i="6"/>
  <c r="T70" i="6"/>
  <c r="T29" i="6"/>
  <c r="T17" i="6"/>
  <c r="N70" i="6"/>
  <c r="N17" i="6"/>
  <c r="H12" i="33" s="1"/>
  <c r="V70" i="6"/>
  <c r="R64" i="6"/>
  <c r="X40" i="6"/>
  <c r="X64" i="6"/>
  <c r="Z40" i="6"/>
  <c r="R40" i="6"/>
  <c r="U40" i="6"/>
  <c r="V64" i="6"/>
  <c r="Z70" i="6"/>
  <c r="U64" i="6"/>
  <c r="L14" i="38"/>
  <c r="P40" i="6"/>
  <c r="W64" i="6"/>
  <c r="AA40" i="6"/>
  <c r="AA64" i="6"/>
  <c r="T40" i="6"/>
  <c r="J24" i="33" s="1"/>
  <c r="P70" i="6"/>
  <c r="O70" i="6"/>
  <c r="O64" i="6"/>
  <c r="O40" i="6"/>
  <c r="Q70" i="6"/>
  <c r="N64" i="6"/>
  <c r="Q64" i="6"/>
  <c r="G14" i="38"/>
  <c r="N40" i="6"/>
  <c r="D14" i="38" s="1"/>
  <c r="W70" i="6"/>
  <c r="N14" i="38"/>
  <c r="I14" i="38"/>
  <c r="M29" i="6"/>
  <c r="M22" i="6"/>
  <c r="D12" i="38"/>
  <c r="G10" i="38"/>
  <c r="I28" i="33"/>
  <c r="E16" i="38"/>
  <c r="H28" i="33"/>
  <c r="D16" i="38"/>
  <c r="I16" i="33"/>
  <c r="E10" i="38"/>
  <c r="E30" i="4"/>
  <c r="AE528" i="4" a="1"/>
  <c r="AE528" i="4" s="1"/>
  <c r="AE506" i="4" a="1"/>
  <c r="AE506" i="4" s="1"/>
  <c r="AE485" i="4" a="1"/>
  <c r="AE485" i="4" s="1"/>
  <c r="AE420" i="4" a="1"/>
  <c r="AE420" i="4" s="1"/>
  <c r="AE463" i="4" a="1"/>
  <c r="AE463" i="4" s="1"/>
  <c r="AE363" i="4" a="1"/>
  <c r="AE363" i="4" s="1"/>
  <c r="AE399" i="4" a="1"/>
  <c r="AE399" i="4" s="1"/>
  <c r="AE442" i="4" a="1"/>
  <c r="AE442" i="4" s="1"/>
  <c r="AH441" i="4"/>
  <c r="AG463" i="4"/>
  <c r="AH462" i="4"/>
  <c r="AG442" i="4"/>
  <c r="F12" i="38" l="1"/>
  <c r="Y30" i="6"/>
  <c r="J8" i="38"/>
  <c r="J12" i="33"/>
  <c r="T72" i="6"/>
  <c r="T18" i="6" s="1"/>
  <c r="J13" i="33" s="1"/>
  <c r="J14" i="33" s="1"/>
  <c r="I8" i="38"/>
  <c r="S72" i="6"/>
  <c r="S18" i="6" s="1"/>
  <c r="P8" i="38"/>
  <c r="Z72" i="6"/>
  <c r="Z18" i="6" s="1"/>
  <c r="J12" i="38"/>
  <c r="J20" i="33"/>
  <c r="P12" i="38"/>
  <c r="I12" i="38"/>
  <c r="Y59" i="6"/>
  <c r="Y36" i="6"/>
  <c r="Y13" i="6"/>
  <c r="Y73" i="6"/>
  <c r="Y74" i="6" s="1" a="1"/>
  <c r="Y74" i="6" s="1"/>
  <c r="Y53" i="6"/>
  <c r="O5" i="38"/>
  <c r="Y47" i="6"/>
  <c r="Q72" i="6"/>
  <c r="Q41" i="6" s="1"/>
  <c r="G8" i="38"/>
  <c r="N8" i="38"/>
  <c r="X72" i="6"/>
  <c r="X18" i="6" s="1"/>
  <c r="Q8" i="38"/>
  <c r="AA72" i="6"/>
  <c r="AA18" i="6" s="1"/>
  <c r="O72" i="6"/>
  <c r="O41" i="6" s="1"/>
  <c r="E8" i="38"/>
  <c r="I12" i="33"/>
  <c r="G12" i="38"/>
  <c r="N12" i="38"/>
  <c r="Q12" i="38"/>
  <c r="I20" i="33"/>
  <c r="E12" i="38"/>
  <c r="L8" i="38"/>
  <c r="L12" i="33"/>
  <c r="V72" i="6"/>
  <c r="V71" i="6" s="1"/>
  <c r="R72" i="6"/>
  <c r="R71" i="6" s="1"/>
  <c r="H8" i="38"/>
  <c r="Y71" i="6"/>
  <c r="Y65" i="6"/>
  <c r="L12" i="38"/>
  <c r="L20" i="33"/>
  <c r="H12" i="38"/>
  <c r="W72" i="6"/>
  <c r="W71" i="6" s="1"/>
  <c r="M8" i="38"/>
  <c r="K8" i="38"/>
  <c r="U72" i="6"/>
  <c r="U30" i="6" s="1"/>
  <c r="K21" i="33" s="1"/>
  <c r="K22" i="33" s="1"/>
  <c r="K12" i="33"/>
  <c r="K12" i="38"/>
  <c r="K20" i="33"/>
  <c r="M12" i="38"/>
  <c r="P72" i="6"/>
  <c r="F8" i="38"/>
  <c r="Y41" i="6"/>
  <c r="N72" i="6"/>
  <c r="N73" i="6" s="1"/>
  <c r="N74" i="6" s="1" a="1"/>
  <c r="N74" i="6" s="1"/>
  <c r="N75" i="6" s="1"/>
  <c r="P14" i="38"/>
  <c r="D8" i="38"/>
  <c r="H14" i="38"/>
  <c r="K24" i="33"/>
  <c r="F14" i="38"/>
  <c r="K14" i="38"/>
  <c r="J14" i="38"/>
  <c r="Q14" i="38"/>
  <c r="E14" i="38"/>
  <c r="I24" i="33"/>
  <c r="E31" i="4"/>
  <c r="O37" i="17"/>
  <c r="O40" i="17" s="1"/>
  <c r="C36" i="17" s="1"/>
  <c r="C35" i="17" s="1"/>
  <c r="Y76" i="6" l="1"/>
  <c r="Z71" i="6"/>
  <c r="Z41" i="6"/>
  <c r="Q18" i="6"/>
  <c r="Q65" i="6"/>
  <c r="R18" i="6"/>
  <c r="R65" i="6"/>
  <c r="R30" i="6"/>
  <c r="Q71" i="6"/>
  <c r="V18" i="6"/>
  <c r="L13" i="33" s="1"/>
  <c r="L14" i="33" s="1"/>
  <c r="U18" i="6"/>
  <c r="K13" i="33" s="1"/>
  <c r="K14" i="33" s="1"/>
  <c r="V30" i="6"/>
  <c r="L21" i="33" s="1"/>
  <c r="L22" i="33" s="1"/>
  <c r="T47" i="6"/>
  <c r="J5" i="38"/>
  <c r="T73" i="6"/>
  <c r="T13" i="6"/>
  <c r="T53" i="6"/>
  <c r="T59" i="6"/>
  <c r="T36" i="6"/>
  <c r="J29" i="33" s="1"/>
  <c r="J30" i="33" s="1"/>
  <c r="J5" i="33"/>
  <c r="T65" i="6"/>
  <c r="O65" i="6"/>
  <c r="X73" i="6"/>
  <c r="X74" i="6" s="1" a="1"/>
  <c r="X74" i="6" s="1"/>
  <c r="X53" i="6"/>
  <c r="X47" i="6"/>
  <c r="X36" i="6"/>
  <c r="X59" i="6"/>
  <c r="X13" i="6"/>
  <c r="N5" i="38"/>
  <c r="X41" i="6"/>
  <c r="T41" i="6"/>
  <c r="J25" i="33" s="1"/>
  <c r="J26" i="33" s="1"/>
  <c r="W30" i="6"/>
  <c r="U41" i="6"/>
  <c r="K25" i="33" s="1"/>
  <c r="K26" i="33" s="1"/>
  <c r="X71" i="6"/>
  <c r="Q30" i="6"/>
  <c r="R41" i="6"/>
  <c r="P73" i="6"/>
  <c r="P74" i="6" s="1" a="1"/>
  <c r="P74" i="6" s="1"/>
  <c r="P75" i="6" s="1"/>
  <c r="P13" i="6"/>
  <c r="P47" i="6"/>
  <c r="P36" i="6"/>
  <c r="P53" i="6"/>
  <c r="P59" i="6"/>
  <c r="AA71" i="6"/>
  <c r="P5" i="38"/>
  <c r="Z47" i="6"/>
  <c r="Z53" i="6"/>
  <c r="Z73" i="6"/>
  <c r="Z74" i="6" s="1" a="1"/>
  <c r="Z74" i="6" s="1"/>
  <c r="Z36" i="6"/>
  <c r="Z59" i="6"/>
  <c r="Z13" i="6"/>
  <c r="Z65" i="6"/>
  <c r="P18" i="6"/>
  <c r="X65" i="6"/>
  <c r="W18" i="6"/>
  <c r="AA65" i="6"/>
  <c r="O71" i="6"/>
  <c r="V65" i="6"/>
  <c r="P65" i="6"/>
  <c r="K5" i="33"/>
  <c r="U59" i="6"/>
  <c r="U73" i="6"/>
  <c r="U47" i="6"/>
  <c r="K5" i="38"/>
  <c r="U53" i="6"/>
  <c r="U36" i="6"/>
  <c r="K29" i="33" s="1"/>
  <c r="K30" i="33" s="1"/>
  <c r="U13" i="6"/>
  <c r="Y75" i="6"/>
  <c r="V214" i="30"/>
  <c r="V213" i="30"/>
  <c r="P71" i="6"/>
  <c r="W41" i="6"/>
  <c r="O30" i="6"/>
  <c r="S30" i="6"/>
  <c r="U65" i="6"/>
  <c r="W73" i="6"/>
  <c r="W74" i="6" s="1" a="1"/>
  <c r="W74" i="6" s="1"/>
  <c r="W13" i="6"/>
  <c r="W47" i="6"/>
  <c r="W36" i="6"/>
  <c r="W53" i="6"/>
  <c r="W59" i="6"/>
  <c r="M5" i="38"/>
  <c r="O18" i="6"/>
  <c r="O73" i="6"/>
  <c r="O74" i="6" s="1" a="1"/>
  <c r="O74" i="6" s="1"/>
  <c r="O75" i="6" s="1"/>
  <c r="O53" i="6"/>
  <c r="O59" i="6"/>
  <c r="O36" i="6"/>
  <c r="O13" i="6"/>
  <c r="O47" i="6"/>
  <c r="Q53" i="6"/>
  <c r="Q47" i="6"/>
  <c r="Q73" i="6"/>
  <c r="Q74" i="6" s="1" a="1"/>
  <c r="Q74" i="6" s="1"/>
  <c r="Q75" i="6" s="1"/>
  <c r="Q59" i="6"/>
  <c r="Q36" i="6"/>
  <c r="Q13" i="6"/>
  <c r="Z30" i="6"/>
  <c r="T71" i="6"/>
  <c r="U71" i="6"/>
  <c r="W65" i="6"/>
  <c r="AA41" i="6"/>
  <c r="R36" i="6"/>
  <c r="R47" i="6"/>
  <c r="R13" i="6"/>
  <c r="R73" i="6"/>
  <c r="R74" i="6" s="1" a="1"/>
  <c r="R74" i="6" s="1"/>
  <c r="R75" i="6" s="1"/>
  <c r="R53" i="6"/>
  <c r="R59" i="6"/>
  <c r="AA30" i="6"/>
  <c r="S71" i="6"/>
  <c r="P30" i="6"/>
  <c r="AA13" i="6"/>
  <c r="AA73" i="6"/>
  <c r="AA74" i="6" s="1" a="1"/>
  <c r="AA74" i="6" s="1"/>
  <c r="AA53" i="6"/>
  <c r="Q5" i="38"/>
  <c r="AA36" i="6"/>
  <c r="AA59" i="6"/>
  <c r="AA47" i="6"/>
  <c r="T30" i="6"/>
  <c r="J21" i="33" s="1"/>
  <c r="J22" i="33" s="1"/>
  <c r="S53" i="6"/>
  <c r="S36" i="6"/>
  <c r="S47" i="6"/>
  <c r="S13" i="6"/>
  <c r="I5" i="38"/>
  <c r="S73" i="6"/>
  <c r="S74" i="6" s="1" a="1"/>
  <c r="S74" i="6" s="1"/>
  <c r="S59" i="6"/>
  <c r="S41" i="6"/>
  <c r="S65" i="6"/>
  <c r="L5" i="33"/>
  <c r="V73" i="6"/>
  <c r="V53" i="6"/>
  <c r="V59" i="6"/>
  <c r="L5" i="38"/>
  <c r="V36" i="6"/>
  <c r="L29" i="33" s="1"/>
  <c r="L30" i="33" s="1"/>
  <c r="V47" i="6"/>
  <c r="V13" i="6"/>
  <c r="V76" i="6" s="1"/>
  <c r="V41" i="6"/>
  <c r="L25" i="33" s="1"/>
  <c r="L26" i="33" s="1"/>
  <c r="X30" i="6"/>
  <c r="P41" i="6"/>
  <c r="N65" i="6"/>
  <c r="N13" i="6"/>
  <c r="N53" i="6"/>
  <c r="N18" i="6"/>
  <c r="N30" i="6"/>
  <c r="N59" i="6"/>
  <c r="N47" i="6"/>
  <c r="N36" i="6"/>
  <c r="N41" i="6"/>
  <c r="N71" i="6"/>
  <c r="E32" i="4"/>
  <c r="C14" i="17"/>
  <c r="O17" i="17" s="1"/>
  <c r="C13" i="17"/>
  <c r="J208" i="30"/>
  <c r="O29" i="30"/>
  <c r="K174" i="30" a="1"/>
  <c r="J34" i="30"/>
  <c r="J67" i="30"/>
  <c r="L68" i="30"/>
  <c r="L17" i="30"/>
  <c r="J82" i="30"/>
  <c r="K67" i="30"/>
  <c r="M34" i="30"/>
  <c r="N17" i="30"/>
  <c r="N29" i="30"/>
  <c r="J108" i="30" a="1"/>
  <c r="K34" i="30"/>
  <c r="J29" i="30"/>
  <c r="K68" i="30"/>
  <c r="O47" i="30"/>
  <c r="J100" i="30"/>
  <c r="N47" i="30"/>
  <c r="N67" i="30"/>
  <c r="M174" i="30" a="1"/>
  <c r="M73" i="30"/>
  <c r="L73" i="30"/>
  <c r="J95" i="30"/>
  <c r="K16" i="30"/>
  <c r="O67" i="30"/>
  <c r="J174" i="30" a="1"/>
  <c r="M41" i="30" a="1"/>
  <c r="L22" i="30"/>
  <c r="N16" i="30"/>
  <c r="J73" i="30"/>
  <c r="J83" i="30"/>
  <c r="J155" i="30"/>
  <c r="L29" i="30"/>
  <c r="K22" i="30"/>
  <c r="J139" i="30"/>
  <c r="M68" i="30"/>
  <c r="O42" i="30" a="1"/>
  <c r="K41" i="30" a="1"/>
  <c r="J149" i="30"/>
  <c r="O16" i="30"/>
  <c r="O17" i="30"/>
  <c r="L67" i="30"/>
  <c r="K47" i="30"/>
  <c r="N68" i="30"/>
  <c r="J134" i="30"/>
  <c r="J162" i="30"/>
  <c r="O174" i="30" a="1"/>
  <c r="L41" i="30" a="1"/>
  <c r="O68" i="30"/>
  <c r="O34" i="30"/>
  <c r="O41" i="30" a="1"/>
  <c r="O73" i="30"/>
  <c r="L47" i="30"/>
  <c r="J42" i="30" a="1"/>
  <c r="K29" i="30"/>
  <c r="L174" i="30" a="1"/>
  <c r="L16" i="30"/>
  <c r="J68" i="30"/>
  <c r="J107" i="30" a="1"/>
  <c r="J47" i="30"/>
  <c r="J113" i="30"/>
  <c r="N34" i="30"/>
  <c r="M22" i="30"/>
  <c r="M47" i="30"/>
  <c r="O22" i="30"/>
  <c r="M42" i="30" a="1"/>
  <c r="L42" i="30" a="1"/>
  <c r="N22" i="30"/>
  <c r="M67" i="30"/>
  <c r="N174" i="30" a="1"/>
  <c r="K73" i="30"/>
  <c r="N41" i="30" a="1"/>
  <c r="M16" i="30"/>
  <c r="K17" i="30"/>
  <c r="J17" i="30"/>
  <c r="J41" i="30" a="1"/>
  <c r="J22" i="30"/>
  <c r="J167" i="30"/>
  <c r="K42" i="30" a="1"/>
  <c r="L34" i="30"/>
  <c r="M29" i="30"/>
  <c r="M17" i="30"/>
  <c r="N73" i="30"/>
  <c r="J133" i="30"/>
  <c r="J16" i="30"/>
  <c r="N42" i="30" a="1"/>
  <c r="J150" i="30"/>
  <c r="J88" i="30"/>
  <c r="W76" i="6" l="1"/>
  <c r="V74" i="6" a="1"/>
  <c r="V74" i="6" s="1"/>
  <c r="L6" i="33"/>
  <c r="R76" i="6"/>
  <c r="U76" i="6"/>
  <c r="N76" i="6"/>
  <c r="X76" i="6"/>
  <c r="T76" i="6"/>
  <c r="O76" i="6"/>
  <c r="W75" i="6"/>
  <c r="T214" i="30"/>
  <c r="T213" i="30"/>
  <c r="T74" i="6" a="1"/>
  <c r="T74" i="6" s="1"/>
  <c r="J6" i="33"/>
  <c r="AA75" i="6"/>
  <c r="X214" i="30"/>
  <c r="X213" i="30"/>
  <c r="K17" i="33"/>
  <c r="K18" i="33" s="1"/>
  <c r="Z76" i="6"/>
  <c r="P76" i="6"/>
  <c r="AA76" i="6"/>
  <c r="U74" i="6" a="1"/>
  <c r="U74" i="6" s="1"/>
  <c r="K6" i="33"/>
  <c r="J17" i="33"/>
  <c r="J18" i="33" s="1"/>
  <c r="S75" i="6"/>
  <c r="P214" i="30"/>
  <c r="P213" i="30"/>
  <c r="L17" i="33"/>
  <c r="L18" i="33" s="1"/>
  <c r="S76" i="6"/>
  <c r="Z75" i="6"/>
  <c r="W213" i="30"/>
  <c r="W214" i="30"/>
  <c r="X75" i="6"/>
  <c r="U214" i="30"/>
  <c r="U213" i="30"/>
  <c r="Q76" i="6"/>
  <c r="J75" i="30"/>
  <c r="K174" i="30"/>
  <c r="L174" i="30"/>
  <c r="N174" i="30"/>
  <c r="M174" i="30"/>
  <c r="O174" i="30"/>
  <c r="J174" i="30"/>
  <c r="J166" i="30"/>
  <c r="J141" i="30"/>
  <c r="J108" i="30"/>
  <c r="J107" i="30"/>
  <c r="J99" i="30"/>
  <c r="J87" i="30"/>
  <c r="L33" i="30"/>
  <c r="N42" i="30"/>
  <c r="N33" i="30"/>
  <c r="O33" i="30"/>
  <c r="M33" i="30"/>
  <c r="M42" i="30"/>
  <c r="K33" i="30"/>
  <c r="L42" i="30"/>
  <c r="O41" i="30"/>
  <c r="M41" i="30"/>
  <c r="K41" i="30"/>
  <c r="N41" i="30"/>
  <c r="L41" i="30"/>
  <c r="O42" i="30"/>
  <c r="K42" i="30"/>
  <c r="O72" i="30"/>
  <c r="M72" i="30"/>
  <c r="L72" i="30"/>
  <c r="N72" i="30"/>
  <c r="K72" i="30"/>
  <c r="J41" i="30"/>
  <c r="J42" i="30"/>
  <c r="J72" i="30"/>
  <c r="J205" i="30"/>
  <c r="J207" i="30" s="1"/>
  <c r="M21" i="30"/>
  <c r="N21" i="30"/>
  <c r="O21" i="30"/>
  <c r="K21" i="30"/>
  <c r="L21" i="30"/>
  <c r="L74" i="30" s="1"/>
  <c r="L211" i="30" s="1"/>
  <c r="L75" i="30"/>
  <c r="L212" i="30" s="1"/>
  <c r="K75" i="30"/>
  <c r="K212" i="30" s="1"/>
  <c r="D18" i="38" s="1"/>
  <c r="J21" i="30"/>
  <c r="J138" i="30"/>
  <c r="J140" i="30" s="1"/>
  <c r="J154" i="30"/>
  <c r="O18" i="17"/>
  <c r="O20" i="17" s="1"/>
  <c r="C16" i="17" s="1"/>
  <c r="C6" i="18" s="1"/>
  <c r="G18" i="17"/>
  <c r="J33" i="30"/>
  <c r="C17" i="17"/>
  <c r="M6" i="6"/>
  <c r="M11" i="6" s="1"/>
  <c r="M12" i="6" s="1"/>
  <c r="C6" i="38" s="1"/>
  <c r="G27" i="33"/>
  <c r="K175" i="30" a="1"/>
  <c r="L175" i="30" a="1"/>
  <c r="O175" i="30" a="1"/>
  <c r="M175" i="30" a="1"/>
  <c r="J175" i="30" a="1"/>
  <c r="N175" i="30" a="1"/>
  <c r="T75" i="6" l="1"/>
  <c r="J8" i="33" s="1"/>
  <c r="Q214" i="30"/>
  <c r="J7" i="33"/>
  <c r="Q213" i="30"/>
  <c r="U75" i="6"/>
  <c r="K8" i="33" s="1"/>
  <c r="R213" i="30"/>
  <c r="R214" i="30"/>
  <c r="K7" i="33"/>
  <c r="V75" i="6"/>
  <c r="L8" i="33" s="1"/>
  <c r="S213" i="30"/>
  <c r="L7" i="33"/>
  <c r="S214" i="30"/>
  <c r="I34" i="33"/>
  <c r="E18" i="38"/>
  <c r="I33" i="33"/>
  <c r="E17" i="38"/>
  <c r="J212" i="30"/>
  <c r="H34" i="33"/>
  <c r="J112" i="30"/>
  <c r="J46" i="30"/>
  <c r="O175" i="30"/>
  <c r="M175" i="30"/>
  <c r="K175" i="30"/>
  <c r="N175" i="30"/>
  <c r="L175" i="30"/>
  <c r="K74" i="30"/>
  <c r="K211" i="30" s="1"/>
  <c r="D17" i="38" s="1"/>
  <c r="M46" i="30"/>
  <c r="J175" i="30"/>
  <c r="J179" i="30" s="1"/>
  <c r="N46" i="30"/>
  <c r="L46" i="30"/>
  <c r="K46" i="30"/>
  <c r="O46" i="30"/>
  <c r="J74" i="30"/>
  <c r="G34" i="33" l="1"/>
  <c r="C18" i="38"/>
  <c r="G20" i="33"/>
  <c r="C12" i="38"/>
  <c r="H33" i="33"/>
  <c r="J211" i="30"/>
  <c r="L179" i="30"/>
  <c r="N179" i="30"/>
  <c r="O179" i="30"/>
  <c r="K179" i="30"/>
  <c r="M179" i="30"/>
  <c r="M64" i="6"/>
  <c r="M70" i="6"/>
  <c r="M35" i="6"/>
  <c r="M40" i="6"/>
  <c r="M46" i="6"/>
  <c r="M17" i="6"/>
  <c r="C8" i="38" s="1"/>
  <c r="G24" i="33" l="1"/>
  <c r="C14" i="38"/>
  <c r="C61" i="38" s="1"/>
  <c r="E5" i="38"/>
  <c r="G33" i="33"/>
  <c r="C17" i="38"/>
  <c r="G28" i="33"/>
  <c r="C16" i="38"/>
  <c r="C62" i="38" s="1"/>
  <c r="G16" i="33"/>
  <c r="C10" i="38"/>
  <c r="I21" i="33"/>
  <c r="I22" i="33" s="1"/>
  <c r="I5" i="33"/>
  <c r="M72" i="6"/>
  <c r="I25" i="33"/>
  <c r="I26" i="33" s="1"/>
  <c r="I29" i="33"/>
  <c r="I30" i="33" s="1"/>
  <c r="I13" i="33"/>
  <c r="I14" i="33" s="1"/>
  <c r="H5" i="38"/>
  <c r="F5" i="38"/>
  <c r="G5" i="38"/>
  <c r="D5" i="38"/>
  <c r="H16" i="33"/>
  <c r="H24" i="33"/>
  <c r="G12" i="33"/>
  <c r="M23" i="6" l="1"/>
  <c r="M18" i="6"/>
  <c r="G13" i="33" s="1"/>
  <c r="G14" i="33" s="1"/>
  <c r="C5" i="38"/>
  <c r="H21" i="33"/>
  <c r="H22" i="33" s="1"/>
  <c r="M13" i="6"/>
  <c r="H25" i="33"/>
  <c r="H26" i="33" s="1"/>
  <c r="H29" i="33"/>
  <c r="H30" i="33" s="1"/>
  <c r="H13" i="33"/>
  <c r="H14" i="33" s="1"/>
  <c r="M71" i="6"/>
  <c r="M65" i="6"/>
  <c r="M36" i="6"/>
  <c r="G29" i="33" s="1"/>
  <c r="G30" i="33" s="1"/>
  <c r="M30" i="6"/>
  <c r="G21" i="33" s="1"/>
  <c r="G22" i="33" s="1"/>
  <c r="H5" i="33"/>
  <c r="G37" i="24"/>
  <c r="G40" i="24" s="1"/>
  <c r="G5" i="33"/>
  <c r="C3" i="23"/>
  <c r="C7" i="23" s="1"/>
  <c r="G37" i="17"/>
  <c r="G40" i="17" s="1"/>
  <c r="C3" i="21"/>
  <c r="C5" i="21" s="1"/>
  <c r="G17" i="24"/>
  <c r="G20" i="24" s="1"/>
  <c r="M41" i="6"/>
  <c r="G25" i="33" s="1"/>
  <c r="G26" i="33" s="1"/>
  <c r="G37" i="22"/>
  <c r="G40" i="22" s="1"/>
  <c r="G17" i="17"/>
  <c r="G20" i="17" s="1"/>
  <c r="M47" i="6"/>
  <c r="M73" i="6"/>
  <c r="G6" i="33" s="1"/>
  <c r="G17" i="20"/>
  <c r="G20" i="20" s="1"/>
  <c r="C3" i="18"/>
  <c r="C7" i="18" s="1"/>
  <c r="G37" i="20"/>
  <c r="G40" i="20" s="1"/>
  <c r="M53" i="6"/>
  <c r="G17" i="22"/>
  <c r="G20" i="22" s="1"/>
  <c r="M59" i="6"/>
  <c r="C4" i="18"/>
  <c r="C15" i="17"/>
  <c r="O214" i="30" l="1"/>
  <c r="L36" i="33" s="1"/>
  <c r="O213" i="30"/>
  <c r="L35" i="33" s="1"/>
  <c r="L37" i="33" s="1"/>
  <c r="M213" i="30"/>
  <c r="J35" i="33" s="1"/>
  <c r="J37" i="33" s="1"/>
  <c r="M214" i="30"/>
  <c r="J36" i="33" s="1"/>
  <c r="N213" i="30"/>
  <c r="K35" i="33" s="1"/>
  <c r="K37" i="33" s="1"/>
  <c r="N214" i="30"/>
  <c r="K36" i="33" s="1"/>
  <c r="G47" i="33"/>
  <c r="H17" i="33"/>
  <c r="H18" i="33" s="1"/>
  <c r="H6" i="33"/>
  <c r="G49" i="33"/>
  <c r="M76" i="6"/>
  <c r="M74" i="6" a="1"/>
  <c r="M74" i="6" s="1"/>
  <c r="C5" i="23"/>
  <c r="G17" i="33"/>
  <c r="G18" i="33" s="1"/>
  <c r="C7" i="21"/>
  <c r="C5" i="18"/>
  <c r="C8" i="18"/>
  <c r="J39" i="33" l="1"/>
  <c r="J38" i="33"/>
  <c r="K214" i="30"/>
  <c r="H36" i="33" s="1"/>
  <c r="K213" i="30"/>
  <c r="H35" i="33" s="1"/>
  <c r="H37" i="33" s="1"/>
  <c r="L38" i="33"/>
  <c r="L39" i="33"/>
  <c r="K38" i="33"/>
  <c r="K39" i="33"/>
  <c r="G50" i="33"/>
  <c r="H7" i="33"/>
  <c r="H8" i="33"/>
  <c r="M75" i="6"/>
  <c r="G8" i="33" s="1"/>
  <c r="G7" i="33"/>
  <c r="H39" i="33" l="1"/>
  <c r="H38" i="33"/>
  <c r="J214" i="30" l="1"/>
  <c r="G36" i="33" s="1"/>
  <c r="J213" i="30"/>
  <c r="G35" i="33" s="1"/>
  <c r="G38" i="33" l="1"/>
  <c r="G39" i="33"/>
  <c r="G37" i="33"/>
  <c r="I17" i="33" l="1"/>
  <c r="I18" i="33" s="1"/>
  <c r="I7" i="33"/>
  <c r="I6" i="33"/>
  <c r="L213" i="30" l="1"/>
  <c r="I35" i="33" s="1"/>
  <c r="I37" i="33" s="1"/>
  <c r="L214" i="30"/>
  <c r="I36" i="33" s="1"/>
  <c r="I38" i="33" s="1"/>
  <c r="I8" i="33"/>
  <c r="I39"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tc={05E04AAD-64A8-4D62-8CD1-2F00920C7EBE}</author>
  </authors>
  <commentList>
    <comment ref="AJ17" authorId="0" shapeId="0" xr:uid="{05E04AAD-64A8-4D62-8CD1-2F00920C7E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Infopoint: Fenster werden auf Raumebene eingegeben lieber Nutzer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tc={1F1F4616-FE5B-4070-AAB2-AFDF1630DEDF}</author>
    <author>tc={85BCEF94-BC6D-40AF-A1A8-9E761B511CE5}</author>
  </authors>
  <commentList>
    <comment ref="J1" authorId="0" shapeId="0" xr:uid="{1F1F4616-FE5B-4070-AAB2-AFDF1630DE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Sollte in den Berechnungs-Reiter</t>
      </text>
    </comment>
    <comment ref="O2" authorId="1" shapeId="0" xr:uid="{85BCEF94-BC6D-40AF-A1A8-9E761B511CE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@Peter Mellwig : wie die Berechnung momentan umgesetzt ist, wird hier zusätzliche Dämmung abgefragt. 
Man kann also bspw. nicht angeben, dass diese Wand schlechter ist. 
So belassen? Dann müssten wir die Fragen anpassen.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tc={9EC9BCDE-4920-456C-B598-5CC51CEAEEDA}</author>
  </authors>
  <commentList>
    <comment ref="P21" authorId="0" shapeId="0" xr:uid="{9EC9BCDE-4920-456C-B598-5CC51CEAEE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@Markus: Bitte Ergebnisse plausibilieren. Herleitung kam über einen Kurvenfit.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tc={2C151F4C-66EA-49BA-A468-2B504463134B}</author>
    <author>tc={DE7623BD-035F-4EF3-A48A-61394A2560E0}</author>
    <author>tc={06ACBB2C-9C6C-40FA-9EFE-7BDBA18113AD}</author>
    <author>tc={7F1CEA37-ADF7-4A68-87C7-229466EF2D38}</author>
    <author>tc={DA27214C-86E7-4B52-ABC8-FA0286C60239}</author>
    <author>tc={783202DE-A9F6-4988-8513-338EBC4C475E}</author>
    <author>tc={0B7897D4-839D-4B7B-9614-F114BC19D13A}</author>
  </authors>
  <commentList>
    <comment ref="C3" authorId="0" shapeId="0" xr:uid="{2C151F4C-66EA-49BA-A468-2B50446313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Übernahme aus list_rooms Frontend</t>
      </text>
    </comment>
    <comment ref="J7" authorId="1" shapeId="0" xr:uid="{DE7623BD-035F-4EF3-A48A-61394A2560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Flachdach Erfassung Dachdecke als Dach</t>
      </text>
    </comment>
    <comment ref="C11" authorId="2" shapeId="0" xr:uid="{06ACBB2C-9C6C-40FA-9EFE-7BDBA18113A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@Peter Mellwig : wie die Berechnung momentan umgesetzt ist, wird hier zusätzliche Dämmung abgefragt. 
Man kann also bspw. nicht angeben, dass diese Wand schlechter ist. 
So belassen? Dann müssten wir die Fragen anpassen. </t>
      </text>
    </comment>
    <comment ref="E17" authorId="3" shapeId="0" xr:uid="{7F1CEA37-ADF7-4A68-87C7-229466EF2D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Abfrage win2 und win3 nur, wenn in Frontend weiteres Fenster hinzugefügt wird</t>
      </text>
    </comment>
    <comment ref="M17" authorId="4" shapeId="0" xr:uid="{DA27214C-86E7-4B52-ABC8-FA0286C6023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Pflicht, wenn Fenster 2 hinzugefügt</t>
      </text>
    </comment>
    <comment ref="F36" authorId="5" shapeId="0" xr:uid="{783202DE-A9F6-4988-8513-338EBC4C475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Entsprechend miro anpassen: 
Falls eine Drempelwand bzw. Kniestock vorhanden ist, geben Sie die Höhe an: 
L_roof_knee_hei 
Klopfen Sie gegen die senkrechte Wand unter der Dachschräge. Klingt es hohl?
TYP_knee_true
&gt;&gt; dann sind es nur 2 Fragen, nicht 4
Antwort:
    Bitte die diese und die nächsten drei Zeilen nur intern verwenden. Die Abfrage an Nutzer soll wie den beiden Zeilen über dieser durchgeführt werden.</t>
      </text>
    </comment>
    <comment ref="G37" authorId="6" shapeId="0" xr:uid="{0B7897D4-839D-4B7B-9614-F114BC19D13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Fehler korrigiert. Wenn „Nein“, muss es = 0 sein ,bei = „“ gibt es Fehler. 
@Florian Maiwald : kann es sein, dass die Zuordnung zu Drempel / Kniestock falsch herum ist? 
Also: wenn klingt es Hohl = Ja, dann sollte es kein Kniestock sein vice versa 
Antwort:
    @Jakob Metz ja, das wäre falsch, wenn es so herum gewesen ist. Jetzt stimmt die Zuordnung.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tc={93A47A50-0ECD-49D8-8C04-92A81AF319D2}</author>
    <author>tc={615B42AC-2D84-4DDF-996A-50AC92DD1D3D}</author>
    <author>tc={7D74E2D6-B26F-44D2-8059-FE37041A9F74}</author>
    <author>tc={D8B56DB2-0C16-464D-94B8-F6A43F26A478}</author>
    <author>tc={33537756-6578-4C47-92C9-1032E6FD19CA}</author>
    <author>tc={24ADAFA5-8168-4FC7-A8B5-94D215344E15}</author>
    <author>tc={DAD91EE4-72F1-4820-942B-CA4442BC0978}</author>
    <author>tc={669D6B6B-F71D-4A43-89B4-5410562BE7D9}</author>
    <author>tc={323E4A7B-98FD-433B-89A3-B99D7E466D1F}</author>
    <author>tc={C0474445-4736-4331-ABA3-053CDDB3B24B}</author>
    <author>tc={81E31240-8E4F-440B-ACDB-45EF18178987}</author>
    <author>tc={D2BB6B9E-19D3-4738-98BC-AF5DA28179D6}</author>
    <author>tc={528C85C1-82C2-4F92-BAA4-CDB650AB100E}</author>
    <author>tc={C5A8B342-ABD4-4F7B-BABD-3D036403D76D}</author>
    <author>tc={AE61E445-3564-4B35-B4ED-E3867BDA4028}</author>
    <author>tc={AED5F037-E88B-4EBB-AAC7-7C43BC3DABFC}</author>
    <author>tc={D0048EB8-992F-4826-8B06-AFF2666C897E}</author>
  </authors>
  <commentList>
    <comment ref="J16" authorId="0" shapeId="0" xr:uid="{93A47A50-0ECD-49D8-8C04-92A81AF319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=SUMMEWENNS(tabelle1[[Heizkörperexponent n ]];tabelle1[Heizkörper_Typ];clc_power!J$11;tabelle1[Heizkörper_Subtyp];clc_power!J$12;tabelle1[Höhe H in mm];clc_power!J$13;tabelle1[Bautiefe T in mm];clc_power!J$15)
Neue Formel: 
=SUMMEWENNS(
  INDIREKT("tabelle1[Heizkörperexponent n ]");
  INDIREKT("tabelle1[Heizkörper_Typ]"); clc_power!J$11;
  INDIREKT("tabelle1[Heizkörper_Subtyp]"); clc_power!J$12;
  INDIREKT("tabelle1[Höhe H in mm]"); clc_power!J$13;
  INDIREKT("tabelle1[Bautiefe T in mm]"); clc_power!J$15
)</t>
      </text>
    </comment>
    <comment ref="J17" authorId="1" shapeId="0" xr:uid="{615B42AC-2D84-4DDF-996A-50AC92DD1D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=WENN((IN_rooms!U$73*SUMMEWENNS(tabelle1[Wärmeleistung (75/65/20)  in W/m];tabelle1[Heizkörper_Typ];clc_power!J$11;tabelle1[Heizkörper_Subtyp];clc_power!J$12;tabelle1[Höhe H in mm];clc_power!J$13;tabelle1[Bautiefe T in mm];clc_power!J$15)*J$14/1000)&gt;0;IN_rooms!U$73*SUMMEWENNS(tabelle1[Wärmeleistung (75/65/20)  in W/m];tabelle1[Heizkörper_Typ];clc_power!J$11;tabelle1[Heizkörper_Subtyp];clc_power!J$12;tabelle1[Höhe H in mm];clc_power!J$13;tabelle1[Bautiefe T in mm];clc_power!J$15)*J$14/1000;0)
Neue Version: Spaltennamen mittels indirekt fixiert, jedoch sehr lang: 
=WENN(
    (IN_rooms!U$73 * SUMMEWENNS(
        INDIREKT("tabelle1[Wärmeleistung (75/65/20)  in W/m]"); 
        INDIREKT("tabelle1[Heizkörper_Typ]"); clc_power!J$11; 
        INDIREKT("tabelle1[Heizkörper_Subtyp]"); clc_power!J$12; 
        INDIREKT("tabelle1[Höhe H in mm]"); clc_power!J$13; 
        INDIREKT("tabelle1[Bautiefe T in mm]"); clc_power!J$15
    ) * J$14 / 1000) &gt; 0; 
    IN_rooms!U$73 * SUMMEWENNS(
        INDIREKT("tabelle1[Wärmeleistung (75/65/20)  in W/m]"); 
        INDIREKT("tabelle1[Heizkörper_Typ]"); clc_power!J$11; 
        INDIREKT("tabelle1[Heizkörper_Subtyp]"); clc_power!J$12; 
        INDIREKT("tabelle1[Höhe H in mm]"); clc_power!J$13; 
        INDIREKT("tabelle1[Bautiefe T in mm]"); clc_power!J$15
    ) * J$14 / 1000; 
    0
)
Durch Funktion LET verkürzte Formel, unklar ob Übersetzung TypeScript funktioniert: 
=LET(
  leistung; IN_rooms!U$73 * SUMMEWENNS(
    INDIREKT("tabelle1[Wärmeleistung (75/65/20)  in W/m]");
    INDIREKT("tabelle1[Heizkörper_Typ]"); clc_power!J$11;
    INDIREKT("tabelle1[Heizkörper_Subtyp]"); clc_power!J$12;
    INDIREKT("tabelle1[Höhe H in mm]"); clc_power!J$13;
    INDIREKT("tabelle1[Bautiefe T in mm]"); clc_power!J$15  ) * J$14 / 1000;
  WENN(leistung &gt; 0; leistung; 0)
)</t>
      </text>
    </comment>
    <comment ref="J22" authorId="2" shapeId="0" xr:uid="{7D74E2D6-B26F-44D2-8059-FE37041A9F7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=WENN(IN_rooms!U$73*(SUMMEWENNS(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mm];155)))&gt;0;IN_rooms!U$73*(SUMMEWENNS(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mm];155)));0)
Neue Formel ohne LED: 
=WENN(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&gt; 0;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0
)
Neue Formel mit LET: 
=LET(
    leistung; IN_rooms!U$73 * SUMMEWENNS(
        INDIREKT("tabelle1[Wärmeleistung (75/65/20)  in W/m]"); 
        INDIREKT("tabelle1[Heizkörper_Typ]"); "Flachheizkoerper_senkrecht_profiliert"; 
        INDIREKT("tabelle1[Heizkörper_Subtyp]"); "Typ_33"; 
        INDIREKT("tabelle1[Höhe H in mm]"); J$13; 
        INDIREKT("tabelle1[Bautiefe T in mm]"); 155
    ) * J$14 / 1000 * ((J$20 / Log_ÜT_Norm) ^ SUMMEWENNS(
        INDIREKT("tabelle1[Heizkörperexponent n ]"); 
        INDIREKT("tabelle1[Heizkörper_Typ]"); "Flachheizkoerper_senkrecht_profiliert"; 
        INDIREKT("tabelle1[Heizkörper_Subtyp]"); "Typ_33"; 
        INDIREKT("tabelle1[Höhe H in mm]"); J$13; 
        INDIREKT("tabelle1[Bautiefe T in mm]"); 155
    ));
    WENN(leistung &gt; 0; leistung; 0)
)</t>
      </text>
    </comment>
    <comment ref="J29" authorId="3" shapeId="0" xr:uid="{D8B56DB2-0C16-464D-94B8-F6A43F26A4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Variante, Fehler mit sich ändernden Spaltennamen: 
=WENN(IN_rooms!U$73*SUMMEWENNS(tabelle1[Wärmeleistung (75/65/20)  in W/Glied];tabelle1[Heizkörper_Typ];clc_power!J$23;tabelle1[Heizkörper_Subtyp];clc_power!J$24;tabelle1[Höhe H in mm];clc_power!J$25;tabelle1[Bautiefe T in mm];clc_power!J$26)*J$27&gt;0;IN_rooms!U$73*SUMMEWENNS(tabelle1[Wärmeleistung (75/65/20)  in W/Glied];tabelle1[Heizkörper_Typ];clc_power!J$23;tabelle1[Heizkörper_Subtyp];clc_power!J$24;tabelle1[Höhe H in mm];clc_power!J$25;tabelle1[Bautiefe T in mm];clc_power!J$26)*J$27;0)
Formel mit LET: 
=LET(
    wärmeleistung; SUMMEWENNS(
        INDIREKT("tabelle1[Wärmeleistung (75/65/20)  in W/Glied]"); 
        INDIREKT("tabelle1[Heizkörper_Typ]"); clc_power!J$23; 
        INDIREKT("tabelle1[Heizkörper_Subtyp]"); clc_power!J$24; 
        INDIREKT("tabelle1[Höhe H in mm]"); clc_power!J$25; 
        INDIREKT("tabelle1[Bautiefe T in mm]"); clc_power!J$26
    ),
    leistung; IN_rooms!U$73 * wärmeleistung * J$27,
    WENN(leistung &gt; 0; leistung; 0)
)</t>
      </text>
    </comment>
    <comment ref="J34" authorId="4" shapeId="0" xr:uid="{33537756-6578-4C47-92C9-1032E6FD19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mm];155))))&gt;0;IN_rooms!U$73*(SUMMEWENNS(tabelle1[Wärmeleistung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mm];155))));0)</t>
      </text>
    </comment>
    <comment ref="J41" authorId="5" shapeId="0" xr:uid="{24ADAFA5-8168-4FC7-A8B5-94D215344E1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=WENNS(J$36="Stahlrohrradiator";1,3;
J$36="Fensterbankradiator";1,3;
J$36="Handtuchradiator";SUMMEWENNS(tabelle1[[Heizkörperexponent n ]];tabelle1[Heizkörper_Typ];J$35;tabelle1[Heizkörper_Subtyp];J$36;tabelle1[Höhe H in mm];J$37;tabelle1[Bautiefe T in mm];J$39);J$35="";0)
</t>
      </text>
    </comment>
    <comment ref="J42" authorId="6" shapeId="0" xr:uid="{DAD91EE4-72F1-4820-942B-CA4442BC09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mm];clc_power!J$39);J$35="";0)&gt;0;
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mm];clc_power!J$39));0)</t>
      </text>
    </comment>
    <comment ref="J47" authorId="7" shapeId="0" xr:uid="{669D6B6B-F71D-4A43-89B4-5410562BE7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mm];155))&gt;0;
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mm];155));0)</t>
      </text>
    </comment>
    <comment ref="J67" authorId="8" shapeId="0" xr:uid="{323E4A7B-98FD-433B-89A3-B99D7E466D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=SUMMEWENNS(tabelle1[[Heizkörperexponent n ]];tabelle1[Heizkörper_Typ];clc_power!J$62;tabelle1[Heizkörper_Subtyp];clc_power!J$63;tabelle1[Höhe H in mm];clc_power!J$64;tabelle1[Bautiefe T in mm];clc_power!J$66)</t>
      </text>
    </comment>
    <comment ref="J68" authorId="9" shapeId="0" xr:uid="{C0474445-4736-4331-ABA3-053CDDB3B2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
      </text>
    </comment>
    <comment ref="J73" authorId="10" shapeId="0" xr:uid="{81E31240-8E4F-440B-ACDB-45EF181789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
      </text>
    </comment>
    <comment ref="J133" authorId="11" shapeId="0" xr:uid="{D2BB6B9E-19D3-4738-98BC-AF5DA28179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=SUMMEWENNS(tabelle1[[Heizkörperexponent n ]];tabelle1[Heizkörper_Typ];clc_power!J$62;tabelle1[Heizkörper_Subtyp];clc_power!J$63;tabelle1[Höhe H in mm];clc_power!J$64;tabelle1[Bautiefe T in mm];clc_power!J$66)</t>
      </text>
    </comment>
    <comment ref="J134" authorId="12" shapeId="0" xr:uid="{528C85C1-82C2-4F92-BAA4-CDB650AB100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
      </text>
    </comment>
    <comment ref="J139" authorId="13" shapeId="0" xr:uid="{C5A8B342-ABD4-4F7B-BABD-3D036403D76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
      </text>
    </comment>
    <comment ref="J200" authorId="14" shapeId="0" xr:uid="{AE61E445-3564-4B35-B4ED-E3867BDA402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=SUMMEWENNS(tabelle1[[Heizkörperexponent n ]];tabelle1[Heizkörper_Typ];clc_power!J$62;tabelle1[Heizkörper_Subtyp];clc_power!J$63;tabelle1[Höhe H in mm];clc_power!J$64;tabelle1[Bautiefe T in mm];clc_power!J$66)</t>
      </text>
    </comment>
    <comment ref="J201" authorId="15" shapeId="0" xr:uid="{AED5F037-E88B-4EBB-AAC7-7C43BC3DAB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
      </text>
    </comment>
    <comment ref="J206" authorId="16" shapeId="0" xr:uid="{D0048EB8-992F-4826-8B06-AFF2666C89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tc={3D373C24-2188-492D-908F-D0841985A02B}</author>
  </authors>
  <commentList>
    <comment ref="C10" authorId="0" shapeId="0" xr:uid="{3D373C24-2188-492D-908F-D0841985A02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Gleichung funktioniert derzeit nur für Flach HK und müsste für jeden HK Typ individualisiert werden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tc={B165B99A-305D-4FC5-ADD9-3517BB429475}</author>
    <author>tc={630C60F5-FF06-4F09-B485-88A50B761DF8}</author>
  </authors>
  <commentList>
    <comment ref="C10" authorId="0" shapeId="0" xr:uid="{B165B99A-305D-4FC5-ADD9-3517BB42947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Glieder-HK
</t>
      </text>
    </comment>
    <comment ref="C30" authorId="1" shapeId="0" xr:uid="{630C60F5-FF06-4F09-B485-88A50B761DF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Glieder-HK</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tc={49A912E4-CDD9-4802-BC54-D0D7650174B5}</author>
    <author>tc={588F29FE-4DC6-41AF-8E7A-C028B1A83850}</author>
  </authors>
  <commentList>
    <comment ref="C10" authorId="0" shapeId="0" xr:uid="{49A912E4-CDD9-4802-BC54-D0D7650174B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Rohrradiatoren
</t>
      </text>
    </comment>
    <comment ref="C30" authorId="1" shapeId="0" xr:uid="{588F29FE-4DC6-41AF-8E7A-C028B1A838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für Rohrradiatoren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tc={DDDB6253-B570-468E-8465-9BC13AC26404}</author>
    <author>tc={1F3BDF77-4C79-48E0-8D10-43B5C9D00921}</author>
  </authors>
  <commentList>
    <comment ref="P15" authorId="0" shapeId="0" xr:uid="{DDDB6253-B570-468E-8465-9BC13AC2640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Korrigiert von 150 auf 155</t>
      </text>
    </comment>
    <comment ref="R62" authorId="1" shapeId="0" xr:uid="{1F3BDF77-4C79-48E0-8D10-43B5C9D0092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Annahme: ungedämmte Bauteile haben einen U-Wert von 1,2</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86">
    <bk>
      <extLst>
        <ext uri="{3e2802c4-a4d2-4d8b-9148-e3be6c30e623}">
          <xlrd:rvb i="0"/>
        </ext>
      </extLst>
    </bk>
    <bk>
      <extLst>
        <ext uri="{3e2802c4-a4d2-4d8b-9148-e3be6c30e623}">
          <xlrd:rvb i="14"/>
        </ext>
      </extLst>
    </bk>
    <bk>
      <extLst>
        <ext uri="{3e2802c4-a4d2-4d8b-9148-e3be6c30e623}">
          <xlrd:rvb i="27"/>
        </ext>
      </extLst>
    </bk>
    <bk>
      <extLst>
        <ext uri="{3e2802c4-a4d2-4d8b-9148-e3be6c30e623}">
          <xlrd:rvb i="40"/>
        </ext>
      </extLst>
    </bk>
    <bk>
      <extLst>
        <ext uri="{3e2802c4-a4d2-4d8b-9148-e3be6c30e623}">
          <xlrd:rvb i="51"/>
        </ext>
      </extLst>
    </bk>
    <bk>
      <extLst>
        <ext uri="{3e2802c4-a4d2-4d8b-9148-e3be6c30e623}">
          <xlrd:rvb i="64"/>
        </ext>
      </extLst>
    </bk>
    <bk>
      <extLst>
        <ext uri="{3e2802c4-a4d2-4d8b-9148-e3be6c30e623}">
          <xlrd:rvb i="74"/>
        </ext>
      </extLst>
    </bk>
    <bk>
      <extLst>
        <ext uri="{3e2802c4-a4d2-4d8b-9148-e3be6c30e623}">
          <xlrd:rvb i="85"/>
        </ext>
      </extLst>
    </bk>
    <bk>
      <extLst>
        <ext uri="{3e2802c4-a4d2-4d8b-9148-e3be6c30e623}">
          <xlrd:rvb i="97"/>
        </ext>
      </extLst>
    </bk>
    <bk>
      <extLst>
        <ext uri="{3e2802c4-a4d2-4d8b-9148-e3be6c30e623}">
          <xlrd:rvb i="109"/>
        </ext>
      </extLst>
    </bk>
    <bk>
      <extLst>
        <ext uri="{3e2802c4-a4d2-4d8b-9148-e3be6c30e623}">
          <xlrd:rvb i="119"/>
        </ext>
      </extLst>
    </bk>
    <bk>
      <extLst>
        <ext uri="{3e2802c4-a4d2-4d8b-9148-e3be6c30e623}">
          <xlrd:rvb i="130"/>
        </ext>
      </extLst>
    </bk>
    <bk>
      <extLst>
        <ext uri="{3e2802c4-a4d2-4d8b-9148-e3be6c30e623}">
          <xlrd:rvb i="141"/>
        </ext>
      </extLst>
    </bk>
    <bk>
      <extLst>
        <ext uri="{3e2802c4-a4d2-4d8b-9148-e3be6c30e623}">
          <xlrd:rvb i="152"/>
        </ext>
      </extLst>
    </bk>
    <bk>
      <extLst>
        <ext uri="{3e2802c4-a4d2-4d8b-9148-e3be6c30e623}">
          <xlrd:rvb i="162"/>
        </ext>
      </extLst>
    </bk>
    <bk>
      <extLst>
        <ext uri="{3e2802c4-a4d2-4d8b-9148-e3be6c30e623}">
          <xlrd:rvb i="173"/>
        </ext>
      </extLst>
    </bk>
    <bk>
      <extLst>
        <ext uri="{3e2802c4-a4d2-4d8b-9148-e3be6c30e623}">
          <xlrd:rvb i="184"/>
        </ext>
      </extLst>
    </bk>
    <bk>
      <extLst>
        <ext uri="{3e2802c4-a4d2-4d8b-9148-e3be6c30e623}">
          <xlrd:rvb i="194"/>
        </ext>
      </extLst>
    </bk>
    <bk>
      <extLst>
        <ext uri="{3e2802c4-a4d2-4d8b-9148-e3be6c30e623}">
          <xlrd:rvb i="205"/>
        </ext>
      </extLst>
    </bk>
    <bk>
      <extLst>
        <ext uri="{3e2802c4-a4d2-4d8b-9148-e3be6c30e623}">
          <xlrd:rvb i="216"/>
        </ext>
      </extLst>
    </bk>
    <bk>
      <extLst>
        <ext uri="{3e2802c4-a4d2-4d8b-9148-e3be6c30e623}">
          <xlrd:rvb i="227"/>
        </ext>
      </extLst>
    </bk>
    <bk>
      <extLst>
        <ext uri="{3e2802c4-a4d2-4d8b-9148-e3be6c30e623}">
          <xlrd:rvb i="238"/>
        </ext>
      </extLst>
    </bk>
    <bk>
      <extLst>
        <ext uri="{3e2802c4-a4d2-4d8b-9148-e3be6c30e623}">
          <xlrd:rvb i="250"/>
        </ext>
      </extLst>
    </bk>
    <bk>
      <extLst>
        <ext uri="{3e2802c4-a4d2-4d8b-9148-e3be6c30e623}">
          <xlrd:rvb i="261"/>
        </ext>
      </extLst>
    </bk>
    <bk>
      <extLst>
        <ext uri="{3e2802c4-a4d2-4d8b-9148-e3be6c30e623}">
          <xlrd:rvb i="272"/>
        </ext>
      </extLst>
    </bk>
    <bk>
      <extLst>
        <ext uri="{3e2802c4-a4d2-4d8b-9148-e3be6c30e623}">
          <xlrd:rvb i="283"/>
        </ext>
      </extLst>
    </bk>
    <bk>
      <extLst>
        <ext uri="{3e2802c4-a4d2-4d8b-9148-e3be6c30e623}">
          <xlrd:rvb i="294"/>
        </ext>
      </extLst>
    </bk>
    <bk>
      <extLst>
        <ext uri="{3e2802c4-a4d2-4d8b-9148-e3be6c30e623}">
          <xlrd:rvb i="306"/>
        </ext>
      </extLst>
    </bk>
    <bk>
      <extLst>
        <ext uri="{3e2802c4-a4d2-4d8b-9148-e3be6c30e623}">
          <xlrd:rvb i="317"/>
        </ext>
      </extLst>
    </bk>
    <bk>
      <extLst>
        <ext uri="{3e2802c4-a4d2-4d8b-9148-e3be6c30e623}">
          <xlrd:rvb i="329"/>
        </ext>
      </extLst>
    </bk>
    <bk>
      <extLst>
        <ext uri="{3e2802c4-a4d2-4d8b-9148-e3be6c30e623}">
          <xlrd:rvb i="340"/>
        </ext>
      </extLst>
    </bk>
    <bk>
      <extLst>
        <ext uri="{3e2802c4-a4d2-4d8b-9148-e3be6c30e623}">
          <xlrd:rvb i="350"/>
        </ext>
      </extLst>
    </bk>
    <bk>
      <extLst>
        <ext uri="{3e2802c4-a4d2-4d8b-9148-e3be6c30e623}">
          <xlrd:rvb i="361"/>
        </ext>
      </extLst>
    </bk>
    <bk>
      <extLst>
        <ext uri="{3e2802c4-a4d2-4d8b-9148-e3be6c30e623}">
          <xlrd:rvb i="372"/>
        </ext>
      </extLst>
    </bk>
    <bk>
      <extLst>
        <ext uri="{3e2802c4-a4d2-4d8b-9148-e3be6c30e623}">
          <xlrd:rvb i="382"/>
        </ext>
      </extLst>
    </bk>
    <bk>
      <extLst>
        <ext uri="{3e2802c4-a4d2-4d8b-9148-e3be6c30e623}">
          <xlrd:rvb i="393"/>
        </ext>
      </extLst>
    </bk>
    <bk>
      <extLst>
        <ext uri="{3e2802c4-a4d2-4d8b-9148-e3be6c30e623}">
          <xlrd:rvb i="403"/>
        </ext>
      </extLst>
    </bk>
    <bk>
      <extLst>
        <ext uri="{3e2802c4-a4d2-4d8b-9148-e3be6c30e623}">
          <xlrd:rvb i="414"/>
        </ext>
      </extLst>
    </bk>
    <bk>
      <extLst>
        <ext uri="{3e2802c4-a4d2-4d8b-9148-e3be6c30e623}">
          <xlrd:rvb i="423"/>
        </ext>
      </extLst>
    </bk>
    <bk>
      <extLst>
        <ext uri="{3e2802c4-a4d2-4d8b-9148-e3be6c30e623}">
          <xlrd:rvb i="434"/>
        </ext>
      </extLst>
    </bk>
    <bk>
      <extLst>
        <ext uri="{3e2802c4-a4d2-4d8b-9148-e3be6c30e623}">
          <xlrd:rvb i="445"/>
        </ext>
      </extLst>
    </bk>
    <bk>
      <extLst>
        <ext uri="{3e2802c4-a4d2-4d8b-9148-e3be6c30e623}">
          <xlrd:rvb i="456"/>
        </ext>
      </extLst>
    </bk>
    <bk>
      <extLst>
        <ext uri="{3e2802c4-a4d2-4d8b-9148-e3be6c30e623}">
          <xlrd:rvb i="467"/>
        </ext>
      </extLst>
    </bk>
    <bk>
      <extLst>
        <ext uri="{3e2802c4-a4d2-4d8b-9148-e3be6c30e623}">
          <xlrd:rvb i="479"/>
        </ext>
      </extLst>
    </bk>
    <bk>
      <extLst>
        <ext uri="{3e2802c4-a4d2-4d8b-9148-e3be6c30e623}">
          <xlrd:rvb i="491"/>
        </ext>
      </extLst>
    </bk>
    <bk>
      <extLst>
        <ext uri="{3e2802c4-a4d2-4d8b-9148-e3be6c30e623}">
          <xlrd:rvb i="501"/>
        </ext>
      </extLst>
    </bk>
    <bk>
      <extLst>
        <ext uri="{3e2802c4-a4d2-4d8b-9148-e3be6c30e623}">
          <xlrd:rvb i="512"/>
        </ext>
      </extLst>
    </bk>
    <bk>
      <extLst>
        <ext uri="{3e2802c4-a4d2-4d8b-9148-e3be6c30e623}">
          <xlrd:rvb i="522"/>
        </ext>
      </extLst>
    </bk>
    <bk>
      <extLst>
        <ext uri="{3e2802c4-a4d2-4d8b-9148-e3be6c30e623}">
          <xlrd:rvb i="533"/>
        </ext>
      </extLst>
    </bk>
    <bk>
      <extLst>
        <ext uri="{3e2802c4-a4d2-4d8b-9148-e3be6c30e623}">
          <xlrd:rvb i="543"/>
        </ext>
      </extLst>
    </bk>
    <bk>
      <extLst>
        <ext uri="{3e2802c4-a4d2-4d8b-9148-e3be6c30e623}">
          <xlrd:rvb i="554"/>
        </ext>
      </extLst>
    </bk>
    <bk>
      <extLst>
        <ext uri="{3e2802c4-a4d2-4d8b-9148-e3be6c30e623}">
          <xlrd:rvb i="565"/>
        </ext>
      </extLst>
    </bk>
    <bk>
      <extLst>
        <ext uri="{3e2802c4-a4d2-4d8b-9148-e3be6c30e623}">
          <xlrd:rvb i="575"/>
        </ext>
      </extLst>
    </bk>
    <bk>
      <extLst>
        <ext uri="{3e2802c4-a4d2-4d8b-9148-e3be6c30e623}">
          <xlrd:rvb i="586"/>
        </ext>
      </extLst>
    </bk>
    <bk>
      <extLst>
        <ext uri="{3e2802c4-a4d2-4d8b-9148-e3be6c30e623}">
          <xlrd:rvb i="597"/>
        </ext>
      </extLst>
    </bk>
    <bk>
      <extLst>
        <ext uri="{3e2802c4-a4d2-4d8b-9148-e3be6c30e623}">
          <xlrd:rvb i="609"/>
        </ext>
      </extLst>
    </bk>
    <bk>
      <extLst>
        <ext uri="{3e2802c4-a4d2-4d8b-9148-e3be6c30e623}">
          <xlrd:rvb i="620"/>
        </ext>
      </extLst>
    </bk>
    <bk>
      <extLst>
        <ext uri="{3e2802c4-a4d2-4d8b-9148-e3be6c30e623}">
          <xlrd:rvb i="630"/>
        </ext>
      </extLst>
    </bk>
    <bk>
      <extLst>
        <ext uri="{3e2802c4-a4d2-4d8b-9148-e3be6c30e623}">
          <xlrd:rvb i="640"/>
        </ext>
      </extLst>
    </bk>
    <bk>
      <extLst>
        <ext uri="{3e2802c4-a4d2-4d8b-9148-e3be6c30e623}">
          <xlrd:rvb i="657"/>
        </ext>
      </extLst>
    </bk>
    <bk>
      <extLst>
        <ext uri="{3e2802c4-a4d2-4d8b-9148-e3be6c30e623}">
          <xlrd:rvb i="668"/>
        </ext>
      </extLst>
    </bk>
    <bk>
      <extLst>
        <ext uri="{3e2802c4-a4d2-4d8b-9148-e3be6c30e623}">
          <xlrd:rvb i="678"/>
        </ext>
      </extLst>
    </bk>
    <bk>
      <extLst>
        <ext uri="{3e2802c4-a4d2-4d8b-9148-e3be6c30e623}">
          <xlrd:rvb i="688"/>
        </ext>
      </extLst>
    </bk>
    <bk>
      <extLst>
        <ext uri="{3e2802c4-a4d2-4d8b-9148-e3be6c30e623}">
          <xlrd:rvb i="698"/>
        </ext>
      </extLst>
    </bk>
    <bk>
      <extLst>
        <ext uri="{3e2802c4-a4d2-4d8b-9148-e3be6c30e623}">
          <xlrd:rvb i="710"/>
        </ext>
      </extLst>
    </bk>
    <bk>
      <extLst>
        <ext uri="{3e2802c4-a4d2-4d8b-9148-e3be6c30e623}">
          <xlrd:rvb i="720"/>
        </ext>
      </extLst>
    </bk>
    <bk>
      <extLst>
        <ext uri="{3e2802c4-a4d2-4d8b-9148-e3be6c30e623}">
          <xlrd:rvb i="731"/>
        </ext>
      </extLst>
    </bk>
    <bk>
      <extLst>
        <ext uri="{3e2802c4-a4d2-4d8b-9148-e3be6c30e623}">
          <xlrd:rvb i="741"/>
        </ext>
      </extLst>
    </bk>
    <bk>
      <extLst>
        <ext uri="{3e2802c4-a4d2-4d8b-9148-e3be6c30e623}">
          <xlrd:rvb i="751"/>
        </ext>
      </extLst>
    </bk>
    <bk>
      <extLst>
        <ext uri="{3e2802c4-a4d2-4d8b-9148-e3be6c30e623}">
          <xlrd:rvb i="762"/>
        </ext>
      </extLst>
    </bk>
    <bk>
      <extLst>
        <ext uri="{3e2802c4-a4d2-4d8b-9148-e3be6c30e623}">
          <xlrd:rvb i="772"/>
        </ext>
      </extLst>
    </bk>
    <bk>
      <extLst>
        <ext uri="{3e2802c4-a4d2-4d8b-9148-e3be6c30e623}">
          <xlrd:rvb i="783"/>
        </ext>
      </extLst>
    </bk>
    <bk>
      <extLst>
        <ext uri="{3e2802c4-a4d2-4d8b-9148-e3be6c30e623}">
          <xlrd:rvb i="794"/>
        </ext>
      </extLst>
    </bk>
    <bk>
      <extLst>
        <ext uri="{3e2802c4-a4d2-4d8b-9148-e3be6c30e623}">
          <xlrd:rvb i="805"/>
        </ext>
      </extLst>
    </bk>
    <bk>
      <extLst>
        <ext uri="{3e2802c4-a4d2-4d8b-9148-e3be6c30e623}">
          <xlrd:rvb i="816"/>
        </ext>
      </extLst>
    </bk>
    <bk>
      <extLst>
        <ext uri="{3e2802c4-a4d2-4d8b-9148-e3be6c30e623}">
          <xlrd:rvb i="827"/>
        </ext>
      </extLst>
    </bk>
    <bk>
      <extLst>
        <ext uri="{3e2802c4-a4d2-4d8b-9148-e3be6c30e623}">
          <xlrd:rvb i="836"/>
        </ext>
      </extLst>
    </bk>
    <bk>
      <extLst>
        <ext uri="{3e2802c4-a4d2-4d8b-9148-e3be6c30e623}">
          <xlrd:rvb i="846"/>
        </ext>
      </extLst>
    </bk>
    <bk>
      <extLst>
        <ext uri="{3e2802c4-a4d2-4d8b-9148-e3be6c30e623}">
          <xlrd:rvb i="856"/>
        </ext>
      </extLst>
    </bk>
    <bk>
      <extLst>
        <ext uri="{3e2802c4-a4d2-4d8b-9148-e3be6c30e623}">
          <xlrd:rvb i="867"/>
        </ext>
      </extLst>
    </bk>
    <bk>
      <extLst>
        <ext uri="{3e2802c4-a4d2-4d8b-9148-e3be6c30e623}">
          <xlrd:rvb i="878"/>
        </ext>
      </extLst>
    </bk>
    <bk>
      <extLst>
        <ext uri="{3e2802c4-a4d2-4d8b-9148-e3be6c30e623}">
          <xlrd:rvb i="888"/>
        </ext>
      </extLst>
    </bk>
    <bk>
      <extLst>
        <ext uri="{3e2802c4-a4d2-4d8b-9148-e3be6c30e623}">
          <xlrd:rvb i="904"/>
        </ext>
      </extLst>
    </bk>
    <bk>
      <extLst>
        <ext uri="{3e2802c4-a4d2-4d8b-9148-e3be6c30e623}">
          <xlrd:rvb i="915"/>
        </ext>
      </extLst>
    </bk>
    <bk>
      <extLst>
        <ext uri="{3e2802c4-a4d2-4d8b-9148-e3be6c30e623}">
          <xlrd:rvb i="926"/>
        </ext>
      </extLst>
    </bk>
    <bk>
      <extLst>
        <ext uri="{3e2802c4-a4d2-4d8b-9148-e3be6c30e623}">
          <xlrd:rvb i="937"/>
        </ext>
      </extLst>
    </bk>
    <bk>
      <extLst>
        <ext uri="{3e2802c4-a4d2-4d8b-9148-e3be6c30e623}">
          <xlrd:rvb i="948"/>
        </ext>
      </extLst>
    </bk>
    <bk>
      <extLst>
        <ext uri="{3e2802c4-a4d2-4d8b-9148-e3be6c30e623}">
          <xlrd:rvb i="958"/>
        </ext>
      </extLst>
    </bk>
    <bk>
      <extLst>
        <ext uri="{3e2802c4-a4d2-4d8b-9148-e3be6c30e623}">
          <xlrd:rvb i="969"/>
        </ext>
      </extLst>
    </bk>
    <bk>
      <extLst>
        <ext uri="{3e2802c4-a4d2-4d8b-9148-e3be6c30e623}">
          <xlrd:rvb i="978"/>
        </ext>
      </extLst>
    </bk>
    <bk>
      <extLst>
        <ext uri="{3e2802c4-a4d2-4d8b-9148-e3be6c30e623}">
          <xlrd:rvb i="987"/>
        </ext>
      </extLst>
    </bk>
    <bk>
      <extLst>
        <ext uri="{3e2802c4-a4d2-4d8b-9148-e3be6c30e623}">
          <xlrd:rvb i="998"/>
        </ext>
      </extLst>
    </bk>
    <bk>
      <extLst>
        <ext uri="{3e2802c4-a4d2-4d8b-9148-e3be6c30e623}">
          <xlrd:rvb i="1009"/>
        </ext>
      </extLst>
    </bk>
    <bk>
      <extLst>
        <ext uri="{3e2802c4-a4d2-4d8b-9148-e3be6c30e623}">
          <xlrd:rvb i="1020"/>
        </ext>
      </extLst>
    </bk>
    <bk>
      <extLst>
        <ext uri="{3e2802c4-a4d2-4d8b-9148-e3be6c30e623}">
          <xlrd:rvb i="1032"/>
        </ext>
      </extLst>
    </bk>
    <bk>
      <extLst>
        <ext uri="{3e2802c4-a4d2-4d8b-9148-e3be6c30e623}">
          <xlrd:rvb i="1043"/>
        </ext>
      </extLst>
    </bk>
    <bk>
      <extLst>
        <ext uri="{3e2802c4-a4d2-4d8b-9148-e3be6c30e623}">
          <xlrd:rvb i="1053"/>
        </ext>
      </extLst>
    </bk>
    <bk>
      <extLst>
        <ext uri="{3e2802c4-a4d2-4d8b-9148-e3be6c30e623}">
          <xlrd:rvb i="1063"/>
        </ext>
      </extLst>
    </bk>
    <bk>
      <extLst>
        <ext uri="{3e2802c4-a4d2-4d8b-9148-e3be6c30e623}">
          <xlrd:rvb i="1074"/>
        </ext>
      </extLst>
    </bk>
    <bk>
      <extLst>
        <ext uri="{3e2802c4-a4d2-4d8b-9148-e3be6c30e623}">
          <xlrd:rvb i="1080"/>
        </ext>
      </extLst>
    </bk>
    <bk>
      <extLst>
        <ext uri="{3e2802c4-a4d2-4d8b-9148-e3be6c30e623}">
          <xlrd:rvb i="1088"/>
        </ext>
      </extLst>
    </bk>
    <bk>
      <extLst>
        <ext uri="{3e2802c4-a4d2-4d8b-9148-e3be6c30e623}">
          <xlrd:rvb i="1098"/>
        </ext>
      </extLst>
    </bk>
    <bk>
      <extLst>
        <ext uri="{3e2802c4-a4d2-4d8b-9148-e3be6c30e623}">
          <xlrd:rvb i="1117"/>
        </ext>
      </extLst>
    </bk>
    <bk>
      <extLst>
        <ext uri="{3e2802c4-a4d2-4d8b-9148-e3be6c30e623}">
          <xlrd:rvb i="1127"/>
        </ext>
      </extLst>
    </bk>
    <bk>
      <extLst>
        <ext uri="{3e2802c4-a4d2-4d8b-9148-e3be6c30e623}">
          <xlrd:rvb i="1138"/>
        </ext>
      </extLst>
    </bk>
    <bk>
      <extLst>
        <ext uri="{3e2802c4-a4d2-4d8b-9148-e3be6c30e623}">
          <xlrd:rvb i="1148"/>
        </ext>
      </extLst>
    </bk>
    <bk>
      <extLst>
        <ext uri="{3e2802c4-a4d2-4d8b-9148-e3be6c30e623}">
          <xlrd:rvb i="1158"/>
        </ext>
      </extLst>
    </bk>
    <bk>
      <extLst>
        <ext uri="{3e2802c4-a4d2-4d8b-9148-e3be6c30e623}">
          <xlrd:rvb i="1167"/>
        </ext>
      </extLst>
    </bk>
    <bk>
      <extLst>
        <ext uri="{3e2802c4-a4d2-4d8b-9148-e3be6c30e623}">
          <xlrd:rvb i="1178"/>
        </ext>
      </extLst>
    </bk>
    <bk>
      <extLst>
        <ext uri="{3e2802c4-a4d2-4d8b-9148-e3be6c30e623}">
          <xlrd:rvb i="1188"/>
        </ext>
      </extLst>
    </bk>
    <bk>
      <extLst>
        <ext uri="{3e2802c4-a4d2-4d8b-9148-e3be6c30e623}">
          <xlrd:rvb i="1199"/>
        </ext>
      </extLst>
    </bk>
    <bk>
      <extLst>
        <ext uri="{3e2802c4-a4d2-4d8b-9148-e3be6c30e623}">
          <xlrd:rvb i="1208"/>
        </ext>
      </extLst>
    </bk>
    <bk>
      <extLst>
        <ext uri="{3e2802c4-a4d2-4d8b-9148-e3be6c30e623}">
          <xlrd:rvb i="1219"/>
        </ext>
      </extLst>
    </bk>
    <bk>
      <extLst>
        <ext uri="{3e2802c4-a4d2-4d8b-9148-e3be6c30e623}">
          <xlrd:rvb i="1230"/>
        </ext>
      </extLst>
    </bk>
    <bk>
      <extLst>
        <ext uri="{3e2802c4-a4d2-4d8b-9148-e3be6c30e623}">
          <xlrd:rvb i="1241"/>
        </ext>
      </extLst>
    </bk>
    <bk>
      <extLst>
        <ext uri="{3e2802c4-a4d2-4d8b-9148-e3be6c30e623}">
          <xlrd:rvb i="1251"/>
        </ext>
      </extLst>
    </bk>
    <bk>
      <extLst>
        <ext uri="{3e2802c4-a4d2-4d8b-9148-e3be6c30e623}">
          <xlrd:rvb i="1261"/>
        </ext>
      </extLst>
    </bk>
    <bk>
      <extLst>
        <ext uri="{3e2802c4-a4d2-4d8b-9148-e3be6c30e623}">
          <xlrd:rvb i="1272"/>
        </ext>
      </extLst>
    </bk>
    <bk>
      <extLst>
        <ext uri="{3e2802c4-a4d2-4d8b-9148-e3be6c30e623}">
          <xlrd:rvb i="1283"/>
        </ext>
      </extLst>
    </bk>
    <bk>
      <extLst>
        <ext uri="{3e2802c4-a4d2-4d8b-9148-e3be6c30e623}">
          <xlrd:rvb i="1293"/>
        </ext>
      </extLst>
    </bk>
    <bk>
      <extLst>
        <ext uri="{3e2802c4-a4d2-4d8b-9148-e3be6c30e623}">
          <xlrd:rvb i="1303"/>
        </ext>
      </extLst>
    </bk>
    <bk>
      <extLst>
        <ext uri="{3e2802c4-a4d2-4d8b-9148-e3be6c30e623}">
          <xlrd:rvb i="1313"/>
        </ext>
      </extLst>
    </bk>
    <bk>
      <extLst>
        <ext uri="{3e2802c4-a4d2-4d8b-9148-e3be6c30e623}">
          <xlrd:rvb i="1324"/>
        </ext>
      </extLst>
    </bk>
    <bk>
      <extLst>
        <ext uri="{3e2802c4-a4d2-4d8b-9148-e3be6c30e623}">
          <xlrd:rvb i="1334"/>
        </ext>
      </extLst>
    </bk>
    <bk>
      <extLst>
        <ext uri="{3e2802c4-a4d2-4d8b-9148-e3be6c30e623}">
          <xlrd:rvb i="1345"/>
        </ext>
      </extLst>
    </bk>
    <bk>
      <extLst>
        <ext uri="{3e2802c4-a4d2-4d8b-9148-e3be6c30e623}">
          <xlrd:rvb i="1356"/>
        </ext>
      </extLst>
    </bk>
    <bk>
      <extLst>
        <ext uri="{3e2802c4-a4d2-4d8b-9148-e3be6c30e623}">
          <xlrd:rvb i="1366"/>
        </ext>
      </extLst>
    </bk>
    <bk>
      <extLst>
        <ext uri="{3e2802c4-a4d2-4d8b-9148-e3be6c30e623}">
          <xlrd:rvb i="1377"/>
        </ext>
      </extLst>
    </bk>
    <bk>
      <extLst>
        <ext uri="{3e2802c4-a4d2-4d8b-9148-e3be6c30e623}">
          <xlrd:rvb i="1388"/>
        </ext>
      </extLst>
    </bk>
    <bk>
      <extLst>
        <ext uri="{3e2802c4-a4d2-4d8b-9148-e3be6c30e623}">
          <xlrd:rvb i="1398"/>
        </ext>
      </extLst>
    </bk>
    <bk>
      <extLst>
        <ext uri="{3e2802c4-a4d2-4d8b-9148-e3be6c30e623}">
          <xlrd:rvb i="1407"/>
        </ext>
      </extLst>
    </bk>
    <bk>
      <extLst>
        <ext uri="{3e2802c4-a4d2-4d8b-9148-e3be6c30e623}">
          <xlrd:rvb i="1413"/>
        </ext>
      </extLst>
    </bk>
    <bk>
      <extLst>
        <ext uri="{3e2802c4-a4d2-4d8b-9148-e3be6c30e623}">
          <xlrd:rvb i="1423"/>
        </ext>
      </extLst>
    </bk>
    <bk>
      <extLst>
        <ext uri="{3e2802c4-a4d2-4d8b-9148-e3be6c30e623}">
          <xlrd:rvb i="1434"/>
        </ext>
      </extLst>
    </bk>
    <bk>
      <extLst>
        <ext uri="{3e2802c4-a4d2-4d8b-9148-e3be6c30e623}">
          <xlrd:rvb i="1445"/>
        </ext>
      </extLst>
    </bk>
    <bk>
      <extLst>
        <ext uri="{3e2802c4-a4d2-4d8b-9148-e3be6c30e623}">
          <xlrd:rvb i="1454"/>
        </ext>
      </extLst>
    </bk>
    <bk>
      <extLst>
        <ext uri="{3e2802c4-a4d2-4d8b-9148-e3be6c30e623}">
          <xlrd:rvb i="1465"/>
        </ext>
      </extLst>
    </bk>
    <bk>
      <extLst>
        <ext uri="{3e2802c4-a4d2-4d8b-9148-e3be6c30e623}">
          <xlrd:rvb i="1476"/>
        </ext>
      </extLst>
    </bk>
    <bk>
      <extLst>
        <ext uri="{3e2802c4-a4d2-4d8b-9148-e3be6c30e623}">
          <xlrd:rvb i="1486"/>
        </ext>
      </extLst>
    </bk>
    <bk>
      <extLst>
        <ext uri="{3e2802c4-a4d2-4d8b-9148-e3be6c30e623}">
          <xlrd:rvb i="1496"/>
        </ext>
      </extLst>
    </bk>
    <bk>
      <extLst>
        <ext uri="{3e2802c4-a4d2-4d8b-9148-e3be6c30e623}">
          <xlrd:rvb i="1506"/>
        </ext>
      </extLst>
    </bk>
    <bk>
      <extLst>
        <ext uri="{3e2802c4-a4d2-4d8b-9148-e3be6c30e623}">
          <xlrd:rvb i="1516"/>
        </ext>
      </extLst>
    </bk>
    <bk>
      <extLst>
        <ext uri="{3e2802c4-a4d2-4d8b-9148-e3be6c30e623}">
          <xlrd:rvb i="1526"/>
        </ext>
      </extLst>
    </bk>
    <bk>
      <extLst>
        <ext uri="{3e2802c4-a4d2-4d8b-9148-e3be6c30e623}">
          <xlrd:rvb i="1536"/>
        </ext>
      </extLst>
    </bk>
    <bk>
      <extLst>
        <ext uri="{3e2802c4-a4d2-4d8b-9148-e3be6c30e623}">
          <xlrd:rvb i="1547"/>
        </ext>
      </extLst>
    </bk>
    <bk>
      <extLst>
        <ext uri="{3e2802c4-a4d2-4d8b-9148-e3be6c30e623}">
          <xlrd:rvb i="1558"/>
        </ext>
      </extLst>
    </bk>
    <bk>
      <extLst>
        <ext uri="{3e2802c4-a4d2-4d8b-9148-e3be6c30e623}">
          <xlrd:rvb i="1569"/>
        </ext>
      </extLst>
    </bk>
    <bk>
      <extLst>
        <ext uri="{3e2802c4-a4d2-4d8b-9148-e3be6c30e623}">
          <xlrd:rvb i="1580"/>
        </ext>
      </extLst>
    </bk>
    <bk>
      <extLst>
        <ext uri="{3e2802c4-a4d2-4d8b-9148-e3be6c30e623}">
          <xlrd:rvb i="1591"/>
        </ext>
      </extLst>
    </bk>
    <bk>
      <extLst>
        <ext uri="{3e2802c4-a4d2-4d8b-9148-e3be6c30e623}">
          <xlrd:rvb i="1602"/>
        </ext>
      </extLst>
    </bk>
    <bk>
      <extLst>
        <ext uri="{3e2802c4-a4d2-4d8b-9148-e3be6c30e623}">
          <xlrd:rvb i="1612"/>
        </ext>
      </extLst>
    </bk>
    <bk>
      <extLst>
        <ext uri="{3e2802c4-a4d2-4d8b-9148-e3be6c30e623}">
          <xlrd:rvb i="1622"/>
        </ext>
      </extLst>
    </bk>
    <bk>
      <extLst>
        <ext uri="{3e2802c4-a4d2-4d8b-9148-e3be6c30e623}">
          <xlrd:rvb i="1632"/>
        </ext>
      </extLst>
    </bk>
    <bk>
      <extLst>
        <ext uri="{3e2802c4-a4d2-4d8b-9148-e3be6c30e623}">
          <xlrd:rvb i="1643"/>
        </ext>
      </extLst>
    </bk>
    <bk>
      <extLst>
        <ext uri="{3e2802c4-a4d2-4d8b-9148-e3be6c30e623}">
          <xlrd:rvb i="1654"/>
        </ext>
      </extLst>
    </bk>
    <bk>
      <extLst>
        <ext uri="{3e2802c4-a4d2-4d8b-9148-e3be6c30e623}">
          <xlrd:rvb i="1664"/>
        </ext>
      </extLst>
    </bk>
    <bk>
      <extLst>
        <ext uri="{3e2802c4-a4d2-4d8b-9148-e3be6c30e623}">
          <xlrd:rvb i="1674"/>
        </ext>
      </extLst>
    </bk>
    <bk>
      <extLst>
        <ext uri="{3e2802c4-a4d2-4d8b-9148-e3be6c30e623}">
          <xlrd:rvb i="1684"/>
        </ext>
      </extLst>
    </bk>
    <bk>
      <extLst>
        <ext uri="{3e2802c4-a4d2-4d8b-9148-e3be6c30e623}">
          <xlrd:rvb i="1695"/>
        </ext>
      </extLst>
    </bk>
    <bk>
      <extLst>
        <ext uri="{3e2802c4-a4d2-4d8b-9148-e3be6c30e623}">
          <xlrd:rvb i="1705"/>
        </ext>
      </extLst>
    </bk>
    <bk>
      <extLst>
        <ext uri="{3e2802c4-a4d2-4d8b-9148-e3be6c30e623}">
          <xlrd:rvb i="1716"/>
        </ext>
      </extLst>
    </bk>
    <bk>
      <extLst>
        <ext uri="{3e2802c4-a4d2-4d8b-9148-e3be6c30e623}">
          <xlrd:rvb i="1726"/>
        </ext>
      </extLst>
    </bk>
    <bk>
      <extLst>
        <ext uri="{3e2802c4-a4d2-4d8b-9148-e3be6c30e623}">
          <xlrd:rvb i="1736"/>
        </ext>
      </extLst>
    </bk>
    <bk>
      <extLst>
        <ext uri="{3e2802c4-a4d2-4d8b-9148-e3be6c30e623}">
          <xlrd:rvb i="1747"/>
        </ext>
      </extLst>
    </bk>
    <bk>
      <extLst>
        <ext uri="{3e2802c4-a4d2-4d8b-9148-e3be6c30e623}">
          <xlrd:rvb i="1757"/>
        </ext>
      </extLst>
    </bk>
    <bk>
      <extLst>
        <ext uri="{3e2802c4-a4d2-4d8b-9148-e3be6c30e623}">
          <xlrd:rvb i="1768"/>
        </ext>
      </extLst>
    </bk>
    <bk>
      <extLst>
        <ext uri="{3e2802c4-a4d2-4d8b-9148-e3be6c30e623}">
          <xlrd:rvb i="1778"/>
        </ext>
      </extLst>
    </bk>
    <bk>
      <extLst>
        <ext uri="{3e2802c4-a4d2-4d8b-9148-e3be6c30e623}">
          <xlrd:rvb i="1788"/>
        </ext>
      </extLst>
    </bk>
    <bk>
      <extLst>
        <ext uri="{3e2802c4-a4d2-4d8b-9148-e3be6c30e623}">
          <xlrd:rvb i="1799"/>
        </ext>
      </extLst>
    </bk>
    <bk>
      <extLst>
        <ext uri="{3e2802c4-a4d2-4d8b-9148-e3be6c30e623}">
          <xlrd:rvb i="1809"/>
        </ext>
      </extLst>
    </bk>
    <bk>
      <extLst>
        <ext uri="{3e2802c4-a4d2-4d8b-9148-e3be6c30e623}">
          <xlrd:rvb i="1819"/>
        </ext>
      </extLst>
    </bk>
    <bk>
      <extLst>
        <ext uri="{3e2802c4-a4d2-4d8b-9148-e3be6c30e623}">
          <xlrd:rvb i="1830"/>
        </ext>
      </extLst>
    </bk>
    <bk>
      <extLst>
        <ext uri="{3e2802c4-a4d2-4d8b-9148-e3be6c30e623}">
          <xlrd:rvb i="1840"/>
        </ext>
      </extLst>
    </bk>
    <bk>
      <extLst>
        <ext uri="{3e2802c4-a4d2-4d8b-9148-e3be6c30e623}">
          <xlrd:rvb i="1850"/>
        </ext>
      </extLst>
    </bk>
    <bk>
      <extLst>
        <ext uri="{3e2802c4-a4d2-4d8b-9148-e3be6c30e623}">
          <xlrd:rvb i="1860"/>
        </ext>
      </extLst>
    </bk>
    <bk>
      <extLst>
        <ext uri="{3e2802c4-a4d2-4d8b-9148-e3be6c30e623}">
          <xlrd:rvb i="1870"/>
        </ext>
      </extLst>
    </bk>
    <bk>
      <extLst>
        <ext uri="{3e2802c4-a4d2-4d8b-9148-e3be6c30e623}">
          <xlrd:rvb i="1880"/>
        </ext>
      </extLst>
    </bk>
    <bk>
      <extLst>
        <ext uri="{3e2802c4-a4d2-4d8b-9148-e3be6c30e623}">
          <xlrd:rvb i="1890"/>
        </ext>
      </extLst>
    </bk>
    <bk>
      <extLst>
        <ext uri="{3e2802c4-a4d2-4d8b-9148-e3be6c30e623}">
          <xlrd:rvb i="1900"/>
        </ext>
      </extLst>
    </bk>
    <bk>
      <extLst>
        <ext uri="{3e2802c4-a4d2-4d8b-9148-e3be6c30e623}">
          <xlrd:rvb i="1911"/>
        </ext>
      </extLst>
    </bk>
    <bk>
      <extLst>
        <ext uri="{3e2802c4-a4d2-4d8b-9148-e3be6c30e623}">
          <xlrd:rvb i="1921"/>
        </ext>
      </extLst>
    </bk>
    <bk>
      <extLst>
        <ext uri="{3e2802c4-a4d2-4d8b-9148-e3be6c30e623}">
          <xlrd:rvb i="1931"/>
        </ext>
      </extLst>
    </bk>
    <bk>
      <extLst>
        <ext uri="{3e2802c4-a4d2-4d8b-9148-e3be6c30e623}">
          <xlrd:rvb i="1941"/>
        </ext>
      </extLst>
    </bk>
    <bk>
      <extLst>
        <ext uri="{3e2802c4-a4d2-4d8b-9148-e3be6c30e623}">
          <xlrd:rvb i="1951"/>
        </ext>
      </extLst>
    </bk>
    <bk>
      <extLst>
        <ext uri="{3e2802c4-a4d2-4d8b-9148-e3be6c30e623}">
          <xlrd:rvb i="1963"/>
        </ext>
      </extLst>
    </bk>
    <bk>
      <extLst>
        <ext uri="{3e2802c4-a4d2-4d8b-9148-e3be6c30e623}">
          <xlrd:rvb i="1974"/>
        </ext>
      </extLst>
    </bk>
    <bk>
      <extLst>
        <ext uri="{3e2802c4-a4d2-4d8b-9148-e3be6c30e623}">
          <xlrd:rvb i="1984"/>
        </ext>
      </extLst>
    </bk>
    <bk>
      <extLst>
        <ext uri="{3e2802c4-a4d2-4d8b-9148-e3be6c30e623}">
          <xlrd:rvb i="1995"/>
        </ext>
      </extLst>
    </bk>
    <bk>
      <extLst>
        <ext uri="{3e2802c4-a4d2-4d8b-9148-e3be6c30e623}">
          <xlrd:rvb i="2006"/>
        </ext>
      </extLst>
    </bk>
    <bk>
      <extLst>
        <ext uri="{3e2802c4-a4d2-4d8b-9148-e3be6c30e623}">
          <xlrd:rvb i="2016"/>
        </ext>
      </extLst>
    </bk>
    <bk>
      <extLst>
        <ext uri="{3e2802c4-a4d2-4d8b-9148-e3be6c30e623}">
          <xlrd:rvb i="2027"/>
        </ext>
      </extLst>
    </bk>
    <bk>
      <extLst>
        <ext uri="{3e2802c4-a4d2-4d8b-9148-e3be6c30e623}">
          <xlrd:rvb i="2037"/>
        </ext>
      </extLst>
    </bk>
    <bk>
      <extLst>
        <ext uri="{3e2802c4-a4d2-4d8b-9148-e3be6c30e623}">
          <xlrd:rvb i="2046"/>
        </ext>
      </extLst>
    </bk>
    <bk>
      <extLst>
        <ext uri="{3e2802c4-a4d2-4d8b-9148-e3be6c30e623}">
          <xlrd:rvb i="2057"/>
        </ext>
      </extLst>
    </bk>
    <bk>
      <extLst>
        <ext uri="{3e2802c4-a4d2-4d8b-9148-e3be6c30e623}">
          <xlrd:rvb i="2067"/>
        </ext>
      </extLst>
    </bk>
    <bk>
      <extLst>
        <ext uri="{3e2802c4-a4d2-4d8b-9148-e3be6c30e623}">
          <xlrd:rvb i="2078"/>
        </ext>
      </extLst>
    </bk>
    <bk>
      <extLst>
        <ext uri="{3e2802c4-a4d2-4d8b-9148-e3be6c30e623}">
          <xlrd:rvb i="2089"/>
        </ext>
      </extLst>
    </bk>
    <bk>
      <extLst>
        <ext uri="{3e2802c4-a4d2-4d8b-9148-e3be6c30e623}">
          <xlrd:rvb i="2100"/>
        </ext>
      </extLst>
    </bk>
    <bk>
      <extLst>
        <ext uri="{3e2802c4-a4d2-4d8b-9148-e3be6c30e623}">
          <xlrd:rvb i="2111"/>
        </ext>
      </extLst>
    </bk>
    <bk>
      <extLst>
        <ext uri="{3e2802c4-a4d2-4d8b-9148-e3be6c30e623}">
          <xlrd:rvb i="2122"/>
        </ext>
      </extLst>
    </bk>
    <bk>
      <extLst>
        <ext uri="{3e2802c4-a4d2-4d8b-9148-e3be6c30e623}">
          <xlrd:rvb i="2132"/>
        </ext>
      </extLst>
    </bk>
    <bk>
      <extLst>
        <ext uri="{3e2802c4-a4d2-4d8b-9148-e3be6c30e623}">
          <xlrd:rvb i="2142"/>
        </ext>
      </extLst>
    </bk>
    <bk>
      <extLst>
        <ext uri="{3e2802c4-a4d2-4d8b-9148-e3be6c30e623}">
          <xlrd:rvb i="2152"/>
        </ext>
      </extLst>
    </bk>
    <bk>
      <extLst>
        <ext uri="{3e2802c4-a4d2-4d8b-9148-e3be6c30e623}">
          <xlrd:rvb i="2163"/>
        </ext>
      </extLst>
    </bk>
    <bk>
      <extLst>
        <ext uri="{3e2802c4-a4d2-4d8b-9148-e3be6c30e623}">
          <xlrd:rvb i="2173"/>
        </ext>
      </extLst>
    </bk>
    <bk>
      <extLst>
        <ext uri="{3e2802c4-a4d2-4d8b-9148-e3be6c30e623}">
          <xlrd:rvb i="2184"/>
        </ext>
      </extLst>
    </bk>
    <bk>
      <extLst>
        <ext uri="{3e2802c4-a4d2-4d8b-9148-e3be6c30e623}">
          <xlrd:rvb i="2195"/>
        </ext>
      </extLst>
    </bk>
    <bk>
      <extLst>
        <ext uri="{3e2802c4-a4d2-4d8b-9148-e3be6c30e623}">
          <xlrd:rvb i="2205"/>
        </ext>
      </extLst>
    </bk>
    <bk>
      <extLst>
        <ext uri="{3e2802c4-a4d2-4d8b-9148-e3be6c30e623}">
          <xlrd:rvb i="2216"/>
        </ext>
      </extLst>
    </bk>
    <bk>
      <extLst>
        <ext uri="{3e2802c4-a4d2-4d8b-9148-e3be6c30e623}">
          <xlrd:rvb i="2223"/>
        </ext>
      </extLst>
    </bk>
    <bk>
      <extLst>
        <ext uri="{3e2802c4-a4d2-4d8b-9148-e3be6c30e623}">
          <xlrd:rvb i="2234"/>
        </ext>
      </extLst>
    </bk>
    <bk>
      <extLst>
        <ext uri="{3e2802c4-a4d2-4d8b-9148-e3be6c30e623}">
          <xlrd:rvb i="2245"/>
        </ext>
      </extLst>
    </bk>
    <bk>
      <extLst>
        <ext uri="{3e2802c4-a4d2-4d8b-9148-e3be6c30e623}">
          <xlrd:rvb i="2255"/>
        </ext>
      </extLst>
    </bk>
    <bk>
      <extLst>
        <ext uri="{3e2802c4-a4d2-4d8b-9148-e3be6c30e623}">
          <xlrd:rvb i="2267"/>
        </ext>
      </extLst>
    </bk>
    <bk>
      <extLst>
        <ext uri="{3e2802c4-a4d2-4d8b-9148-e3be6c30e623}">
          <xlrd:rvb i="2277"/>
        </ext>
      </extLst>
    </bk>
    <bk>
      <extLst>
        <ext uri="{3e2802c4-a4d2-4d8b-9148-e3be6c30e623}">
          <xlrd:rvb i="2288"/>
        </ext>
      </extLst>
    </bk>
    <bk>
      <extLst>
        <ext uri="{3e2802c4-a4d2-4d8b-9148-e3be6c30e623}">
          <xlrd:rvb i="2298"/>
        </ext>
      </extLst>
    </bk>
    <bk>
      <extLst>
        <ext uri="{3e2802c4-a4d2-4d8b-9148-e3be6c30e623}">
          <xlrd:rvb i="2309"/>
        </ext>
      </extLst>
    </bk>
    <bk>
      <extLst>
        <ext uri="{3e2802c4-a4d2-4d8b-9148-e3be6c30e623}">
          <xlrd:rvb i="2319"/>
        </ext>
      </extLst>
    </bk>
    <bk>
      <extLst>
        <ext uri="{3e2802c4-a4d2-4d8b-9148-e3be6c30e623}">
          <xlrd:rvb i="2329"/>
        </ext>
      </extLst>
    </bk>
    <bk>
      <extLst>
        <ext uri="{3e2802c4-a4d2-4d8b-9148-e3be6c30e623}">
          <xlrd:rvb i="2339"/>
        </ext>
      </extLst>
    </bk>
    <bk>
      <extLst>
        <ext uri="{3e2802c4-a4d2-4d8b-9148-e3be6c30e623}">
          <xlrd:rvb i="2349"/>
        </ext>
      </extLst>
    </bk>
    <bk>
      <extLst>
        <ext uri="{3e2802c4-a4d2-4d8b-9148-e3be6c30e623}">
          <xlrd:rvb i="2358"/>
        </ext>
      </extLst>
    </bk>
    <bk>
      <extLst>
        <ext uri="{3e2802c4-a4d2-4d8b-9148-e3be6c30e623}">
          <xlrd:rvb i="2368"/>
        </ext>
      </extLst>
    </bk>
    <bk>
      <extLst>
        <ext uri="{3e2802c4-a4d2-4d8b-9148-e3be6c30e623}">
          <xlrd:rvb i="2378"/>
        </ext>
      </extLst>
    </bk>
    <bk>
      <extLst>
        <ext uri="{3e2802c4-a4d2-4d8b-9148-e3be6c30e623}">
          <xlrd:rvb i="2389"/>
        </ext>
      </extLst>
    </bk>
    <bk>
      <extLst>
        <ext uri="{3e2802c4-a4d2-4d8b-9148-e3be6c30e623}">
          <xlrd:rvb i="2399"/>
        </ext>
      </extLst>
    </bk>
    <bk>
      <extLst>
        <ext uri="{3e2802c4-a4d2-4d8b-9148-e3be6c30e623}">
          <xlrd:rvb i="2410"/>
        </ext>
      </extLst>
    </bk>
    <bk>
      <extLst>
        <ext uri="{3e2802c4-a4d2-4d8b-9148-e3be6c30e623}">
          <xlrd:rvb i="2420"/>
        </ext>
      </extLst>
    </bk>
    <bk>
      <extLst>
        <ext uri="{3e2802c4-a4d2-4d8b-9148-e3be6c30e623}">
          <xlrd:rvb i="2430"/>
        </ext>
      </extLst>
    </bk>
    <bk>
      <extLst>
        <ext uri="{3e2802c4-a4d2-4d8b-9148-e3be6c30e623}">
          <xlrd:rvb i="2441"/>
        </ext>
      </extLst>
    </bk>
    <bk>
      <extLst>
        <ext uri="{3e2802c4-a4d2-4d8b-9148-e3be6c30e623}">
          <xlrd:rvb i="2450"/>
        </ext>
      </extLst>
    </bk>
    <bk>
      <extLst>
        <ext uri="{3e2802c4-a4d2-4d8b-9148-e3be6c30e623}">
          <xlrd:rvb i="2460"/>
        </ext>
      </extLst>
    </bk>
    <bk>
      <extLst>
        <ext uri="{3e2802c4-a4d2-4d8b-9148-e3be6c30e623}">
          <xlrd:rvb i="2470"/>
        </ext>
      </extLst>
    </bk>
    <bk>
      <extLst>
        <ext uri="{3e2802c4-a4d2-4d8b-9148-e3be6c30e623}">
          <xlrd:rvb i="2480"/>
        </ext>
      </extLst>
    </bk>
    <bk>
      <extLst>
        <ext uri="{3e2802c4-a4d2-4d8b-9148-e3be6c30e623}">
          <xlrd:rvb i="2490"/>
        </ext>
      </extLst>
    </bk>
    <bk>
      <extLst>
        <ext uri="{3e2802c4-a4d2-4d8b-9148-e3be6c30e623}">
          <xlrd:rvb i="2503"/>
        </ext>
      </extLst>
    </bk>
    <bk>
      <extLst>
        <ext uri="{3e2802c4-a4d2-4d8b-9148-e3be6c30e623}">
          <xlrd:rvb i="2513"/>
        </ext>
      </extLst>
    </bk>
    <bk>
      <extLst>
        <ext uri="{3e2802c4-a4d2-4d8b-9148-e3be6c30e623}">
          <xlrd:rvb i="2524"/>
        </ext>
      </extLst>
    </bk>
    <bk>
      <extLst>
        <ext uri="{3e2802c4-a4d2-4d8b-9148-e3be6c30e623}">
          <xlrd:rvb i="2534"/>
        </ext>
      </extLst>
    </bk>
    <bk>
      <extLst>
        <ext uri="{3e2802c4-a4d2-4d8b-9148-e3be6c30e623}">
          <xlrd:rvb i="2544"/>
        </ext>
      </extLst>
    </bk>
    <bk>
      <extLst>
        <ext uri="{3e2802c4-a4d2-4d8b-9148-e3be6c30e623}">
          <xlrd:rvb i="2553"/>
        </ext>
      </extLst>
    </bk>
    <bk>
      <extLst>
        <ext uri="{3e2802c4-a4d2-4d8b-9148-e3be6c30e623}">
          <xlrd:rvb i="2561"/>
        </ext>
      </extLst>
    </bk>
    <bk>
      <extLst>
        <ext uri="{3e2802c4-a4d2-4d8b-9148-e3be6c30e623}">
          <xlrd:rvb i="2572"/>
        </ext>
      </extLst>
    </bk>
    <bk>
      <extLst>
        <ext uri="{3e2802c4-a4d2-4d8b-9148-e3be6c30e623}">
          <xlrd:rvb i="2583"/>
        </ext>
      </extLst>
    </bk>
    <bk>
      <extLst>
        <ext uri="{3e2802c4-a4d2-4d8b-9148-e3be6c30e623}">
          <xlrd:rvb i="2593"/>
        </ext>
      </extLst>
    </bk>
    <bk>
      <extLst>
        <ext uri="{3e2802c4-a4d2-4d8b-9148-e3be6c30e623}">
          <xlrd:rvb i="2604"/>
        </ext>
      </extLst>
    </bk>
    <bk>
      <extLst>
        <ext uri="{3e2802c4-a4d2-4d8b-9148-e3be6c30e623}">
          <xlrd:rvb i="2615"/>
        </ext>
      </extLst>
    </bk>
    <bk>
      <extLst>
        <ext uri="{3e2802c4-a4d2-4d8b-9148-e3be6c30e623}">
          <xlrd:rvb i="2624"/>
        </ext>
      </extLst>
    </bk>
    <bk>
      <extLst>
        <ext uri="{3e2802c4-a4d2-4d8b-9148-e3be6c30e623}">
          <xlrd:rvb i="2640"/>
        </ext>
      </extLst>
    </bk>
    <bk>
      <extLst>
        <ext uri="{3e2802c4-a4d2-4d8b-9148-e3be6c30e623}">
          <xlrd:rvb i="2651"/>
        </ext>
      </extLst>
    </bk>
    <bk>
      <extLst>
        <ext uri="{3e2802c4-a4d2-4d8b-9148-e3be6c30e623}">
          <xlrd:rvb i="2662"/>
        </ext>
      </extLst>
    </bk>
    <bk>
      <extLst>
        <ext uri="{3e2802c4-a4d2-4d8b-9148-e3be6c30e623}">
          <xlrd:rvb i="2673"/>
        </ext>
      </extLst>
    </bk>
    <bk>
      <extLst>
        <ext uri="{3e2802c4-a4d2-4d8b-9148-e3be6c30e623}">
          <xlrd:rvb i="2684"/>
        </ext>
      </extLst>
    </bk>
    <bk>
      <extLst>
        <ext uri="{3e2802c4-a4d2-4d8b-9148-e3be6c30e623}">
          <xlrd:rvb i="2694"/>
        </ext>
      </extLst>
    </bk>
    <bk>
      <extLst>
        <ext uri="{3e2802c4-a4d2-4d8b-9148-e3be6c30e623}">
          <xlrd:rvb i="2704"/>
        </ext>
      </extLst>
    </bk>
    <bk>
      <extLst>
        <ext uri="{3e2802c4-a4d2-4d8b-9148-e3be6c30e623}">
          <xlrd:rvb i="2711"/>
        </ext>
      </extLst>
    </bk>
    <bk>
      <extLst>
        <ext uri="{3e2802c4-a4d2-4d8b-9148-e3be6c30e623}">
          <xlrd:rvb i="2718"/>
        </ext>
      </extLst>
    </bk>
    <bk>
      <extLst>
        <ext uri="{3e2802c4-a4d2-4d8b-9148-e3be6c30e623}">
          <xlrd:rvb i="2719"/>
        </ext>
      </extLst>
    </bk>
    <bk>
      <extLst>
        <ext uri="{3e2802c4-a4d2-4d8b-9148-e3be6c30e623}">
          <xlrd:rvb i="2726"/>
        </ext>
      </extLst>
    </bk>
    <bk>
      <extLst>
        <ext uri="{3e2802c4-a4d2-4d8b-9148-e3be6c30e623}">
          <xlrd:rvb i="897"/>
        </ext>
      </extLst>
    </bk>
    <bk>
      <extLst>
        <ext uri="{3e2802c4-a4d2-4d8b-9148-e3be6c30e623}">
          <xlrd:rvb i="2733"/>
        </ext>
      </extLst>
    </bk>
    <bk>
      <extLst>
        <ext uri="{3e2802c4-a4d2-4d8b-9148-e3be6c30e623}">
          <xlrd:rvb i="2740"/>
        </ext>
      </extLst>
    </bk>
    <bk>
      <extLst>
        <ext uri="{3e2802c4-a4d2-4d8b-9148-e3be6c30e623}">
          <xlrd:rvb i="2750"/>
        </ext>
      </extLst>
    </bk>
    <bk>
      <extLst>
        <ext uri="{3e2802c4-a4d2-4d8b-9148-e3be6c30e623}">
          <xlrd:rvb i="2761"/>
        </ext>
      </extLst>
    </bk>
    <bk>
      <extLst>
        <ext uri="{3e2802c4-a4d2-4d8b-9148-e3be6c30e623}">
          <xlrd:rvb i="2770"/>
        </ext>
      </extLst>
    </bk>
    <bk>
      <extLst>
        <ext uri="{3e2802c4-a4d2-4d8b-9148-e3be6c30e623}">
          <xlrd:rvb i="2780"/>
        </ext>
      </extLst>
    </bk>
    <bk>
      <extLst>
        <ext uri="{3e2802c4-a4d2-4d8b-9148-e3be6c30e623}">
          <xlrd:rvb i="2791"/>
        </ext>
      </extLst>
    </bk>
    <bk>
      <extLst>
        <ext uri="{3e2802c4-a4d2-4d8b-9148-e3be6c30e623}">
          <xlrd:rvb i="2802"/>
        </ext>
      </extLst>
    </bk>
    <bk>
      <extLst>
        <ext uri="{3e2802c4-a4d2-4d8b-9148-e3be6c30e623}">
          <xlrd:rvb i="2813"/>
        </ext>
      </extLst>
    </bk>
    <bk>
      <extLst>
        <ext uri="{3e2802c4-a4d2-4d8b-9148-e3be6c30e623}">
          <xlrd:rvb i="2823"/>
        </ext>
      </extLst>
    </bk>
    <bk>
      <extLst>
        <ext uri="{3e2802c4-a4d2-4d8b-9148-e3be6c30e623}">
          <xlrd:rvb i="2833"/>
        </ext>
      </extLst>
    </bk>
    <bk>
      <extLst>
        <ext uri="{3e2802c4-a4d2-4d8b-9148-e3be6c30e623}">
          <xlrd:rvb i="2843"/>
        </ext>
      </extLst>
    </bk>
    <bk>
      <extLst>
        <ext uri="{3e2802c4-a4d2-4d8b-9148-e3be6c30e623}">
          <xlrd:rvb i="2853"/>
        </ext>
      </extLst>
    </bk>
    <bk>
      <extLst>
        <ext uri="{3e2802c4-a4d2-4d8b-9148-e3be6c30e623}">
          <xlrd:rvb i="2863"/>
        </ext>
      </extLst>
    </bk>
    <bk>
      <extLst>
        <ext uri="{3e2802c4-a4d2-4d8b-9148-e3be6c30e623}">
          <xlrd:rvb i="2873"/>
        </ext>
      </extLst>
    </bk>
    <bk>
      <extLst>
        <ext uri="{3e2802c4-a4d2-4d8b-9148-e3be6c30e623}">
          <xlrd:rvb i="2883"/>
        </ext>
      </extLst>
    </bk>
    <bk>
      <extLst>
        <ext uri="{3e2802c4-a4d2-4d8b-9148-e3be6c30e623}">
          <xlrd:rvb i="2894"/>
        </ext>
      </extLst>
    </bk>
    <bk>
      <extLst>
        <ext uri="{3e2802c4-a4d2-4d8b-9148-e3be6c30e623}">
          <xlrd:rvb i="2628"/>
        </ext>
      </extLst>
    </bk>
    <bk>
      <extLst>
        <ext uri="{3e2802c4-a4d2-4d8b-9148-e3be6c30e623}">
          <xlrd:rvb i="2905"/>
        </ext>
      </extLst>
    </bk>
    <bk>
      <extLst>
        <ext uri="{3e2802c4-a4d2-4d8b-9148-e3be6c30e623}">
          <xlrd:rvb i="2915"/>
        </ext>
      </extLst>
    </bk>
    <bk>
      <extLst>
        <ext uri="{3e2802c4-a4d2-4d8b-9148-e3be6c30e623}">
          <xlrd:rvb i="2926"/>
        </ext>
      </extLst>
    </bk>
    <bk>
      <extLst>
        <ext uri="{3e2802c4-a4d2-4d8b-9148-e3be6c30e623}">
          <xlrd:rvb i="2936"/>
        </ext>
      </extLst>
    </bk>
    <bk>
      <extLst>
        <ext uri="{3e2802c4-a4d2-4d8b-9148-e3be6c30e623}">
          <xlrd:rvb i="2946"/>
        </ext>
      </extLst>
    </bk>
    <bk>
      <extLst>
        <ext uri="{3e2802c4-a4d2-4d8b-9148-e3be6c30e623}">
          <xlrd:rvb i="2956"/>
        </ext>
      </extLst>
    </bk>
    <bk>
      <extLst>
        <ext uri="{3e2802c4-a4d2-4d8b-9148-e3be6c30e623}">
          <xlrd:rvb i="2967"/>
        </ext>
      </extLst>
    </bk>
    <bk>
      <extLst>
        <ext uri="{3e2802c4-a4d2-4d8b-9148-e3be6c30e623}">
          <xlrd:rvb i="2977"/>
        </ext>
      </extLst>
    </bk>
    <bk>
      <extLst>
        <ext uri="{3e2802c4-a4d2-4d8b-9148-e3be6c30e623}">
          <xlrd:rvb i="2987"/>
        </ext>
      </extLst>
    </bk>
    <bk>
      <extLst>
        <ext uri="{3e2802c4-a4d2-4d8b-9148-e3be6c30e623}">
          <xlrd:rvb i="2997"/>
        </ext>
      </extLst>
    </bk>
    <bk>
      <extLst>
        <ext uri="{3e2802c4-a4d2-4d8b-9148-e3be6c30e623}">
          <xlrd:rvb i="3007"/>
        </ext>
      </extLst>
    </bk>
    <bk>
      <extLst>
        <ext uri="{3e2802c4-a4d2-4d8b-9148-e3be6c30e623}">
          <xlrd:rvb i="3018"/>
        </ext>
      </extLst>
    </bk>
    <bk>
      <extLst>
        <ext uri="{3e2802c4-a4d2-4d8b-9148-e3be6c30e623}">
          <xlrd:rvb i="3028"/>
        </ext>
      </extLst>
    </bk>
    <bk>
      <extLst>
        <ext uri="{3e2802c4-a4d2-4d8b-9148-e3be6c30e623}">
          <xlrd:rvb i="3037"/>
        </ext>
      </extLst>
    </bk>
    <bk>
      <extLst>
        <ext uri="{3e2802c4-a4d2-4d8b-9148-e3be6c30e623}">
          <xlrd:rvb i="3047"/>
        </ext>
      </extLst>
    </bk>
    <bk>
      <extLst>
        <ext uri="{3e2802c4-a4d2-4d8b-9148-e3be6c30e623}">
          <xlrd:rvb i="3057"/>
        </ext>
      </extLst>
    </bk>
    <bk>
      <extLst>
        <ext uri="{3e2802c4-a4d2-4d8b-9148-e3be6c30e623}">
          <xlrd:rvb i="3067"/>
        </ext>
      </extLst>
    </bk>
    <bk>
      <extLst>
        <ext uri="{3e2802c4-a4d2-4d8b-9148-e3be6c30e623}">
          <xlrd:rvb i="3076"/>
        </ext>
      </extLst>
    </bk>
    <bk>
      <extLst>
        <ext uri="{3e2802c4-a4d2-4d8b-9148-e3be6c30e623}">
          <xlrd:rvb i="3086"/>
        </ext>
      </extLst>
    </bk>
    <bk>
      <extLst>
        <ext uri="{3e2802c4-a4d2-4d8b-9148-e3be6c30e623}">
          <xlrd:rvb i="3095"/>
        </ext>
      </extLst>
    </bk>
    <bk>
      <extLst>
        <ext uri="{3e2802c4-a4d2-4d8b-9148-e3be6c30e623}">
          <xlrd:rvb i="3105"/>
        </ext>
      </extLst>
    </bk>
    <bk>
      <extLst>
        <ext uri="{3e2802c4-a4d2-4d8b-9148-e3be6c30e623}">
          <xlrd:rvb i="3115"/>
        </ext>
      </extLst>
    </bk>
    <bk>
      <extLst>
        <ext uri="{3e2802c4-a4d2-4d8b-9148-e3be6c30e623}">
          <xlrd:rvb i="3126"/>
        </ext>
      </extLst>
    </bk>
    <bk>
      <extLst>
        <ext uri="{3e2802c4-a4d2-4d8b-9148-e3be6c30e623}">
          <xlrd:rvb i="3136"/>
        </ext>
      </extLst>
    </bk>
    <bk>
      <extLst>
        <ext uri="{3e2802c4-a4d2-4d8b-9148-e3be6c30e623}">
          <xlrd:rvb i="3146"/>
        </ext>
      </extLst>
    </bk>
    <bk>
      <extLst>
        <ext uri="{3e2802c4-a4d2-4d8b-9148-e3be6c30e623}">
          <xlrd:rvb i="3156"/>
        </ext>
      </extLst>
    </bk>
    <bk>
      <extLst>
        <ext uri="{3e2802c4-a4d2-4d8b-9148-e3be6c30e623}">
          <xlrd:rvb i="3167"/>
        </ext>
      </extLst>
    </bk>
    <bk>
      <extLst>
        <ext uri="{3e2802c4-a4d2-4d8b-9148-e3be6c30e623}">
          <xlrd:rvb i="3178"/>
        </ext>
      </extLst>
    </bk>
    <bk>
      <extLst>
        <ext uri="{3e2802c4-a4d2-4d8b-9148-e3be6c30e623}">
          <xlrd:rvb i="3188"/>
        </ext>
      </extLst>
    </bk>
    <bk>
      <extLst>
        <ext uri="{3e2802c4-a4d2-4d8b-9148-e3be6c30e623}">
          <xlrd:rvb i="3198"/>
        </ext>
      </extLst>
    </bk>
    <bk>
      <extLst>
        <ext uri="{3e2802c4-a4d2-4d8b-9148-e3be6c30e623}">
          <xlrd:rvb i="3209"/>
        </ext>
      </extLst>
    </bk>
    <bk>
      <extLst>
        <ext uri="{3e2802c4-a4d2-4d8b-9148-e3be6c30e623}">
          <xlrd:rvb i="3219"/>
        </ext>
      </extLst>
    </bk>
    <bk>
      <extLst>
        <ext uri="{3e2802c4-a4d2-4d8b-9148-e3be6c30e623}">
          <xlrd:rvb i="3229"/>
        </ext>
      </extLst>
    </bk>
    <bk>
      <extLst>
        <ext uri="{3e2802c4-a4d2-4d8b-9148-e3be6c30e623}">
          <xlrd:rvb i="3239"/>
        </ext>
      </extLst>
    </bk>
    <bk>
      <extLst>
        <ext uri="{3e2802c4-a4d2-4d8b-9148-e3be6c30e623}">
          <xlrd:rvb i="3249"/>
        </ext>
      </extLst>
    </bk>
    <bk>
      <extLst>
        <ext uri="{3e2802c4-a4d2-4d8b-9148-e3be6c30e623}">
          <xlrd:rvb i="3258"/>
        </ext>
      </extLst>
    </bk>
    <bk>
      <extLst>
        <ext uri="{3e2802c4-a4d2-4d8b-9148-e3be6c30e623}">
          <xlrd:rvb i="3269"/>
        </ext>
      </extLst>
    </bk>
    <bk>
      <extLst>
        <ext uri="{3e2802c4-a4d2-4d8b-9148-e3be6c30e623}">
          <xlrd:rvb i="3279"/>
        </ext>
      </extLst>
    </bk>
    <bk>
      <extLst>
        <ext uri="{3e2802c4-a4d2-4d8b-9148-e3be6c30e623}">
          <xlrd:rvb i="3289"/>
        </ext>
      </extLst>
    </bk>
    <bk>
      <extLst>
        <ext uri="{3e2802c4-a4d2-4d8b-9148-e3be6c30e623}">
          <xlrd:rvb i="3300"/>
        </ext>
      </extLst>
    </bk>
    <bk>
      <extLst>
        <ext uri="{3e2802c4-a4d2-4d8b-9148-e3be6c30e623}">
          <xlrd:rvb i="3310"/>
        </ext>
      </extLst>
    </bk>
    <bk>
      <extLst>
        <ext uri="{3e2802c4-a4d2-4d8b-9148-e3be6c30e623}">
          <xlrd:rvb i="3321"/>
        </ext>
      </extLst>
    </bk>
    <bk>
      <extLst>
        <ext uri="{3e2802c4-a4d2-4d8b-9148-e3be6c30e623}">
          <xlrd:rvb i="3331"/>
        </ext>
      </extLst>
    </bk>
    <bk>
      <extLst>
        <ext uri="{3e2802c4-a4d2-4d8b-9148-e3be6c30e623}">
          <xlrd:rvb i="3341"/>
        </ext>
      </extLst>
    </bk>
    <bk>
      <extLst>
        <ext uri="{3e2802c4-a4d2-4d8b-9148-e3be6c30e623}">
          <xlrd:rvb i="3351"/>
        </ext>
      </extLst>
    </bk>
    <bk>
      <extLst>
        <ext uri="{3e2802c4-a4d2-4d8b-9148-e3be6c30e623}">
          <xlrd:rvb i="3362"/>
        </ext>
      </extLst>
    </bk>
    <bk>
      <extLst>
        <ext uri="{3e2802c4-a4d2-4d8b-9148-e3be6c30e623}">
          <xlrd:rvb i="3373"/>
        </ext>
      </extLst>
    </bk>
    <bk>
      <extLst>
        <ext uri="{3e2802c4-a4d2-4d8b-9148-e3be6c30e623}">
          <xlrd:rvb i="3383"/>
        </ext>
      </extLst>
    </bk>
    <bk>
      <extLst>
        <ext uri="{3e2802c4-a4d2-4d8b-9148-e3be6c30e623}">
          <xlrd:rvb i="3393"/>
        </ext>
      </extLst>
    </bk>
    <bk>
      <extLst>
        <ext uri="{3e2802c4-a4d2-4d8b-9148-e3be6c30e623}">
          <xlrd:rvb i="3403"/>
        </ext>
      </extLst>
    </bk>
    <bk>
      <extLst>
        <ext uri="{3e2802c4-a4d2-4d8b-9148-e3be6c30e623}">
          <xlrd:rvb i="3414"/>
        </ext>
      </extLst>
    </bk>
    <bk>
      <extLst>
        <ext uri="{3e2802c4-a4d2-4d8b-9148-e3be6c30e623}">
          <xlrd:rvb i="3425"/>
        </ext>
      </extLst>
    </bk>
    <bk>
      <extLst>
        <ext uri="{3e2802c4-a4d2-4d8b-9148-e3be6c30e623}">
          <xlrd:rvb i="3435"/>
        </ext>
      </extLst>
    </bk>
    <bk>
      <extLst>
        <ext uri="{3e2802c4-a4d2-4d8b-9148-e3be6c30e623}">
          <xlrd:rvb i="3446"/>
        </ext>
      </extLst>
    </bk>
    <bk>
      <extLst>
        <ext uri="{3e2802c4-a4d2-4d8b-9148-e3be6c30e623}">
          <xlrd:rvb i="3457"/>
        </ext>
      </extLst>
    </bk>
    <bk>
      <extLst>
        <ext uri="{3e2802c4-a4d2-4d8b-9148-e3be6c30e623}">
          <xlrd:rvb i="3467"/>
        </ext>
      </extLst>
    </bk>
    <bk>
      <extLst>
        <ext uri="{3e2802c4-a4d2-4d8b-9148-e3be6c30e623}">
          <xlrd:rvb i="3478"/>
        </ext>
      </extLst>
    </bk>
    <bk>
      <extLst>
        <ext uri="{3e2802c4-a4d2-4d8b-9148-e3be6c30e623}">
          <xlrd:rvb i="3488"/>
        </ext>
      </extLst>
    </bk>
    <bk>
      <extLst>
        <ext uri="{3e2802c4-a4d2-4d8b-9148-e3be6c30e623}">
          <xlrd:rvb i="3498"/>
        </ext>
      </extLst>
    </bk>
    <bk>
      <extLst>
        <ext uri="{3e2802c4-a4d2-4d8b-9148-e3be6c30e623}">
          <xlrd:rvb i="3509"/>
        </ext>
      </extLst>
    </bk>
    <bk>
      <extLst>
        <ext uri="{3e2802c4-a4d2-4d8b-9148-e3be6c30e623}">
          <xlrd:rvb i="3519"/>
        </ext>
      </extLst>
    </bk>
    <bk>
      <extLst>
        <ext uri="{3e2802c4-a4d2-4d8b-9148-e3be6c30e623}">
          <xlrd:rvb i="3530"/>
        </ext>
      </extLst>
    </bk>
    <bk>
      <extLst>
        <ext uri="{3e2802c4-a4d2-4d8b-9148-e3be6c30e623}">
          <xlrd:rvb i="3540"/>
        </ext>
      </extLst>
    </bk>
    <bk>
      <extLst>
        <ext uri="{3e2802c4-a4d2-4d8b-9148-e3be6c30e623}">
          <xlrd:rvb i="3551"/>
        </ext>
      </extLst>
    </bk>
    <bk>
      <extLst>
        <ext uri="{3e2802c4-a4d2-4d8b-9148-e3be6c30e623}">
          <xlrd:rvb i="3560"/>
        </ext>
      </extLst>
    </bk>
    <bk>
      <extLst>
        <ext uri="{3e2802c4-a4d2-4d8b-9148-e3be6c30e623}">
          <xlrd:rvb i="3570"/>
        </ext>
      </extLst>
    </bk>
    <bk>
      <extLst>
        <ext uri="{3e2802c4-a4d2-4d8b-9148-e3be6c30e623}">
          <xlrd:rvb i="3578"/>
        </ext>
      </extLst>
    </bk>
    <bk>
      <extLst>
        <ext uri="{3e2802c4-a4d2-4d8b-9148-e3be6c30e623}">
          <xlrd:rvb i="3588"/>
        </ext>
      </extLst>
    </bk>
    <bk>
      <extLst>
        <ext uri="{3e2802c4-a4d2-4d8b-9148-e3be6c30e623}">
          <xlrd:rvb i="3598"/>
        </ext>
      </extLst>
    </bk>
    <bk>
      <extLst>
        <ext uri="{3e2802c4-a4d2-4d8b-9148-e3be6c30e623}">
          <xlrd:rvb i="3608"/>
        </ext>
      </extLst>
    </bk>
    <bk>
      <extLst>
        <ext uri="{3e2802c4-a4d2-4d8b-9148-e3be6c30e623}">
          <xlrd:rvb i="3618"/>
        </ext>
      </extLst>
    </bk>
    <bk>
      <extLst>
        <ext uri="{3e2802c4-a4d2-4d8b-9148-e3be6c30e623}">
          <xlrd:rvb i="3628"/>
        </ext>
      </extLst>
    </bk>
    <bk>
      <extLst>
        <ext uri="{3e2802c4-a4d2-4d8b-9148-e3be6c30e623}">
          <xlrd:rvb i="3638"/>
        </ext>
      </extLst>
    </bk>
    <bk>
      <extLst>
        <ext uri="{3e2802c4-a4d2-4d8b-9148-e3be6c30e623}">
          <xlrd:rvb i="3649"/>
        </ext>
      </extLst>
    </bk>
    <bk>
      <extLst>
        <ext uri="{3e2802c4-a4d2-4d8b-9148-e3be6c30e623}">
          <xlrd:rvb i="3660"/>
        </ext>
      </extLst>
    </bk>
    <bk>
      <extLst>
        <ext uri="{3e2802c4-a4d2-4d8b-9148-e3be6c30e623}">
          <xlrd:rvb i="3671"/>
        </ext>
      </extLst>
    </bk>
    <bk>
      <extLst>
        <ext uri="{3e2802c4-a4d2-4d8b-9148-e3be6c30e623}">
          <xlrd:rvb i="3681"/>
        </ext>
      </extLst>
    </bk>
    <bk>
      <extLst>
        <ext uri="{3e2802c4-a4d2-4d8b-9148-e3be6c30e623}">
          <xlrd:rvb i="3692"/>
        </ext>
      </extLst>
    </bk>
    <bk>
      <extLst>
        <ext uri="{3e2802c4-a4d2-4d8b-9148-e3be6c30e623}">
          <xlrd:rvb i="3702"/>
        </ext>
      </extLst>
    </bk>
    <bk>
      <extLst>
        <ext uri="{3e2802c4-a4d2-4d8b-9148-e3be6c30e623}">
          <xlrd:rvb i="3712"/>
        </ext>
      </extLst>
    </bk>
    <bk>
      <extLst>
        <ext uri="{3e2802c4-a4d2-4d8b-9148-e3be6c30e623}">
          <xlrd:rvb i="3721"/>
        </ext>
      </extLst>
    </bk>
    <bk>
      <extLst>
        <ext uri="{3e2802c4-a4d2-4d8b-9148-e3be6c30e623}">
          <xlrd:rvb i="3731"/>
        </ext>
      </extLst>
    </bk>
    <bk>
      <extLst>
        <ext uri="{3e2802c4-a4d2-4d8b-9148-e3be6c30e623}">
          <xlrd:rvb i="3741"/>
        </ext>
      </extLst>
    </bk>
    <bk>
      <extLst>
        <ext uri="{3e2802c4-a4d2-4d8b-9148-e3be6c30e623}">
          <xlrd:rvb i="3751"/>
        </ext>
      </extLst>
    </bk>
    <bk>
      <extLst>
        <ext uri="{3e2802c4-a4d2-4d8b-9148-e3be6c30e623}">
          <xlrd:rvb i="3762"/>
        </ext>
      </extLst>
    </bk>
    <bk>
      <extLst>
        <ext uri="{3e2802c4-a4d2-4d8b-9148-e3be6c30e623}">
          <xlrd:rvb i="3772"/>
        </ext>
      </extLst>
    </bk>
    <bk>
      <extLst>
        <ext uri="{3e2802c4-a4d2-4d8b-9148-e3be6c30e623}">
          <xlrd:rvb i="3783"/>
        </ext>
      </extLst>
    </bk>
    <bk>
      <extLst>
        <ext uri="{3e2802c4-a4d2-4d8b-9148-e3be6c30e623}">
          <xlrd:rvb i="3793"/>
        </ext>
      </extLst>
    </bk>
    <bk>
      <extLst>
        <ext uri="{3e2802c4-a4d2-4d8b-9148-e3be6c30e623}">
          <xlrd:rvb i="3803"/>
        </ext>
      </extLst>
    </bk>
    <bk>
      <extLst>
        <ext uri="{3e2802c4-a4d2-4d8b-9148-e3be6c30e623}">
          <xlrd:rvb i="3813"/>
        </ext>
      </extLst>
    </bk>
    <bk>
      <extLst>
        <ext uri="{3e2802c4-a4d2-4d8b-9148-e3be6c30e623}">
          <xlrd:rvb i="3822"/>
        </ext>
      </extLst>
    </bk>
    <bk>
      <extLst>
        <ext uri="{3e2802c4-a4d2-4d8b-9148-e3be6c30e623}">
          <xlrd:rvb i="3833"/>
        </ext>
      </extLst>
    </bk>
    <bk>
      <extLst>
        <ext uri="{3e2802c4-a4d2-4d8b-9148-e3be6c30e623}">
          <xlrd:rvb i="3843"/>
        </ext>
      </extLst>
    </bk>
    <bk>
      <extLst>
        <ext uri="{3e2802c4-a4d2-4d8b-9148-e3be6c30e623}">
          <xlrd:rvb i="3853"/>
        </ext>
      </extLst>
    </bk>
    <bk>
      <extLst>
        <ext uri="{3e2802c4-a4d2-4d8b-9148-e3be6c30e623}">
          <xlrd:rvb i="3863"/>
        </ext>
      </extLst>
    </bk>
    <bk>
      <extLst>
        <ext uri="{3e2802c4-a4d2-4d8b-9148-e3be6c30e623}">
          <xlrd:rvb i="3872"/>
        </ext>
      </extLst>
    </bk>
    <bk>
      <extLst>
        <ext uri="{3e2802c4-a4d2-4d8b-9148-e3be6c30e623}">
          <xlrd:rvb i="3888"/>
        </ext>
      </extLst>
    </bk>
    <bk>
      <extLst>
        <ext uri="{3e2802c4-a4d2-4d8b-9148-e3be6c30e623}">
          <xlrd:rvb i="3898"/>
        </ext>
      </extLst>
    </bk>
    <bk>
      <extLst>
        <ext uri="{3e2802c4-a4d2-4d8b-9148-e3be6c30e623}">
          <xlrd:rvb i="3908"/>
        </ext>
      </extLst>
    </bk>
    <bk>
      <extLst>
        <ext uri="{3e2802c4-a4d2-4d8b-9148-e3be6c30e623}">
          <xlrd:rvb i="3918"/>
        </ext>
      </extLst>
    </bk>
    <bk>
      <extLst>
        <ext uri="{3e2802c4-a4d2-4d8b-9148-e3be6c30e623}">
          <xlrd:rvb i="3928"/>
        </ext>
      </extLst>
    </bk>
    <bk>
      <extLst>
        <ext uri="{3e2802c4-a4d2-4d8b-9148-e3be6c30e623}">
          <xlrd:rvb i="3938"/>
        </ext>
      </extLst>
    </bk>
    <bk>
      <extLst>
        <ext uri="{3e2802c4-a4d2-4d8b-9148-e3be6c30e623}">
          <xlrd:rvb i="3945"/>
        </ext>
      </extLst>
    </bk>
    <bk>
      <extLst>
        <ext uri="{3e2802c4-a4d2-4d8b-9148-e3be6c30e623}">
          <xlrd:rvb i="3955"/>
        </ext>
      </extLst>
    </bk>
    <bk>
      <extLst>
        <ext uri="{3e2802c4-a4d2-4d8b-9148-e3be6c30e623}">
          <xlrd:rvb i="3964"/>
        </ext>
      </extLst>
    </bk>
    <bk>
      <extLst>
        <ext uri="{3e2802c4-a4d2-4d8b-9148-e3be6c30e623}">
          <xlrd:rvb i="3973"/>
        </ext>
      </extLst>
    </bk>
    <bk>
      <extLst>
        <ext uri="{3e2802c4-a4d2-4d8b-9148-e3be6c30e623}">
          <xlrd:rvb i="3984"/>
        </ext>
      </extLst>
    </bk>
    <bk>
      <extLst>
        <ext uri="{3e2802c4-a4d2-4d8b-9148-e3be6c30e623}">
          <xlrd:rvb i="3995"/>
        </ext>
      </extLst>
    </bk>
    <bk>
      <extLst>
        <ext uri="{3e2802c4-a4d2-4d8b-9148-e3be6c30e623}">
          <xlrd:rvb i="4005"/>
        </ext>
      </extLst>
    </bk>
    <bk>
      <extLst>
        <ext uri="{3e2802c4-a4d2-4d8b-9148-e3be6c30e623}">
          <xlrd:rvb i="4015"/>
        </ext>
      </extLst>
    </bk>
    <bk>
      <extLst>
        <ext uri="{3e2802c4-a4d2-4d8b-9148-e3be6c30e623}">
          <xlrd:rvb i="4025"/>
        </ext>
      </extLst>
    </bk>
    <bk>
      <extLst>
        <ext uri="{3e2802c4-a4d2-4d8b-9148-e3be6c30e623}">
          <xlrd:rvb i="4036"/>
        </ext>
      </extLst>
    </bk>
    <bk>
      <extLst>
        <ext uri="{3e2802c4-a4d2-4d8b-9148-e3be6c30e623}">
          <xlrd:rvb i="4045"/>
        </ext>
      </extLst>
    </bk>
    <bk>
      <extLst>
        <ext uri="{3e2802c4-a4d2-4d8b-9148-e3be6c30e623}">
          <xlrd:rvb i="4055"/>
        </ext>
      </extLst>
    </bk>
    <bk>
      <extLst>
        <ext uri="{3e2802c4-a4d2-4d8b-9148-e3be6c30e623}">
          <xlrd:rvb i="4062"/>
        </ext>
      </extLst>
    </bk>
    <bk>
      <extLst>
        <ext uri="{3e2802c4-a4d2-4d8b-9148-e3be6c30e623}">
          <xlrd:rvb i="4071"/>
        </ext>
      </extLst>
    </bk>
    <bk>
      <extLst>
        <ext uri="{3e2802c4-a4d2-4d8b-9148-e3be6c30e623}">
          <xlrd:rvb i="4081"/>
        </ext>
      </extLst>
    </bk>
    <bk>
      <extLst>
        <ext uri="{3e2802c4-a4d2-4d8b-9148-e3be6c30e623}">
          <xlrd:rvb i="4091"/>
        </ext>
      </extLst>
    </bk>
    <bk>
      <extLst>
        <ext uri="{3e2802c4-a4d2-4d8b-9148-e3be6c30e623}">
          <xlrd:rvb i="4102"/>
        </ext>
      </extLst>
    </bk>
    <bk>
      <extLst>
        <ext uri="{3e2802c4-a4d2-4d8b-9148-e3be6c30e623}">
          <xlrd:rvb i="4112"/>
        </ext>
      </extLst>
    </bk>
    <bk>
      <extLst>
        <ext uri="{3e2802c4-a4d2-4d8b-9148-e3be6c30e623}">
          <xlrd:rvb i="4122"/>
        </ext>
      </extLst>
    </bk>
    <bk>
      <extLst>
        <ext uri="{3e2802c4-a4d2-4d8b-9148-e3be6c30e623}">
          <xlrd:rvb i="4132"/>
        </ext>
      </extLst>
    </bk>
    <bk>
      <extLst>
        <ext uri="{3e2802c4-a4d2-4d8b-9148-e3be6c30e623}">
          <xlrd:rvb i="4142"/>
        </ext>
      </extLst>
    </bk>
    <bk>
      <extLst>
        <ext uri="{3e2802c4-a4d2-4d8b-9148-e3be6c30e623}">
          <xlrd:rvb i="4152"/>
        </ext>
      </extLst>
    </bk>
    <bk>
      <extLst>
        <ext uri="{3e2802c4-a4d2-4d8b-9148-e3be6c30e623}">
          <xlrd:rvb i="4163"/>
        </ext>
      </extLst>
    </bk>
    <bk>
      <extLst>
        <ext uri="{3e2802c4-a4d2-4d8b-9148-e3be6c30e623}">
          <xlrd:rvb i="4172"/>
        </ext>
      </extLst>
    </bk>
    <bk>
      <extLst>
        <ext uri="{3e2802c4-a4d2-4d8b-9148-e3be6c30e623}">
          <xlrd:rvb i="4183"/>
        </ext>
      </extLst>
    </bk>
    <bk>
      <extLst>
        <ext uri="{3e2802c4-a4d2-4d8b-9148-e3be6c30e623}">
          <xlrd:rvb i="4193"/>
        </ext>
      </extLst>
    </bk>
    <bk>
      <extLst>
        <ext uri="{3e2802c4-a4d2-4d8b-9148-e3be6c30e623}">
          <xlrd:rvb i="4203"/>
        </ext>
      </extLst>
    </bk>
    <bk>
      <extLst>
        <ext uri="{3e2802c4-a4d2-4d8b-9148-e3be6c30e623}">
          <xlrd:rvb i="4213"/>
        </ext>
      </extLst>
    </bk>
    <bk>
      <extLst>
        <ext uri="{3e2802c4-a4d2-4d8b-9148-e3be6c30e623}">
          <xlrd:rvb i="4223"/>
        </ext>
      </extLst>
    </bk>
    <bk>
      <extLst>
        <ext uri="{3e2802c4-a4d2-4d8b-9148-e3be6c30e623}">
          <xlrd:rvb i="4233"/>
        </ext>
      </extLst>
    </bk>
    <bk>
      <extLst>
        <ext uri="{3e2802c4-a4d2-4d8b-9148-e3be6c30e623}">
          <xlrd:rvb i="4244"/>
        </ext>
      </extLst>
    </bk>
    <bk>
      <extLst>
        <ext uri="{3e2802c4-a4d2-4d8b-9148-e3be6c30e623}">
          <xlrd:rvb i="4255"/>
        </ext>
      </extLst>
    </bk>
    <bk>
      <extLst>
        <ext uri="{3e2802c4-a4d2-4d8b-9148-e3be6c30e623}">
          <xlrd:rvb i="4266"/>
        </ext>
      </extLst>
    </bk>
    <bk>
      <extLst>
        <ext uri="{3e2802c4-a4d2-4d8b-9148-e3be6c30e623}">
          <xlrd:rvb i="4277"/>
        </ext>
      </extLst>
    </bk>
    <bk>
      <extLst>
        <ext uri="{3e2802c4-a4d2-4d8b-9148-e3be6c30e623}">
          <xlrd:rvb i="4287"/>
        </ext>
      </extLst>
    </bk>
    <bk>
      <extLst>
        <ext uri="{3e2802c4-a4d2-4d8b-9148-e3be6c30e623}">
          <xlrd:rvb i="4297"/>
        </ext>
      </extLst>
    </bk>
    <bk>
      <extLst>
        <ext uri="{3e2802c4-a4d2-4d8b-9148-e3be6c30e623}">
          <xlrd:rvb i="4307"/>
        </ext>
      </extLst>
    </bk>
    <bk>
      <extLst>
        <ext uri="{3e2802c4-a4d2-4d8b-9148-e3be6c30e623}">
          <xlrd:rvb i="4315"/>
        </ext>
      </extLst>
    </bk>
    <bk>
      <extLst>
        <ext uri="{3e2802c4-a4d2-4d8b-9148-e3be6c30e623}">
          <xlrd:rvb i="4326"/>
        </ext>
      </extLst>
    </bk>
    <bk>
      <extLst>
        <ext uri="{3e2802c4-a4d2-4d8b-9148-e3be6c30e623}">
          <xlrd:rvb i="4336"/>
        </ext>
      </extLst>
    </bk>
    <bk>
      <extLst>
        <ext uri="{3e2802c4-a4d2-4d8b-9148-e3be6c30e623}">
          <xlrd:rvb i="4346"/>
        </ext>
      </extLst>
    </bk>
    <bk>
      <extLst>
        <ext uri="{3e2802c4-a4d2-4d8b-9148-e3be6c30e623}">
          <xlrd:rvb i="4356"/>
        </ext>
      </extLst>
    </bk>
    <bk>
      <extLst>
        <ext uri="{3e2802c4-a4d2-4d8b-9148-e3be6c30e623}">
          <xlrd:rvb i="4366"/>
        </ext>
      </extLst>
    </bk>
    <bk>
      <extLst>
        <ext uri="{3e2802c4-a4d2-4d8b-9148-e3be6c30e623}">
          <xlrd:rvb i="4376"/>
        </ext>
      </extLst>
    </bk>
    <bk>
      <extLst>
        <ext uri="{3e2802c4-a4d2-4d8b-9148-e3be6c30e623}">
          <xlrd:rvb i="4387"/>
        </ext>
      </extLst>
    </bk>
    <bk>
      <extLst>
        <ext uri="{3e2802c4-a4d2-4d8b-9148-e3be6c30e623}">
          <xlrd:rvb i="4397"/>
        </ext>
      </extLst>
    </bk>
    <bk>
      <extLst>
        <ext uri="{3e2802c4-a4d2-4d8b-9148-e3be6c30e623}">
          <xlrd:rvb i="4407"/>
        </ext>
      </extLst>
    </bk>
    <bk>
      <extLst>
        <ext uri="{3e2802c4-a4d2-4d8b-9148-e3be6c30e623}">
          <xlrd:rvb i="4416"/>
        </ext>
      </extLst>
    </bk>
    <bk>
      <extLst>
        <ext uri="{3e2802c4-a4d2-4d8b-9148-e3be6c30e623}">
          <xlrd:rvb i="4426"/>
        </ext>
      </extLst>
    </bk>
    <bk>
      <extLst>
        <ext uri="{3e2802c4-a4d2-4d8b-9148-e3be6c30e623}">
          <xlrd:rvb i="4436"/>
        </ext>
      </extLst>
    </bk>
    <bk>
      <extLst>
        <ext uri="{3e2802c4-a4d2-4d8b-9148-e3be6c30e623}">
          <xlrd:rvb i="4446"/>
        </ext>
      </extLst>
    </bk>
    <bk>
      <extLst>
        <ext uri="{3e2802c4-a4d2-4d8b-9148-e3be6c30e623}">
          <xlrd:rvb i="4454"/>
        </ext>
      </extLst>
    </bk>
    <bk>
      <extLst>
        <ext uri="{3e2802c4-a4d2-4d8b-9148-e3be6c30e623}">
          <xlrd:rvb i="4464"/>
        </ext>
      </extLst>
    </bk>
    <bk>
      <extLst>
        <ext uri="{3e2802c4-a4d2-4d8b-9148-e3be6c30e623}">
          <xlrd:rvb i="4475"/>
        </ext>
      </extLst>
    </bk>
    <bk>
      <extLst>
        <ext uri="{3e2802c4-a4d2-4d8b-9148-e3be6c30e623}">
          <xlrd:rvb i="4485"/>
        </ext>
      </extLst>
    </bk>
    <bk>
      <extLst>
        <ext uri="{3e2802c4-a4d2-4d8b-9148-e3be6c30e623}">
          <xlrd:rvb i="4495"/>
        </ext>
      </extLst>
    </bk>
    <bk>
      <extLst>
        <ext uri="{3e2802c4-a4d2-4d8b-9148-e3be6c30e623}">
          <xlrd:rvb i="4505"/>
        </ext>
      </extLst>
    </bk>
    <bk>
      <extLst>
        <ext uri="{3e2802c4-a4d2-4d8b-9148-e3be6c30e623}">
          <xlrd:rvb i="1106"/>
        </ext>
      </extLst>
    </bk>
    <bk>
      <extLst>
        <ext uri="{3e2802c4-a4d2-4d8b-9148-e3be6c30e623}">
          <xlrd:rvb i="4515"/>
        </ext>
      </extLst>
    </bk>
    <bk>
      <extLst>
        <ext uri="{3e2802c4-a4d2-4d8b-9148-e3be6c30e623}">
          <xlrd:rvb i="4525"/>
        </ext>
      </extLst>
    </bk>
    <bk>
      <extLst>
        <ext uri="{3e2802c4-a4d2-4d8b-9148-e3be6c30e623}">
          <xlrd:rvb i="3876"/>
        </ext>
      </extLst>
    </bk>
    <bk>
      <extLst>
        <ext uri="{3e2802c4-a4d2-4d8b-9148-e3be6c30e623}">
          <xlrd:rvb i="4534"/>
        </ext>
      </extLst>
    </bk>
    <bk>
      <extLst>
        <ext uri="{3e2802c4-a4d2-4d8b-9148-e3be6c30e623}">
          <xlrd:rvb i="4544"/>
        </ext>
      </extLst>
    </bk>
    <bk>
      <extLst>
        <ext uri="{3e2802c4-a4d2-4d8b-9148-e3be6c30e623}">
          <xlrd:rvb i="4553"/>
        </ext>
      </extLst>
    </bk>
    <bk>
      <extLst>
        <ext uri="{3e2802c4-a4d2-4d8b-9148-e3be6c30e623}">
          <xlrd:rvb i="4563"/>
        </ext>
      </extLst>
    </bk>
    <bk>
      <extLst>
        <ext uri="{3e2802c4-a4d2-4d8b-9148-e3be6c30e623}">
          <xlrd:rvb i="4573"/>
        </ext>
      </extLst>
    </bk>
    <bk>
      <extLst>
        <ext uri="{3e2802c4-a4d2-4d8b-9148-e3be6c30e623}">
          <xlrd:rvb i="4583"/>
        </ext>
      </extLst>
    </bk>
    <bk>
      <extLst>
        <ext uri="{3e2802c4-a4d2-4d8b-9148-e3be6c30e623}">
          <xlrd:rvb i="4589"/>
        </ext>
      </extLst>
    </bk>
    <bk>
      <extLst>
        <ext uri="{3e2802c4-a4d2-4d8b-9148-e3be6c30e623}">
          <xlrd:rvb i="4599"/>
        </ext>
      </extLst>
    </bk>
    <bk>
      <extLst>
        <ext uri="{3e2802c4-a4d2-4d8b-9148-e3be6c30e623}">
          <xlrd:rvb i="4609"/>
        </ext>
      </extLst>
    </bk>
    <bk>
      <extLst>
        <ext uri="{3e2802c4-a4d2-4d8b-9148-e3be6c30e623}">
          <xlrd:rvb i="4620"/>
        </ext>
      </extLst>
    </bk>
    <bk>
      <extLst>
        <ext uri="{3e2802c4-a4d2-4d8b-9148-e3be6c30e623}">
          <xlrd:rvb i="4630"/>
        </ext>
      </extLst>
    </bk>
    <bk>
      <extLst>
        <ext uri="{3e2802c4-a4d2-4d8b-9148-e3be6c30e623}">
          <xlrd:rvb i="4641"/>
        </ext>
      </extLst>
    </bk>
    <bk>
      <extLst>
        <ext uri="{3e2802c4-a4d2-4d8b-9148-e3be6c30e623}">
          <xlrd:rvb i="4651"/>
        </ext>
      </extLst>
    </bk>
    <bk>
      <extLst>
        <ext uri="{3e2802c4-a4d2-4d8b-9148-e3be6c30e623}">
          <xlrd:rvb i="4660"/>
        </ext>
      </extLst>
    </bk>
    <bk>
      <extLst>
        <ext uri="{3e2802c4-a4d2-4d8b-9148-e3be6c30e623}">
          <xlrd:rvb i="4671"/>
        </ext>
      </extLst>
    </bk>
    <bk>
      <extLst>
        <ext uri="{3e2802c4-a4d2-4d8b-9148-e3be6c30e623}">
          <xlrd:rvb i="4680"/>
        </ext>
      </extLst>
    </bk>
    <bk>
      <extLst>
        <ext uri="{3e2802c4-a4d2-4d8b-9148-e3be6c30e623}">
          <xlrd:rvb i="4690"/>
        </ext>
      </extLst>
    </bk>
    <bk>
      <extLst>
        <ext uri="{3e2802c4-a4d2-4d8b-9148-e3be6c30e623}">
          <xlrd:rvb i="4700"/>
        </ext>
      </extLst>
    </bk>
    <bk>
      <extLst>
        <ext uri="{3e2802c4-a4d2-4d8b-9148-e3be6c30e623}">
          <xlrd:rvb i="4709"/>
        </ext>
      </extLst>
    </bk>
    <bk>
      <extLst>
        <ext uri="{3e2802c4-a4d2-4d8b-9148-e3be6c30e623}">
          <xlrd:rvb i="4719"/>
        </ext>
      </extLst>
    </bk>
    <bk>
      <extLst>
        <ext uri="{3e2802c4-a4d2-4d8b-9148-e3be6c30e623}">
          <xlrd:rvb i="4729"/>
        </ext>
      </extLst>
    </bk>
    <bk>
      <extLst>
        <ext uri="{3e2802c4-a4d2-4d8b-9148-e3be6c30e623}">
          <xlrd:rvb i="4739"/>
        </ext>
      </extLst>
    </bk>
    <bk>
      <extLst>
        <ext uri="{3e2802c4-a4d2-4d8b-9148-e3be6c30e623}">
          <xlrd:rvb i="4749"/>
        </ext>
      </extLst>
    </bk>
    <bk>
      <extLst>
        <ext uri="{3e2802c4-a4d2-4d8b-9148-e3be6c30e623}">
          <xlrd:rvb i="4759"/>
        </ext>
      </extLst>
    </bk>
    <bk>
      <extLst>
        <ext uri="{3e2802c4-a4d2-4d8b-9148-e3be6c30e623}">
          <xlrd:rvb i="4769"/>
        </ext>
      </extLst>
    </bk>
    <bk>
      <extLst>
        <ext uri="{3e2802c4-a4d2-4d8b-9148-e3be6c30e623}">
          <xlrd:rvb i="4779"/>
        </ext>
      </extLst>
    </bk>
    <bk>
      <extLst>
        <ext uri="{3e2802c4-a4d2-4d8b-9148-e3be6c30e623}">
          <xlrd:rvb i="4790"/>
        </ext>
      </extLst>
    </bk>
    <bk>
      <extLst>
        <ext uri="{3e2802c4-a4d2-4d8b-9148-e3be6c30e623}">
          <xlrd:rvb i="4801"/>
        </ext>
      </extLst>
    </bk>
    <bk>
      <extLst>
        <ext uri="{3e2802c4-a4d2-4d8b-9148-e3be6c30e623}">
          <xlrd:rvb i="4811"/>
        </ext>
      </extLst>
    </bk>
    <bk>
      <extLst>
        <ext uri="{3e2802c4-a4d2-4d8b-9148-e3be6c30e623}">
          <xlrd:rvb i="4822"/>
        </ext>
      </extLst>
    </bk>
    <bk>
      <extLst>
        <ext uri="{3e2802c4-a4d2-4d8b-9148-e3be6c30e623}">
          <xlrd:rvb i="4832"/>
        </ext>
      </extLst>
    </bk>
    <bk>
      <extLst>
        <ext uri="{3e2802c4-a4d2-4d8b-9148-e3be6c30e623}">
          <xlrd:rvb i="4839"/>
        </ext>
      </extLst>
    </bk>
    <bk>
      <extLst>
        <ext uri="{3e2802c4-a4d2-4d8b-9148-e3be6c30e623}">
          <xlrd:rvb i="4850"/>
        </ext>
      </extLst>
    </bk>
    <bk>
      <extLst>
        <ext uri="{3e2802c4-a4d2-4d8b-9148-e3be6c30e623}">
          <xlrd:rvb i="4860"/>
        </ext>
      </extLst>
    </bk>
    <bk>
      <extLst>
        <ext uri="{3e2802c4-a4d2-4d8b-9148-e3be6c30e623}">
          <xlrd:rvb i="4870"/>
        </ext>
      </extLst>
    </bk>
    <bk>
      <extLst>
        <ext uri="{3e2802c4-a4d2-4d8b-9148-e3be6c30e623}">
          <xlrd:rvb i="4880"/>
        </ext>
      </extLst>
    </bk>
    <bk>
      <extLst>
        <ext uri="{3e2802c4-a4d2-4d8b-9148-e3be6c30e623}">
          <xlrd:rvb i="4888"/>
        </ext>
      </extLst>
    </bk>
    <bk>
      <extLst>
        <ext uri="{3e2802c4-a4d2-4d8b-9148-e3be6c30e623}">
          <xlrd:rvb i="4898"/>
        </ext>
      </extLst>
    </bk>
    <bk>
      <extLst>
        <ext uri="{3e2802c4-a4d2-4d8b-9148-e3be6c30e623}">
          <xlrd:rvb i="4908"/>
        </ext>
      </extLst>
    </bk>
    <bk>
      <extLst>
        <ext uri="{3e2802c4-a4d2-4d8b-9148-e3be6c30e623}">
          <xlrd:rvb i="4918"/>
        </ext>
      </extLst>
    </bk>
    <bk>
      <extLst>
        <ext uri="{3e2802c4-a4d2-4d8b-9148-e3be6c30e623}">
          <xlrd:rvb i="4928"/>
        </ext>
      </extLst>
    </bk>
    <bk>
      <extLst>
        <ext uri="{3e2802c4-a4d2-4d8b-9148-e3be6c30e623}">
          <xlrd:rvb i="4938"/>
        </ext>
      </extLst>
    </bk>
    <bk>
      <extLst>
        <ext uri="{3e2802c4-a4d2-4d8b-9148-e3be6c30e623}">
          <xlrd:rvb i="4948"/>
        </ext>
      </extLst>
    </bk>
    <bk>
      <extLst>
        <ext uri="{3e2802c4-a4d2-4d8b-9148-e3be6c30e623}">
          <xlrd:rvb i="4957"/>
        </ext>
      </extLst>
    </bk>
  </futureMetadata>
  <cellMetadata count="1">
    <bk>
      <rc t="1" v="0"/>
    </bk>
  </cellMetadata>
  <valueMetadata count="48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valueMetadata>
</metadata>
</file>

<file path=xl/sharedStrings.xml><?xml version="1.0" encoding="utf-8"?>
<sst xmlns="http://schemas.openxmlformats.org/spreadsheetml/2006/main" count="35642" uniqueCount="8767">
  <si>
    <t>Bezeichnung</t>
  </si>
  <si>
    <t>Parameter</t>
  </si>
  <si>
    <t>Einheit</t>
  </si>
  <si>
    <t>Beschreibung</t>
  </si>
  <si>
    <t xml:space="preserve">Kommentar </t>
  </si>
  <si>
    <t>lambda_ins_thick</t>
  </si>
  <si>
    <t>U_inwall</t>
  </si>
  <si>
    <t>T_air_norm</t>
  </si>
  <si>
    <t>T_air_norm_bath</t>
  </si>
  <si>
    <t>ang_roof_slop</t>
  </si>
  <si>
    <t>ang_roof_steep</t>
  </si>
  <si>
    <t>ang_roof_steepr</t>
  </si>
  <si>
    <t>U_opaque_lim</t>
  </si>
  <si>
    <t>U_win_lim</t>
  </si>
  <si>
    <t>r_worst_lim</t>
  </si>
  <si>
    <t>NO_round_Qdot</t>
  </si>
  <si>
    <t>NO_round_Qdot_spez</t>
  </si>
  <si>
    <t>NO_round_rcover</t>
  </si>
  <si>
    <t>NO_r_nt1</t>
  </si>
  <si>
    <t>NO_r_nt2</t>
  </si>
  <si>
    <t>NO_r_nt3</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</si>
  <si>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</si>
  <si>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</si>
  <si>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</si>
  <si>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</si>
  <si>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</si>
  <si>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</si>
  <si>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</si>
  <si>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</si>
  <si>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</si>
  <si>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</si>
  <si>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</si>
  <si>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</si>
  <si>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</si>
  <si>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</si>
  <si>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</si>
  <si>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</si>
  <si>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Spalte29</t>
  </si>
  <si>
    <t>Spalte30</t>
  </si>
  <si>
    <t>Spalte31</t>
  </si>
  <si>
    <t>Spalte32</t>
  </si>
  <si>
    <t>Spalte33</t>
  </si>
  <si>
    <t>Spalte34</t>
  </si>
  <si>
    <t>Spalte35</t>
  </si>
  <si>
    <t>Spalte36</t>
  </si>
  <si>
    <t>Spalte37</t>
  </si>
  <si>
    <t>Spalte38</t>
  </si>
  <si>
    <t>Spalte39</t>
  </si>
  <si>
    <t>Spalte40</t>
  </si>
  <si>
    <t>Spalte41</t>
  </si>
  <si>
    <t>Spalte42</t>
  </si>
  <si>
    <t>Spalte43</t>
  </si>
  <si>
    <t>Spalte44</t>
  </si>
  <si>
    <t>Spalte45</t>
  </si>
  <si>
    <t>Spalte46</t>
  </si>
  <si>
    <t>Spalte47</t>
  </si>
  <si>
    <t>Spalte48</t>
  </si>
  <si>
    <t>Spalte49</t>
  </si>
  <si>
    <t>Spalte50</t>
  </si>
  <si>
    <t>Spalte51</t>
  </si>
  <si>
    <t>Spalte52</t>
  </si>
  <si>
    <t>Spalte53</t>
  </si>
  <si>
    <t>Spalte54</t>
  </si>
  <si>
    <t>Spalte55</t>
  </si>
  <si>
    <t>Spalte56</t>
  </si>
  <si>
    <t>Spalte57</t>
  </si>
  <si>
    <t>Spalte58</t>
  </si>
  <si>
    <t>Spalte59</t>
  </si>
  <si>
    <t>Spalte60</t>
  </si>
  <si>
    <t>Spalte61</t>
  </si>
  <si>
    <t>Spalte62</t>
  </si>
  <si>
    <t>Spalte63</t>
  </si>
  <si>
    <t>Spalte64</t>
  </si>
  <si>
    <t>Spalte65</t>
  </si>
  <si>
    <t>Spalte66</t>
  </si>
  <si>
    <t>Spalte67</t>
  </si>
  <si>
    <t>Spalte68</t>
  </si>
  <si>
    <t>Spalte69</t>
  </si>
  <si>
    <t>Spalte70</t>
  </si>
  <si>
    <t>Spalte71</t>
  </si>
  <si>
    <t>Spalte72</t>
  </si>
  <si>
    <t>Spalte73</t>
  </si>
  <si>
    <t>Spalte74</t>
  </si>
  <si>
    <t>Spalte75</t>
  </si>
  <si>
    <t>Spalte76</t>
  </si>
  <si>
    <t>Spalte77</t>
  </si>
  <si>
    <t>Spalte78</t>
  </si>
  <si>
    <t>Spalte79</t>
  </si>
  <si>
    <t>Spalte80</t>
  </si>
  <si>
    <t>Spalte81</t>
  </si>
  <si>
    <t>Spalte82</t>
  </si>
  <si>
    <t>Spalte83</t>
  </si>
  <si>
    <t>Spalte84</t>
  </si>
  <si>
    <t>Spalte85</t>
  </si>
  <si>
    <t>Spalte86</t>
  </si>
  <si>
    <t>Spalte87</t>
  </si>
  <si>
    <t>Spalte88</t>
  </si>
  <si>
    <t>Spalte89</t>
  </si>
  <si>
    <t>Spalte90</t>
  </si>
  <si>
    <t>Spalte91</t>
  </si>
  <si>
    <t>Spalte92</t>
  </si>
  <si>
    <t>Spalte93</t>
  </si>
  <si>
    <t>Spalte94</t>
  </si>
  <si>
    <t>Spalte95</t>
  </si>
  <si>
    <t>Spalte96</t>
  </si>
  <si>
    <t>W/(mK)</t>
  </si>
  <si>
    <t xml:space="preserve">Annahme für lambda Wert der nachträglich aufgebrachten Dämmebene </t>
  </si>
  <si>
    <t>°C</t>
  </si>
  <si>
    <t>Norm-Raumtemperatur Standardraum</t>
  </si>
  <si>
    <t>W/(m²K)</t>
  </si>
  <si>
    <t>°</t>
  </si>
  <si>
    <t>%</t>
  </si>
  <si>
    <t>W</t>
  </si>
  <si>
    <r>
      <t>W/m</t>
    </r>
    <r>
      <rPr>
        <b/>
        <sz val="11"/>
        <color theme="1"/>
        <rFont val="Calibri"/>
        <family val="2"/>
      </rPr>
      <t>²</t>
    </r>
  </si>
  <si>
    <t>Norm-Raumtemperatur Badezimmer</t>
  </si>
  <si>
    <r>
      <rPr>
        <b/>
        <sz val="11"/>
        <color theme="1"/>
        <rFont val="Calibri"/>
        <family val="2"/>
      </rPr>
      <t>Syntax Variablen:</t>
    </r>
    <r>
      <rPr>
        <sz val="11"/>
        <color theme="1"/>
        <rFont val="Calibri"/>
        <family val="2"/>
      </rPr>
      <t xml:space="preserve"> Größe</t>
    </r>
    <r>
      <rPr>
        <sz val="11"/>
        <color theme="1"/>
        <rFont val="Calibri"/>
        <family val="2"/>
      </rPr>
      <t xml:space="preserve"> | </t>
    </r>
    <r>
      <rPr>
        <i/>
        <sz val="11"/>
        <color theme="1"/>
        <rFont val="Calibri"/>
        <family val="2"/>
      </rPr>
      <t xml:space="preserve">Medium </t>
    </r>
    <r>
      <rPr>
        <sz val="11"/>
        <color theme="1"/>
        <rFont val="Calibri"/>
        <family val="2"/>
      </rPr>
      <t xml:space="preserve">| System | </t>
    </r>
    <r>
      <rPr>
        <i/>
        <sz val="11"/>
        <color theme="1"/>
        <rFont val="Calibri"/>
        <family val="2"/>
      </rPr>
      <t>Subsystem | Spezifikation | Spezifikation 2</t>
    </r>
  </si>
  <si>
    <t xml:space="preserve">Kursive Kategorien sind optional </t>
  </si>
  <si>
    <t xml:space="preserve">Variable </t>
  </si>
  <si>
    <t xml:space="preserve">Einheit </t>
  </si>
  <si>
    <t xml:space="preserve">(phys.) Größe </t>
  </si>
  <si>
    <t>A</t>
  </si>
  <si>
    <t>Fläche</t>
  </si>
  <si>
    <t>m²</t>
  </si>
  <si>
    <t>B</t>
  </si>
  <si>
    <t xml:space="preserve">Zustandsgröße </t>
  </si>
  <si>
    <t>EXIST</t>
  </si>
  <si>
    <t>Merkmal vorhanden</t>
  </si>
  <si>
    <t>freq</t>
  </si>
  <si>
    <t>Frequenz</t>
  </si>
  <si>
    <t>1/h</t>
  </si>
  <si>
    <t>ID</t>
  </si>
  <si>
    <t>Identifikationsnummer</t>
  </si>
  <si>
    <t>lambda</t>
  </si>
  <si>
    <t>Wärmeleitfähigkeit</t>
  </si>
  <si>
    <t>L</t>
  </si>
  <si>
    <t>Distanz</t>
  </si>
  <si>
    <t>m</t>
  </si>
  <si>
    <t>n</t>
  </si>
  <si>
    <t>Anzahl / Heizkörperexponent</t>
  </si>
  <si>
    <t>NO</t>
  </si>
  <si>
    <t>Nummer</t>
  </si>
  <si>
    <t>Q</t>
  </si>
  <si>
    <t>Wärmemenge</t>
  </si>
  <si>
    <t>Wh</t>
  </si>
  <si>
    <t>q</t>
  </si>
  <si>
    <t>spez. Wärmemenge</t>
  </si>
  <si>
    <t>Qdot</t>
  </si>
  <si>
    <t>Wärmestrom</t>
  </si>
  <si>
    <t>qdot</t>
  </si>
  <si>
    <t>spez. Wärmeleistung</t>
  </si>
  <si>
    <t>R</t>
  </si>
  <si>
    <t>Wärmedurchgangswiderstand</t>
  </si>
  <si>
    <t>m²K/W</t>
  </si>
  <si>
    <t>r</t>
  </si>
  <si>
    <t>Anteil</t>
  </si>
  <si>
    <t>S</t>
  </si>
  <si>
    <t>Status</t>
  </si>
  <si>
    <t>T</t>
  </si>
  <si>
    <t>Temperatur</t>
  </si>
  <si>
    <t>Tdif</t>
  </si>
  <si>
    <t xml:space="preserve">Temperaturdifferenz </t>
  </si>
  <si>
    <t xml:space="preserve">K </t>
  </si>
  <si>
    <t>TXT</t>
  </si>
  <si>
    <t>Text</t>
  </si>
  <si>
    <t>TYP</t>
  </si>
  <si>
    <t>Art</t>
  </si>
  <si>
    <t>STYP</t>
  </si>
  <si>
    <t>Unterart</t>
  </si>
  <si>
    <t>U</t>
  </si>
  <si>
    <t>Wärmedurchgangskoeffizient</t>
  </si>
  <si>
    <t>V</t>
  </si>
  <si>
    <t xml:space="preserve">Volumen </t>
  </si>
  <si>
    <t>m³</t>
  </si>
  <si>
    <t>Vdot</t>
  </si>
  <si>
    <t>Volumenstrom</t>
  </si>
  <si>
    <t>m³/h</t>
  </si>
  <si>
    <t>YEAR</t>
  </si>
  <si>
    <t>Jahr</t>
  </si>
  <si>
    <t>-</t>
  </si>
  <si>
    <t>System/Subsystem</t>
  </si>
  <si>
    <t>build</t>
  </si>
  <si>
    <t>Gebäude</t>
  </si>
  <si>
    <t>room</t>
  </si>
  <si>
    <t xml:space="preserve">Raum </t>
  </si>
  <si>
    <t>wall</t>
  </si>
  <si>
    <t>Außenwand</t>
  </si>
  <si>
    <t>inwall</t>
  </si>
  <si>
    <t>Innenwand</t>
  </si>
  <si>
    <t>rad</t>
  </si>
  <si>
    <t xml:space="preserve">Radiator </t>
  </si>
  <si>
    <t>win</t>
  </si>
  <si>
    <t xml:space="preserve">Fenster </t>
  </si>
  <si>
    <t>roof</t>
  </si>
  <si>
    <t xml:space="preserve">Dach </t>
  </si>
  <si>
    <t>topceil</t>
  </si>
  <si>
    <t xml:space="preserve">Decke </t>
  </si>
  <si>
    <t>botceil</t>
  </si>
  <si>
    <t xml:space="preserve">Boden </t>
  </si>
  <si>
    <t>ins</t>
  </si>
  <si>
    <t xml:space="preserve">Dämmung </t>
  </si>
  <si>
    <t>conn</t>
  </si>
  <si>
    <t>Bauteilanschluss</t>
  </si>
  <si>
    <t>slop</t>
  </si>
  <si>
    <t>Schräge</t>
  </si>
  <si>
    <t>Spezifikation</t>
  </si>
  <si>
    <t>trans</t>
  </si>
  <si>
    <t>Transmission</t>
  </si>
  <si>
    <t>vent</t>
  </si>
  <si>
    <t xml:space="preserve">Ventilation </t>
  </si>
  <si>
    <t>flat</t>
  </si>
  <si>
    <t>Flach</t>
  </si>
  <si>
    <t>col</t>
  </si>
  <si>
    <t>Gliederheizkörper (column radiator)</t>
  </si>
  <si>
    <t>conv</t>
  </si>
  <si>
    <t>Konvektor</t>
  </si>
  <si>
    <t>tube</t>
  </si>
  <si>
    <t xml:space="preserve">Rohrradiator </t>
  </si>
  <si>
    <t>tubular</t>
  </si>
  <si>
    <t>Rohrheizkörper</t>
  </si>
  <si>
    <t>heated</t>
  </si>
  <si>
    <t xml:space="preserve">beheizt </t>
  </si>
  <si>
    <t>unheated</t>
  </si>
  <si>
    <t>unbeheizt/Erdreich</t>
  </si>
  <si>
    <t>amb</t>
  </si>
  <si>
    <t xml:space="preserve">Außenluft/Umgebung </t>
  </si>
  <si>
    <t>VL</t>
  </si>
  <si>
    <t>Vorlauf</t>
  </si>
  <si>
    <t>RL</t>
  </si>
  <si>
    <t>Rücklauf</t>
  </si>
  <si>
    <t>In</t>
  </si>
  <si>
    <t>Eintritt</t>
  </si>
  <si>
    <t>Out</t>
  </si>
  <si>
    <t>Austritt</t>
  </si>
  <si>
    <t>len</t>
  </si>
  <si>
    <t>Länge</t>
  </si>
  <si>
    <t>wid</t>
  </si>
  <si>
    <t>Breite</t>
  </si>
  <si>
    <t>hei</t>
  </si>
  <si>
    <t xml:space="preserve">Höhe </t>
  </si>
  <si>
    <t>thick</t>
  </si>
  <si>
    <t>Dicke</t>
  </si>
  <si>
    <t>set</t>
  </si>
  <si>
    <t>sollwert</t>
  </si>
  <si>
    <t>act</t>
  </si>
  <si>
    <t>Istwert</t>
  </si>
  <si>
    <t>bj</t>
  </si>
  <si>
    <t>Baujahr</t>
  </si>
  <si>
    <t>above</t>
  </si>
  <si>
    <t>oberhalb</t>
  </si>
  <si>
    <t>below</t>
  </si>
  <si>
    <t>unterhalb</t>
  </si>
  <si>
    <t>denkmal</t>
  </si>
  <si>
    <t>denkmalschutz</t>
  </si>
  <si>
    <t>distr</t>
  </si>
  <si>
    <t xml:space="preserve">Verteilung </t>
  </si>
  <si>
    <t>meas</t>
  </si>
  <si>
    <t>gemessen</t>
  </si>
  <si>
    <t>calc</t>
  </si>
  <si>
    <t>berechnet</t>
  </si>
  <si>
    <t>nom</t>
  </si>
  <si>
    <t>nominal / Auslegungspunkt</t>
  </si>
  <si>
    <t>san</t>
  </si>
  <si>
    <t>modernisierung</t>
  </si>
  <si>
    <t>nt</t>
  </si>
  <si>
    <t>Niedertemperatur</t>
  </si>
  <si>
    <t>const</t>
  </si>
  <si>
    <t>Konstante</t>
  </si>
  <si>
    <t>norm</t>
  </si>
  <si>
    <t>normativ</t>
  </si>
  <si>
    <t xml:space="preserve">Bauteil (ifeu intern) </t>
  </si>
  <si>
    <t>Frage (ifeu intern)</t>
  </si>
  <si>
    <t>Zur Person</t>
  </si>
  <si>
    <t>Standort</t>
  </si>
  <si>
    <t>Gebäudetyp</t>
  </si>
  <si>
    <t>Baujahr des Gebäudes</t>
  </si>
  <si>
    <t>Effizienzklasse sofern bekannt</t>
  </si>
  <si>
    <t>Nachträglich gedämmte Bauteile</t>
  </si>
  <si>
    <t>wenn bekannt, in welcher Dicke wurde gedämmt?</t>
  </si>
  <si>
    <t>Denkmalschutz</t>
  </si>
  <si>
    <t>Wärmeübergabe</t>
  </si>
  <si>
    <t xml:space="preserve"> -Lüftung</t>
  </si>
  <si>
    <t>ich weiß, auf welchen Wert die TVL in der Heizungsregelung eingestellt ist</t>
  </si>
  <si>
    <t>ich kann im Heizungsraum die Vorlauftemperatur ablesen und kann die Außentemperatur messen</t>
  </si>
  <si>
    <t>Wärmeverteilung</t>
  </si>
  <si>
    <t>Gibt es in Ihrem Haus / Ihrer Wohnung Räume, die nicht ausreichend warm werden?</t>
  </si>
  <si>
    <t>Gibt es in Ihrem Haus / Ihrer Wohnung Räume mit besonders vielen Außenbauteilen (Außenwände, Dachschräge, Flachdach, Räume mit Erker, oberhalb einer Durchfahrt, unter unbeheiztem Dachboden, über unbeheiztem Keller, viele Fenster)</t>
  </si>
  <si>
    <t xml:space="preserve">Gruppe </t>
  </si>
  <si>
    <t>Subgruppe</t>
  </si>
  <si>
    <t xml:space="preserve">Fragentext </t>
  </si>
  <si>
    <t>Hilfstext</t>
  </si>
  <si>
    <t>Antworttyp</t>
  </si>
  <si>
    <t xml:space="preserve">Filter </t>
  </si>
  <si>
    <t>Datentyp</t>
  </si>
  <si>
    <t xml:space="preserve">Pflichtfeld </t>
  </si>
  <si>
    <t>Nachkommastellen</t>
  </si>
  <si>
    <t>Wertebereich min</t>
  </si>
  <si>
    <t>Wertebereich max</t>
  </si>
  <si>
    <t>Defaultwert</t>
  </si>
  <si>
    <t xml:space="preserve">Variablenname </t>
  </si>
  <si>
    <t>EXIST_build_wall_san</t>
  </si>
  <si>
    <t>YEAR_build_wall_san_intern</t>
  </si>
  <si>
    <t>YEAR_build_wall_san</t>
  </si>
  <si>
    <t>L_build_wall_ins_intern</t>
  </si>
  <si>
    <t>L_build_wall_ins</t>
  </si>
  <si>
    <t>Hauseigentümer*in</t>
  </si>
  <si>
    <t>Ein- oder Zweifamilienhaus</t>
  </si>
  <si>
    <t>1969 - 1978</t>
  </si>
  <si>
    <t>Nicht bekannt</t>
  </si>
  <si>
    <t>Ja</t>
  </si>
  <si>
    <t>Dämmung der obersten Geschossdecke</t>
  </si>
  <si>
    <t>das Gebäude steht nicht unter Denkmalschutz</t>
  </si>
  <si>
    <t>Heizkörper</t>
  </si>
  <si>
    <t>Freie Lüftung</t>
  </si>
  <si>
    <t>Zweirohrheizung</t>
  </si>
  <si>
    <t>Sonstige</t>
  </si>
  <si>
    <t>Schlafzimmer</t>
  </si>
  <si>
    <t>Art der Ansprache ggf. anpassen</t>
  </si>
  <si>
    <t>Bitte Plz eingeben</t>
  </si>
  <si>
    <t>ggf. bei Plausibilisierung mit Empirie berücksichtigen (W/m²)</t>
  </si>
  <si>
    <t>U-Werte nach IWU</t>
  </si>
  <si>
    <t xml:space="preserve">Wir müssen dieses Multiple Choice Feld in alle Einzelfälle abdecken, um die Daten verarbeiten zu können, oder? </t>
  </si>
  <si>
    <t>für Berechnung der U-Werte</t>
  </si>
  <si>
    <t>TVL in °C</t>
  </si>
  <si>
    <t>AT in °C</t>
  </si>
  <si>
    <t>Wenn ja, dann Eingabe der Vorlauftemperatur</t>
  </si>
  <si>
    <t>Wenn ja, dann Eingabe der Vorlauftemperatur und Außentemperatur</t>
  </si>
  <si>
    <t>max. TVL(AT)</t>
  </si>
  <si>
    <t>Wenn beide nein, dann TVL pauschal 70°C</t>
  </si>
  <si>
    <t>TVL&lt;AT*(-1,8257)+43,457+AT</t>
  </si>
  <si>
    <t>Löschen?</t>
  </si>
  <si>
    <t xml:space="preserve">löschen, da Abfrageart überarbeitet. Bisher gibt es hier keine Spur zum Nachfolger </t>
  </si>
  <si>
    <t>Todo</t>
  </si>
  <si>
    <t>ggf. nach unten schieben</t>
  </si>
  <si>
    <t>Decke</t>
  </si>
  <si>
    <t>Fußboden</t>
  </si>
  <si>
    <t>Außenwand 1</t>
  </si>
  <si>
    <t>Außenwand Art</t>
  </si>
  <si>
    <t>Außenwand 2</t>
  </si>
  <si>
    <t>Außenwand 3</t>
  </si>
  <si>
    <t>Außenwand 4</t>
  </si>
  <si>
    <t>Dachfläche</t>
  </si>
  <si>
    <t>Dachfläche 2</t>
  </si>
  <si>
    <t>Dachfläche 3</t>
  </si>
  <si>
    <t>Fenster 1 in Außenwand</t>
  </si>
  <si>
    <t>Fenster 2 in Außenwand</t>
  </si>
  <si>
    <t>Fenster 3 in Außenwand 1</t>
  </si>
  <si>
    <t>Fenster 3 in Außenwand</t>
  </si>
  <si>
    <t>Fenster 4 in Außenwand 1</t>
  </si>
  <si>
    <t>Fenster 1 in Außenwand 2</t>
  </si>
  <si>
    <t>Fenster 2 in Außenwand 2</t>
  </si>
  <si>
    <t>Fenster 3 in Außenwand 2</t>
  </si>
  <si>
    <t>Fenster 4 in Außenwand 2</t>
  </si>
  <si>
    <t>Fenster 1 in Außenwand 3</t>
  </si>
  <si>
    <t>Fenster 2 in Außenwand 3</t>
  </si>
  <si>
    <t>Fenster 3 in Außenwand 3</t>
  </si>
  <si>
    <t>Fenster 4 in Außenwand 3</t>
  </si>
  <si>
    <t>Fenster 1 in Außenwand 4</t>
  </si>
  <si>
    <t>Fenster 2 in Außenwand 4</t>
  </si>
  <si>
    <t>Fenster 3 in Außenwand 4</t>
  </si>
  <si>
    <t>Fenster 4 in Außenwand 4</t>
  </si>
  <si>
    <t>Fenster 1 in Dachfläche 1</t>
  </si>
  <si>
    <t>Fenster 2 in Dachfläche 1</t>
  </si>
  <si>
    <t>Fenster 3 in Dachfläche 1</t>
  </si>
  <si>
    <t>Fenster 1 in Dachfläche 2</t>
  </si>
  <si>
    <t>Fenster 2 in Dachfläche 2</t>
  </si>
  <si>
    <t>Fenster 3 in Dachfläche 2</t>
  </si>
  <si>
    <t>Fenster 1 in Dachfläche 3</t>
  </si>
  <si>
    <t>Fenster 2 in Dachfläche 3</t>
  </si>
  <si>
    <t>Fenster 3 in Dachfläche 3</t>
  </si>
  <si>
    <t>Heizkörper 1 im Raum 1</t>
  </si>
  <si>
    <t>Heizkörper 2 im Raum 1</t>
  </si>
  <si>
    <t>Heizkörper 3 im Raum 1</t>
  </si>
  <si>
    <t>Heizkörper 4 im Raum 1</t>
  </si>
  <si>
    <t>Heizkörper 5 im Raum 1</t>
  </si>
  <si>
    <t>Raumindex</t>
  </si>
  <si>
    <t>Raumbezeichnung</t>
  </si>
  <si>
    <t>Hat der Raum eine rechteckige Grundfläche?</t>
  </si>
  <si>
    <t>Wohnfläche</t>
  </si>
  <si>
    <t>Raumhöhe</t>
  </si>
  <si>
    <t>Gewünschte Raumtemperatur</t>
  </si>
  <si>
    <t>Norm-Innentemperatur</t>
  </si>
  <si>
    <t>Grenzt an</t>
  </si>
  <si>
    <t>Höhe</t>
  </si>
  <si>
    <t xml:space="preserve">Von Gebäude abweichende Dämmschicht? </t>
  </si>
  <si>
    <t xml:space="preserve">Breite </t>
  </si>
  <si>
    <t>Jahr, in dem die Fenster zuletzt ausgetauscht wurden</t>
  </si>
  <si>
    <t>Anzahl</t>
  </si>
  <si>
    <t>Typ</t>
  </si>
  <si>
    <t>Subtyp</t>
  </si>
  <si>
    <t>Subtyp 2</t>
  </si>
  <si>
    <t>Tiefe</t>
  </si>
  <si>
    <t>Anzahl Glieder</t>
  </si>
  <si>
    <t>ceiling1</t>
  </si>
  <si>
    <t>floor</t>
  </si>
  <si>
    <t>wall2</t>
  </si>
  <si>
    <t>wall3</t>
  </si>
  <si>
    <t>wall4</t>
  </si>
  <si>
    <t>roof1</t>
  </si>
  <si>
    <t>wall1</t>
  </si>
  <si>
    <t>win1</t>
  </si>
  <si>
    <t>win2</t>
  </si>
  <si>
    <t>win3</t>
  </si>
  <si>
    <t>win4</t>
  </si>
  <si>
    <t>Geben Sie den Raum einen Namen</t>
  </si>
  <si>
    <t>Raumfläche</t>
  </si>
  <si>
    <t>gewünsche Raumtemperatur</t>
  </si>
  <si>
    <t>Decke grenzt an</t>
  </si>
  <si>
    <t>Fußboden grenzt an</t>
  </si>
  <si>
    <t>Gesamtlänge der Außenwände</t>
  </si>
  <si>
    <t>Modernisierungsjahr</t>
  </si>
  <si>
    <t xml:space="preserve">Dachfläche vorhanden? </t>
  </si>
  <si>
    <t>Falls ein Kniestock vorhanden ist, geben Sie dessen Höhe an</t>
  </si>
  <si>
    <t>Falls eine Dachgaube vorhanden ist, geben Sie die Länge an</t>
  </si>
  <si>
    <t>Geben Sie die Abmaße des ersten Fenstertyps an, Breite</t>
  </si>
  <si>
    <t xml:space="preserve">Abweichendes Einbaujahr </t>
  </si>
  <si>
    <t xml:space="preserve">Anzahl identischer Fenster im Raum </t>
  </si>
  <si>
    <t>Bei mehreren Dachflächen bitte summieren</t>
  </si>
  <si>
    <t>Bei mehreren Dachflächen bitte nicht summieren</t>
  </si>
  <si>
    <t xml:space="preserve">Der Kniestock oder Drempel beschreibt im Dachbereich die Höhe der Wand zwischen Fußboden und Beginn des Dachs. </t>
  </si>
  <si>
    <t>Intern</t>
  </si>
  <si>
    <t>Freitext</t>
  </si>
  <si>
    <t xml:space="preserve">Radio Button </t>
  </si>
  <si>
    <t>Freitext Real</t>
  </si>
  <si>
    <t xml:space="preserve">Freitext </t>
  </si>
  <si>
    <t>Dropdown</t>
  </si>
  <si>
    <t xml:space="preserve">toggle switch </t>
  </si>
  <si>
    <t>B_R#_floor_rect=True</t>
  </si>
  <si>
    <t>B_roof_exist</t>
  </si>
  <si>
    <t>wenn TYP_R#_floor=unbeheizt/Erdreich oder TYP_R#_floor=teils-teils</t>
  </si>
  <si>
    <t>wenn TYP_R#_floor=Außenluft oder TYP_R#_floor=teils-teils</t>
  </si>
  <si>
    <t>cm</t>
  </si>
  <si>
    <t>mm</t>
  </si>
  <si>
    <t>String</t>
  </si>
  <si>
    <t>Boolean</t>
  </si>
  <si>
    <t>Real</t>
  </si>
  <si>
    <t>Integer</t>
  </si>
  <si>
    <t xml:space="preserve">Integer </t>
  </si>
  <si>
    <t>unbeheizt</t>
  </si>
  <si>
    <t>ID_R#</t>
  </si>
  <si>
    <t>TXT_R#_name</t>
  </si>
  <si>
    <t>B_R#_floor_rect</t>
  </si>
  <si>
    <t>L_R#_len</t>
  </si>
  <si>
    <t>L_R#_wid</t>
  </si>
  <si>
    <t>A_floor</t>
  </si>
  <si>
    <t>L_hei</t>
  </si>
  <si>
    <t>T_air_set</t>
  </si>
  <si>
    <t>TYP_V_above</t>
  </si>
  <si>
    <t>TYP_V_below</t>
  </si>
  <si>
    <t>L_wall_tot</t>
  </si>
  <si>
    <t>L_R#_wall1_hei</t>
  </si>
  <si>
    <t>YEAR_wall_ins</t>
  </si>
  <si>
    <t>L_R#_wall2_len</t>
  </si>
  <si>
    <t>L_R#_wall2_hei</t>
  </si>
  <si>
    <t>L_R#_wall2_ins_thick</t>
  </si>
  <si>
    <t>L_R#_wall3_len</t>
  </si>
  <si>
    <t>L_R#_wall3_hei</t>
  </si>
  <si>
    <t>L_R#_wall3_ins_thick</t>
  </si>
  <si>
    <t>L_R#_wall4_len</t>
  </si>
  <si>
    <t>L_R#_wall4_hei</t>
  </si>
  <si>
    <t>L_R#_wall4_ins_thick</t>
  </si>
  <si>
    <t>L_roof_wid</t>
  </si>
  <si>
    <t>L_roof_hei</t>
  </si>
  <si>
    <t>YEAR_roof_modern</t>
  </si>
  <si>
    <t>L_roof_knee_hei</t>
  </si>
  <si>
    <t>L_roof_dormer_wid</t>
  </si>
  <si>
    <t>L_R#_roof2_len</t>
  </si>
  <si>
    <t>L_R#_roof2_hei</t>
  </si>
  <si>
    <t>L_R#_roof2_ins_thick</t>
  </si>
  <si>
    <t>L_R#_roof3_len</t>
  </si>
  <si>
    <t>L_R#_roof3_hei</t>
  </si>
  <si>
    <t>L_R#_roof3_ins_thick</t>
  </si>
  <si>
    <t>L_R#_floor_length_unheated</t>
  </si>
  <si>
    <t>L_R#_floor_width_unheated</t>
  </si>
  <si>
    <t>L_R#_floor_ins_thick_amb</t>
  </si>
  <si>
    <t>ID_R1</t>
  </si>
  <si>
    <t>Außenluft</t>
  </si>
  <si>
    <t>Nein</t>
  </si>
  <si>
    <t>2003 - 2008</t>
  </si>
  <si>
    <t>Flachheizkörper</t>
  </si>
  <si>
    <t>Senkrecht_profiliert</t>
  </si>
  <si>
    <t>ID_R2</t>
  </si>
  <si>
    <t>ID_R3</t>
  </si>
  <si>
    <t>aus Frontend_allg Raumbezeichnung übernehmen</t>
  </si>
  <si>
    <t>E3 sperren, wenn D3="Nein"</t>
  </si>
  <si>
    <t>F3 sperren, wenn D3="Nein"</t>
  </si>
  <si>
    <t>&gt;&gt; Name kommt aus list_rooms, aber als Ausgabegröße relevant</t>
  </si>
  <si>
    <t>&gt;&gt; immer über Grundfläche gehen</t>
  </si>
  <si>
    <t>&gt;&gt; immer Fläche</t>
  </si>
  <si>
    <t>&gt;&gt; Vorschlag analog heizreport: nur Solltemperatur abfragen und Info zu Temperatur Wohnräume vs. Badezimmer in Hilfstext</t>
  </si>
  <si>
    <t>&gt;&gt; Tendenz rauslassen: Zu klären, wie es sich bspw. auf Giebelwände auswirkt, mittelt sich das raus? Wie würden wir sie sonst erfassen? (bei heizreport auch nicht differenziert). Kniestöcke fragen wir separat ab.</t>
  </si>
  <si>
    <t xml:space="preserve">Vorschlag: bei Außenwand immer Außenluft ansetzen? Kellerraum =! Schlechtpunkt, aber ggf. AW gegen unbeheizt? </t>
  </si>
  <si>
    <t xml:space="preserve">Löschen, da alle Wände zusammengefasst </t>
  </si>
  <si>
    <t xml:space="preserve">Löschen, da alle Dächer zusammengefasst </t>
  </si>
  <si>
    <t>Löschen, da nur eine Decke</t>
  </si>
  <si>
    <t xml:space="preserve">Angabe Dämmung fehlt uns dann. Ich würde über IWU Tabula bzw. Angabe auf Gebäudeebene gehen (weicht in diesem Fall mit 12 cm von der Raumangabe ab). </t>
  </si>
  <si>
    <t xml:space="preserve">Löschen, da alle Außenwände zusammengefasst </t>
  </si>
  <si>
    <t xml:space="preserve">Löschen, da alle Dachflächen zusammengefasst </t>
  </si>
  <si>
    <t>Anpassen Verweis</t>
  </si>
  <si>
    <t xml:space="preserve">Anpassung Berechnung U-Wert: über IWU Tablua anstatt Dämmschichtdicke? Oder Dämmschichtdicke anhand Jahr Modernisierung (Tabelle unten)? Oder EnEV/GEG Vorgaben und anhand Novellen? &gt;&gt; Peter: es gibt Input GEMOD </t>
  </si>
  <si>
    <t xml:space="preserve">siehe YEAR_wall_modern sowie bzgl. defaultwert: Überarbeiten Verweis auf Wert Gebäude, wenn Modernisierungsjahr für alle Bauteile getrennt abgefragt wird. </t>
  </si>
  <si>
    <t>Einbezug Berechnung in DIN12831 klären</t>
  </si>
  <si>
    <t>siehe YEAR_wall_ins</t>
  </si>
  <si>
    <t>Multiplikator aufnehmen</t>
  </si>
  <si>
    <t xml:space="preserve">ggf. 4. Fenstertyp ergänzen? </t>
  </si>
  <si>
    <t>Variable</t>
  </si>
  <si>
    <t>min Wert</t>
  </si>
  <si>
    <t>max Wert</t>
  </si>
  <si>
    <t>Wert intern</t>
  </si>
  <si>
    <t>Wert</t>
  </si>
  <si>
    <t>YEAR_intern</t>
  </si>
  <si>
    <t>NO_build_plz</t>
  </si>
  <si>
    <t>Standort des Gebäudes (PLZ)</t>
  </si>
  <si>
    <t>Freifeld</t>
  </si>
  <si>
    <t>TYP_build</t>
  </si>
  <si>
    <t>Das Gebäude ist ein…</t>
  </si>
  <si>
    <t>Radio Button + Grafik</t>
  </si>
  <si>
    <t>TYP_roof</t>
  </si>
  <si>
    <t xml:space="preserve">Dachform </t>
  </si>
  <si>
    <t>steil</t>
  </si>
  <si>
    <t>geneigt: 25°, steil: 40°, sehr steil: 55°</t>
  </si>
  <si>
    <t>YEAR_build_bj</t>
  </si>
  <si>
    <t>1979 - 1983</t>
  </si>
  <si>
    <t>Wurde eines der folgenden Bauteile nachträglich gedämmt / ausgetauscht? ... und ist das Modernisierungsjahr ... Dämmstärke (Freifeld Integer, cm)</t>
  </si>
  <si>
    <t>_build_wall_san</t>
  </si>
  <si>
    <t>siehe Mockups</t>
  </si>
  <si>
    <t>_build_win_san</t>
  </si>
  <si>
    <t>Fenster</t>
  </si>
  <si>
    <t>_build_roof_san</t>
  </si>
  <si>
    <t>Dach</t>
  </si>
  <si>
    <t>_build_botceil_san</t>
  </si>
  <si>
    <t>_build_topceil_san</t>
  </si>
  <si>
    <t>EXIST_build_eff</t>
  </si>
  <si>
    <t xml:space="preserve">Ist Ihnen die Effizienzklasse bekannt? </t>
  </si>
  <si>
    <t>EXIST_build_denkmal</t>
  </si>
  <si>
    <t>Das Gebäude steht unter Denkmalschutz</t>
  </si>
  <si>
    <t>toggle switch</t>
  </si>
  <si>
    <t>TYP_build_rad</t>
  </si>
  <si>
    <t>Wie werden die Räume erwärmt?</t>
  </si>
  <si>
    <t>TYP_distr</t>
  </si>
  <si>
    <t>Wie wird die Wärme verteilt?</t>
  </si>
  <si>
    <t>Radio Button</t>
  </si>
  <si>
    <t>EXIST_T_VL_set</t>
  </si>
  <si>
    <t>Ich weiß auf welche Vorlauftemperatur am Auslegungspunkt die Heizung eingestellt ist</t>
  </si>
  <si>
    <t xml:space="preserve">T_VL_nom_set </t>
  </si>
  <si>
    <t>Vorlauftemperatur am Auslegungspunkt</t>
  </si>
  <si>
    <t>EXIST_T_VL_meas</t>
  </si>
  <si>
    <t>Ich kann im Heizungsraum die Vorlauftemperatur ablesen und die Außentemperatur messen</t>
  </si>
  <si>
    <t xml:space="preserve">T_VL_meas </t>
  </si>
  <si>
    <t>Bitte tragen Sie die Vorlauftemperatur ein</t>
  </si>
  <si>
    <t xml:space="preserve">T_amb_meas </t>
  </si>
  <si>
    <t>Bitte tragen Sie die Außentemperatur ein</t>
  </si>
  <si>
    <t xml:space="preserve">&gt;&gt;&gt; Filterung EXIST_T_VL_set und EXIST_T_VL_meas in Frontend umsetzen &gt;&gt;&gt; </t>
  </si>
  <si>
    <t>&gt;&gt;&gt; Filterung Räume / list_rooms in Frontend umsetzen  &gt;&gt;&gt;</t>
  </si>
  <si>
    <t>delete</t>
  </si>
  <si>
    <t>Wert Räume --&gt;</t>
  </si>
  <si>
    <t>TXT_room_name</t>
  </si>
  <si>
    <t>Name des Raums</t>
  </si>
  <si>
    <t>Ausgabe</t>
  </si>
  <si>
    <t>x</t>
  </si>
  <si>
    <t xml:space="preserve">Es werden typischerweise 20°C in Wohnräumen und 24°C in Bädern angesetzt. Ihre Eigenen Komforttemperaturen können davon abweichen. </t>
  </si>
  <si>
    <t>TYP_roof =! "Flach bzw. Flachdach"</t>
  </si>
  <si>
    <t>TYP_roof =/ "Flach bzw. Flachdach"</t>
  </si>
  <si>
    <t>L_wall_ins</t>
  </si>
  <si>
    <t xml:space="preserve">Abweichende Dämmstärke? </t>
  </si>
  <si>
    <t>intern</t>
  </si>
  <si>
    <t>Fenstertyp 1</t>
  </si>
  <si>
    <t>Geben Sie die Abmaße des Fenstertyps an, Breite</t>
  </si>
  <si>
    <t>2009 - 2022</t>
  </si>
  <si>
    <t>Fenstertyp 2</t>
  </si>
  <si>
    <t>Fenstertyp 3</t>
  </si>
  <si>
    <t>Geben Sie die Abmaße des dritten Fenstertyps an, Breite</t>
  </si>
  <si>
    <t>innerwall</t>
  </si>
  <si>
    <t>EXIST_innerwall</t>
  </si>
  <si>
    <t>Innenwände gegen unbeheizt vorhanden?</t>
  </si>
  <si>
    <t>L_innerwall_tot</t>
  </si>
  <si>
    <t>Gesamtlänge der Innenwände gegen unbeheizte Räume</t>
  </si>
  <si>
    <t>L_innerwall_ins</t>
  </si>
  <si>
    <t>Dämmung vorhanden?</t>
  </si>
  <si>
    <t>EXIST_roof</t>
  </si>
  <si>
    <t xml:space="preserve">Dachschräge vorhanden? </t>
  </si>
  <si>
    <t>NO_roof_slop</t>
  </si>
  <si>
    <t>Hat der Raum mehr als 1 Dachschräge?</t>
  </si>
  <si>
    <t xml:space="preserve"> </t>
  </si>
  <si>
    <t>L_roof_jamb_hei</t>
  </si>
  <si>
    <t>Falls eine Drempelwand bzw. Kniestock vorhanden ist, geben Sie die Höhe an</t>
  </si>
  <si>
    <t>TYP_jamb_hei</t>
  </si>
  <si>
    <t>Klopfen Sie gegen die senkrechte Wand unter der Dachschräge. Klingt es hohl?</t>
  </si>
  <si>
    <t>EXIST_roof_knee_intern</t>
  </si>
  <si>
    <t>INTERN - Haben sie einen Kniestock unter der Dachschräge?</t>
  </si>
  <si>
    <t>L_roof_knee_hei_intern</t>
  </si>
  <si>
    <t>INTERN - Falls ein Kniestock vorhanden ist, geben Sie dessen Höhe an</t>
  </si>
  <si>
    <t>EXIST_roof_knee</t>
  </si>
  <si>
    <t>EXIST_roof_jamb_intern</t>
  </si>
  <si>
    <t>INTERN - Haben sie einen Drempel unter der Dachschräge?</t>
  </si>
  <si>
    <t>Klopfen sie gegen die senkrechte Wand unter der Dachscrhräge. Klingt es hohl, haben sie einen Drempel.</t>
  </si>
  <si>
    <t>L_roof_jamb_hei_intern</t>
  </si>
  <si>
    <t>INTERN - Falls ein Drempel vorhanden ist, geben Sie dessen Höhe an</t>
  </si>
  <si>
    <t xml:space="preserve">Der Drempel beschreibt im Dachbereich die Höhe der leichten Trennwand zwischen Fußboden und Beginn des Dachs. </t>
  </si>
  <si>
    <t>EXIST_roof_jamb</t>
  </si>
  <si>
    <t>Gaube</t>
  </si>
  <si>
    <t>dormer</t>
  </si>
  <si>
    <t>EXIST_dormer</t>
  </si>
  <si>
    <t>Ist eine Gaube in der Dachschräge vorhanden?</t>
  </si>
  <si>
    <t>L_roof_win1_wid</t>
  </si>
  <si>
    <t>Geben Sie die Abmaße des Dachfenstertyps an, Breite</t>
  </si>
  <si>
    <t>L_roof_win1_hei</t>
  </si>
  <si>
    <t>YEAR_roof_win1</t>
  </si>
  <si>
    <t>NO_roof_win1</t>
  </si>
  <si>
    <t>L_roof_win2_wid</t>
  </si>
  <si>
    <t>L_roof_win2_hei</t>
  </si>
  <si>
    <t>YEAR_roof_win2</t>
  </si>
  <si>
    <t>NO_roof_win2</t>
  </si>
  <si>
    <t>rad1</t>
  </si>
  <si>
    <t>TYP_1_rad1</t>
  </si>
  <si>
    <t>Geben Sie den Typ des Heizkörpers an</t>
  </si>
  <si>
    <t>TYP_2_rad1</t>
  </si>
  <si>
    <t>Geben Sie den Subtyp des Heizkörpers an</t>
  </si>
  <si>
    <t>L_rad1_hei</t>
  </si>
  <si>
    <t>Geben Sie die Abmaße des Heizkörpers an, Höhe</t>
  </si>
  <si>
    <t>L_rad1_wid</t>
  </si>
  <si>
    <t>Geben Sie die Abmaße des Heizkörpers an, Breite</t>
  </si>
  <si>
    <t>L_rad1_thick</t>
  </si>
  <si>
    <t>Geben Sie die Abmaße des Heizkörpers an, Tiefe</t>
  </si>
  <si>
    <t>Rippenhöhe</t>
  </si>
  <si>
    <t>Rippenabstand</t>
  </si>
  <si>
    <t>n_rad1_col</t>
  </si>
  <si>
    <t>Geben Sie die Anzahl der Glieder des Heizkörpers an</t>
  </si>
  <si>
    <t>TYP_1_rad1="Gliederheizkörper"</t>
  </si>
  <si>
    <t>Anzahl identischer HK</t>
  </si>
  <si>
    <t>n_rad1</t>
  </si>
  <si>
    <t>Geben Sie die Anzahl der zu diesem Heizkörper identischen Heizkörper im Raum an</t>
  </si>
  <si>
    <t>rad2</t>
  </si>
  <si>
    <t>TYP_1_rad2</t>
  </si>
  <si>
    <t>n_rad1=0</t>
  </si>
  <si>
    <t>TYP_2_rad2</t>
  </si>
  <si>
    <t>L_rad2_hei</t>
  </si>
  <si>
    <t>L_rad2_wid</t>
  </si>
  <si>
    <t>L_rad2_thick</t>
  </si>
  <si>
    <t>n_rad2_col</t>
  </si>
  <si>
    <t>TYP_1_rad2="Gliederheizkörper"</t>
  </si>
  <si>
    <t>n_rad2</t>
  </si>
  <si>
    <t>rad3</t>
  </si>
  <si>
    <t>TYP_1_rad3</t>
  </si>
  <si>
    <t>n_rad2=0</t>
  </si>
  <si>
    <t>TYP_2_rad3</t>
  </si>
  <si>
    <t>L_rad3_hei</t>
  </si>
  <si>
    <t>L_rad3_wid</t>
  </si>
  <si>
    <t>L_rad3_thick</t>
  </si>
  <si>
    <t>n_rad3_col</t>
  </si>
  <si>
    <t>TYP_1_rad3="Gliederheizkörper"</t>
  </si>
  <si>
    <t>n_rad3</t>
  </si>
  <si>
    <t>Bauteil IWU</t>
  </si>
  <si>
    <t>Erläuterung</t>
  </si>
  <si>
    <t>Kommentar</t>
  </si>
  <si>
    <t xml:space="preserve">Intern </t>
  </si>
  <si>
    <t>Output</t>
  </si>
  <si>
    <t>Luftwechsel</t>
  </si>
  <si>
    <t>Volumen</t>
  </si>
  <si>
    <t>V_room</t>
  </si>
  <si>
    <t>Luftwechselrate ni</t>
  </si>
  <si>
    <t>freq_room_vent</t>
  </si>
  <si>
    <t>JM270425: gibt es hier keine Abhängigkeit?</t>
  </si>
  <si>
    <t>Wärmebrückenkoeffizient ∆U,TB</t>
  </si>
  <si>
    <t>qdot_build_conn_trans</t>
  </si>
  <si>
    <t>ρ*cp pauschal nach 12831</t>
  </si>
  <si>
    <t>Q_build_vent_const</t>
  </si>
  <si>
    <t>Wh/(m³K)</t>
  </si>
  <si>
    <t>Berechnungs-Raumtemperatur</t>
  </si>
  <si>
    <t>T_room_heated</t>
  </si>
  <si>
    <t>Mindes-Luftvolumenstrom qv,min</t>
  </si>
  <si>
    <t>Vdot_room</t>
  </si>
  <si>
    <t>Heizlast Ventilation [W]</t>
  </si>
  <si>
    <t>Qdot_room_vent</t>
  </si>
  <si>
    <t>Anteil an Raumheizlast</t>
  </si>
  <si>
    <t>r_Qdot_room_vent</t>
  </si>
  <si>
    <t>Fläche [m²]</t>
  </si>
  <si>
    <t>A_wall</t>
  </si>
  <si>
    <t>Korrektur Fläche bei Giebelwand erforderlich</t>
  </si>
  <si>
    <t xml:space="preserve">U-Wert_IWU </t>
  </si>
  <si>
    <t>U_wall_bj</t>
  </si>
  <si>
    <t>W/m²K</t>
  </si>
  <si>
    <t xml:space="preserve">U-Wert_Berechnung </t>
  </si>
  <si>
    <t>U_wall_calc</t>
  </si>
  <si>
    <t xml:space="preserve">Heizlast Transmission </t>
  </si>
  <si>
    <t>Qdot_wall_trans</t>
  </si>
  <si>
    <t>r_Qdot_wall_trans</t>
  </si>
  <si>
    <t>A_inwall</t>
  </si>
  <si>
    <t>U_inwall_bj</t>
  </si>
  <si>
    <r>
      <t xml:space="preserve">Abschätzung U-Wert Innenwand ohne Dämmung (18 cm Mauerwerk) ergänzen 
Annahme gem. Regeln zur Datenaufnahme Massivwand BJ 1975
</t>
    </r>
    <r>
      <rPr>
        <b/>
        <sz val="11"/>
        <color theme="1"/>
        <rFont val="Calibri"/>
        <family val="2"/>
      </rPr>
      <t>FM 25422: RZD zeigen, dass mit Annahme U=1,0 der Fehler gering sein wird (Dach 0,8/1,3; Regelgeschosse 1,0)</t>
    </r>
  </si>
  <si>
    <t>U_inwall_calc</t>
  </si>
  <si>
    <t>Qdot_inwall_trans</t>
  </si>
  <si>
    <t>Annahme Temperatur unbeheizt DG=5°, zu Fluren (EG/OG)=15°
12831 nimmt 5° für DG und 15° für IW gg. Unbeheize Räume an s. Tabelle D.2 12831-1</t>
  </si>
  <si>
    <t>r_Qdot_inwall_trans</t>
  </si>
  <si>
    <t>Gaube (Seitenwände pauschal)</t>
  </si>
  <si>
    <t>Heizlast Transmission</t>
  </si>
  <si>
    <t>Kurvenfit in 20250402_Gaubenmaße.xlsx zeigt Verhältnis von Verlusten Dachfläche mit Gaube zu Verlusten Dachfläche ohne Gaube</t>
  </si>
  <si>
    <t xml:space="preserve">Gaube (Vergrößerung Volumen) </t>
  </si>
  <si>
    <t>Volumen Gaube</t>
  </si>
  <si>
    <t>Kurvenfit in 20250402_Gaubenmaße.xlsx zeigt Verhältnis von Dachfläche zu Volumen der Gaube
in Volumen berücksichtigen</t>
  </si>
  <si>
    <t>A_roof</t>
  </si>
  <si>
    <t>U_roof_bj</t>
  </si>
  <si>
    <t>U_roof_calc</t>
  </si>
  <si>
    <t>Qdot_roof_trans</t>
  </si>
  <si>
    <t>r_Qdot_roof_trans</t>
  </si>
  <si>
    <t>Abzgl. Dachschräge vorhandene Deckenfläche</t>
  </si>
  <si>
    <t>A_roof_topceil</t>
  </si>
  <si>
    <t>A_topceil</t>
  </si>
  <si>
    <t>U_topceil_bj</t>
  </si>
  <si>
    <t>U_topceil_calc</t>
  </si>
  <si>
    <t>Qdot_topceil_trans</t>
  </si>
  <si>
    <t>r_Qdot_topceil_trans</t>
  </si>
  <si>
    <t>A_botceil</t>
  </si>
  <si>
    <t>Immer über Grundfläche. Aber wenn Drempel, dann Fläche entsprechend Nebenrechnung vergrößern</t>
  </si>
  <si>
    <t>U_botceil_bj</t>
  </si>
  <si>
    <t>U-Wert Berechnung</t>
  </si>
  <si>
    <t>U_botceil_calc</t>
  </si>
  <si>
    <t>Qdot_botceil_trans</t>
  </si>
  <si>
    <t>r_Qdot_botceil_trans</t>
  </si>
  <si>
    <t xml:space="preserve">Fläche </t>
  </si>
  <si>
    <t>A_wall_win1</t>
  </si>
  <si>
    <t>cm²</t>
  </si>
  <si>
    <t>Wichtig: Anzahl reinmultiplizieren</t>
  </si>
  <si>
    <t>U_wall_win1_bj</t>
  </si>
  <si>
    <t>U-Wert ausgetauschte Fenster</t>
  </si>
  <si>
    <t>R_wall_win1_calc</t>
  </si>
  <si>
    <t>U_wall_win1_calc</t>
  </si>
  <si>
    <t>Qdot_wall_win1_trans</t>
  </si>
  <si>
    <t>r_Qdot_wall_win1_trans</t>
  </si>
  <si>
    <t>A_wall_win2</t>
  </si>
  <si>
    <t>U_wall_win2_bj</t>
  </si>
  <si>
    <t>R_wall_win2_calc</t>
  </si>
  <si>
    <t>U_wall_win2_calc</t>
  </si>
  <si>
    <t>Qdot_wall_win2_trans</t>
  </si>
  <si>
    <t>r_Qdot_wall_win2_trans</t>
  </si>
  <si>
    <t>A_wall_win3</t>
  </si>
  <si>
    <t>U_wall_win3_bj</t>
  </si>
  <si>
    <t>R_wall_win3_calc</t>
  </si>
  <si>
    <t>U_wall_win3_calc</t>
  </si>
  <si>
    <t>Qdot_wall_win3_trans</t>
  </si>
  <si>
    <t>r_Qdot_wall_win3_trans</t>
  </si>
  <si>
    <t>A_roof_win1</t>
  </si>
  <si>
    <t>Abschlag U-Werte bei Flachdach berücksichtigen + wenn-dann verknüpfung
FM 250422: Abschlag was ist gemeint?
FM 250423: U Lichtkuppeln</t>
  </si>
  <si>
    <t>U_roof_win1_bj</t>
  </si>
  <si>
    <t>R_roof_win1_calc</t>
  </si>
  <si>
    <t>U_roof_win1_calc</t>
  </si>
  <si>
    <t>Qdot_roof_win1_trans</t>
  </si>
  <si>
    <t>r_Qdot_roof_win1_trans</t>
  </si>
  <si>
    <t>A_roof_win2</t>
  </si>
  <si>
    <t>U_roof_win2_bj</t>
  </si>
  <si>
    <t>R_roof_win2_calc</t>
  </si>
  <si>
    <t>U_roof_win2_calc</t>
  </si>
  <si>
    <t>Qdot_roof_win2_trans</t>
  </si>
  <si>
    <t>r_Qdot_roof_win2_trans</t>
  </si>
  <si>
    <t>Heizlast_total</t>
  </si>
  <si>
    <t>Qdot_room</t>
  </si>
  <si>
    <t xml:space="preserve">Heizlast_spezifisch </t>
  </si>
  <si>
    <t>qdot_room</t>
  </si>
  <si>
    <t>Heizlast mit Abschlag</t>
  </si>
  <si>
    <t>Qdot_room_calc</t>
  </si>
  <si>
    <t>Heizlast_spez mit Abschlag</t>
  </si>
  <si>
    <t>qdot_room_cor</t>
  </si>
  <si>
    <t>Kontrolle</t>
  </si>
  <si>
    <t>r_Qdot_room</t>
  </si>
  <si>
    <t>Raumtemperatur</t>
  </si>
  <si>
    <t>allg</t>
  </si>
  <si>
    <t>T_room_set</t>
  </si>
  <si>
    <t>T_rad_VL_neu</t>
  </si>
  <si>
    <t>T_rad_RL_neu</t>
  </si>
  <si>
    <t>T_log_neu</t>
  </si>
  <si>
    <t xml:space="preserve">Nennbedingungen </t>
  </si>
  <si>
    <t>T_room_nom</t>
  </si>
  <si>
    <t>T_rad_VL_nom</t>
  </si>
  <si>
    <t>T_rad_RL_nom</t>
  </si>
  <si>
    <t xml:space="preserve">logarithmische Temperaturdifferenz unter Nennbedingungen </t>
  </si>
  <si>
    <t>T_log_nom</t>
  </si>
  <si>
    <t>TYP_rad1_flat</t>
  </si>
  <si>
    <t>Subtyp_2</t>
  </si>
  <si>
    <t>STYP_rad1_flat</t>
  </si>
  <si>
    <t>L_rad1_flat_hei</t>
  </si>
  <si>
    <t>L_rad1_flat_wid</t>
  </si>
  <si>
    <t>L_rad1_flat_thick</t>
  </si>
  <si>
    <t>Heizkörperexponent</t>
  </si>
  <si>
    <t>f_rad1_flat</t>
  </si>
  <si>
    <t>Norm-Heizleistung 75/65/20</t>
  </si>
  <si>
    <t>Qdot_rad1_flat_norm</t>
  </si>
  <si>
    <t>T,VL des gewünschten Systems</t>
  </si>
  <si>
    <t>T_rad1_flat_VL_nom</t>
  </si>
  <si>
    <t>T,RL des gewünschten Systems</t>
  </si>
  <si>
    <t>T_rad1_flat_RL_nom</t>
  </si>
  <si>
    <t>Log. Übertemperatur unter Auslegungsbedingungen</t>
  </si>
  <si>
    <t>Tdif_rad1_flat</t>
  </si>
  <si>
    <t>K</t>
  </si>
  <si>
    <t>Leistungsabgabe des Heizkörpers unter den Auslegungsbedingungen</t>
  </si>
  <si>
    <t>Qdot_rad1_flat_nom</t>
  </si>
  <si>
    <t>Leistungsabgabe eines Typ 33 unter den Auslegungsbedingungen</t>
  </si>
  <si>
    <t>flat33</t>
  </si>
  <si>
    <t>Qdot_rad1__flat_flat33_nom</t>
  </si>
  <si>
    <t>TYP_rad1_col</t>
  </si>
  <si>
    <t>STYP_rad1_col</t>
  </si>
  <si>
    <t>L_rad1_col_hei</t>
  </si>
  <si>
    <t>L_rad1_col_wid</t>
  </si>
  <si>
    <t>n_rad1_col_col</t>
  </si>
  <si>
    <t>Stk</t>
  </si>
  <si>
    <t>Qdot_rad1_col_norm</t>
  </si>
  <si>
    <t>T_rad1_col_VL_nom</t>
  </si>
  <si>
    <t>T_rad1_col_RL_nom</t>
  </si>
  <si>
    <t>Tdif_rad1_col</t>
  </si>
  <si>
    <t>Qdot_rad1_col_nom</t>
  </si>
  <si>
    <t>Qdot_rad1_col_flat33_nom</t>
  </si>
  <si>
    <t>TYP_rad1_tube</t>
  </si>
  <si>
    <t>STYP_rad1_tube</t>
  </si>
  <si>
    <t>L_rad1_tube_hei</t>
  </si>
  <si>
    <t>L_rad1_tube_wid</t>
  </si>
  <si>
    <t>L_rad1_tube_thick</t>
  </si>
  <si>
    <t>n_rad1_tube_col</t>
  </si>
  <si>
    <t>n_rad1_tube</t>
  </si>
  <si>
    <t>Qdot_rad1_tube_norm</t>
  </si>
  <si>
    <t>T_rad1_tube_VL_nom</t>
  </si>
  <si>
    <t>T_rad1_tube_RL_nom</t>
  </si>
  <si>
    <t>Tdif_rad1_tube</t>
  </si>
  <si>
    <t>Qdot_rad1_tube_nom</t>
  </si>
  <si>
    <t>Qdot_rad1_tube_flat33_nom</t>
  </si>
  <si>
    <t>Außendurchmesser Rohr</t>
  </si>
  <si>
    <t>Gesamtlänge Rohr</t>
  </si>
  <si>
    <t>Rohrübertemperatur</t>
  </si>
  <si>
    <t>TYP_rad1_conv</t>
  </si>
  <si>
    <t>STYP_rad1_conv</t>
  </si>
  <si>
    <t>L_rad1_conv_hei</t>
  </si>
  <si>
    <t>L_rad1_conv_wid</t>
  </si>
  <si>
    <t>L_rad1_conv_thick</t>
  </si>
  <si>
    <t>n_rad1_conv</t>
  </si>
  <si>
    <t>Qdot_rad1_conv_norm</t>
  </si>
  <si>
    <t>T_rad_conv_VL_nom</t>
  </si>
  <si>
    <t>T_rad_conv_RL_nom</t>
  </si>
  <si>
    <t>Tdif_rad1_conv</t>
  </si>
  <si>
    <t>Qdot_rad1_conv_nom</t>
  </si>
  <si>
    <t>Qdot_rad1_conv_flat33_nom</t>
  </si>
  <si>
    <t>OUTPUT: Leistungsabgabe vorliegender Heizkörper</t>
  </si>
  <si>
    <t>Qdot_rad1</t>
  </si>
  <si>
    <t>OUTPUT: Leistungsabgabe Austausch-Heizkörper Typ33</t>
  </si>
  <si>
    <t>flatt33</t>
  </si>
  <si>
    <t>Qdot_rad_flatt33</t>
  </si>
  <si>
    <t>TYP_rad2_flat</t>
  </si>
  <si>
    <t>STYP_rad2_flat</t>
  </si>
  <si>
    <t>L_rad2_flat_hei</t>
  </si>
  <si>
    <t>L_rad2_flat_wid</t>
  </si>
  <si>
    <t>L_rad2_flat_thick</t>
  </si>
  <si>
    <t>f_rad2_flat</t>
  </si>
  <si>
    <t>Qdot_rad2_flat_norm</t>
  </si>
  <si>
    <t>T_rad2_flat_VL_nom</t>
  </si>
  <si>
    <t>T_rad2_flat_RL_nom</t>
  </si>
  <si>
    <t>Tdif_rad2_flat</t>
  </si>
  <si>
    <t>Qdot_rad2_flat_nom</t>
  </si>
  <si>
    <t>Qdot_rad2__flat_flat33_nom</t>
  </si>
  <si>
    <t>TYP_rad2_col</t>
  </si>
  <si>
    <t>STYP_rad2_col</t>
  </si>
  <si>
    <t>L_rad2_col_hei</t>
  </si>
  <si>
    <t>L_rad2_col_wid</t>
  </si>
  <si>
    <t>n_rad2_col_col</t>
  </si>
  <si>
    <t>Qdot_rad2_col_norm</t>
  </si>
  <si>
    <t>T_rad2_col_VL_nom</t>
  </si>
  <si>
    <t>T_rad2_col_RL_nom</t>
  </si>
  <si>
    <t>Tdif_rad2_col</t>
  </si>
  <si>
    <t>Qdot_rad2_col_nom</t>
  </si>
  <si>
    <t>Qdot_rad2_col_flat33_nom</t>
  </si>
  <si>
    <t>TYP_rad2_tube</t>
  </si>
  <si>
    <t>STYP_rad2_tube</t>
  </si>
  <si>
    <t>L_rad2_tube_hei</t>
  </si>
  <si>
    <t>L_rad2_tube_wid</t>
  </si>
  <si>
    <t>L_rad2_tube_thick</t>
  </si>
  <si>
    <t>n_rad2_tube_col</t>
  </si>
  <si>
    <t>n_rad2_tube</t>
  </si>
  <si>
    <t>Qdot_rad2_tube_norm</t>
  </si>
  <si>
    <t>T_rad2_tube_VL_nom</t>
  </si>
  <si>
    <t>T_rad2_tube_RL_nom</t>
  </si>
  <si>
    <t>Tdif_rad2_tube</t>
  </si>
  <si>
    <t>Qdot_rad2_tube_nom</t>
  </si>
  <si>
    <t>Qdot_rad2_tube_flat33_nom</t>
  </si>
  <si>
    <t>TYP_rad2_conv</t>
  </si>
  <si>
    <t>STYP_rad2_conv</t>
  </si>
  <si>
    <t>L_rad2_conv_hei</t>
  </si>
  <si>
    <t>L_rad2_conv_wid</t>
  </si>
  <si>
    <t>L_rad2_conv_thick</t>
  </si>
  <si>
    <t>n_rad2_conv</t>
  </si>
  <si>
    <t>Qdot_rad2_conv_norm</t>
  </si>
  <si>
    <t>Tdif_rad2_conv</t>
  </si>
  <si>
    <t>Qdot_rad2_conv_nom</t>
  </si>
  <si>
    <t>Qdot_rad2_conv_flat33_nom</t>
  </si>
  <si>
    <t>TYP_rad3_flat</t>
  </si>
  <si>
    <t>STYP_rad3_flat</t>
  </si>
  <si>
    <t>L_rad3_flat_hei</t>
  </si>
  <si>
    <t>L_rad3_flat_wid</t>
  </si>
  <si>
    <t>L_rad3_flat_thick</t>
  </si>
  <si>
    <t>f_rad3_flat</t>
  </si>
  <si>
    <t>Qdot_rad3_flat_norm</t>
  </si>
  <si>
    <t>T_rad3_flat_VL_nom</t>
  </si>
  <si>
    <t>T_rad3_flat_RL_nom</t>
  </si>
  <si>
    <t>Tdif_rad3_flat</t>
  </si>
  <si>
    <t>Qdot_rad3_flat_nom</t>
  </si>
  <si>
    <t>Qdot_rad3__flat_flat33_nom</t>
  </si>
  <si>
    <t>TYP_rad3_col</t>
  </si>
  <si>
    <t>STYP_rad3_col</t>
  </si>
  <si>
    <t>L_rad3_col_hei</t>
  </si>
  <si>
    <t>L_rad3_col_wid</t>
  </si>
  <si>
    <t>n_rad3_col_col</t>
  </si>
  <si>
    <t>Qdot_rad3_col_norm</t>
  </si>
  <si>
    <t>T_rad3_col_VL_nom</t>
  </si>
  <si>
    <t>T_rad3_col_RL_nom</t>
  </si>
  <si>
    <t>Tdif_rad3_col</t>
  </si>
  <si>
    <t>Qdot_rad3_col_nom</t>
  </si>
  <si>
    <t>Qdot_rad3_col_flat33_nom</t>
  </si>
  <si>
    <t>TYP_rad3_tube</t>
  </si>
  <si>
    <t>STYP_rad3_tube</t>
  </si>
  <si>
    <t>L_rad3_tube_hei</t>
  </si>
  <si>
    <t>L_rad3_tube_wid</t>
  </si>
  <si>
    <t>L_rad3_tube_thick</t>
  </si>
  <si>
    <t>n_rad3_tube_col</t>
  </si>
  <si>
    <t>n_rad3_tube</t>
  </si>
  <si>
    <t>Qdot_rad3_tube_norm</t>
  </si>
  <si>
    <t>T_rad3_tube_VL_nom</t>
  </si>
  <si>
    <t>T_rad3_tube_RL_nom</t>
  </si>
  <si>
    <t>Tdif_rad3_tube</t>
  </si>
  <si>
    <t>Qdot_rad3_tube_nom</t>
  </si>
  <si>
    <t>Qdot_rad3_tube_flat33_nom</t>
  </si>
  <si>
    <t>TYP_rad3_conv</t>
  </si>
  <si>
    <t>STYP_rad3_conv</t>
  </si>
  <si>
    <t>L_rad3_conv_hei</t>
  </si>
  <si>
    <t>L_rad3_conv_wid</t>
  </si>
  <si>
    <t>L_rad3_conv_thick</t>
  </si>
  <si>
    <t>n_rad3_conv</t>
  </si>
  <si>
    <t>Qdot_rad3_conv_norm</t>
  </si>
  <si>
    <t>Tdif_rad3_conv</t>
  </si>
  <si>
    <t>Qdot_rad3_conv_nom</t>
  </si>
  <si>
    <t>Qdot_rad3_conv_flat33_nom</t>
  </si>
  <si>
    <t>OUTPUT</t>
  </si>
  <si>
    <t>Summe Leistungsabgabe Ist-Heizkörper</t>
  </si>
  <si>
    <t>Summe Leistungsabgabe Austausch-Heizkörper Typ33</t>
  </si>
  <si>
    <t>Deckungsgrad Raumheizlast mit aktuellen Heizkörpern</t>
  </si>
  <si>
    <t>Deckungsgrad Raumheizlast mit Typ33</t>
  </si>
  <si>
    <t xml:space="preserve">Raum Nr. </t>
  </si>
  <si>
    <t xml:space="preserve">Bezeichnung </t>
  </si>
  <si>
    <t xml:space="preserve">UBA Berechnungs Tool </t>
  </si>
  <si>
    <t xml:space="preserve">Raumheizlast Transmission </t>
  </si>
  <si>
    <t xml:space="preserve">Raumheizlast Lüftung </t>
  </si>
  <si>
    <t xml:space="preserve">Außenwand U-Wert </t>
  </si>
  <si>
    <t>Außenwand Heizlast Transmission</t>
  </si>
  <si>
    <t xml:space="preserve">Fenster U-Wert </t>
  </si>
  <si>
    <t>Fenster Heizlast Transmission</t>
  </si>
  <si>
    <t xml:space="preserve">Dach U-Wert </t>
  </si>
  <si>
    <t>Dach Heizlast Transmission</t>
  </si>
  <si>
    <t xml:space="preserve">Fußboden / Keller U-Wert </t>
  </si>
  <si>
    <t>Fußboden / Keller Heizlast Transmission</t>
  </si>
  <si>
    <t xml:space="preserve">obere Geschossdecke U-Wert </t>
  </si>
  <si>
    <t>obere Geschossdecke Heizlast Transmission</t>
  </si>
  <si>
    <t xml:space="preserve">Summe Leistung Ist-Heizkörper bei 55°C VL </t>
  </si>
  <si>
    <t xml:space="preserve">Summe Leistung Typ 33 Heizkörper bei 55°C VL </t>
  </si>
  <si>
    <t>DIN 12831 Berechnung Markus</t>
  </si>
  <si>
    <t>Absolute Abweichung zur DIN12831 Berechnung</t>
  </si>
  <si>
    <t>Relative Abweichung zur DIN12831 Berechnung</t>
  </si>
  <si>
    <t>Gruppe</t>
  </si>
  <si>
    <t>Zellenbezug Gebäude</t>
  </si>
  <si>
    <t>Werte Raum</t>
  </si>
  <si>
    <t xml:space="preserve">Heizlast Lüftung </t>
  </si>
  <si>
    <t>W/m²</t>
  </si>
  <si>
    <t>Qdot_room_cor</t>
  </si>
  <si>
    <t>Bauteilbewertung</t>
  </si>
  <si>
    <t xml:space="preserve">U-Wert </t>
  </si>
  <si>
    <t>Anteil Raumheizlast</t>
  </si>
  <si>
    <t>Potenzial Austausch</t>
  </si>
  <si>
    <t>Heizkörper / NT-ready</t>
  </si>
  <si>
    <t>Leistung Heizkörper IST</t>
  </si>
  <si>
    <t>Typ 33 max. Leistung Austausch-Heizkörper</t>
  </si>
  <si>
    <t>Deckungsgrad IST</t>
  </si>
  <si>
    <t>Typ 33 Deckungsgrad</t>
  </si>
  <si>
    <t>NT-ready</t>
  </si>
  <si>
    <t>Typ 33 NT-ready</t>
  </si>
  <si>
    <t>Typ 33 80 % NT-ready</t>
  </si>
  <si>
    <t xml:space="preserve">Aggregation Gebäudeebene </t>
  </si>
  <si>
    <t xml:space="preserve">Azahl Räume </t>
  </si>
  <si>
    <t xml:space="preserve">Bauteilbewertung </t>
  </si>
  <si>
    <t>Anzahl Potenzial</t>
  </si>
  <si>
    <t xml:space="preserve">Anteil Potenzial </t>
  </si>
  <si>
    <t>NT-readiness Gesamtgebäude</t>
  </si>
  <si>
    <t>Typ 33: alle Räume &gt; 0,8</t>
  </si>
  <si>
    <t>Deckungsgrad &lt; 0,6 für &gt; 50 %</t>
  </si>
  <si>
    <t>Heizkörper 1 in Raum 1</t>
  </si>
  <si>
    <t>Logarithmische Übertemperatur unter Normbedingungen</t>
  </si>
  <si>
    <t>Logarithmische Übertemperatur unter Betriebsbedingungen</t>
  </si>
  <si>
    <r>
      <t>ϑ</t>
    </r>
    <r>
      <rPr>
        <vertAlign val="subscript"/>
        <sz val="11"/>
        <color theme="1"/>
        <rFont val="Calibri"/>
        <family val="2"/>
      </rPr>
      <t>V</t>
    </r>
  </si>
  <si>
    <t>=</t>
  </si>
  <si>
    <t>Vorlauftemp. aus Herstellerunterlagen, i.d.R. 75°C</t>
  </si>
  <si>
    <t>Vorlauftemperatur des vorliegenden Systems</t>
  </si>
  <si>
    <r>
      <t>ϑ</t>
    </r>
    <r>
      <rPr>
        <vertAlign val="subscript"/>
        <sz val="11"/>
        <color theme="1"/>
        <rFont val="Calibri"/>
        <family val="2"/>
      </rPr>
      <t>R</t>
    </r>
  </si>
  <si>
    <t>Rücklauftemp. aus Herstellerunterlagen, i.d.R. 65°C</t>
  </si>
  <si>
    <t>Rücklauftemperatur des vorliegenden Systems</t>
  </si>
  <si>
    <r>
      <t>ϑ</t>
    </r>
    <r>
      <rPr>
        <vertAlign val="subscript"/>
        <sz val="11"/>
        <color theme="1"/>
        <rFont val="Calibri"/>
        <family val="2"/>
      </rPr>
      <t>i</t>
    </r>
  </si>
  <si>
    <t>Norminnentemperatur, i.d.R. 20°C</t>
  </si>
  <si>
    <t>Innentemperatur des Raumes, für den der HK ausgelegt werden soll</t>
  </si>
  <si>
    <r>
      <t>θ</t>
    </r>
    <r>
      <rPr>
        <vertAlign val="subscript"/>
        <sz val="11"/>
        <color theme="1"/>
        <rFont val="Aptos Narrow"/>
        <family val="2"/>
      </rPr>
      <t>Vlneu</t>
    </r>
  </si>
  <si>
    <r>
      <t>θ</t>
    </r>
    <r>
      <rPr>
        <vertAlign val="subscript"/>
        <sz val="11"/>
        <color theme="1"/>
        <rFont val="Aptos Narrow"/>
        <family val="2"/>
      </rPr>
      <t>Rlneu</t>
    </r>
  </si>
  <si>
    <r>
      <t>∆ϑ</t>
    </r>
    <r>
      <rPr>
        <vertAlign val="subscript"/>
        <sz val="11"/>
        <color theme="1"/>
        <rFont val="Calibri"/>
        <family val="2"/>
      </rPr>
      <t>n</t>
    </r>
  </si>
  <si>
    <r>
      <t>∆ϑ</t>
    </r>
    <r>
      <rPr>
        <vertAlign val="subscript"/>
        <sz val="11"/>
        <color theme="1"/>
        <rFont val="Calibri"/>
        <family val="2"/>
      </rPr>
      <t>m</t>
    </r>
  </si>
  <si>
    <t>Glieder</t>
  </si>
  <si>
    <t>Stk.</t>
  </si>
  <si>
    <t>[-]</t>
  </si>
  <si>
    <t>Betriebsbedinung in Normbedingung umrechnen</t>
  </si>
  <si>
    <t>Normbedingung in Betriebsbedinung umrechnen</t>
  </si>
  <si>
    <t xml:space="preserve">Korrekturfaktor </t>
  </si>
  <si>
    <r>
      <t>Heizleistung bei θ</t>
    </r>
    <r>
      <rPr>
        <vertAlign val="subscript"/>
        <sz val="11"/>
        <color theme="1"/>
        <rFont val="Calibri"/>
        <family val="2"/>
      </rPr>
      <t>Vlneu</t>
    </r>
  </si>
  <si>
    <r>
      <t>Heizleistung θ</t>
    </r>
    <r>
      <rPr>
        <vertAlign val="subscript"/>
        <sz val="11"/>
        <color theme="1"/>
        <rFont val="Calibri"/>
        <family val="2"/>
      </rPr>
      <t>Vlneu</t>
    </r>
    <r>
      <rPr>
        <sz val="11"/>
        <color theme="1"/>
        <rFont val="Calibri"/>
        <family val="2"/>
      </rPr>
      <t>, Typ 33</t>
    </r>
  </si>
  <si>
    <t>Benötigte Leistung pro Heizkörper ( Anzahl der Heizkörper x Leistung der Heizkörper ≥ Heizlast</t>
  </si>
  <si>
    <t>Leistungsabgabe unter Normbedingung, aus Herstellerunterlagen zu entnehmen</t>
  </si>
  <si>
    <t>Heizkörperexponent, aus Herstellerunterlagen zu entnehmen</t>
  </si>
  <si>
    <t>Nötige Leistung unter Normbedingung, mit diesem Wert in die entsprechenden Herstellerunterlagen gehen</t>
  </si>
  <si>
    <t>Heizkörper 2 in Raum 1</t>
  </si>
  <si>
    <t>Heizkörper X in Raum Y</t>
  </si>
  <si>
    <t>Heizlast</t>
  </si>
  <si>
    <t>[kW]</t>
  </si>
  <si>
    <t>Norm-Heizleistung aller Heizkörper</t>
  </si>
  <si>
    <t>Deckungsgrad total bei Normbedingungen</t>
  </si>
  <si>
    <t>Heizleistung aller Heizkörper bei NT-ready Vorlauftemperatur</t>
  </si>
  <si>
    <t>Deckungsgrad total bei NT-ready</t>
  </si>
  <si>
    <t>Deckungsgrad bei Austausch durch Typ 33</t>
  </si>
  <si>
    <t>Empfehlungen</t>
  </si>
  <si>
    <t>Raum 2</t>
  </si>
  <si>
    <t>Raum 3</t>
  </si>
  <si>
    <t>Raum 4</t>
  </si>
  <si>
    <t>Raum 5</t>
  </si>
  <si>
    <t>Tabelle1[Breite B in mm];Berechnung_Heizkörper!$C$6;</t>
  </si>
  <si>
    <t>θ,Vlneu</t>
  </si>
  <si>
    <t>θ,Rlneu</t>
  </si>
  <si>
    <t>Heizleistung bei θ,VLneu</t>
  </si>
  <si>
    <t>Entfällt</t>
  </si>
  <si>
    <t>WENNS(
    C4="Stahlrohrradiator";
    SUMMEWENNS(Tabelle1[Wärmeleistung (75/65/20)  in W] (75/65/20) in W]; Tabelle1[Heizkörper Typ]; Berechnung_Rohrradiatoren!C3; Tabelle1[Heizkörper Subtyp]; Berechnung_Rohrradiatoren!C4; Tabelle1[Höhe H in mm]; Berechnung_Rohrradiatoren!C6; Tabelle1[Bautiefe T in mm]; Berechnung_Rohrradiatoren!C8; Tabelle1[Bautiefe T in mm]; Berechnung_Rohrradiatoren!C7);
    C4="Fensterbankradiator";
    SUMMEWENNS(Tabelle1[Wärmeleistung (75/65/20) in W]; Tabelle1[Heizkörper Typ]; Berechnung_Rohrradiatoren!C3; Tabelle1[Heizkörper Subtyp]; Berechnung_Rohrradiatoren!C4; Tabelle1[Höhe H in mm]; Berechnung_Rohrradiatoren!C6; Tabelle1[Bautiefe T in mm]; Berechnung_Rohrradiatoren!C8; Tabelle1[Bautiefe T in mm]; Berechnung_Rohrradiatoren!C7);
    C4="Handtuchradiator";
    919 * ((Frontend_Räume!D35 * Frontend_Räume!D36) / 10^6) + 76,691;
    UND(C4&lt;&gt;"Stahlrohrradiator"; C4&lt;&gt;"Fensterbankradiator"; C4&lt;&gt;"Handtuchradiator");
    "Siehe Berechnungsreiter entsprechend Heizkörpertyp"
)</t>
  </si>
  <si>
    <t>WG &amp; NWG &gt;19°C</t>
  </si>
  <si>
    <t>NWG</t>
  </si>
  <si>
    <t>Umax [W/(m²K)]</t>
  </si>
  <si>
    <t>Außenwände</t>
  </si>
  <si>
    <t>AW</t>
  </si>
  <si>
    <t>Gegen Außenluft abgrenzende Fenster und Fenstertüren</t>
  </si>
  <si>
    <t>FE</t>
  </si>
  <si>
    <t>Gegen Außenluft abgrenzende Dachflächenfenster</t>
  </si>
  <si>
    <t>DFF</t>
  </si>
  <si>
    <t>Gegen Außenluft abgrenzende Fenster, Fenstertüren und Dachflächenfenster bei Ersatz der Verglasung oder des Rahmens</t>
  </si>
  <si>
    <t>FEDFF_tausch</t>
  </si>
  <si>
    <t>Keine Anforderung</t>
  </si>
  <si>
    <t>Vorhangfassaden in Pfosten-Riegel-Konstruktion, deren Bauart DIN EN ISO 12631: 2018-01 entspricht</t>
  </si>
  <si>
    <t>PRK</t>
  </si>
  <si>
    <t>Gegen Außenluft abgrenzende Glasdächer</t>
  </si>
  <si>
    <t>GD</t>
  </si>
  <si>
    <t>Gegen Außenluft abgrenzende Fenstertüren mit Klapp-, Falt-, Schiebe- oder Hebemechanismus</t>
  </si>
  <si>
    <t>FT</t>
  </si>
  <si>
    <t>Gegen Außenluft abgrenzende Fenster, Fenstertüren und Dachflächenfenster mit Sonderverglasung</t>
  </si>
  <si>
    <t>FE_sonder</t>
  </si>
  <si>
    <t>Gegen Außenluft abgrenzende Fenster, Fenstertüren und Dachflächenfenster mit Sonderverglasung bei Ersatz der Verglasung oder des Rahmens</t>
  </si>
  <si>
    <t>FEDFF_sondertausch</t>
  </si>
  <si>
    <t>Vorhangfassaden in Pfosten-Riegel-Konstruktion, deren Bauart DIN EN ISO 12631: 2018-01 entspricht, mit Sonderverglasung</t>
  </si>
  <si>
    <t>PRK_sonder</t>
  </si>
  <si>
    <t>Einbau neuer Außentüren (ohne rahmenlose Türanlagen aus Glas, Karusselltüren und kraftbetätigte Türen)</t>
  </si>
  <si>
    <t>AT</t>
  </si>
  <si>
    <t>Gegen Außenluft abgrenzende Dachflächen einschließlich Dachgauben sowie gegen unbeheizte Dachräume abgrenzende Decken (oberste Geschossdecken) und Wände (einschließlich Abseitenwände)</t>
  </si>
  <si>
    <t>DA</t>
  </si>
  <si>
    <t>Gegen Außenluft abgrenzende Dachflächen mit Abdichtung</t>
  </si>
  <si>
    <t>DA_dicht</t>
  </si>
  <si>
    <t>Wände, die an Erdreich oder an unbeheizte Räume (mit Ausnahme von Dachräumen) grenzen, und Decken, die beheizte Räume nach unten zum Erdreich oder zu unbeheizten Räumen abgrenzen</t>
  </si>
  <si>
    <t>AWDE_kalt</t>
  </si>
  <si>
    <t>Decken, die beheizte Räume nach unten zum Erdreich, zur Außenluft oder zu unbeheizten Räumen abgrenzen</t>
  </si>
  <si>
    <t>DE_kalt</t>
  </si>
  <si>
    <t>Decken, die beheizte Räume nach unten zur Außenluft abgrenzen</t>
  </si>
  <si>
    <t>DE_unten</t>
  </si>
  <si>
    <t>Subtypen</t>
  </si>
  <si>
    <t>Frontend_allg</t>
  </si>
  <si>
    <t>Heizkörpertypen</t>
  </si>
  <si>
    <t>Flachheizkoerper_senkrecht_profiliert</t>
  </si>
  <si>
    <t>Flachheizkoerper_glatt</t>
  </si>
  <si>
    <t>Gliederheizkörper</t>
  </si>
  <si>
    <t>Rohrradiator</t>
  </si>
  <si>
    <t>Typ_10</t>
  </si>
  <si>
    <t>Gussradiator</t>
  </si>
  <si>
    <t>Stahlrohrradiator</t>
  </si>
  <si>
    <t>Gewinderohr</t>
  </si>
  <si>
    <t>Standardkonvektor</t>
  </si>
  <si>
    <t>Wohnungseigentümer*in</t>
  </si>
  <si>
    <t>Typ_11</t>
  </si>
  <si>
    <t>Stahlradiator</t>
  </si>
  <si>
    <t>Fensterbankradiator</t>
  </si>
  <si>
    <t>Stahlrohr</t>
  </si>
  <si>
    <t>Hausverwalter*in</t>
  </si>
  <si>
    <t>Typ_20</t>
  </si>
  <si>
    <t>Handtuchradiator</t>
  </si>
  <si>
    <t>Stahlrippenrohr</t>
  </si>
  <si>
    <t>Mieter*in</t>
  </si>
  <si>
    <t>Typ_21</t>
  </si>
  <si>
    <t>Typ_22</t>
  </si>
  <si>
    <t>Dachtyp</t>
  </si>
  <si>
    <t>Dachneigung (°)</t>
  </si>
  <si>
    <t>Gebäudetypen</t>
  </si>
  <si>
    <t>Typ_30</t>
  </si>
  <si>
    <t>Flach bzw. Flachdach</t>
  </si>
  <si>
    <t>Typ_33</t>
  </si>
  <si>
    <t>geneigt</t>
  </si>
  <si>
    <t>Reihenhaus</t>
  </si>
  <si>
    <t>Mehrfamilienhaus</t>
  </si>
  <si>
    <t>sehr steil</t>
  </si>
  <si>
    <t>Bürogebäude</t>
  </si>
  <si>
    <t>Bildungseinrichtung</t>
  </si>
  <si>
    <t>Typ_10_Tiefe</t>
  </si>
  <si>
    <t>Typ_11_Tiefe</t>
  </si>
  <si>
    <t>Typ_20_Tiefe</t>
  </si>
  <si>
    <t>Typ_21_Tiefe</t>
  </si>
  <si>
    <t>Typ_22_Tiefe</t>
  </si>
  <si>
    <t>Typ_30_Tiefe</t>
  </si>
  <si>
    <t>Typ_33_Tiefe</t>
  </si>
  <si>
    <t>Glattwandig_Tiefe</t>
  </si>
  <si>
    <t>Gussradiator_Tiefe</t>
  </si>
  <si>
    <t>Stahlradiator_Tiefe</t>
  </si>
  <si>
    <t>Stahlrohrradiator_Tiefe</t>
  </si>
  <si>
    <t>Fensterbankradiator_Tiefe</t>
  </si>
  <si>
    <t>Handtuchradiator_Hoehe_Tiefe</t>
  </si>
  <si>
    <t>Gewinderohr_Hoehe_Tiefe</t>
  </si>
  <si>
    <t>Stahlrohr_Hoehe_Tiefe</t>
  </si>
  <si>
    <t>Stahlrippenrohr_Hoehe_Tiefe</t>
  </si>
  <si>
    <t>Standardkonvektor_Tiefe</t>
  </si>
  <si>
    <t>Baualtersklassen</t>
  </si>
  <si>
    <t>vor 1859</t>
  </si>
  <si>
    <t>wie Baujahr Gebäude</t>
  </si>
  <si>
    <t>1860 - 1918</t>
  </si>
  <si>
    <t>Bis 1982</t>
  </si>
  <si>
    <t>1919 - 1948</t>
  </si>
  <si>
    <t>1860-1918</t>
  </si>
  <si>
    <t>1983 - 1994</t>
  </si>
  <si>
    <t>1949 - 1957</t>
  </si>
  <si>
    <t>1995 - 2002</t>
  </si>
  <si>
    <t>1958 - 1968</t>
  </si>
  <si>
    <t>Typ_10_Hoehe</t>
  </si>
  <si>
    <t>Typ_11_Hoehe</t>
  </si>
  <si>
    <t>Typ_20_Hoehe</t>
  </si>
  <si>
    <t>Typ_21_Hoehe</t>
  </si>
  <si>
    <t>Typ_22_Hoehe</t>
  </si>
  <si>
    <t>Typ_30_Hoehe</t>
  </si>
  <si>
    <t>Typ_33_Hoehe</t>
  </si>
  <si>
    <t>Glattwandig_Hoehe</t>
  </si>
  <si>
    <t>Gussradiator_Hoehe</t>
  </si>
  <si>
    <t>Stahlradiator_Hoehe</t>
  </si>
  <si>
    <t>Stahlrohrradiator_Hoehe</t>
  </si>
  <si>
    <t>Fensterbankradiator_Hoehe</t>
  </si>
  <si>
    <t>Handtuchradiator_Hoehe</t>
  </si>
  <si>
    <t>Gewinderohr_Hoehe</t>
  </si>
  <si>
    <t>Stahlrohr_Hoehe</t>
  </si>
  <si>
    <t>Stahlrippenrohr_Hoehe</t>
  </si>
  <si>
    <t>Standardkonvektor_Hoehe</t>
  </si>
  <si>
    <t>Deckenstrahlplatten_Wärmedämmung</t>
  </si>
  <si>
    <t>ab 2023</t>
  </si>
  <si>
    <t>1984 - 1994</t>
  </si>
  <si>
    <t>2023 - 2026</t>
  </si>
  <si>
    <t>2027 - 2045</t>
  </si>
  <si>
    <t>Energieeffizienzklassen</t>
  </si>
  <si>
    <t>A+</t>
  </si>
  <si>
    <t>C</t>
  </si>
  <si>
    <t>D</t>
  </si>
  <si>
    <t>E</t>
  </si>
  <si>
    <t>F</t>
  </si>
  <si>
    <t>G</t>
  </si>
  <si>
    <t>H</t>
  </si>
  <si>
    <t>Breite L</t>
  </si>
  <si>
    <t>Glattwandig</t>
  </si>
  <si>
    <t>Außenwand / Fassade von außen</t>
  </si>
  <si>
    <t>Außenwand von innen</t>
  </si>
  <si>
    <t>Außenwand mit Kerndämmung</t>
  </si>
  <si>
    <t>Dachdämmung</t>
  </si>
  <si>
    <t>Breite B</t>
  </si>
  <si>
    <t>Dämmung der Kellerdecke / des Erdgeschossfußbodens</t>
  </si>
  <si>
    <t>Dämmung der Kellerwände</t>
  </si>
  <si>
    <t>Dämmung des Kellerfußbodens</t>
  </si>
  <si>
    <t>weiß nicht</t>
  </si>
  <si>
    <t>das Gebäude steht unter Denkmalschutz</t>
  </si>
  <si>
    <t>Nabenabstand N</t>
  </si>
  <si>
    <t>Art der Wärmeübergabe</t>
  </si>
  <si>
    <t>Fußbodenheizung / Wandflächenheizung</t>
  </si>
  <si>
    <t>Kombination aus Heizkörpern und Fußbodenheizung / Wandflächenheizung</t>
  </si>
  <si>
    <t>elektrische Nachtspeicherheizung</t>
  </si>
  <si>
    <t>Deckenheizung (keine Hell-/Dunkelstrahler)</t>
  </si>
  <si>
    <t>Luftheizung</t>
  </si>
  <si>
    <t>U-Wert</t>
  </si>
  <si>
    <t>Bauteil</t>
  </si>
  <si>
    <t>Quelle</t>
  </si>
  <si>
    <t>andere</t>
  </si>
  <si>
    <t>Anlage 2 WSVO 82</t>
  </si>
  <si>
    <t>Vorlauftemperatur</t>
  </si>
  <si>
    <t>Anlage 3 WSVO 94</t>
  </si>
  <si>
    <t>Anhang 3 EnEV 2002</t>
  </si>
  <si>
    <t>Anhang 3 EnEV 2007</t>
  </si>
  <si>
    <t>Anhang 3 EnEV 2009</t>
  </si>
  <si>
    <t>Heizkreislauf</t>
  </si>
  <si>
    <t>Einrohrheizung</t>
  </si>
  <si>
    <t>Raumauswahl</t>
  </si>
  <si>
    <t>Wohnzimmer</t>
  </si>
  <si>
    <t>Kind 1</t>
  </si>
  <si>
    <t>Kind 2</t>
  </si>
  <si>
    <t>Kind 3</t>
  </si>
  <si>
    <t>Flur</t>
  </si>
  <si>
    <t>Bad</t>
  </si>
  <si>
    <t>Küche</t>
  </si>
  <si>
    <t>Lüftung</t>
  </si>
  <si>
    <t>Ventilatorgestützte Lüftung</t>
  </si>
  <si>
    <t>1</t>
  </si>
  <si>
    <t>Tiefe Stahlrohrradiatoren</t>
  </si>
  <si>
    <t xml:space="preserve">Grenze Bauteil gegen </t>
  </si>
  <si>
    <t>Temperaturkorrekturfaktor</t>
  </si>
  <si>
    <t>Erdreich</t>
  </si>
  <si>
    <t>Phi,Raum</t>
  </si>
  <si>
    <t>Abschlag Heizlast</t>
  </si>
  <si>
    <t>Lfd. Nr.</t>
  </si>
  <si>
    <t>Spalte1</t>
  </si>
  <si>
    <t>Heizkörper Subtyp</t>
  </si>
  <si>
    <t>Heizkörper_Typ</t>
  </si>
  <si>
    <t>Heizkörper_Subtyp</t>
  </si>
  <si>
    <t>Höhe H in mm</t>
  </si>
  <si>
    <t>Breite B in mm</t>
  </si>
  <si>
    <t>HK Fläche in m²</t>
  </si>
  <si>
    <t>HK Volumen in m³</t>
  </si>
  <si>
    <t>Nabenabstand N in mm</t>
  </si>
  <si>
    <t>Bautiefe T in mm</t>
  </si>
  <si>
    <t>Anzahl Rohre</t>
  </si>
  <si>
    <t>Anzahl Rohreinheiten</t>
  </si>
  <si>
    <t>Nennweite DN</t>
  </si>
  <si>
    <t>Außendurchmesser d in mm</t>
  </si>
  <si>
    <t>Rippenhöhe in mm</t>
  </si>
  <si>
    <t>Mittlere Rohrübertemperatur in K</t>
  </si>
  <si>
    <t>Übertemperatur in K</t>
  </si>
  <si>
    <t>Mittlere Wassertemperatur in °C</t>
  </si>
  <si>
    <t>Rippenhöhe h in mm</t>
  </si>
  <si>
    <t>Rippenabstand a in mm</t>
  </si>
  <si>
    <t>Rohrreihen</t>
  </si>
  <si>
    <t xml:space="preserve">Heizkörperexponent n </t>
  </si>
  <si>
    <t>Wärmeleistung (75/65/20)  in W</t>
  </si>
  <si>
    <t>Wärmeleistung (75/65/20)  in W/m</t>
  </si>
  <si>
    <t>Wärmeleistung (75/65/20)  in W/Glied</t>
  </si>
  <si>
    <t>Wärmeleistung in W/m²</t>
  </si>
  <si>
    <t>Flachheizkoerper</t>
  </si>
  <si>
    <t>Buderus Logatrend Profil; Kermi therm-x2 Profil Hygiene;Purmo Compact Hygiene</t>
  </si>
  <si>
    <t>https://www.kermi.com/de/de/raumklima/produkte/flachheizkoerper/therm-x2/
https://api-de.apps.de101pro.osh.epz001.public.bosch.cloud/buderus/productsde.buderus.com/broschueren/buderus-broschuere-logatrend-de-032023.pdf
https://raleo.de/item/Heizung/purmo-plan-kompaktheizkoerper-typ-30-900x1000mm-f09300901001030</t>
  </si>
  <si>
    <t xml:space="preserve">Buderus Logatrend Profil; Kermi therm-x2 Profil Hygiene;Purmo Compact Profil </t>
  </si>
  <si>
    <t>wie braucht Till die Look up Tabellen?</t>
  </si>
  <si>
    <t>ggf. csv Export?</t>
  </si>
  <si>
    <t>Rohrheizköprer</t>
  </si>
  <si>
    <t>Sockelheizkörper</t>
  </si>
  <si>
    <t>Deckenheizung</t>
  </si>
  <si>
    <t>Einstellwerte Thermostatventile</t>
  </si>
  <si>
    <t>Heimeier V-exact II</t>
  </si>
  <si>
    <t>Entfernt</t>
  </si>
  <si>
    <t>Mittel</t>
  </si>
  <si>
    <t>Nah</t>
  </si>
  <si>
    <t>Helper Table</t>
  </si>
  <si>
    <t>EFH</t>
  </si>
  <si>
    <t>Input :</t>
  </si>
  <si>
    <t>Value :</t>
  </si>
  <si>
    <t>Output :</t>
  </si>
  <si>
    <t>Oventrop AV9</t>
  </si>
  <si>
    <t>1K P-Abweichung</t>
  </si>
  <si>
    <t>Entfernt 5kPa</t>
  </si>
  <si>
    <t>Mittel 10kPa</t>
  </si>
  <si>
    <t>Nah15kPa</t>
  </si>
  <si>
    <t>2K P-Abweichung</t>
  </si>
  <si>
    <t>Fußbodenheizung</t>
  </si>
  <si>
    <t>Aufenthaltsbereich</t>
  </si>
  <si>
    <t>Randzone</t>
  </si>
  <si>
    <t>Wandheizung</t>
  </si>
  <si>
    <t>Oventrop AV6</t>
  </si>
  <si>
    <t>Danfoss RA-N</t>
  </si>
  <si>
    <t>N</t>
  </si>
  <si>
    <t>Danfoss RA-DV</t>
  </si>
  <si>
    <t>Multilux4 Zweirohr</t>
  </si>
  <si>
    <t/>
  </si>
  <si>
    <t>V-exakt</t>
  </si>
  <si>
    <t>Kermi V3K S</t>
  </si>
  <si>
    <t>Fensterbankradiatoren</t>
  </si>
  <si>
    <t>Handtuchradiatoren</t>
  </si>
  <si>
    <t>Stahlrippenrohre</t>
  </si>
  <si>
    <t>Stahlrohrradiatoren</t>
  </si>
  <si>
    <t>Kürzel für die Datenbank</t>
  </si>
  <si>
    <t>EFH_A</t>
  </si>
  <si>
    <t>EFH_B</t>
  </si>
  <si>
    <t>EFH_C</t>
  </si>
  <si>
    <t>EFH_D</t>
  </si>
  <si>
    <t>EFH_E</t>
  </si>
  <si>
    <t>EFH_F</t>
  </si>
  <si>
    <t>EFH_G</t>
  </si>
  <si>
    <t>EFH_H</t>
  </si>
  <si>
    <t>RH_B</t>
  </si>
  <si>
    <t>RH_C</t>
  </si>
  <si>
    <t>RH_D</t>
  </si>
  <si>
    <t>RH_E</t>
  </si>
  <si>
    <t>RH_F</t>
  </si>
  <si>
    <t>RH_G</t>
  </si>
  <si>
    <t>RH_H</t>
  </si>
  <si>
    <t>MFH_A</t>
  </si>
  <si>
    <t>MFH_B</t>
  </si>
  <si>
    <t>MFH_C</t>
  </si>
  <si>
    <t>MFH_D</t>
  </si>
  <si>
    <t>MFH_E</t>
  </si>
  <si>
    <t>MFH_F</t>
  </si>
  <si>
    <t>MFH_G</t>
  </si>
  <si>
    <t>MFH_H</t>
  </si>
  <si>
    <t>GMH_B</t>
  </si>
  <si>
    <t>GMH_C</t>
  </si>
  <si>
    <t>GMH_D</t>
  </si>
  <si>
    <t>GMH_E</t>
  </si>
  <si>
    <t>GMH_F</t>
  </si>
  <si>
    <t>HH_E</t>
  </si>
  <si>
    <t>HH_F</t>
  </si>
  <si>
    <t>EFH_F/F</t>
  </si>
  <si>
    <t>NBL_MFH_D</t>
  </si>
  <si>
    <t>NBL_MFH_E</t>
  </si>
  <si>
    <t>NBL_GMH_F</t>
  </si>
  <si>
    <t>NBL_GMH_G</t>
  </si>
  <si>
    <t>NBL_GMH_H</t>
  </si>
  <si>
    <t>NBL_HH_F</t>
  </si>
  <si>
    <t>NBL_HH_G</t>
  </si>
  <si>
    <t>Erweiterung um Gebäude ab 1995</t>
  </si>
  <si>
    <t>EFH_I</t>
  </si>
  <si>
    <t>EFH_J</t>
  </si>
  <si>
    <t>RH_I</t>
  </si>
  <si>
    <t>RH_J</t>
  </si>
  <si>
    <t>MFH_I</t>
  </si>
  <si>
    <t>MFH_J</t>
  </si>
  <si>
    <t>EFH_K</t>
  </si>
  <si>
    <t>EFH_L</t>
  </si>
  <si>
    <t>EFH_M</t>
  </si>
  <si>
    <t>RH_K</t>
  </si>
  <si>
    <t>RH_L</t>
  </si>
  <si>
    <t>RH_M</t>
  </si>
  <si>
    <t>MFH_K</t>
  </si>
  <si>
    <t>MFH_L</t>
  </si>
  <si>
    <t>MFH_M</t>
  </si>
  <si>
    <t>Kürzel_ifeu</t>
  </si>
  <si>
    <t>RH</t>
  </si>
  <si>
    <t>MFH</t>
  </si>
  <si>
    <t>HH</t>
  </si>
  <si>
    <t>1919-1948</t>
  </si>
  <si>
    <t>1949-1957</t>
  </si>
  <si>
    <t>1958-1968</t>
  </si>
  <si>
    <t>1969-1978</t>
  </si>
  <si>
    <t>1979-1983</t>
  </si>
  <si>
    <t>1984-1994</t>
  </si>
  <si>
    <t>vor 1918</t>
  </si>
  <si>
    <t>1946-1960</t>
  </si>
  <si>
    <t>1961-1969</t>
  </si>
  <si>
    <t>1970-1980</t>
  </si>
  <si>
    <t>1981-1985</t>
  </si>
  <si>
    <t>1986-1990</t>
  </si>
  <si>
    <t>1995 - 2001</t>
  </si>
  <si>
    <t>2002 - heute</t>
  </si>
  <si>
    <t>2002 - 2008</t>
  </si>
  <si>
    <t>2027-2045</t>
  </si>
  <si>
    <t>U-Wert im Istzustand</t>
  </si>
  <si>
    <t>Kellerdecken</t>
  </si>
  <si>
    <t>Kellerdecke</t>
  </si>
  <si>
    <t>Kellerboden</t>
  </si>
  <si>
    <t>Bezeichnung (Text)</t>
  </si>
  <si>
    <t>Decke Anbau</t>
  </si>
  <si>
    <t>Rolladenkästen</t>
  </si>
  <si>
    <t>Außenwand_b</t>
  </si>
  <si>
    <t>Fenstersturz</t>
  </si>
  <si>
    <t>Verschindelte Westwand</t>
  </si>
  <si>
    <t>Brüstung/L</t>
  </si>
  <si>
    <t>AW-Vorhangf.</t>
  </si>
  <si>
    <t>Eingangstür</t>
  </si>
  <si>
    <t>Wand geg. Erdreich</t>
  </si>
  <si>
    <t>Bauteil 6 (zusätzliche Fußböden)</t>
  </si>
  <si>
    <t>Fußboden_b</t>
  </si>
  <si>
    <t>Boden geg. Erdreich</t>
  </si>
  <si>
    <t>Bodenplatte</t>
  </si>
  <si>
    <t>Fußboden geg Erdreich</t>
  </si>
  <si>
    <t>Fußboden Anbau</t>
  </si>
  <si>
    <t>Sonstige_a</t>
  </si>
  <si>
    <t>Sonstige_b</t>
  </si>
  <si>
    <t>Südfensterflächen</t>
  </si>
  <si>
    <t>Südfenster</t>
  </si>
  <si>
    <t>U-Wert (Gesamt-Fenster)</t>
  </si>
  <si>
    <t>West/Ost-Fenster</t>
  </si>
  <si>
    <t>Ost/West-Fenster</t>
  </si>
  <si>
    <t>Nordfensterflächen</t>
  </si>
  <si>
    <t>Nordfenster</t>
  </si>
  <si>
    <t>Index</t>
  </si>
  <si>
    <t>Baualtersklasse</t>
  </si>
  <si>
    <t>IWU</t>
  </si>
  <si>
    <t>Ein- oder Zweifamilienhaus_vor 1859</t>
  </si>
  <si>
    <t>Ein- oder Zweifamilienhaus_1860 - 1918</t>
  </si>
  <si>
    <t>Ein- oder Zweifamilienhaus_1919 - 1948</t>
  </si>
  <si>
    <t>Ein- oder Zweifamilienhaus_1949 - 1957</t>
  </si>
  <si>
    <t>Ein- oder Zweifamilienhaus_1958 - 1968</t>
  </si>
  <si>
    <t>Ein- oder Zweifamilienhaus_1969 - 1978</t>
  </si>
  <si>
    <t>Ein- oder Zweifamilienhaus_1979 - 1983</t>
  </si>
  <si>
    <t>Ein- oder Zweifamilienhaus_1984 - 1994</t>
  </si>
  <si>
    <t>I</t>
  </si>
  <si>
    <t>Ein- oder Zweifamilienhaus_1995 - 2002</t>
  </si>
  <si>
    <t>J</t>
  </si>
  <si>
    <t>Ein- oder Zweifamilienhaus_2003 - 2008</t>
  </si>
  <si>
    <t>EnEV 2009 Anlage 3, Tabelle 1</t>
  </si>
  <si>
    <t>Ein- oder Zweifamilienhaus_2009 - 2022</t>
  </si>
  <si>
    <t>GEG 2023 Anlage 7</t>
  </si>
  <si>
    <t>Ein- oder Zweifamilienhaus_2023 - 2026</t>
  </si>
  <si>
    <t>M</t>
  </si>
  <si>
    <t>Annahme</t>
  </si>
  <si>
    <t>Ein- oder Zweifamilienhaus_2027 - 2045</t>
  </si>
  <si>
    <t>Reihenhaus_1860 - 1918</t>
  </si>
  <si>
    <t>Reihenhaus_1919 - 1948</t>
  </si>
  <si>
    <t>Reihenhaus_1949 - 1957</t>
  </si>
  <si>
    <t>Reihenhaus_1958 - 1968</t>
  </si>
  <si>
    <t>Reihenhaus_1969 - 1978</t>
  </si>
  <si>
    <t>Reihenhaus_1979 - 1983</t>
  </si>
  <si>
    <t>Reihenhaus_1984 - 1994</t>
  </si>
  <si>
    <t>Reihenhaus_1995 - 2002</t>
  </si>
  <si>
    <t>Reihenhaus_2003 - 2008</t>
  </si>
  <si>
    <t>Reihenhaus_2009 - 2022</t>
  </si>
  <si>
    <t>Reihenhaus_2023 - 2026</t>
  </si>
  <si>
    <t>Reihenhaus_2027 - 2045</t>
  </si>
  <si>
    <t>Mehrfamilienhaus_vor 1859</t>
  </si>
  <si>
    <t>Mehrfamilienhaus_1860 - 1918</t>
  </si>
  <si>
    <t>Mehrfamilienhaus_1919 - 1948</t>
  </si>
  <si>
    <t>Mehrfamilienhaus_1949 - 1957</t>
  </si>
  <si>
    <t>Mehrfamilienhaus_1958 - 1968</t>
  </si>
  <si>
    <t>Mehrfamilienhaus_1969 - 1978</t>
  </si>
  <si>
    <t>Mehrfamilienhaus_1979 - 1983</t>
  </si>
  <si>
    <t>Mehrfamilienhaus_1984 - 1994</t>
  </si>
  <si>
    <t>Mehrfamilienhaus_1995 - 2002</t>
  </si>
  <si>
    <t>Mehrfamilienhaus_2003 - 2008</t>
  </si>
  <si>
    <t>Mehrfamilienhaus_2009 - 2022</t>
  </si>
  <si>
    <t>Mehrfamilienhaus_2023 - 2026</t>
  </si>
  <si>
    <t>GEG 2023, Anlage 1!</t>
  </si>
  <si>
    <t>Mehrfamilienhaus_2027 - 2045</t>
  </si>
  <si>
    <t>Großes Mehrfamileinhaus_1860 - 1918</t>
  </si>
  <si>
    <t>Großes Mehrfamileinhaus_1919 - 1948</t>
  </si>
  <si>
    <t>Großes Mehrfamileinhaus_1949 - 1957</t>
  </si>
  <si>
    <t>Großes Mehrfamileinhaus_1958 - 1968</t>
  </si>
  <si>
    <t>Großes Mehrfamileinhaus_1969 - 1978</t>
  </si>
  <si>
    <t>Großes Mehrfamileinhaus_1979 - 1983</t>
  </si>
  <si>
    <t>Großes Mehrfamileinhaus_1984 - 1994</t>
  </si>
  <si>
    <t>Großes Mehrfamileinhaus_1995 - 2002</t>
  </si>
  <si>
    <t>Großes Mehrfamileinhaus_2003 - 2008</t>
  </si>
  <si>
    <t>Großes Mehrfamileinhaus_2009 - 2022</t>
  </si>
  <si>
    <t>Großes Mehrfamileinhaus_2023 - 2026</t>
  </si>
  <si>
    <t>Großes Mehrfamileinhaus_2027 - 2045</t>
  </si>
  <si>
    <t>Neue Bundesländer Mehrfamilienhaus_1949 - 1957</t>
  </si>
  <si>
    <t>Neue Bundesländer Mehrfamilienhaus_1958 - 1968</t>
  </si>
  <si>
    <t>Neue Bundesländer großes Mehrfamilienhaus_1969 - 1978</t>
  </si>
  <si>
    <t>Neue Bundesländer großes Mehrfamilienhaus_1979 - 1983</t>
  </si>
  <si>
    <t>Neue Bundesländer großes Mehrfamilienhaus_1984 - 1994</t>
  </si>
  <si>
    <t>Großes Mehrfamileinhaus</t>
  </si>
  <si>
    <t>Abfrage, ob mehr als 7 WE?</t>
  </si>
  <si>
    <t>Neue Bundesländer Mehrfamilienhaus</t>
  </si>
  <si>
    <t>Neue Bundesländer großes Mehrfamilienhaus</t>
  </si>
  <si>
    <t>Ort</t>
  </si>
  <si>
    <t>Plz</t>
  </si>
  <si>
    <t>Außentemperatur °C</t>
  </si>
  <si>
    <t>Mehrere Plz</t>
  </si>
  <si>
    <t>Lfd Nr</t>
  </si>
  <si>
    <t>Plz Nutzer*in</t>
  </si>
  <si>
    <t>Aach, Hegau</t>
  </si>
  <si>
    <t>78267</t>
  </si>
  <si>
    <t>nein</t>
  </si>
  <si>
    <t>Aalen, Württ.</t>
  </si>
  <si>
    <t>73430</t>
  </si>
  <si>
    <t>Nächstgelegene Plz</t>
  </si>
  <si>
    <t>Ahrensberg</t>
  </si>
  <si>
    <t>38707</t>
  </si>
  <si>
    <t>Normaußentemperatur [°C]</t>
  </si>
  <si>
    <t>Bottenweiler, Post Zumhaus (Wörnitz)</t>
  </si>
  <si>
    <t>06571</t>
  </si>
  <si>
    <t>Edewechterdamm (Friesoythe)</t>
  </si>
  <si>
    <t>26169</t>
  </si>
  <si>
    <t>Gelnhausen</t>
  </si>
  <si>
    <t>63571</t>
  </si>
  <si>
    <t>Hauptschwenda (Neukirchen, Knüllgeb.)</t>
  </si>
  <si>
    <t>34626</t>
  </si>
  <si>
    <t>Inselsberg</t>
  </si>
  <si>
    <t>98599</t>
  </si>
  <si>
    <t>Klippeneck (Denkingen, Württ.)</t>
  </si>
  <si>
    <t>78588</t>
  </si>
  <si>
    <t>Kreuznach, Bad</t>
  </si>
  <si>
    <t>55543</t>
  </si>
  <si>
    <t>ja</t>
  </si>
  <si>
    <t>List auf Sylt</t>
  </si>
  <si>
    <t>25992</t>
  </si>
  <si>
    <t>Merseburg/Saale</t>
  </si>
  <si>
    <t>06217</t>
  </si>
  <si>
    <t>Naumburg</t>
  </si>
  <si>
    <t>34311</t>
  </si>
  <si>
    <t>Nordhausen</t>
  </si>
  <si>
    <t>99734</t>
  </si>
  <si>
    <t>Nürburg</t>
  </si>
  <si>
    <t>53520</t>
  </si>
  <si>
    <t>Oberrotweil</t>
  </si>
  <si>
    <t>79235</t>
  </si>
  <si>
    <t>Offenburg</t>
  </si>
  <si>
    <t>77652</t>
  </si>
  <si>
    <t>Rothenburg ob der Tauber</t>
  </si>
  <si>
    <t>91541</t>
  </si>
  <si>
    <t>Schleswig</t>
  </si>
  <si>
    <t>24837</t>
  </si>
  <si>
    <t>Schwäbisch Gmünd</t>
  </si>
  <si>
    <t>73525</t>
  </si>
  <si>
    <t>Schwerin</t>
  </si>
  <si>
    <t>19053</t>
  </si>
  <si>
    <t>Wasserkuppe</t>
  </si>
  <si>
    <t>36163</t>
  </si>
  <si>
    <t>Wetzlar</t>
  </si>
  <si>
    <t>35578</t>
  </si>
  <si>
    <t>Wittenberg</t>
  </si>
  <si>
    <t>06886</t>
  </si>
  <si>
    <t>52062</t>
  </si>
  <si>
    <t>59227</t>
  </si>
  <si>
    <t>91781</t>
  </si>
  <si>
    <t>58762</t>
  </si>
  <si>
    <t>55232</t>
  </si>
  <si>
    <t>92224</t>
  </si>
  <si>
    <t>56626</t>
  </si>
  <si>
    <t>17389</t>
  </si>
  <si>
    <t>09456</t>
  </si>
  <si>
    <t>91522</t>
  </si>
  <si>
    <t>99510</t>
  </si>
  <si>
    <t>59755</t>
  </si>
  <si>
    <t>59821</t>
  </si>
  <si>
    <t>99310</t>
  </si>
  <si>
    <t>63741</t>
  </si>
  <si>
    <t>06449</t>
  </si>
  <si>
    <t>08209</t>
  </si>
  <si>
    <t>86150</t>
  </si>
  <si>
    <t>88326</t>
  </si>
  <si>
    <t>71522</t>
  </si>
  <si>
    <t>76887</t>
  </si>
  <si>
    <t>56130</t>
  </si>
  <si>
    <t>38667</t>
  </si>
  <si>
    <t>76332</t>
  </si>
  <si>
    <t>36251</t>
  </si>
  <si>
    <t>97688</t>
  </si>
  <si>
    <t>82433</t>
  </si>
  <si>
    <t>61231</t>
  </si>
  <si>
    <t>36433</t>
  </si>
  <si>
    <t>23795</t>
  </si>
  <si>
    <t>83646</t>
  </si>
  <si>
    <t>75323</t>
  </si>
  <si>
    <t>76530</t>
  </si>
  <si>
    <t>79410</t>
  </si>
  <si>
    <t>96047</t>
  </si>
  <si>
    <t>02625</t>
  </si>
  <si>
    <t>95444</t>
  </si>
  <si>
    <t>59269</t>
  </si>
  <si>
    <t>64743</t>
  </si>
  <si>
    <t>64625</t>
  </si>
  <si>
    <t>83471</t>
  </si>
  <si>
    <t>18528</t>
  </si>
  <si>
    <t>51427</t>
  </si>
  <si>
    <t>51429</t>
  </si>
  <si>
    <t>10117</t>
  </si>
  <si>
    <t>16321</t>
  </si>
  <si>
    <t>06406</t>
  </si>
  <si>
    <t>54470</t>
  </si>
  <si>
    <t>66802</t>
  </si>
  <si>
    <t>35216</t>
  </si>
  <si>
    <t>33602</t>
  </si>
  <si>
    <t>55411</t>
  </si>
  <si>
    <t>55765</t>
  </si>
  <si>
    <t>06749</t>
  </si>
  <si>
    <t>38889</t>
  </si>
  <si>
    <t>56865</t>
  </si>
  <si>
    <t>71034</t>
  </si>
  <si>
    <t>46395</t>
  </si>
  <si>
    <t>44787</t>
  </si>
  <si>
    <t>52159</t>
  </si>
  <si>
    <t>53111</t>
  </si>
  <si>
    <t>26757</t>
  </si>
  <si>
    <t>04552</t>
  </si>
  <si>
    <t>46236</t>
  </si>
  <si>
    <t>14770</t>
  </si>
  <si>
    <t>38100</t>
  </si>
  <si>
    <t>28195</t>
  </si>
  <si>
    <t>27568</t>
  </si>
  <si>
    <t>27432</t>
  </si>
  <si>
    <t>59929</t>
  </si>
  <si>
    <t>27386</t>
  </si>
  <si>
    <t>76646</t>
  </si>
  <si>
    <t>50321</t>
  </si>
  <si>
    <t>74722</t>
  </si>
  <si>
    <t>39288</t>
  </si>
  <si>
    <t>96152</t>
  </si>
  <si>
    <t>44575</t>
  </si>
  <si>
    <t>29221</t>
  </si>
  <si>
    <t>09111</t>
  </si>
  <si>
    <t>38674</t>
  </si>
  <si>
    <t>96450</t>
  </si>
  <si>
    <t>48653</t>
  </si>
  <si>
    <t>06869</t>
  </si>
  <si>
    <t>03042</t>
  </si>
  <si>
    <t>74564</t>
  </si>
  <si>
    <t>08451</t>
  </si>
  <si>
    <t>27472</t>
  </si>
  <si>
    <t>85221</t>
  </si>
  <si>
    <t>64283</t>
  </si>
  <si>
    <t>45711</t>
  </si>
  <si>
    <t>04509</t>
  </si>
  <si>
    <t>27749</t>
  </si>
  <si>
    <t>06842</t>
  </si>
  <si>
    <t>32756</t>
  </si>
  <si>
    <t>35683</t>
  </si>
  <si>
    <t>89407</t>
  </si>
  <si>
    <t>46539</t>
  </si>
  <si>
    <t>04720</t>
  </si>
  <si>
    <t>46282</t>
  </si>
  <si>
    <t>44135</t>
  </si>
  <si>
    <t>01067</t>
  </si>
  <si>
    <t>36355</t>
  </si>
  <si>
    <t>66125</t>
  </si>
  <si>
    <t>47051</t>
  </si>
  <si>
    <t>41751</t>
  </si>
  <si>
    <t>48249</t>
  </si>
  <si>
    <t>52349</t>
  </si>
  <si>
    <t>40210</t>
  </si>
  <si>
    <t>16225</t>
  </si>
  <si>
    <t>72458</t>
  </si>
  <si>
    <t>24340</t>
  </si>
  <si>
    <t>04838</t>
  </si>
  <si>
    <t>37574</t>
  </si>
  <si>
    <t>99817</t>
  </si>
  <si>
    <t>15890</t>
  </si>
  <si>
    <t>73479</t>
  </si>
  <si>
    <t>25335</t>
  </si>
  <si>
    <t>50189</t>
  </si>
  <si>
    <t>26721</t>
  </si>
  <si>
    <t>48282</t>
  </si>
  <si>
    <t>51766</t>
  </si>
  <si>
    <t>58256</t>
  </si>
  <si>
    <t>99084</t>
  </si>
  <si>
    <t>91052</t>
  </si>
  <si>
    <t>37269</t>
  </si>
  <si>
    <t>08208</t>
  </si>
  <si>
    <t>52249</t>
  </si>
  <si>
    <t>45127</t>
  </si>
  <si>
    <t>73728</t>
  </si>
  <si>
    <t>76275</t>
  </si>
  <si>
    <t>53879</t>
  </si>
  <si>
    <t>23701</t>
  </si>
  <si>
    <t>14612</t>
  </si>
  <si>
    <t>79868</t>
  </si>
  <si>
    <t>61389</t>
  </si>
  <si>
    <t>70734</t>
  </si>
  <si>
    <t>95686</t>
  </si>
  <si>
    <t>03238</t>
  </si>
  <si>
    <t>24937</t>
  </si>
  <si>
    <t>91301</t>
  </si>
  <si>
    <t>03149</t>
  </si>
  <si>
    <t>67227</t>
  </si>
  <si>
    <t>15230</t>
  </si>
  <si>
    <t>60311</t>
  </si>
  <si>
    <t>50226</t>
  </si>
  <si>
    <t>09599</t>
  </si>
  <si>
    <t>79100</t>
  </si>
  <si>
    <t>85354</t>
  </si>
  <si>
    <t>01705</t>
  </si>
  <si>
    <t>72250</t>
  </si>
  <si>
    <t>88045</t>
  </si>
  <si>
    <t>36037</t>
  </si>
  <si>
    <t>82256</t>
  </si>
  <si>
    <t>15517</t>
  </si>
  <si>
    <t>90762</t>
  </si>
  <si>
    <t>82467</t>
  </si>
  <si>
    <t>21502</t>
  </si>
  <si>
    <t>73312</t>
  </si>
  <si>
    <t>45881</t>
  </si>
  <si>
    <t>07545</t>
  </si>
  <si>
    <t>58285</t>
  </si>
  <si>
    <t>35390</t>
  </si>
  <si>
    <t>38518</t>
  </si>
  <si>
    <t>34630</t>
  </si>
  <si>
    <t>45964</t>
  </si>
  <si>
    <t>08371</t>
  </si>
  <si>
    <t>25348</t>
  </si>
  <si>
    <t>73033</t>
  </si>
  <si>
    <t>02826</t>
  </si>
  <si>
    <t>38640</t>
  </si>
  <si>
    <t>91327</t>
  </si>
  <si>
    <t>99867</t>
  </si>
  <si>
    <t>37073</t>
  </si>
  <si>
    <t>17489</t>
  </si>
  <si>
    <t>07973</t>
  </si>
  <si>
    <t>48268</t>
  </si>
  <si>
    <t>41515</t>
  </si>
  <si>
    <t>48599</t>
  </si>
  <si>
    <t>01558</t>
  </si>
  <si>
    <t>74417</t>
  </si>
  <si>
    <t>03172</t>
  </si>
  <si>
    <t>51643</t>
  </si>
  <si>
    <t>33330</t>
  </si>
  <si>
    <t>58091</t>
  </si>
  <si>
    <t>38820</t>
  </si>
  <si>
    <t>39340</t>
  </si>
  <si>
    <t>06108</t>
  </si>
  <si>
    <t>20144</t>
  </si>
  <si>
    <t>31785</t>
  </si>
  <si>
    <t>59063</t>
  </si>
  <si>
    <t>59075</t>
  </si>
  <si>
    <t>63450</t>
  </si>
  <si>
    <t>30159</t>
  </si>
  <si>
    <t>45525</t>
  </si>
  <si>
    <t>25746</t>
  </si>
  <si>
    <t>69115</t>
  </si>
  <si>
    <t>01809</t>
  </si>
  <si>
    <t>89518</t>
  </si>
  <si>
    <t>74072</t>
  </si>
  <si>
    <t>42579</t>
  </si>
  <si>
    <t>38350</t>
  </si>
  <si>
    <t>58675</t>
  </si>
  <si>
    <t>16761</t>
  </si>
  <si>
    <t>32049</t>
  </si>
  <si>
    <t>37293</t>
  </si>
  <si>
    <t>44623</t>
  </si>
  <si>
    <t>44649</t>
  </si>
  <si>
    <t>45699</t>
  </si>
  <si>
    <t>06333</t>
  </si>
  <si>
    <t>40721</t>
  </si>
  <si>
    <t>31134</t>
  </si>
  <si>
    <t>79862</t>
  </si>
  <si>
    <t>95030</t>
  </si>
  <si>
    <t>97461</t>
  </si>
  <si>
    <t>58119</t>
  </si>
  <si>
    <t>82383</t>
  </si>
  <si>
    <t>37603</t>
  </si>
  <si>
    <t>47198</t>
  </si>
  <si>
    <t>61348</t>
  </si>
  <si>
    <t>66424</t>
  </si>
  <si>
    <t>02977</t>
  </si>
  <si>
    <t>41836</t>
  </si>
  <si>
    <t>50354</t>
  </si>
  <si>
    <t>25813</t>
  </si>
  <si>
    <t>49477</t>
  </si>
  <si>
    <t>55743</t>
  </si>
  <si>
    <t>98693</t>
  </si>
  <si>
    <t>85049</t>
  </si>
  <si>
    <t>58638</t>
  </si>
  <si>
    <t>58642</t>
  </si>
  <si>
    <t>25524</t>
  </si>
  <si>
    <t>07443</t>
  </si>
  <si>
    <t>63796</t>
  </si>
  <si>
    <t>67655</t>
  </si>
  <si>
    <t>59174</t>
  </si>
  <si>
    <t>01917</t>
  </si>
  <si>
    <t>47475</t>
  </si>
  <si>
    <t>86668</t>
  </si>
  <si>
    <t>76131</t>
  </si>
  <si>
    <t>34117</t>
  </si>
  <si>
    <t>87600</t>
  </si>
  <si>
    <t>87435</t>
  </si>
  <si>
    <t>24103</t>
  </si>
  <si>
    <t>83098</t>
  </si>
  <si>
    <t>73230</t>
  </si>
  <si>
    <t>47533</t>
  </si>
  <si>
    <t>56068</t>
  </si>
  <si>
    <t>50667</t>
  </si>
  <si>
    <t>50668</t>
  </si>
  <si>
    <t>15711</t>
  </si>
  <si>
    <t>61462</t>
  </si>
  <si>
    <t>78464</t>
  </si>
  <si>
    <t>70806</t>
  </si>
  <si>
    <t>06366</t>
  </si>
  <si>
    <t>47798</t>
  </si>
  <si>
    <t>59494</t>
  </si>
  <si>
    <t>96317</t>
  </si>
  <si>
    <t>95326</t>
  </si>
  <si>
    <t>74653</t>
  </si>
  <si>
    <t>77933</t>
  </si>
  <si>
    <t>68623</t>
  </si>
  <si>
    <t>76829</t>
  </si>
  <si>
    <t>88400</t>
  </si>
  <si>
    <t>18273</t>
  </si>
  <si>
    <t>26789</t>
  </si>
  <si>
    <t>93047</t>
  </si>
  <si>
    <t>72760</t>
  </si>
  <si>
    <t>74523</t>
  </si>
  <si>
    <t>97421</t>
  </si>
  <si>
    <t>84028</t>
  </si>
  <si>
    <t>63225</t>
  </si>
  <si>
    <t>40764</t>
  </si>
  <si>
    <t>37115</t>
  </si>
  <si>
    <t>26465</t>
  </si>
  <si>
    <t>01979</t>
  </si>
  <si>
    <t>97922</t>
  </si>
  <si>
    <t>31275</t>
  </si>
  <si>
    <t>04103</t>
  </si>
  <si>
    <t>32657</t>
  </si>
  <si>
    <t>49525</t>
  </si>
  <si>
    <t>71229</t>
  </si>
  <si>
    <t>51371</t>
  </si>
  <si>
    <t>09212</t>
  </si>
  <si>
    <t>88131</t>
  </si>
  <si>
    <t>49808</t>
  </si>
  <si>
    <t>59555</t>
  </si>
  <si>
    <t>02708</t>
  </si>
  <si>
    <t>65391</t>
  </si>
  <si>
    <t>79539</t>
  </si>
  <si>
    <t>03222</t>
  </si>
  <si>
    <t>23552</t>
  </si>
  <si>
    <t>14943</t>
  </si>
  <si>
    <t>58507</t>
  </si>
  <si>
    <t>71634</t>
  </si>
  <si>
    <t>14974</t>
  </si>
  <si>
    <t>67059</t>
  </si>
  <si>
    <t>21335</t>
  </si>
  <si>
    <t>44532</t>
  </si>
  <si>
    <t>06295</t>
  </si>
  <si>
    <t>39104</t>
  </si>
  <si>
    <t>55116</t>
  </si>
  <si>
    <t>68159</t>
  </si>
  <si>
    <t>35037</t>
  </si>
  <si>
    <t>04416</t>
  </si>
  <si>
    <t>45768</t>
  </si>
  <si>
    <t>08393</t>
  </si>
  <si>
    <t>88709</t>
  </si>
  <si>
    <t>98617</t>
  </si>
  <si>
    <t>01662</t>
  </si>
  <si>
    <t>87700</t>
  </si>
  <si>
    <t>58706</t>
  </si>
  <si>
    <t>79227</t>
  </si>
  <si>
    <t>71263</t>
  </si>
  <si>
    <t>94526</t>
  </si>
  <si>
    <t>40822</t>
  </si>
  <si>
    <t>32423</t>
  </si>
  <si>
    <t>82481</t>
  </si>
  <si>
    <t>09648</t>
  </si>
  <si>
    <t>47441</t>
  </si>
  <si>
    <t>41061</t>
  </si>
  <si>
    <t>40789</t>
  </si>
  <si>
    <t>99974</t>
  </si>
  <si>
    <t>45478</t>
  </si>
  <si>
    <t>80331</t>
  </si>
  <si>
    <t>72525</t>
  </si>
  <si>
    <t>48143</t>
  </si>
  <si>
    <t>17033</t>
  </si>
  <si>
    <t>63263</t>
  </si>
  <si>
    <t>47506</t>
  </si>
  <si>
    <t>24534</t>
  </si>
  <si>
    <t>66538</t>
  </si>
  <si>
    <t>16816</t>
  </si>
  <si>
    <t>41460</t>
  </si>
  <si>
    <t>67433</t>
  </si>
  <si>
    <t>17235</t>
  </si>
  <si>
    <t>89231</t>
  </si>
  <si>
    <t>56564</t>
  </si>
  <si>
    <t>31582</t>
  </si>
  <si>
    <t>26954</t>
  </si>
  <si>
    <t>26548</t>
  </si>
  <si>
    <t>48527</t>
  </si>
  <si>
    <t>86270</t>
  </si>
  <si>
    <t>90402</t>
  </si>
  <si>
    <t>72622</t>
  </si>
  <si>
    <t>83080</t>
  </si>
  <si>
    <t>46045</t>
  </si>
  <si>
    <t>87561</t>
  </si>
  <si>
    <t>61440</t>
  </si>
  <si>
    <t>92526</t>
  </si>
  <si>
    <t>09484</t>
  </si>
  <si>
    <t>45739</t>
  </si>
  <si>
    <t>63065</t>
  </si>
  <si>
    <t>74613</t>
  </si>
  <si>
    <t>26121</t>
  </si>
  <si>
    <t>16515</t>
  </si>
  <si>
    <t>04758</t>
  </si>
  <si>
    <t>49074</t>
  </si>
  <si>
    <t>87466</t>
  </si>
  <si>
    <t>33098</t>
  </si>
  <si>
    <t>19370</t>
  </si>
  <si>
    <t>92331</t>
  </si>
  <si>
    <t>94032</t>
  </si>
  <si>
    <t>31224</t>
  </si>
  <si>
    <t>75172</t>
  </si>
  <si>
    <t>25421</t>
  </si>
  <si>
    <t>66953</t>
  </si>
  <si>
    <t>01796</t>
  </si>
  <si>
    <t>08523</t>
  </si>
  <si>
    <t>58840</t>
  </si>
  <si>
    <t>91224</t>
  </si>
  <si>
    <t>14467</t>
  </si>
  <si>
    <t>17291</t>
  </si>
  <si>
    <t>06484</t>
  </si>
  <si>
    <t>25712</t>
  </si>
  <si>
    <t>01445</t>
  </si>
  <si>
    <t>42477</t>
  </si>
  <si>
    <t>76437</t>
  </si>
  <si>
    <t>14712</t>
  </si>
  <si>
    <t>40878</t>
  </si>
  <si>
    <t>88212</t>
  </si>
  <si>
    <t>45657</t>
  </si>
  <si>
    <t>66111</t>
  </si>
  <si>
    <t>08468</t>
  </si>
  <si>
    <t>42853</t>
  </si>
  <si>
    <t>24768</t>
  </si>
  <si>
    <t>48429</t>
  </si>
  <si>
    <t>79365</t>
  </si>
  <si>
    <t>41199</t>
  </si>
  <si>
    <t>01587</t>
  </si>
  <si>
    <t>83022</t>
  </si>
  <si>
    <t>18055</t>
  </si>
  <si>
    <t>07407</t>
  </si>
  <si>
    <t>65428</t>
  </si>
  <si>
    <t>07318</t>
  </si>
  <si>
    <t>66740</t>
  </si>
  <si>
    <t>38226</t>
  </si>
  <si>
    <t>29410</t>
  </si>
  <si>
    <t>06256</t>
  </si>
  <si>
    <t>08289</t>
  </si>
  <si>
    <t>72290</t>
  </si>
  <si>
    <t>39218</t>
  </si>
  <si>
    <t>91626</t>
  </si>
  <si>
    <t>73614</t>
  </si>
  <si>
    <t>63679</t>
  </si>
  <si>
    <t>91126</t>
  </si>
  <si>
    <t>08340</t>
  </si>
  <si>
    <t>16303</t>
  </si>
  <si>
    <t>58332</t>
  </si>
  <si>
    <t>58239</t>
  </si>
  <si>
    <t>95100</t>
  </si>
  <si>
    <t>01968</t>
  </si>
  <si>
    <t>53721</t>
  </si>
  <si>
    <t>57072</t>
  </si>
  <si>
    <t>72488</t>
  </si>
  <si>
    <t>71063</t>
  </si>
  <si>
    <t>78224</t>
  </si>
  <si>
    <t>42651</t>
  </si>
  <si>
    <t>29614</t>
  </si>
  <si>
    <t>99610</t>
  </si>
  <si>
    <t>99706</t>
  </si>
  <si>
    <t>08355</t>
  </si>
  <si>
    <t>67346</t>
  </si>
  <si>
    <t>02742</t>
  </si>
  <si>
    <t>79837</t>
  </si>
  <si>
    <t>66386</t>
  </si>
  <si>
    <t>21680</t>
  </si>
  <si>
    <t>39418</t>
  </si>
  <si>
    <t>39576</t>
  </si>
  <si>
    <t>52222</t>
  </si>
  <si>
    <t>18437</t>
  </si>
  <si>
    <t>94315</t>
  </si>
  <si>
    <t>15344</t>
  </si>
  <si>
    <t>70173</t>
  </si>
  <si>
    <t>98527</t>
  </si>
  <si>
    <t>66280</t>
  </si>
  <si>
    <t>04860</t>
  </si>
  <si>
    <t>54290</t>
  </si>
  <si>
    <t>72070</t>
  </si>
  <si>
    <t>78532</t>
  </si>
  <si>
    <t>52531</t>
  </si>
  <si>
    <t>29525</t>
  </si>
  <si>
    <t>89073</t>
  </si>
  <si>
    <t>59423</t>
  </si>
  <si>
    <t>42549</t>
  </si>
  <si>
    <t>68519</t>
  </si>
  <si>
    <t>41747</t>
  </si>
  <si>
    <t>78048</t>
  </si>
  <si>
    <t>46562</t>
  </si>
  <si>
    <t>66333</t>
  </si>
  <si>
    <t>71332</t>
  </si>
  <si>
    <t>34513</t>
  </si>
  <si>
    <t>45731</t>
  </si>
  <si>
    <t>17192</t>
  </si>
  <si>
    <t>83512</t>
  </si>
  <si>
    <t>44866</t>
  </si>
  <si>
    <t>22880</t>
  </si>
  <si>
    <t>92637</t>
  </si>
  <si>
    <t>35781</t>
  </si>
  <si>
    <t>99423</t>
  </si>
  <si>
    <t>69469</t>
  </si>
  <si>
    <t>06667</t>
  </si>
  <si>
    <t>02943</t>
  </si>
  <si>
    <t>06642</t>
  </si>
  <si>
    <t>04886</t>
  </si>
  <si>
    <t>58791</t>
  </si>
  <si>
    <t>42929</t>
  </si>
  <si>
    <t>59368</t>
  </si>
  <si>
    <t>38855</t>
  </si>
  <si>
    <t>97877</t>
  </si>
  <si>
    <t>46483</t>
  </si>
  <si>
    <t>50389</t>
  </si>
  <si>
    <t>65183</t>
  </si>
  <si>
    <t>26382</t>
  </si>
  <si>
    <t>34508</t>
  </si>
  <si>
    <t>21710</t>
  </si>
  <si>
    <t>23966</t>
  </si>
  <si>
    <t>58452</t>
  </si>
  <si>
    <t>19322</t>
  </si>
  <si>
    <t>37213</t>
  </si>
  <si>
    <t>06766</t>
  </si>
  <si>
    <t>38300</t>
  </si>
  <si>
    <t>38440</t>
  </si>
  <si>
    <t>67547</t>
  </si>
  <si>
    <t>42489</t>
  </si>
  <si>
    <t>42103</t>
  </si>
  <si>
    <t>52146</t>
  </si>
  <si>
    <t>97070</t>
  </si>
  <si>
    <t>04808</t>
  </si>
  <si>
    <t>39249</t>
  </si>
  <si>
    <t>39261</t>
  </si>
  <si>
    <t>02763</t>
  </si>
  <si>
    <t>66487</t>
  </si>
  <si>
    <t>08056</t>
  </si>
  <si>
    <t>Original aus 1946-6</t>
  </si>
  <si>
    <t>Windstarke Landkreise nach DIN 1946-6</t>
  </si>
  <si>
    <t>PLZ Name (short)</t>
  </si>
  <si>
    <t>Postleitzahl / Post code</t>
  </si>
  <si>
    <t>Kreis code</t>
  </si>
  <si>
    <t>Land name</t>
  </si>
  <si>
    <t>Kreis name</t>
  </si>
  <si>
    <t>Geschossigkeit</t>
  </si>
  <si>
    <t>Lage</t>
  </si>
  <si>
    <t>Abschirmungskoeffizient analog ISO 13789 und EN 832</t>
  </si>
  <si>
    <t>Auslegungsdifferenzdruck nach DIN 1946-6 [Pa]</t>
  </si>
  <si>
    <t>Landkreis</t>
  </si>
  <si>
    <t>Aachen</t>
  </si>
  <si>
    <t>Aach</t>
  </si>
  <si>
    <t>Baden-Württemberg</t>
  </si>
  <si>
    <t>Konstanz</t>
  </si>
  <si>
    <t>Eingeschossig</t>
  </si>
  <si>
    <t>Windschwach</t>
  </si>
  <si>
    <t>Ahrweiler</t>
  </si>
  <si>
    <t>Nordrhein-Westfalen</t>
  </si>
  <si>
    <t>Windstark</t>
  </si>
  <si>
    <t>Bad Neuenahr-Ahrweiler</t>
  </si>
  <si>
    <t>Mehrgeschossig</t>
  </si>
  <si>
    <t>Alb-Donau-Kreis</t>
  </si>
  <si>
    <t>Altmarkkreis Salzwedel</t>
  </si>
  <si>
    <t>Alzey-Worms</t>
  </si>
  <si>
    <t>Ammerland</t>
  </si>
  <si>
    <t>Annaberg</t>
  </si>
  <si>
    <t>Erzgebirgskreis</t>
  </si>
  <si>
    <t>Aue-Schwarzenberg</t>
  </si>
  <si>
    <t>Aurich</t>
  </si>
  <si>
    <t>Bad Doberan</t>
  </si>
  <si>
    <t>Rostock</t>
  </si>
  <si>
    <t>Bad Kreuznach</t>
  </si>
  <si>
    <t>Aalen</t>
  </si>
  <si>
    <t>Ostalbkreis</t>
  </si>
  <si>
    <t>Barnim</t>
  </si>
  <si>
    <t>Bautzen</t>
  </si>
  <si>
    <t>Berchtesgadener Land</t>
  </si>
  <si>
    <t>Bernkastel-Wittlich</t>
  </si>
  <si>
    <t>Bielefeld</t>
  </si>
  <si>
    <t>Aarbergen</t>
  </si>
  <si>
    <t>Hessen</t>
  </si>
  <si>
    <t>Rheingau-Taunus-Kreis</t>
  </si>
  <si>
    <t>Birkenfeld</t>
  </si>
  <si>
    <t>Abenberg</t>
  </si>
  <si>
    <t>Bayern</t>
  </si>
  <si>
    <t>Roth</t>
  </si>
  <si>
    <t>Börde</t>
  </si>
  <si>
    <t>Abensberg</t>
  </si>
  <si>
    <t>Kelheim</t>
  </si>
  <si>
    <t>Borken</t>
  </si>
  <si>
    <t>Absberg</t>
  </si>
  <si>
    <t>Weißenburg-Gunzenhausen</t>
  </si>
  <si>
    <t>Bottrop</t>
  </si>
  <si>
    <t>Abstatt</t>
  </si>
  <si>
    <t>Heilbronn</t>
  </si>
  <si>
    <t>Breisgau-Hochschwarzwald</t>
  </si>
  <si>
    <t>Abtsgmünd</t>
  </si>
  <si>
    <t xml:space="preserve"> Bremen</t>
  </si>
  <si>
    <t>Abtsteinach</t>
  </si>
  <si>
    <t>Bergstraße</t>
  </si>
  <si>
    <t xml:space="preserve"> Bremerhaven</t>
  </si>
  <si>
    <t>Achberg</t>
  </si>
  <si>
    <t>Ravensburg</t>
  </si>
  <si>
    <t>Cloppenburg</t>
  </si>
  <si>
    <t>Achern (Abweichung Exklaven)</t>
  </si>
  <si>
    <t>Ortenaukreis</t>
  </si>
  <si>
    <t>Cochem-Zell</t>
  </si>
  <si>
    <t>Achim</t>
  </si>
  <si>
    <t>Niedersachsen</t>
  </si>
  <si>
    <t>Verden</t>
  </si>
  <si>
    <t>Coesfeld</t>
  </si>
  <si>
    <t>Achslach</t>
  </si>
  <si>
    <t>Regen</t>
  </si>
  <si>
    <t>Cuxhaven</t>
  </si>
  <si>
    <t>Achstetten</t>
  </si>
  <si>
    <t>Biberach</t>
  </si>
  <si>
    <t>Delitzsch</t>
  </si>
  <si>
    <t>Nordsachsen</t>
  </si>
  <si>
    <t>Achterwehr</t>
  </si>
  <si>
    <t>Schleswig-Holstein</t>
  </si>
  <si>
    <t>Rendsburg-Eckernförde</t>
  </si>
  <si>
    <t xml:space="preserve"> Delmenhorst</t>
  </si>
  <si>
    <t>Adelberg</t>
  </si>
  <si>
    <t>Göppingen</t>
  </si>
  <si>
    <t>Demmin</t>
  </si>
  <si>
    <t>Mecklenburgische Seenplatte</t>
  </si>
  <si>
    <t>Adelebsen</t>
  </si>
  <si>
    <t>Göttingen</t>
  </si>
  <si>
    <t>Diepholz</t>
  </si>
  <si>
    <t>Adelheidsdorf</t>
  </si>
  <si>
    <t>Celle</t>
  </si>
  <si>
    <t>Dithmarschen</t>
  </si>
  <si>
    <t>Adelmannsfelden</t>
  </si>
  <si>
    <t>Döbeln</t>
  </si>
  <si>
    <t>Mittelsachsen</t>
  </si>
  <si>
    <t>Adelschlag</t>
  </si>
  <si>
    <t>Eichstätt</t>
  </si>
  <si>
    <t>Donnersbergkreis</t>
  </si>
  <si>
    <t>Adelsdorf</t>
  </si>
  <si>
    <t>Erlangen-Höchstadt</t>
  </si>
  <si>
    <t>Düren</t>
  </si>
  <si>
    <t>Adelsheim</t>
  </si>
  <si>
    <t>Neckar-Odenwald-Kreis</t>
  </si>
  <si>
    <t>Eichsfeld</t>
  </si>
  <si>
    <t>Adelshofen</t>
  </si>
  <si>
    <t>Fürstenfeldbruck</t>
  </si>
  <si>
    <t>Eifelkreis Bitburg-Prüm</t>
  </si>
  <si>
    <t>Ansbach</t>
  </si>
  <si>
    <t>Emden/Ostfriesland</t>
  </si>
  <si>
    <t xml:space="preserve"> Emden</t>
  </si>
  <si>
    <t>Adelsried</t>
  </si>
  <si>
    <t>Augsburg</t>
  </si>
  <si>
    <t>Emsland</t>
  </si>
  <si>
    <t>Adelzhausen</t>
  </si>
  <si>
    <t>Aichach-Friedberg</t>
  </si>
  <si>
    <t>Meppen</t>
  </si>
  <si>
    <t>Adenau, Kottenborn u.a.</t>
  </si>
  <si>
    <t>Rheinland-Pfalz</t>
  </si>
  <si>
    <t>Ennepe-Ruhr-Kreis</t>
  </si>
  <si>
    <t>Adenbüttel</t>
  </si>
  <si>
    <t>Gifhorn</t>
  </si>
  <si>
    <t>Euskirchen</t>
  </si>
  <si>
    <t>Adendorf</t>
  </si>
  <si>
    <t>Lüneburg</t>
  </si>
  <si>
    <t xml:space="preserve"> Flensburg</t>
  </si>
  <si>
    <t>Adlkofen</t>
  </si>
  <si>
    <t>Landshut</t>
  </si>
  <si>
    <t xml:space="preserve"> Frankfurt (Oder)</t>
  </si>
  <si>
    <t>Adorf</t>
  </si>
  <si>
    <t>Sachsen</t>
  </si>
  <si>
    <t>Vogtlandkreis</t>
  </si>
  <si>
    <t>Freiberg</t>
  </si>
  <si>
    <t>Aerzen</t>
  </si>
  <si>
    <t>Hameln-Pyrmont</t>
  </si>
  <si>
    <t>Freyung-Grafenau</t>
  </si>
  <si>
    <t>Affalterbach</t>
  </si>
  <si>
    <t>Ludwigsburg</t>
  </si>
  <si>
    <t>Friesland</t>
  </si>
  <si>
    <t>Affing</t>
  </si>
  <si>
    <t>Fulda</t>
  </si>
  <si>
    <t>Affinghausen und Sudwalde</t>
  </si>
  <si>
    <t>Garmisch-Partenkirchen</t>
  </si>
  <si>
    <t>Aglasterhausen</t>
  </si>
  <si>
    <t>Aham</t>
  </si>
  <si>
    <t>Görlitz</t>
  </si>
  <si>
    <t>Ahaus</t>
  </si>
  <si>
    <t>Goslar</t>
  </si>
  <si>
    <t>Ahlen</t>
  </si>
  <si>
    <t>Warendorf</t>
  </si>
  <si>
    <t>Gotha</t>
  </si>
  <si>
    <t>Grafschaft Bentheim</t>
  </si>
  <si>
    <t>Ahlerstedt</t>
  </si>
  <si>
    <t>Stade</t>
  </si>
  <si>
    <t>Greifswald</t>
  </si>
  <si>
    <t>Vorpommern-Greifswald</t>
  </si>
  <si>
    <t>Ahnatal</t>
  </si>
  <si>
    <t>Kassel</t>
  </si>
  <si>
    <t>Güstrow</t>
  </si>
  <si>
    <t>Ahnsbeck</t>
  </si>
  <si>
    <t>Gütersloh</t>
  </si>
  <si>
    <t>Ahnsen</t>
  </si>
  <si>
    <t>Schaumburg</t>
  </si>
  <si>
    <t xml:space="preserve"> Hamburg</t>
  </si>
  <si>
    <t>Aholfing</t>
  </si>
  <si>
    <t>Straubing-Bogen</t>
  </si>
  <si>
    <t>Aholming</t>
  </si>
  <si>
    <t>Deggendorf</t>
  </si>
  <si>
    <t xml:space="preserve"> Hamm</t>
  </si>
  <si>
    <t>Ahorn</t>
  </si>
  <si>
    <t>Main-Tauber-Kreis</t>
  </si>
  <si>
    <t>Harburg</t>
  </si>
  <si>
    <t>Coburg</t>
  </si>
  <si>
    <t>Harz</t>
  </si>
  <si>
    <t>Ahorntal</t>
  </si>
  <si>
    <t>Bayreuth</t>
  </si>
  <si>
    <t>Havelland</t>
  </si>
  <si>
    <t>Ahrbrück, Heckenbach, Hönningen, Kesseling, Rech</t>
  </si>
  <si>
    <t>Heinsberg</t>
  </si>
  <si>
    <t>Ahrensbök</t>
  </si>
  <si>
    <t>Ostholstein</t>
  </si>
  <si>
    <t>Helmstedt</t>
  </si>
  <si>
    <t>Ahrensburg</t>
  </si>
  <si>
    <t>Stormarn</t>
  </si>
  <si>
    <t>Herford</t>
  </si>
  <si>
    <t>Ahrenshagen-Daskow, Trinwillershagen u.a.</t>
  </si>
  <si>
    <t>Mecklenburg-Vorpommern</t>
  </si>
  <si>
    <t>Vorpommern-Rügen</t>
  </si>
  <si>
    <t>Herzogtum Lauenburg</t>
  </si>
  <si>
    <t>Ahrenshöft</t>
  </si>
  <si>
    <t>Nordfriesland</t>
  </si>
  <si>
    <t>Hildesheim</t>
  </si>
  <si>
    <t>Aicha vorm Wald</t>
  </si>
  <si>
    <t>Passau</t>
  </si>
  <si>
    <t>Hochsauerlandkreis</t>
  </si>
  <si>
    <t>Aichach</t>
  </si>
  <si>
    <t>Hof</t>
  </si>
  <si>
    <t>Aichelberg</t>
  </si>
  <si>
    <t>Höxter</t>
  </si>
  <si>
    <t>Aichen</t>
  </si>
  <si>
    <t>Günzburg</t>
  </si>
  <si>
    <t>Ilm-Kreis</t>
  </si>
  <si>
    <t>Aichhalden</t>
  </si>
  <si>
    <t>Rottweil</t>
  </si>
  <si>
    <t xml:space="preserve"> Kempten (Allgäu)</t>
  </si>
  <si>
    <t>Aichstetten</t>
  </si>
  <si>
    <t xml:space="preserve"> Kiel</t>
  </si>
  <si>
    <t>Aichtal</t>
  </si>
  <si>
    <t>Esslingen</t>
  </si>
  <si>
    <t>Kleve</t>
  </si>
  <si>
    <t>Aichwald</t>
  </si>
  <si>
    <t>Kusel</t>
  </si>
  <si>
    <t>Aidhausen</t>
  </si>
  <si>
    <t>Haßberge</t>
  </si>
  <si>
    <t>Leer/Ostfriesland</t>
  </si>
  <si>
    <t>Leer</t>
  </si>
  <si>
    <t>Aidlingen</t>
  </si>
  <si>
    <t>Böblingen</t>
  </si>
  <si>
    <t>Lippe</t>
  </si>
  <si>
    <t>Aiglsbach</t>
  </si>
  <si>
    <t>Löbau-Zittau</t>
  </si>
  <si>
    <t>Aindling</t>
  </si>
  <si>
    <t>Lörrach</t>
  </si>
  <si>
    <t>Ainring</t>
  </si>
  <si>
    <t xml:space="preserve"> Lübeck</t>
  </si>
  <si>
    <t>Aislingen</t>
  </si>
  <si>
    <t>Dillingen a.d. Donau</t>
  </si>
  <si>
    <t>Lüchow-Dannenberg</t>
  </si>
  <si>
    <t>Aiterhofen</t>
  </si>
  <si>
    <t>Ludwigslust-Parchim</t>
  </si>
  <si>
    <t>Aitrach</t>
  </si>
  <si>
    <t>Aitrang</t>
  </si>
  <si>
    <t>Ostallgäu</t>
  </si>
  <si>
    <t>Mainz-Bingen</t>
  </si>
  <si>
    <t>Märkischer Kreis</t>
  </si>
  <si>
    <t>Aken (Elbe)</t>
  </si>
  <si>
    <t>Sachsen-Anhalt</t>
  </si>
  <si>
    <t>Anhalt-Bitterfeld</t>
  </si>
  <si>
    <t>Märkisch-Oderland</t>
  </si>
  <si>
    <t>Albaching</t>
  </si>
  <si>
    <t>Rosenheim</t>
  </si>
  <si>
    <t>Mayen-Koblenz</t>
  </si>
  <si>
    <t>Albbruck</t>
  </si>
  <si>
    <t>Waldshut</t>
  </si>
  <si>
    <t>Mecklenburg-Strelitz</t>
  </si>
  <si>
    <t>Albersdorf</t>
  </si>
  <si>
    <t>Meißen</t>
  </si>
  <si>
    <t>Mettmann</t>
  </si>
  <si>
    <t>Albershausen</t>
  </si>
  <si>
    <t>Miesbach</t>
  </si>
  <si>
    <t>Albersweiler, Silz u.a.</t>
  </si>
  <si>
    <t>Südliche Weinstraße</t>
  </si>
  <si>
    <t>Minden-Lübbecke</t>
  </si>
  <si>
    <t>Albertshofen</t>
  </si>
  <si>
    <t>Kitzingen</t>
  </si>
  <si>
    <t>Mittlerer Erzgebirgskreis</t>
  </si>
  <si>
    <t>Mittweida</t>
  </si>
  <si>
    <t xml:space="preserve"> Mönchengladbach</t>
  </si>
  <si>
    <t>Albig</t>
  </si>
  <si>
    <t xml:space="preserve"> Münster</t>
  </si>
  <si>
    <t>Müritz</t>
  </si>
  <si>
    <t>Albisheim (Pfrimm)</t>
  </si>
  <si>
    <t>Neubrandenburg</t>
  </si>
  <si>
    <t>Albstadt</t>
  </si>
  <si>
    <t>Zollernalbkreis</t>
  </si>
  <si>
    <t xml:space="preserve"> Neumünster</t>
  </si>
  <si>
    <t>Nienburg (Weser)</t>
  </si>
  <si>
    <t>Aldenhoven</t>
  </si>
  <si>
    <t>Nordvorpommern</t>
  </si>
  <si>
    <t>Aldersbach</t>
  </si>
  <si>
    <t>Nordwestmecklenburg</t>
  </si>
  <si>
    <t>Aldingen</t>
  </si>
  <si>
    <t>Tuttlingen</t>
  </si>
  <si>
    <t>Oberallgäu</t>
  </si>
  <si>
    <t>Alerheim</t>
  </si>
  <si>
    <t>Donau-Ries</t>
  </si>
  <si>
    <t>Oberbergischer Kreis</t>
  </si>
  <si>
    <t>Alesheim</t>
  </si>
  <si>
    <t>Oberhavel</t>
  </si>
  <si>
    <t>Aletshausen</t>
  </si>
  <si>
    <t>Oldenburg</t>
  </si>
  <si>
    <t>Alfdorf, Schillinghof</t>
  </si>
  <si>
    <t>Rems-Murr-Kreis</t>
  </si>
  <si>
    <t xml:space="preserve"> Oldenburg (Oldb)</t>
  </si>
  <si>
    <t>Olpe</t>
  </si>
  <si>
    <t>Alfeld</t>
  </si>
  <si>
    <t>Nürnberger Land</t>
  </si>
  <si>
    <t>Osnabrück</t>
  </si>
  <si>
    <t>Alfeld (Leine)</t>
  </si>
  <si>
    <t>Alfhausen</t>
  </si>
  <si>
    <t>Osterholz</t>
  </si>
  <si>
    <t>Alflen</t>
  </si>
  <si>
    <t>Alfter</t>
  </si>
  <si>
    <t>Rhein-Sieg-Kreis</t>
  </si>
  <si>
    <t>Ostprignitz-Ruppin</t>
  </si>
  <si>
    <t>Algermissen</t>
  </si>
  <si>
    <t>Ostvorpommern</t>
  </si>
  <si>
    <t>Alheim</t>
  </si>
  <si>
    <t>Hersfeld-Rotenburg</t>
  </si>
  <si>
    <t>Paderborn</t>
  </si>
  <si>
    <t>Allendorf</t>
  </si>
  <si>
    <t>Gießen</t>
  </si>
  <si>
    <t>Parchim</t>
  </si>
  <si>
    <t>Waldeck-Frankenberg</t>
  </si>
  <si>
    <t>Peine</t>
  </si>
  <si>
    <t>Allensbach</t>
  </si>
  <si>
    <t>Pinneberg</t>
  </si>
  <si>
    <t>Allersberg</t>
  </si>
  <si>
    <t>Plön</t>
  </si>
  <si>
    <t>Allershausen</t>
  </si>
  <si>
    <t>Freising</t>
  </si>
  <si>
    <t>Prignitz</t>
  </si>
  <si>
    <t>Alling</t>
  </si>
  <si>
    <t>Recklinghausen</t>
  </si>
  <si>
    <t>Allmendingen</t>
  </si>
  <si>
    <t>Hannover</t>
  </si>
  <si>
    <t>Region Hannover</t>
  </si>
  <si>
    <t>Allmersbach im Tal</t>
  </si>
  <si>
    <t>Allstedt</t>
  </si>
  <si>
    <t>Mansfeld-Südharz</t>
  </si>
  <si>
    <t>Reutlingen</t>
  </si>
  <si>
    <t>Rhein-Erft-Kreis</t>
  </si>
  <si>
    <t>Alpen</t>
  </si>
  <si>
    <t>Wesel</t>
  </si>
  <si>
    <t>Rhein-Hunsrück-Kreis</t>
  </si>
  <si>
    <t>Alpenrod</t>
  </si>
  <si>
    <t>Westerwaldkreis</t>
  </si>
  <si>
    <t>Rhein-Kreis Neuss</t>
  </si>
  <si>
    <t>Rhein-Neuss</t>
  </si>
  <si>
    <t>Riesa-Großenhain</t>
  </si>
  <si>
    <t>Alpirsbach</t>
  </si>
  <si>
    <t>Freudenstadt</t>
  </si>
  <si>
    <t>Alsbach-Hähnlein</t>
  </si>
  <si>
    <t>Darmstadt-Dieburg</t>
  </si>
  <si>
    <t>Rotenburg (Wümme)</t>
  </si>
  <si>
    <t>Alsdorf</t>
  </si>
  <si>
    <t xml:space="preserve"> Aachen</t>
  </si>
  <si>
    <t>Rügen</t>
  </si>
  <si>
    <t>Alsenz</t>
  </si>
  <si>
    <t>Saalekreis</t>
  </si>
  <si>
    <t>Alsfeld</t>
  </si>
  <si>
    <t>Vogelsbergkreis</t>
  </si>
  <si>
    <t>Sächsische Schweiz-Osterzgebirge</t>
  </si>
  <si>
    <t>Alsheim</t>
  </si>
  <si>
    <t xml:space="preserve"> Salzgitter</t>
  </si>
  <si>
    <t>Alsleben/Saale, Plötzkau</t>
  </si>
  <si>
    <t>Salzlandkreis</t>
  </si>
  <si>
    <t>Alt Duvenstedt</t>
  </si>
  <si>
    <t>Altbach</t>
  </si>
  <si>
    <t>Schleswig-Flensburg</t>
  </si>
  <si>
    <t>Altdöbern, Luckaitztal</t>
  </si>
  <si>
    <t>Brandenburg</t>
  </si>
  <si>
    <t>Oberspreewald-Lausitz</t>
  </si>
  <si>
    <t>Schmalkalden-Meiningen</t>
  </si>
  <si>
    <t>Altdorf</t>
  </si>
  <si>
    <t>Schwalm-Eder-Kreis</t>
  </si>
  <si>
    <t xml:space="preserve"> Schwerin</t>
  </si>
  <si>
    <t>Altdorf bei Nürnberg</t>
  </si>
  <si>
    <t>Segeberg</t>
  </si>
  <si>
    <t>Alteglofsheim</t>
  </si>
  <si>
    <t>Regensburg</t>
  </si>
  <si>
    <t>Siegen-Wittgenstein</t>
  </si>
  <si>
    <t>Altena</t>
  </si>
  <si>
    <t>Soest</t>
  </si>
  <si>
    <t>Altenahr, Berg, Kalenborn, Kirchsahr</t>
  </si>
  <si>
    <t>Soltau-Fallingbostel</t>
  </si>
  <si>
    <t>Heidekreis</t>
  </si>
  <si>
    <t>Altenau, Schulenberg</t>
  </si>
  <si>
    <t>Sonneberg</t>
  </si>
  <si>
    <t>Altenbeken</t>
  </si>
  <si>
    <t>St. Wendel</t>
  </si>
  <si>
    <t>Altenberg</t>
  </si>
  <si>
    <t>Steinburg</t>
  </si>
  <si>
    <t>Altenberge</t>
  </si>
  <si>
    <t>Steinfurt</t>
  </si>
  <si>
    <t>Altenbuch</t>
  </si>
  <si>
    <t>Miltenberg</t>
  </si>
  <si>
    <t>Stendal</t>
  </si>
  <si>
    <t>Altenburg</t>
  </si>
  <si>
    <t>Thüringen</t>
  </si>
  <si>
    <t>Altenburger Land</t>
  </si>
  <si>
    <t>Stollberg</t>
  </si>
  <si>
    <t>Altendiez</t>
  </si>
  <si>
    <t>Rhein-Lahn-Kreis</t>
  </si>
  <si>
    <t>Altendorf</t>
  </si>
  <si>
    <t>Schwandorf</t>
  </si>
  <si>
    <t>Stralsund</t>
  </si>
  <si>
    <t>Bamberg</t>
  </si>
  <si>
    <t>Tirschenreuth</t>
  </si>
  <si>
    <t>Altenglan</t>
  </si>
  <si>
    <t>Trier-Saarburg</t>
  </si>
  <si>
    <t>Altenholz</t>
  </si>
  <si>
    <t>Uckermark</t>
  </si>
  <si>
    <t>Altenkirchen</t>
  </si>
  <si>
    <t>Uecker-Randow</t>
  </si>
  <si>
    <t>Uelzen</t>
  </si>
  <si>
    <t>Altenkirchen (Westerwald)</t>
  </si>
  <si>
    <t>Unna</t>
  </si>
  <si>
    <t>Altenkunstadt</t>
  </si>
  <si>
    <t>Lichtenfels</t>
  </si>
  <si>
    <t>Unstrut-Hainich-Kreis</t>
  </si>
  <si>
    <t>Altenmarkt a.d. Alz</t>
  </si>
  <si>
    <t>Traunstein</t>
  </si>
  <si>
    <t>Vechta</t>
  </si>
  <si>
    <t>Altenmedingen</t>
  </si>
  <si>
    <t>Verden (Aller)</t>
  </si>
  <si>
    <t>Altenmünster</t>
  </si>
  <si>
    <t>Viersen</t>
  </si>
  <si>
    <t>Altenriet</t>
  </si>
  <si>
    <t>Altenstadt</t>
  </si>
  <si>
    <t>Wetteraukreis</t>
  </si>
  <si>
    <t>Vulkaneifel</t>
  </si>
  <si>
    <t>Weilheim-Schongau</t>
  </si>
  <si>
    <t>Neu-Ulm</t>
  </si>
  <si>
    <t>Altenstadt a.d. Waldnaab</t>
  </si>
  <si>
    <t>Neustadt a.d. Waldnaab</t>
  </si>
  <si>
    <t>Altensteig</t>
  </si>
  <si>
    <t>Calw</t>
  </si>
  <si>
    <t>Weißeritzkreis</t>
  </si>
  <si>
    <t>Altenthann</t>
  </si>
  <si>
    <t>Altentreptow</t>
  </si>
  <si>
    <t>Wesermarsch</t>
  </si>
  <si>
    <t>Altertheim</t>
  </si>
  <si>
    <t>Würzburg</t>
  </si>
  <si>
    <t>Altfraunhofen</t>
  </si>
  <si>
    <t xml:space="preserve"> Wilhelmshaven</t>
  </si>
  <si>
    <t>Althegnenberg</t>
  </si>
  <si>
    <t>Altheim</t>
  </si>
  <si>
    <t>Wittmund</t>
  </si>
  <si>
    <t>Wolfenbüttel</t>
  </si>
  <si>
    <t>Altheim (Alb)</t>
  </si>
  <si>
    <t>Wunsiedel i. Fichtelgebirge</t>
  </si>
  <si>
    <t>Althengstett</t>
  </si>
  <si>
    <t>Althütte</t>
  </si>
  <si>
    <t>Altleiningen</t>
  </si>
  <si>
    <t>Bad Dürkheim</t>
  </si>
  <si>
    <t>Altlußheim</t>
  </si>
  <si>
    <t>Rhein-Neckar-Kreis</t>
  </si>
  <si>
    <t>Altmannstein</t>
  </si>
  <si>
    <t>Altomünster</t>
  </si>
  <si>
    <t>Dachau</t>
  </si>
  <si>
    <t>Altötting</t>
  </si>
  <si>
    <t>Altrip</t>
  </si>
  <si>
    <t>Rhein-Pfalz-Kreis</t>
  </si>
  <si>
    <t>Altshausen</t>
  </si>
  <si>
    <t>Altusried</t>
  </si>
  <si>
    <t>Alveslohe</t>
  </si>
  <si>
    <t>Alzenau</t>
  </si>
  <si>
    <t>Aschaffenburg</t>
  </si>
  <si>
    <t>Alzey</t>
  </si>
  <si>
    <t>Am Mellensee</t>
  </si>
  <si>
    <t>Teltow-Fläming</t>
  </si>
  <si>
    <t>Am Ohmberg, Sonnenstein</t>
  </si>
  <si>
    <t>Amberg</t>
  </si>
  <si>
    <t xml:space="preserve"> Amberg</t>
  </si>
  <si>
    <t>Unterallgäu</t>
  </si>
  <si>
    <t>Amerang</t>
  </si>
  <si>
    <t>Amerdingen</t>
  </si>
  <si>
    <t>Ammerbuch</t>
  </si>
  <si>
    <t>Tübingen</t>
  </si>
  <si>
    <t>Ammerndorf</t>
  </si>
  <si>
    <t>Fürth</t>
  </si>
  <si>
    <t>Ammersbek</t>
  </si>
  <si>
    <t>Ammerthal</t>
  </si>
  <si>
    <t>Amberg-Sulzbach</t>
  </si>
  <si>
    <t>Amöneburg</t>
  </si>
  <si>
    <t>Marburg-Biedenkopf</t>
  </si>
  <si>
    <t>Amorbach</t>
  </si>
  <si>
    <t>Ampfing</t>
  </si>
  <si>
    <t>Mühldorf a. Inn</t>
  </si>
  <si>
    <t>Amrum</t>
  </si>
  <si>
    <t>Amstetten</t>
  </si>
  <si>
    <t>Amt Neuhaus, Stapel</t>
  </si>
  <si>
    <t>Amtsberg</t>
  </si>
  <si>
    <t>Amtzell</t>
  </si>
  <si>
    <t>Andechs</t>
  </si>
  <si>
    <t>Starnberg</t>
  </si>
  <si>
    <t>Andernach</t>
  </si>
  <si>
    <t>Andervenne, Beesten, Freren, Messingen, Thuine</t>
  </si>
  <si>
    <t>Angelbachtal</t>
  </si>
  <si>
    <t>Angelburg</t>
  </si>
  <si>
    <t>Anger</t>
  </si>
  <si>
    <t>Angermünde</t>
  </si>
  <si>
    <t>Anhausen</t>
  </si>
  <si>
    <t>Neuwied</t>
  </si>
  <si>
    <t>Anklam</t>
  </si>
  <si>
    <t>Annaberg-Buchholz, Mildenau</t>
  </si>
  <si>
    <t>Annaburg</t>
  </si>
  <si>
    <t>Annweiler am Trifels</t>
  </si>
  <si>
    <t>Anröchte</t>
  </si>
  <si>
    <t xml:space="preserve"> Ansbach</t>
  </si>
  <si>
    <t>Antdorf</t>
  </si>
  <si>
    <t>Antrifttal</t>
  </si>
  <si>
    <t>Antweiler, Aremberg, Dorsel, Eichenbach, Aremberg, Fuchshofen und Müsch</t>
  </si>
  <si>
    <t>Anzing</t>
  </si>
  <si>
    <t>Ebersberg</t>
  </si>
  <si>
    <t>Apelern, Rodenberg</t>
  </si>
  <si>
    <t>Apen</t>
  </si>
  <si>
    <t>Apensen</t>
  </si>
  <si>
    <t>Apfeldorf</t>
  </si>
  <si>
    <t>Landsberg am Lech</t>
  </si>
  <si>
    <t>Apfeltrach</t>
  </si>
  <si>
    <t>Apolda</t>
  </si>
  <si>
    <t>Weimarer Land</t>
  </si>
  <si>
    <t>Appen</t>
  </si>
  <si>
    <t>Appenweier</t>
  </si>
  <si>
    <t>Arberg</t>
  </si>
  <si>
    <t>Arendsee</t>
  </si>
  <si>
    <t>Arenshausen, Uder u.a.</t>
  </si>
  <si>
    <t>Aresing</t>
  </si>
  <si>
    <t>Neuburg-Schrobenhausen</t>
  </si>
  <si>
    <t>Argenbühl</t>
  </si>
  <si>
    <t>Argenthal</t>
  </si>
  <si>
    <t>Armsheim</t>
  </si>
  <si>
    <t>Arnbruck</t>
  </si>
  <si>
    <t>Arnis, Marienhof</t>
  </si>
  <si>
    <t>Arnsberg</t>
  </si>
  <si>
    <t>Arnschwang</t>
  </si>
  <si>
    <t>Cham</t>
  </si>
  <si>
    <t>Arnsdorf b. Dresden</t>
  </si>
  <si>
    <t>Arnstadt</t>
  </si>
  <si>
    <t>Arnstein</t>
  </si>
  <si>
    <t>Main-Spessart</t>
  </si>
  <si>
    <t>Arnstorf</t>
  </si>
  <si>
    <t>Rottal-Inn</t>
  </si>
  <si>
    <t>Arrach</t>
  </si>
  <si>
    <t>Artern/Unstrut u.a.</t>
  </si>
  <si>
    <t>Kyffhäuserkreis</t>
  </si>
  <si>
    <t>Artlenburg</t>
  </si>
  <si>
    <t>Arzberg</t>
  </si>
  <si>
    <t>Arzberg, Beilrode</t>
  </si>
  <si>
    <t>Arzfeld</t>
  </si>
  <si>
    <t>Asbach, Buchholz</t>
  </si>
  <si>
    <t>Asbach-Bäumenheim</t>
  </si>
  <si>
    <t>Ascha</t>
  </si>
  <si>
    <t xml:space="preserve"> Aschaffenburg</t>
  </si>
  <si>
    <t>Aschau a. Inn</t>
  </si>
  <si>
    <t>Aschau i. Chiemgau</t>
  </si>
  <si>
    <t>Ascheberg</t>
  </si>
  <si>
    <t>Ascheffel</t>
  </si>
  <si>
    <t>Aschersleben</t>
  </si>
  <si>
    <t>Aschheim</t>
  </si>
  <si>
    <t>München</t>
  </si>
  <si>
    <t>Asendorf</t>
  </si>
  <si>
    <t>Aspach</t>
  </si>
  <si>
    <t>Asperg</t>
  </si>
  <si>
    <t>Aspisheim, Grolsheim</t>
  </si>
  <si>
    <t>Assamstadt</t>
  </si>
  <si>
    <t>Asselfingen</t>
  </si>
  <si>
    <t>Aßlar</t>
  </si>
  <si>
    <t>Lahn-Dill-Kreis</t>
  </si>
  <si>
    <t>Aßling</t>
  </si>
  <si>
    <t>Attendorn</t>
  </si>
  <si>
    <t>Attenhofen</t>
  </si>
  <si>
    <t>Attenkirchen</t>
  </si>
  <si>
    <t>Attenweiler</t>
  </si>
  <si>
    <t>Atting</t>
  </si>
  <si>
    <t>Au (Breisgau)</t>
  </si>
  <si>
    <t>Au am Rhein</t>
  </si>
  <si>
    <t>Rastatt</t>
  </si>
  <si>
    <t>Au in der Hallertau</t>
  </si>
  <si>
    <t>Aub</t>
  </si>
  <si>
    <t>Aue</t>
  </si>
  <si>
    <t>Auenwald</t>
  </si>
  <si>
    <t>Auerbach</t>
  </si>
  <si>
    <t>Auerbach i.d. OPf.</t>
  </si>
  <si>
    <t>Auerbach/Vogtl.</t>
  </si>
  <si>
    <t>Auetal</t>
  </si>
  <si>
    <t>Aufhausen</t>
  </si>
  <si>
    <t>Aufseß</t>
  </si>
  <si>
    <t>Auggen</t>
  </si>
  <si>
    <t xml:space="preserve"> Augsburg</t>
  </si>
  <si>
    <t>Augustdorf</t>
  </si>
  <si>
    <t>Auhagen, Sachsenhagen</t>
  </si>
  <si>
    <t>Auhausen</t>
  </si>
  <si>
    <t>Aukrug, Wiedenborstel</t>
  </si>
  <si>
    <t>Aulendorf</t>
  </si>
  <si>
    <t>Auma-Weidatal</t>
  </si>
  <si>
    <t>Greiz</t>
  </si>
  <si>
    <t>Aumühle</t>
  </si>
  <si>
    <t>Aura i. Sinngrund</t>
  </si>
  <si>
    <t>Aurach</t>
  </si>
  <si>
    <t>Aurachtal</t>
  </si>
  <si>
    <t>Außernzell</t>
  </si>
  <si>
    <t>Aying</t>
  </si>
  <si>
    <t>Ayl, Trassem u.a.</t>
  </si>
  <si>
    <t>Aystetten</t>
  </si>
  <si>
    <t>Baar</t>
  </si>
  <si>
    <t>Baar-Ebenhausen</t>
  </si>
  <si>
    <t>Pfaffenhofen a.d. Ilm</t>
  </si>
  <si>
    <t>Babenhausen</t>
  </si>
  <si>
    <t>Babensham</t>
  </si>
  <si>
    <t>Bach an der Donau</t>
  </si>
  <si>
    <t>Bacharach, Breitscheid</t>
  </si>
  <si>
    <t>Bachhagel</t>
  </si>
  <si>
    <t>Bächingen a.d. Brenz</t>
  </si>
  <si>
    <t>Backnang</t>
  </si>
  <si>
    <t>Bad Abbach</t>
  </si>
  <si>
    <t>Bad Aibling</t>
  </si>
  <si>
    <t>Bad Alexandersbad</t>
  </si>
  <si>
    <t>Bad Arolsen</t>
  </si>
  <si>
    <t>Bad Bellingen</t>
  </si>
  <si>
    <t>Bad Bentheim</t>
  </si>
  <si>
    <t>Bad Bergzabern u.a.</t>
  </si>
  <si>
    <t>Bad Berka u.a.</t>
  </si>
  <si>
    <t>Bad Berleburg</t>
  </si>
  <si>
    <t>Bad Berneck im Fichtelgebirge</t>
  </si>
  <si>
    <t>Bad Bertrich</t>
  </si>
  <si>
    <t>Bad Bevensen</t>
  </si>
  <si>
    <t>Bad Bibra, Finne u.a.</t>
  </si>
  <si>
    <t>Burgenlandkreis</t>
  </si>
  <si>
    <t>Bad Birnbach</t>
  </si>
  <si>
    <t>Bad Blankenburg</t>
  </si>
  <si>
    <t>Saalfeld-Rudolstadt</t>
  </si>
  <si>
    <t>Bad Bocklet</t>
  </si>
  <si>
    <t>Bad Kissingen</t>
  </si>
  <si>
    <t>Bad Bodenteich</t>
  </si>
  <si>
    <t>Bad Boll</t>
  </si>
  <si>
    <t>Bad Brambach</t>
  </si>
  <si>
    <t>Bad Bramstedt</t>
  </si>
  <si>
    <t>Bad Breisig, Waldorf, Gönnersdorf</t>
  </si>
  <si>
    <t>Bad Brückenau</t>
  </si>
  <si>
    <t>Bad Buchau</t>
  </si>
  <si>
    <t>Bad Camberg</t>
  </si>
  <si>
    <t>Limburg-Weilburg</t>
  </si>
  <si>
    <t>Bad Colberg-Heldburg</t>
  </si>
  <si>
    <t>Hildburghausen</t>
  </si>
  <si>
    <t>Bad Ditzenbach</t>
  </si>
  <si>
    <t>Bad Doberan, Bartenshagen-Parkentin u.a.</t>
  </si>
  <si>
    <t>Bad Driburg</t>
  </si>
  <si>
    <t>Bad Düben</t>
  </si>
  <si>
    <t>Bad Dürrenberg</t>
  </si>
  <si>
    <t>Bad Dürrheim</t>
  </si>
  <si>
    <t>Schwarzwald-Baar-Kreis</t>
  </si>
  <si>
    <t>Bad Elster</t>
  </si>
  <si>
    <t>Bad Ems</t>
  </si>
  <si>
    <t>Bad Ems Umland</t>
  </si>
  <si>
    <t>Bad Emstal</t>
  </si>
  <si>
    <t>Bad Endbach</t>
  </si>
  <si>
    <t>Bad Endorf</t>
  </si>
  <si>
    <t>Bad Essen</t>
  </si>
  <si>
    <t>Bad Fallingbostel, Osterheide</t>
  </si>
  <si>
    <t>Bad Feilnbach</t>
  </si>
  <si>
    <t>Bad Frankenhausen/Kyffhäuser</t>
  </si>
  <si>
    <t>Bad Freienwalde u.a.</t>
  </si>
  <si>
    <t>Bad Friedrichshall</t>
  </si>
  <si>
    <t>Bad Füssing</t>
  </si>
  <si>
    <t>Bad Gandersheim</t>
  </si>
  <si>
    <t>Northeim</t>
  </si>
  <si>
    <t>Bad Gottleuba-Berggießhübel</t>
  </si>
  <si>
    <t>Bad Grönenbach</t>
  </si>
  <si>
    <t>Bad Grund</t>
  </si>
  <si>
    <t>Bad Harzburg, Torfhaus</t>
  </si>
  <si>
    <t>Bad Heilbrunn</t>
  </si>
  <si>
    <t>Bad Tölz-Wolfratshausen</t>
  </si>
  <si>
    <t>Bad Herrenalb</t>
  </si>
  <si>
    <t>Bad Hersfeld, Ludwigsau</t>
  </si>
  <si>
    <t>Bad Hindelang</t>
  </si>
  <si>
    <t>Bad Homburg v.d. Höhe</t>
  </si>
  <si>
    <t>Hochtaunuskreis</t>
  </si>
  <si>
    <t>Bad Honnef</t>
  </si>
  <si>
    <t>Bad Hönningen</t>
  </si>
  <si>
    <t>Bad Iburg</t>
  </si>
  <si>
    <t>Bad Karlshafen</t>
  </si>
  <si>
    <t>Bad Kleinen u.a.</t>
  </si>
  <si>
    <t>Bad Klosterlausnitz</t>
  </si>
  <si>
    <t>Saale-Holzland-Kreis</t>
  </si>
  <si>
    <t>Bad Kohlgrub</t>
  </si>
  <si>
    <t>Bad König</t>
  </si>
  <si>
    <t>Odenwaldkreis</t>
  </si>
  <si>
    <t>Bad Königshofen i. Grabfeld</t>
  </si>
  <si>
    <t>Rhön-Grabfeld</t>
  </si>
  <si>
    <t>Bad Köstritz</t>
  </si>
  <si>
    <t>Bad Krozingen</t>
  </si>
  <si>
    <t>Bad Laasphe</t>
  </si>
  <si>
    <t>Bad Laer</t>
  </si>
  <si>
    <t>Bad Langensalza</t>
  </si>
  <si>
    <t>Bad Lauchstädt</t>
  </si>
  <si>
    <t>Bad Lausick</t>
  </si>
  <si>
    <t>Leipzig</t>
  </si>
  <si>
    <t>Bad Lauterberg</t>
  </si>
  <si>
    <t>Bad Liebenstein</t>
  </si>
  <si>
    <t>Wartburgkreis</t>
  </si>
  <si>
    <t>Bad Liebenwerda</t>
  </si>
  <si>
    <t>Elbe-Elster</t>
  </si>
  <si>
    <t>Bad Liebenzell</t>
  </si>
  <si>
    <t>Bad Lippspringe</t>
  </si>
  <si>
    <t>Bad Marienberg (Westerwald)</t>
  </si>
  <si>
    <t>Bad Mergentheim</t>
  </si>
  <si>
    <t>Bad Münder am Deister</t>
  </si>
  <si>
    <t>Bad Münstereifel</t>
  </si>
  <si>
    <t>Bad Muskau, Groß Düben, Gablenz</t>
  </si>
  <si>
    <t>Bad Nauheim</t>
  </si>
  <si>
    <t>Bad Nenndorf</t>
  </si>
  <si>
    <t>Bad Neustadt an der Saale</t>
  </si>
  <si>
    <t>Bad Oeynhausen</t>
  </si>
  <si>
    <t>Bad Oldesloe</t>
  </si>
  <si>
    <t>Bad Orb</t>
  </si>
  <si>
    <t>Main-Kinzig-Kreis</t>
  </si>
  <si>
    <t>Bad Peterstal-Griesbach</t>
  </si>
  <si>
    <t>Bad Pyrmont</t>
  </si>
  <si>
    <t>Bad Rappenau</t>
  </si>
  <si>
    <t>Bad Reichenhall</t>
  </si>
  <si>
    <t>Bad Rippoldsau-Schapbach</t>
  </si>
  <si>
    <t>Bad Rothenfelde</t>
  </si>
  <si>
    <t>Bad Saarow-Pieskow</t>
  </si>
  <si>
    <t>Oder-Spree</t>
  </si>
  <si>
    <t>Bad Sachsa</t>
  </si>
  <si>
    <t>Bad Säckingen</t>
  </si>
  <si>
    <t>Bad Salzdetfurth</t>
  </si>
  <si>
    <t>Bad Salzschlirf</t>
  </si>
  <si>
    <t>Bad Salzuflen</t>
  </si>
  <si>
    <t>Bad Salzungen</t>
  </si>
  <si>
    <t>Bad Sassendorf</t>
  </si>
  <si>
    <t>Bad Saulgau, Allmannsweiler</t>
  </si>
  <si>
    <t>Sigmaringen</t>
  </si>
  <si>
    <t>Bad Schandau</t>
  </si>
  <si>
    <t>Bad Schmiedeberg</t>
  </si>
  <si>
    <t>Bad Schönborn</t>
  </si>
  <si>
    <t>Karlsruhe</t>
  </si>
  <si>
    <t>Bad Schussenried</t>
  </si>
  <si>
    <t>Bad Schwalbach</t>
  </si>
  <si>
    <t>Bad Schwartau</t>
  </si>
  <si>
    <t>Bad Segeberg</t>
  </si>
  <si>
    <t>Bad Soden am Taunus</t>
  </si>
  <si>
    <t>Main-Taunus-Kreis</t>
  </si>
  <si>
    <t>Bad Soden-Salmünster</t>
  </si>
  <si>
    <t>Bad Sooden-Allendorf</t>
  </si>
  <si>
    <t>Werra-Meißner-Kreis</t>
  </si>
  <si>
    <t>Bad Steben</t>
  </si>
  <si>
    <t>Bad Sulza</t>
  </si>
  <si>
    <t>Bad Sülze</t>
  </si>
  <si>
    <t>Bad Teinach-Zavelstein</t>
  </si>
  <si>
    <t>Bad Tennstedt</t>
  </si>
  <si>
    <t>Bad Tölz, Wackersberg</t>
  </si>
  <si>
    <t>Bad Überkingen</t>
  </si>
  <si>
    <t>Bad Urach</t>
  </si>
  <si>
    <t>Bad Vilbel</t>
  </si>
  <si>
    <t>Bad Waldsee</t>
  </si>
  <si>
    <t>Bad Wiessee</t>
  </si>
  <si>
    <t>Bad Wildbad</t>
  </si>
  <si>
    <t>Bad Wildungen</t>
  </si>
  <si>
    <t>Bad Wimpfen</t>
  </si>
  <si>
    <t>Bad Windsheim</t>
  </si>
  <si>
    <t>Neustadt a.d. Aisch-Bad Windsheim</t>
  </si>
  <si>
    <t>Bad Wörishofen</t>
  </si>
  <si>
    <t>Bad Wurzach</t>
  </si>
  <si>
    <t>Bad Zwesten</t>
  </si>
  <si>
    <t>Bad Zwischenahn</t>
  </si>
  <si>
    <t>Badbergen</t>
  </si>
  <si>
    <t>Baddeckenstedt</t>
  </si>
  <si>
    <t>Badem, Gindorf, Neidenbach</t>
  </si>
  <si>
    <t>Baden-Baden</t>
  </si>
  <si>
    <t>Stadtkreis Baden-Baden</t>
  </si>
  <si>
    <t>Badenweiler</t>
  </si>
  <si>
    <t>Badersleben u.a.</t>
  </si>
  <si>
    <t>Badisch Schöllenbach</t>
  </si>
  <si>
    <t>Baesweiler</t>
  </si>
  <si>
    <t>Bahlingen am Kaiserstuhl</t>
  </si>
  <si>
    <t>Emmendingen</t>
  </si>
  <si>
    <t>Bahrdorf</t>
  </si>
  <si>
    <t>Bahrenborstel, Barenburg, Kirchdorf</t>
  </si>
  <si>
    <t>Bahretal</t>
  </si>
  <si>
    <t>Baienfurt</t>
  </si>
  <si>
    <t>Baierbach</t>
  </si>
  <si>
    <t>Baierbrunn</t>
  </si>
  <si>
    <t>Baiersbronn</t>
  </si>
  <si>
    <t>Baiersdorf</t>
  </si>
  <si>
    <t>Baisweil</t>
  </si>
  <si>
    <t>Bakum</t>
  </si>
  <si>
    <t>Baldham</t>
  </si>
  <si>
    <t>Balge</t>
  </si>
  <si>
    <t>Balgheim</t>
  </si>
  <si>
    <t>Balingen</t>
  </si>
  <si>
    <t>Balje</t>
  </si>
  <si>
    <t>Ballendorf</t>
  </si>
  <si>
    <t>Ballenstedt, Harzgerode</t>
  </si>
  <si>
    <t>Ballrechten-Dottingen</t>
  </si>
  <si>
    <t>Baltmannsweiler</t>
  </si>
  <si>
    <t>Baltrum</t>
  </si>
  <si>
    <t>Balve</t>
  </si>
  <si>
    <t>Balzhausen</t>
  </si>
  <si>
    <t>Balzheim</t>
  </si>
  <si>
    <t xml:space="preserve"> Bamberg</t>
  </si>
  <si>
    <t>Bammental</t>
  </si>
  <si>
    <t>Bannewitz</t>
  </si>
  <si>
    <t>Banzkow, Sukow</t>
  </si>
  <si>
    <t>Barbing</t>
  </si>
  <si>
    <t>Barby</t>
  </si>
  <si>
    <t>Barchfeld-Immelborn</t>
  </si>
  <si>
    <t>Bardowick, Wittorf, Barum</t>
  </si>
  <si>
    <t>Barendorf, Vastorf</t>
  </si>
  <si>
    <t>Bärenstein</t>
  </si>
  <si>
    <t>Bärenthal</t>
  </si>
  <si>
    <t>Bargfeld-Stegen</t>
  </si>
  <si>
    <t>Bargstedt, Brammer, Oldenbüttel</t>
  </si>
  <si>
    <t>Bargteheide, Delingsdorf u.a.</t>
  </si>
  <si>
    <t>Bark</t>
  </si>
  <si>
    <t>Barkelsby</t>
  </si>
  <si>
    <t>Barleben</t>
  </si>
  <si>
    <t>Barlt, Busenwurth</t>
  </si>
  <si>
    <t>Barmstedt</t>
  </si>
  <si>
    <t>Bärnau</t>
  </si>
  <si>
    <t>Barnekow, Gägelow u.a.</t>
  </si>
  <si>
    <t>Barnstorf, Eydelstedt, Drentwede</t>
  </si>
  <si>
    <t>Barntrup</t>
  </si>
  <si>
    <t>Barsbüttel</t>
  </si>
  <si>
    <t>Barsinghausen</t>
  </si>
  <si>
    <t>Barßel</t>
  </si>
  <si>
    <t>Barth</t>
  </si>
  <si>
    <t>Bartholomä</t>
  </si>
  <si>
    <t>Heidenheim</t>
  </si>
  <si>
    <t>Barum</t>
  </si>
  <si>
    <t>Baruth</t>
  </si>
  <si>
    <t>Barver, Dickel, Hemsloh, Rehden, Wetschen, Wehrblecker Heide</t>
  </si>
  <si>
    <t>Barwedel</t>
  </si>
  <si>
    <t>Barweiler, Bauler, Hoffeld, Pomster, Wiesemscheid, Wirft</t>
  </si>
  <si>
    <t>Bassum</t>
  </si>
  <si>
    <t>Bastheim</t>
  </si>
  <si>
    <t>Battenberg</t>
  </si>
  <si>
    <t>Battweiler u.a.</t>
  </si>
  <si>
    <t>Südwestpfalz</t>
  </si>
  <si>
    <t>Baudenbach</t>
  </si>
  <si>
    <t>Baumholder</t>
  </si>
  <si>
    <t>Baunach</t>
  </si>
  <si>
    <t>Baunatal</t>
  </si>
  <si>
    <t>Bausendorf</t>
  </si>
  <si>
    <t>Bawinkel</t>
  </si>
  <si>
    <t>Bayerbach</t>
  </si>
  <si>
    <t>Bayerbach bei Ergoldsbach</t>
  </si>
  <si>
    <t>Bayerisch Eisenstein</t>
  </si>
  <si>
    <t>Bayerisch Gmain</t>
  </si>
  <si>
    <t>Bayersoien</t>
  </si>
  <si>
    <t xml:space="preserve"> Bayreuth</t>
  </si>
  <si>
    <t>Bayrischzell</t>
  </si>
  <si>
    <t>Bebra</t>
  </si>
  <si>
    <t>Becherbach</t>
  </si>
  <si>
    <t>Bechhofen</t>
  </si>
  <si>
    <t>Kaiserslautern</t>
  </si>
  <si>
    <t>Bechtheim</t>
  </si>
  <si>
    <t>Bechtsried</t>
  </si>
  <si>
    <t>Beckdorf</t>
  </si>
  <si>
    <t>Beckedorf</t>
  </si>
  <si>
    <t>Beckingen</t>
  </si>
  <si>
    <t>Saarland</t>
  </si>
  <si>
    <t>Merzig-Wadern</t>
  </si>
  <si>
    <t>Beckum</t>
  </si>
  <si>
    <t>Bedburg</t>
  </si>
  <si>
    <t>Bedburg-Hau</t>
  </si>
  <si>
    <t>Beedenbostel</t>
  </si>
  <si>
    <t>Beelen</t>
  </si>
  <si>
    <t>Beelitz</t>
  </si>
  <si>
    <t>Potsdam-Mittelmark</t>
  </si>
  <si>
    <t>Beeskow</t>
  </si>
  <si>
    <t>Beetzendorf, Rohrberg, Jübar</t>
  </si>
  <si>
    <t>Beetzsee, Wollin, Wenzlow, Golzow u.a.</t>
  </si>
  <si>
    <t>Behrendorf, Bondelum</t>
  </si>
  <si>
    <t>Beidenfleth, Klein Kampen</t>
  </si>
  <si>
    <t>Beiersdorf, Oppach</t>
  </si>
  <si>
    <t>Beierstedt</t>
  </si>
  <si>
    <t>Beilngries</t>
  </si>
  <si>
    <t>Beilstein</t>
  </si>
  <si>
    <t>Beimerstetten</t>
  </si>
  <si>
    <t>Beindersheim</t>
  </si>
  <si>
    <t>Belgern-Schildau</t>
  </si>
  <si>
    <t>Bell</t>
  </si>
  <si>
    <t>Bellenberg</t>
  </si>
  <si>
    <t>Bellheim</t>
  </si>
  <si>
    <t>Germersheim</t>
  </si>
  <si>
    <t>Bellingen, Kölbingen, Gemünden u.a.</t>
  </si>
  <si>
    <t>Belm</t>
  </si>
  <si>
    <t>Beltheim</t>
  </si>
  <si>
    <t>Belzig</t>
  </si>
  <si>
    <t>Bempflingen</t>
  </si>
  <si>
    <t>Bendestorf</t>
  </si>
  <si>
    <t>Bendorf</t>
  </si>
  <si>
    <t>Benediktbeuern</t>
  </si>
  <si>
    <t>Bennewitz, Machern</t>
  </si>
  <si>
    <t>Benningen</t>
  </si>
  <si>
    <t>Benningen am Neckar</t>
  </si>
  <si>
    <t>Benshausen</t>
  </si>
  <si>
    <t>Bensheim</t>
  </si>
  <si>
    <t>Bentzin</t>
  </si>
  <si>
    <t>Benz, Heringsdorf u.a.</t>
  </si>
  <si>
    <t>Beratzhausen</t>
  </si>
  <si>
    <t>Berching</t>
  </si>
  <si>
    <t>Neumarkt i.d. OPf.</t>
  </si>
  <si>
    <t>Berchtesgaden &amp; Schönau</t>
  </si>
  <si>
    <t>Berg</t>
  </si>
  <si>
    <t>Berg b.Neumarkt i.d.OPf.</t>
  </si>
  <si>
    <t>Berg im Gau</t>
  </si>
  <si>
    <t>Berga/Elster</t>
  </si>
  <si>
    <t>Bergatreute</t>
  </si>
  <si>
    <t>Berge, Bippen</t>
  </si>
  <si>
    <t>Bergen</t>
  </si>
  <si>
    <t>Bergen, Lohheide u.a.</t>
  </si>
  <si>
    <t>Bergen/ Rügen</t>
  </si>
  <si>
    <t>Bergenhusen</t>
  </si>
  <si>
    <t>Bergfeld</t>
  </si>
  <si>
    <t>Berghaupten</t>
  </si>
  <si>
    <t>Bergheim</t>
  </si>
  <si>
    <t>Berghülen</t>
  </si>
  <si>
    <t>Bergisch Gladbach</t>
  </si>
  <si>
    <t xml:space="preserve"> Köln</t>
  </si>
  <si>
    <t>Rheinisch-Bergischer Kreis</t>
  </si>
  <si>
    <t>Bergkamen</t>
  </si>
  <si>
    <t>Bergkirchen</t>
  </si>
  <si>
    <t>Berglangenbach, Ruschberg u.a.</t>
  </si>
  <si>
    <t>Berglen</t>
  </si>
  <si>
    <t>Berglern</t>
  </si>
  <si>
    <t>Erding</t>
  </si>
  <si>
    <t>Bergneustadt</t>
  </si>
  <si>
    <t>Bergrheinfeld</t>
  </si>
  <si>
    <t>Schweinfurt</t>
  </si>
  <si>
    <t>Bergtheim, Oberpleichfeld</t>
  </si>
  <si>
    <t>Beringstedt</t>
  </si>
  <si>
    <t>Berka/ Werra</t>
  </si>
  <si>
    <t>Berkatal</t>
  </si>
  <si>
    <t>Berkenthin</t>
  </si>
  <si>
    <t>Berkheim</t>
  </si>
  <si>
    <t>Berlin</t>
  </si>
  <si>
    <t xml:space="preserve"> Berlin</t>
  </si>
  <si>
    <t>Berlin Alt Treptow</t>
  </si>
  <si>
    <t>Berlin Altglienicke</t>
  </si>
  <si>
    <t>Berlin Alt-Hohenschönhausen</t>
  </si>
  <si>
    <t>Berlin Baumschulenweg</t>
  </si>
  <si>
    <t>Berlin Biesdorf</t>
  </si>
  <si>
    <t>Berlin Blankenburg</t>
  </si>
  <si>
    <t>Berlin Blankenfelde</t>
  </si>
  <si>
    <t>Berlin Bohnsdorf</t>
  </si>
  <si>
    <t>Berlin Britz</t>
  </si>
  <si>
    <t>Berlin Buch</t>
  </si>
  <si>
    <t>Berlin Buckow</t>
  </si>
  <si>
    <t>Berlin Charlottenburg</t>
  </si>
  <si>
    <t>Berlin Charlottenburg-Nord</t>
  </si>
  <si>
    <t>Berlin Dahlem</t>
  </si>
  <si>
    <t>Berlin Falkenberg</t>
  </si>
  <si>
    <t>Berlin Falkenhagener Feld</t>
  </si>
  <si>
    <t>Berlin Französisch Buchholz</t>
  </si>
  <si>
    <t>Berlin Friedenau</t>
  </si>
  <si>
    <t>Berlin Friedrichsfelde</t>
  </si>
  <si>
    <t>Berlin Friedrichshain</t>
  </si>
  <si>
    <t>Berlin Frohnau</t>
  </si>
  <si>
    <t>Berlin Gatow</t>
  </si>
  <si>
    <t>Berlin Gesundbrunnen</t>
  </si>
  <si>
    <t>Berlin Gropiusstadt</t>
  </si>
  <si>
    <t>Berlin Grunewald</t>
  </si>
  <si>
    <t>Berlin Hakenfelde</t>
  </si>
  <si>
    <t>Berlin Halensee</t>
  </si>
  <si>
    <t>Berlin Haselhorst</t>
  </si>
  <si>
    <t>Berlin Heinelsdorf</t>
  </si>
  <si>
    <t>Berlin Hellersdorf</t>
  </si>
  <si>
    <t>Berlin Hermsdorf</t>
  </si>
  <si>
    <t>Berlin Karlshorst</t>
  </si>
  <si>
    <t>Berlin Kaulsdorf</t>
  </si>
  <si>
    <t>Berlin Köpenick</t>
  </si>
  <si>
    <t>Berlin Köpenik</t>
  </si>
  <si>
    <t>Berlin Kreuzberg</t>
  </si>
  <si>
    <t>Berlin Lankwitz</t>
  </si>
  <si>
    <t>Berlin Lichtenberg</t>
  </si>
  <si>
    <t>Berlin Lichtenfelde</t>
  </si>
  <si>
    <t>Berlin Lübars</t>
  </si>
  <si>
    <t>Berlin Mahlsdorf</t>
  </si>
  <si>
    <t>Berlin Mariendorf</t>
  </si>
  <si>
    <t>Berlin Märkisches Viertel</t>
  </si>
  <si>
    <t>Berlin Mitte</t>
  </si>
  <si>
    <t>Berlin Moabit</t>
  </si>
  <si>
    <t>Berlin Neukölln</t>
  </si>
  <si>
    <t>Berlin Neu-Schönhausen</t>
  </si>
  <si>
    <t>Berlin Niederschöneweide</t>
  </si>
  <si>
    <t>Berlin Niederschönhausen</t>
  </si>
  <si>
    <t>Berlin Nikolassee</t>
  </si>
  <si>
    <t>Berlin Oberschöneweide</t>
  </si>
  <si>
    <t>Berlin Pankow</t>
  </si>
  <si>
    <t>Berlin Prenzlauer Berg</t>
  </si>
  <si>
    <t>Berlin Rahnsdorf</t>
  </si>
  <si>
    <t>Berlin Reinickendorf</t>
  </si>
  <si>
    <t>Berlin Rosenthal</t>
  </si>
  <si>
    <t>Berlin Rudow</t>
  </si>
  <si>
    <t>Berlin Rummelsburg</t>
  </si>
  <si>
    <t>Berlin Schmargendorf</t>
  </si>
  <si>
    <t>Berlin Schmöckwitz</t>
  </si>
  <si>
    <t>Berlin Schöneberg</t>
  </si>
  <si>
    <t>Berlin Siemensstadt</t>
  </si>
  <si>
    <t>Berlin Spandau</t>
  </si>
  <si>
    <t>Berlin Staaken</t>
  </si>
  <si>
    <t>Berlin Steglitz</t>
  </si>
  <si>
    <t>Berlin Tegel</t>
  </si>
  <si>
    <t>Berlin Teltowkanal III</t>
  </si>
  <si>
    <t>Berlin Tempelhof</t>
  </si>
  <si>
    <t>Berlin Tiergarten</t>
  </si>
  <si>
    <t>Berlin Wannsee</t>
  </si>
  <si>
    <t>Berlin Wartenberg</t>
  </si>
  <si>
    <t>Berlin Wedding</t>
  </si>
  <si>
    <t>Berlin Weißensee</t>
  </si>
  <si>
    <t>Berlin Westend</t>
  </si>
  <si>
    <t>Berlin Wiesengrund</t>
  </si>
  <si>
    <t>Berlin Wilhelmsdorf</t>
  </si>
  <si>
    <t>Berlin Wilhelmstadt</t>
  </si>
  <si>
    <t>Berlin Wilmersdorf</t>
  </si>
  <si>
    <t>Berlin Wlhelmstadt</t>
  </si>
  <si>
    <t>Berlin Zehlendorf</t>
  </si>
  <si>
    <t>Berlin-Lichterfelde</t>
  </si>
  <si>
    <t>Berlin-West</t>
  </si>
  <si>
    <t>Berlstedt</t>
  </si>
  <si>
    <t>Bermatingen</t>
  </si>
  <si>
    <t>Bodenseekreis</t>
  </si>
  <si>
    <t>Bernau</t>
  </si>
  <si>
    <t>Bernau a. Chiemsee</t>
  </si>
  <si>
    <t>Bernau im Schwarzwald</t>
  </si>
  <si>
    <t>Bernbeuren</t>
  </si>
  <si>
    <t>Bernburg (Saale)</t>
  </si>
  <si>
    <t>Berne</t>
  </si>
  <si>
    <t>Berngau</t>
  </si>
  <si>
    <t>Bernhardswald</t>
  </si>
  <si>
    <t>Bernitt, Qualitz, Warnow, Zernin u.a.</t>
  </si>
  <si>
    <t>Bernkastel-Kues u.a.</t>
  </si>
  <si>
    <t>Bernried</t>
  </si>
  <si>
    <t>Bernsdorf</t>
  </si>
  <si>
    <t>Bernstadt</t>
  </si>
  <si>
    <t>Bernstadt a. d. Eigen</t>
  </si>
  <si>
    <t>Berschweiler bei Baumholder</t>
  </si>
  <si>
    <t>Bersenbrück</t>
  </si>
  <si>
    <t>Bertelsmann</t>
  </si>
  <si>
    <t>Beselich</t>
  </si>
  <si>
    <t>Besigheim</t>
  </si>
  <si>
    <t>Bessenbach</t>
  </si>
  <si>
    <t>Bestensee</t>
  </si>
  <si>
    <t>Dahme-Spreewald</t>
  </si>
  <si>
    <t>Bestwig</t>
  </si>
  <si>
    <t>Bettenfeld, Niederöfflingen u.a.</t>
  </si>
  <si>
    <t>Bettingen</t>
  </si>
  <si>
    <t>Betzdorf</t>
  </si>
  <si>
    <t>Betzendorf</t>
  </si>
  <si>
    <t>Betzenstein</t>
  </si>
  <si>
    <t>Betzigau</t>
  </si>
  <si>
    <t>Beuren</t>
  </si>
  <si>
    <t>Beuron</t>
  </si>
  <si>
    <t>Bevern</t>
  </si>
  <si>
    <t>Holzminden</t>
  </si>
  <si>
    <t>Beverstedt</t>
  </si>
  <si>
    <t>Beverungen</t>
  </si>
  <si>
    <t>Bexbach</t>
  </si>
  <si>
    <t>Saarpfalz-Kreis</t>
  </si>
  <si>
    <t>Biberach an der Riß</t>
  </si>
  <si>
    <t>Biberau, Masserberg</t>
  </si>
  <si>
    <t>Biberbach</t>
  </si>
  <si>
    <t>Bibertal</t>
  </si>
  <si>
    <t>Biblis</t>
  </si>
  <si>
    <t>Bichl</t>
  </si>
  <si>
    <t>Bickenbach</t>
  </si>
  <si>
    <t>Bidingen</t>
  </si>
  <si>
    <t>Bieberehren</t>
  </si>
  <si>
    <t>Biebergemünd</t>
  </si>
  <si>
    <t>Biebertal</t>
  </si>
  <si>
    <t>Biebesheim am Rhein</t>
  </si>
  <si>
    <t>Groß-Gerau</t>
  </si>
  <si>
    <t>Biedenkopf</t>
  </si>
  <si>
    <t>Biederitz, Gerwisch, Menz u.a.</t>
  </si>
  <si>
    <t>Jerichower Land</t>
  </si>
  <si>
    <t>Bienenbüttel</t>
  </si>
  <si>
    <t>Biesendahlshof, Berkholz-Meyenburg</t>
  </si>
  <si>
    <t>Biesenthal</t>
  </si>
  <si>
    <t>Biessenhofen</t>
  </si>
  <si>
    <t>Bietigheim</t>
  </si>
  <si>
    <t>Bietigheim-Bissingen</t>
  </si>
  <si>
    <t>Billerbeck</t>
  </si>
  <si>
    <t>Billigheim</t>
  </si>
  <si>
    <t>Billigheim-Ingenheim, Birkweiler</t>
  </si>
  <si>
    <t>Bilzingsleben Kannawurf Oldisleben</t>
  </si>
  <si>
    <t>Sömmerda</t>
  </si>
  <si>
    <t>Binau</t>
  </si>
  <si>
    <t>Bindlach</t>
  </si>
  <si>
    <t>Bingen</t>
  </si>
  <si>
    <t>Bingen am Rhein</t>
  </si>
  <si>
    <t>Binnen</t>
  </si>
  <si>
    <t>Binningen</t>
  </si>
  <si>
    <t>Binz</t>
  </si>
  <si>
    <t>Binzen</t>
  </si>
  <si>
    <t>Birenbach</t>
  </si>
  <si>
    <t>Birgland</t>
  </si>
  <si>
    <t>Birkenau</t>
  </si>
  <si>
    <t>Enzkreis</t>
  </si>
  <si>
    <t>Birkenfeld u.a.</t>
  </si>
  <si>
    <t>Birkenheide</t>
  </si>
  <si>
    <t>Birken-Honigsessen</t>
  </si>
  <si>
    <t>Birkenwerder</t>
  </si>
  <si>
    <t>Birlenbach</t>
  </si>
  <si>
    <t>Birnbach</t>
  </si>
  <si>
    <t>Birresborn</t>
  </si>
  <si>
    <t>Birstein</t>
  </si>
  <si>
    <t>Bischberg</t>
  </si>
  <si>
    <t>Bischbrunn</t>
  </si>
  <si>
    <t>Bischheim u.a.</t>
  </si>
  <si>
    <t>Bischoffen</t>
  </si>
  <si>
    <t>Bischofsgrün</t>
  </si>
  <si>
    <t>Bischofsheim</t>
  </si>
  <si>
    <t>Bischofsheim a.d. Rhön</t>
  </si>
  <si>
    <t>Bischofsmais</t>
  </si>
  <si>
    <t>Bischofswerda u.a.</t>
  </si>
  <si>
    <t>Bischofswiesen</t>
  </si>
  <si>
    <t>Bischweier</t>
  </si>
  <si>
    <t>Bisingen</t>
  </si>
  <si>
    <t>Bismark</t>
  </si>
  <si>
    <t>Bispingen</t>
  </si>
  <si>
    <t>Bissendorf</t>
  </si>
  <si>
    <t>Bissingen</t>
  </si>
  <si>
    <t>Bissingen an der Teck</t>
  </si>
  <si>
    <t>Bitburg</t>
  </si>
  <si>
    <t>Bitterfeld-Wolfen</t>
  </si>
  <si>
    <t>Bitz</t>
  </si>
  <si>
    <t>Blaibach</t>
  </si>
  <si>
    <t>Blaichach</t>
  </si>
  <si>
    <t>Blankenburg, Oberharz am Brocken</t>
  </si>
  <si>
    <t>Blankenfelde-Mahlow</t>
  </si>
  <si>
    <t>Blankenhain</t>
  </si>
  <si>
    <t>Blankenheim</t>
  </si>
  <si>
    <t>Blankenrath u.a.</t>
  </si>
  <si>
    <t>Blankensee, Grambow u.a.</t>
  </si>
  <si>
    <t>Blaubeuren</t>
  </si>
  <si>
    <t>Blaufelden</t>
  </si>
  <si>
    <t>Schwäbisch Hall</t>
  </si>
  <si>
    <t>Blaustein</t>
  </si>
  <si>
    <t>Bleckede</t>
  </si>
  <si>
    <t>Bleialf</t>
  </si>
  <si>
    <t>Bleicherode</t>
  </si>
  <si>
    <t>Blekendorf</t>
  </si>
  <si>
    <t>Blender</t>
  </si>
  <si>
    <t>Blieskastel</t>
  </si>
  <si>
    <t>Blindheim</t>
  </si>
  <si>
    <t>Blomberg</t>
  </si>
  <si>
    <t>Blomberg, Neuschoo</t>
  </si>
  <si>
    <t>Blumberg</t>
  </si>
  <si>
    <t>Blumenthal</t>
  </si>
  <si>
    <t>Bobenheim-Roxheim</t>
  </si>
  <si>
    <t>Böbing</t>
  </si>
  <si>
    <t>Bobingen</t>
  </si>
  <si>
    <t>Böbingen an der Rems</t>
  </si>
  <si>
    <t>Böbrach</t>
  </si>
  <si>
    <t>Bobritzsch</t>
  </si>
  <si>
    <t>Bocholt</t>
  </si>
  <si>
    <t>Bochum</t>
  </si>
  <si>
    <t xml:space="preserve"> Bochum</t>
  </si>
  <si>
    <t>Bockau</t>
  </si>
  <si>
    <t>Bockenem</t>
  </si>
  <si>
    <t>Bockenheim an der Weinstraße</t>
  </si>
  <si>
    <t>Bockhorn</t>
  </si>
  <si>
    <t>Bodelshausen</t>
  </si>
  <si>
    <t>Bodenbach, Kelberg, Kirsbach u.a.</t>
  </si>
  <si>
    <t>Bodenfelde, Wahlsburg</t>
  </si>
  <si>
    <t>Bodenheim</t>
  </si>
  <si>
    <t>Bodenkirchen</t>
  </si>
  <si>
    <t>Bodenmais</t>
  </si>
  <si>
    <t>Bodenwerder, Pegestorf, Kirchbrak, Hehlen</t>
  </si>
  <si>
    <t>Bodenwöhr</t>
  </si>
  <si>
    <t>Bodman-Ludwigshafen</t>
  </si>
  <si>
    <t>Bodnegg</t>
  </si>
  <si>
    <t>Böel</t>
  </si>
  <si>
    <t>Boffzen, Derental</t>
  </si>
  <si>
    <t>Bogen</t>
  </si>
  <si>
    <t>Böhen</t>
  </si>
  <si>
    <t>Böhlen</t>
  </si>
  <si>
    <t>Böhl-Iggelheim</t>
  </si>
  <si>
    <t>Böhmenkirch</t>
  </si>
  <si>
    <t>Böhmfeld</t>
  </si>
  <si>
    <t>Bohmte</t>
  </si>
  <si>
    <t>Boizenburg, Gresse, Greven u.a.</t>
  </si>
  <si>
    <t>Bokensdorf</t>
  </si>
  <si>
    <t>Böklund u.a.</t>
  </si>
  <si>
    <t>Bolanden</t>
  </si>
  <si>
    <t>Bollendorf</t>
  </si>
  <si>
    <t>Bollingstedt, Jübek</t>
  </si>
  <si>
    <t>Bollschweil</t>
  </si>
  <si>
    <t>Boltenhagen</t>
  </si>
  <si>
    <t>Bomlitz</t>
  </si>
  <si>
    <t>Bondorf</t>
  </si>
  <si>
    <t>Bönebüttel</t>
  </si>
  <si>
    <t>Bönen</t>
  </si>
  <si>
    <t>Bonn</t>
  </si>
  <si>
    <t xml:space="preserve"> Bonn</t>
  </si>
  <si>
    <t>Bonndorf im Schwarzwald</t>
  </si>
  <si>
    <t>Bönnigheim</t>
  </si>
  <si>
    <t>Bonstetten</t>
  </si>
  <si>
    <t>Boos</t>
  </si>
  <si>
    <t>Boostedt</t>
  </si>
  <si>
    <t>Bopfingen</t>
  </si>
  <si>
    <t>Boppard</t>
  </si>
  <si>
    <t>Borchen</t>
  </si>
  <si>
    <t>Börde-Hakel</t>
  </si>
  <si>
    <t>Bordelum</t>
  </si>
  <si>
    <t>Bordesholm</t>
  </si>
  <si>
    <t>Borgentreich</t>
  </si>
  <si>
    <t>Börger</t>
  </si>
  <si>
    <t>Borgholzhausen</t>
  </si>
  <si>
    <t>Borgsdorf</t>
  </si>
  <si>
    <t>Borgstedt</t>
  </si>
  <si>
    <t>Borkum</t>
  </si>
  <si>
    <t>Börm</t>
  </si>
  <si>
    <t>Borna</t>
  </si>
  <si>
    <t>Bornheim</t>
  </si>
  <si>
    <t>Börnhöved</t>
  </si>
  <si>
    <t>Bornich, Patersberg</t>
  </si>
  <si>
    <t>Börnichen, Gornau</t>
  </si>
  <si>
    <t>Börrstadt</t>
  </si>
  <si>
    <t>Borsdorf</t>
  </si>
  <si>
    <t>Borsfleth</t>
  </si>
  <si>
    <t>Borstel</t>
  </si>
  <si>
    <t>Borstel-Hohenraden</t>
  </si>
  <si>
    <t>Börtlingen</t>
  </si>
  <si>
    <t>Bosau</t>
  </si>
  <si>
    <t>Bösel</t>
  </si>
  <si>
    <t>Bösingen</t>
  </si>
  <si>
    <t>Bothel, Kirchwalsede u.a.</t>
  </si>
  <si>
    <t>Bottenbach</t>
  </si>
  <si>
    <t>Böttingen</t>
  </si>
  <si>
    <t>Bötzingen</t>
  </si>
  <si>
    <t>Bous</t>
  </si>
  <si>
    <t>Saarlouis</t>
  </si>
  <si>
    <t>Bovenden</t>
  </si>
  <si>
    <t>Boxberg</t>
  </si>
  <si>
    <t>Brachttal</t>
  </si>
  <si>
    <t>Brackel</t>
  </si>
  <si>
    <t>Brackenheim</t>
  </si>
  <si>
    <t>Brahmenau</t>
  </si>
  <si>
    <t xml:space="preserve"> Gera</t>
  </si>
  <si>
    <t>Brake</t>
  </si>
  <si>
    <t>Brakel</t>
  </si>
  <si>
    <t>Bramsche</t>
  </si>
  <si>
    <t>Brand</t>
  </si>
  <si>
    <t>Brande-Hörnerkirchen</t>
  </si>
  <si>
    <t>Brandenburg/ Havel</t>
  </si>
  <si>
    <t xml:space="preserve"> Brandenburg an der Havel</t>
  </si>
  <si>
    <t>Brandenburg/Havel</t>
  </si>
  <si>
    <t>Brand-Erbisdorf, Großhartmannsdorf</t>
  </si>
  <si>
    <t>Brandis</t>
  </si>
  <si>
    <t>Brannenburg</t>
  </si>
  <si>
    <t>Braubach</t>
  </si>
  <si>
    <t>Braunfels</t>
  </si>
  <si>
    <t>Braunlage</t>
  </si>
  <si>
    <t>Bräunlingen</t>
  </si>
  <si>
    <t>Braunsbach</t>
  </si>
  <si>
    <t>Braunsbedra</t>
  </si>
  <si>
    <t>Braunschweig</t>
  </si>
  <si>
    <t xml:space="preserve"> Braunschweig</t>
  </si>
  <si>
    <t>Brechen</t>
  </si>
  <si>
    <t>Breckerfeld</t>
  </si>
  <si>
    <t>Bredenbek</t>
  </si>
  <si>
    <t>Bredstedt, Breklum u.a.</t>
  </si>
  <si>
    <t>Breidenbach</t>
  </si>
  <si>
    <t>Breiholz, Tackesdorf-Nord</t>
  </si>
  <si>
    <t>Breisach am Rhein</t>
  </si>
  <si>
    <t>Breitbrunn</t>
  </si>
  <si>
    <t>Breitbrunn a. Chiemsee</t>
  </si>
  <si>
    <t>Breitenbach</t>
  </si>
  <si>
    <t>Breitenbach am Herzberg</t>
  </si>
  <si>
    <t>Breitenberg</t>
  </si>
  <si>
    <t>Breitenbrunn</t>
  </si>
  <si>
    <t>Breitenbrunn/Erzgeb.</t>
  </si>
  <si>
    <t>Breitenfelde, Lankau</t>
  </si>
  <si>
    <t>Breitengüßbach</t>
  </si>
  <si>
    <t>Breitenthal</t>
  </si>
  <si>
    <t>Breitingen</t>
  </si>
  <si>
    <t>Breitnau</t>
  </si>
  <si>
    <t>Breitscheid</t>
  </si>
  <si>
    <t>Breitscheid, Dattenberg, Hausen, Hümmerich, Kasbach-Ohlenberg, Roßbach u.a.</t>
  </si>
  <si>
    <t>Breitungen/Werra</t>
  </si>
  <si>
    <t>Bremen</t>
  </si>
  <si>
    <t>Bremerhaven</t>
  </si>
  <si>
    <t>Bremerhaven, Bremen</t>
  </si>
  <si>
    <t>Bremervörde</t>
  </si>
  <si>
    <t>Brennberg</t>
  </si>
  <si>
    <t>Brensbach</t>
  </si>
  <si>
    <t>Bretten</t>
  </si>
  <si>
    <t>Bretzenheim</t>
  </si>
  <si>
    <t>Bretzfeld</t>
  </si>
  <si>
    <t>Hohenlohekreis</t>
  </si>
  <si>
    <t>Breuberg</t>
  </si>
  <si>
    <t>Breuna</t>
  </si>
  <si>
    <t>Brevörde, Polle, Vahlbruch</t>
  </si>
  <si>
    <t>Briedel</t>
  </si>
  <si>
    <t>Brieselang</t>
  </si>
  <si>
    <t>Briesen, Rauen u.a.</t>
  </si>
  <si>
    <t>Brieskow-Finkenheerd</t>
  </si>
  <si>
    <t>Brietlingen</t>
  </si>
  <si>
    <t>Brigachtal</t>
  </si>
  <si>
    <t>Brilon</t>
  </si>
  <si>
    <t>Bröckel</t>
  </si>
  <si>
    <t>Brodersby, Goltoft</t>
  </si>
  <si>
    <t>Brohl-Lützing</t>
  </si>
  <si>
    <t>Brokdorf</t>
  </si>
  <si>
    <t>Brokstedt</t>
  </si>
  <si>
    <t>Brombachtal</t>
  </si>
  <si>
    <t>Brome</t>
  </si>
  <si>
    <t>Bromskirchen, Hallenberg</t>
  </si>
  <si>
    <t>Bröthen</t>
  </si>
  <si>
    <t>Brotterode-Trusetal</t>
  </si>
  <si>
    <t>Bruchhausen, Unkel</t>
  </si>
  <si>
    <t>Bruchhausen-Vilsen, Süstedt</t>
  </si>
  <si>
    <t>Bruchköbel</t>
  </si>
  <si>
    <t>Bruchmühlbach-Miesau</t>
  </si>
  <si>
    <t>Bruchsal</t>
  </si>
  <si>
    <t>Bruchweiler-Bärenbach u.a.</t>
  </si>
  <si>
    <t>Bruck i.d. OPf.</t>
  </si>
  <si>
    <t>Brück, Borkheide u.a.</t>
  </si>
  <si>
    <t>Bruckberg</t>
  </si>
  <si>
    <t>Brücken (Pfalz)</t>
  </si>
  <si>
    <t>Brücken, Oberbrombach u.a.</t>
  </si>
  <si>
    <t>Bruckmühl</t>
  </si>
  <si>
    <t>Brüel</t>
  </si>
  <si>
    <t>Brüggen</t>
  </si>
  <si>
    <t>Brühl</t>
  </si>
  <si>
    <t>Brunnen</t>
  </si>
  <si>
    <t>Brunnthal</t>
  </si>
  <si>
    <t>Brunsbüttel</t>
  </si>
  <si>
    <t>Brunstorf</t>
  </si>
  <si>
    <t>Brüsewitz</t>
  </si>
  <si>
    <t>Brüssow</t>
  </si>
  <si>
    <t>Bubenreuth</t>
  </si>
  <si>
    <t>Bubesheim</t>
  </si>
  <si>
    <t>Bubsheim</t>
  </si>
  <si>
    <t>Buch</t>
  </si>
  <si>
    <t>Buch a. Buchrain</t>
  </si>
  <si>
    <t>Buch a. Erlbach</t>
  </si>
  <si>
    <t>Buch a. Wald</t>
  </si>
  <si>
    <t>Buchbach</t>
  </si>
  <si>
    <t>Buchdorf</t>
  </si>
  <si>
    <t>Büchel</t>
  </si>
  <si>
    <t>Buchen</t>
  </si>
  <si>
    <t>Buchenbach</t>
  </si>
  <si>
    <t>Büchenbach</t>
  </si>
  <si>
    <t>Buchenberg</t>
  </si>
  <si>
    <t>Büchenbeuren</t>
  </si>
  <si>
    <t>Buchhofen</t>
  </si>
  <si>
    <t>Buchholz</t>
  </si>
  <si>
    <t>Buchholz in der Nordheide</t>
  </si>
  <si>
    <t>Büchlberg</t>
  </si>
  <si>
    <t>Buchloe</t>
  </si>
  <si>
    <t>Bückeburg</t>
  </si>
  <si>
    <t>Büddenstedt</t>
  </si>
  <si>
    <t>Büdelsdorf, Rickert</t>
  </si>
  <si>
    <t>Budenheim</t>
  </si>
  <si>
    <t>Büdesheim</t>
  </si>
  <si>
    <t>Büdingen</t>
  </si>
  <si>
    <t>Buggingen</t>
  </si>
  <si>
    <t>Bühl</t>
  </si>
  <si>
    <t>Bühlertal</t>
  </si>
  <si>
    <t>Bühlertann</t>
  </si>
  <si>
    <t>Bühlerzell</t>
  </si>
  <si>
    <t>Bülkau</t>
  </si>
  <si>
    <t>Bullay, Alf, Zell</t>
  </si>
  <si>
    <t>Bunde</t>
  </si>
  <si>
    <t>Bünde</t>
  </si>
  <si>
    <t>Bundenbach</t>
  </si>
  <si>
    <t>Bundorf</t>
  </si>
  <si>
    <t>Burbach</t>
  </si>
  <si>
    <t>Büren</t>
  </si>
  <si>
    <t>Burg</t>
  </si>
  <si>
    <t>Burg (Dithmarschen)</t>
  </si>
  <si>
    <t>Burg/Spreewald u.a.</t>
  </si>
  <si>
    <t>Spree-Neiße</t>
  </si>
  <si>
    <t>Burgau</t>
  </si>
  <si>
    <t>Burgberg im Allgäu</t>
  </si>
  <si>
    <t>Burgbernheim</t>
  </si>
  <si>
    <t>Burgbrohl</t>
  </si>
  <si>
    <t>Burgdorf</t>
  </si>
  <si>
    <t>Burgebrach</t>
  </si>
  <si>
    <t>Bürgel u.a.</t>
  </si>
  <si>
    <t>Burggen</t>
  </si>
  <si>
    <t>Burghaslach</t>
  </si>
  <si>
    <t>Burghaun</t>
  </si>
  <si>
    <t>Burghausen</t>
  </si>
  <si>
    <t>Burgheim</t>
  </si>
  <si>
    <t>Burgkirchen an der Alz</t>
  </si>
  <si>
    <t>Burgkunstadt</t>
  </si>
  <si>
    <t>Burglauer</t>
  </si>
  <si>
    <t>Burglengenfeld</t>
  </si>
  <si>
    <t>Burgoberbach</t>
  </si>
  <si>
    <t>Burgpreppach</t>
  </si>
  <si>
    <t>Burgrieden</t>
  </si>
  <si>
    <t>Burgschwalbach</t>
  </si>
  <si>
    <t>Burgsinn</t>
  </si>
  <si>
    <t>Burgstädt</t>
  </si>
  <si>
    <t>Bürgstadt</t>
  </si>
  <si>
    <t>Burgstetten</t>
  </si>
  <si>
    <t>Burgthann</t>
  </si>
  <si>
    <t>Burgwald</t>
  </si>
  <si>
    <t>Burgwedel</t>
  </si>
  <si>
    <t>Burgwindheim</t>
  </si>
  <si>
    <t>Burk</t>
  </si>
  <si>
    <t>Burkardroth</t>
  </si>
  <si>
    <t>Burkau</t>
  </si>
  <si>
    <t>Burkhardtsdorf</t>
  </si>
  <si>
    <t>Burladingen</t>
  </si>
  <si>
    <t>Burow</t>
  </si>
  <si>
    <t>Burscheid</t>
  </si>
  <si>
    <t>Bürstadt</t>
  </si>
  <si>
    <t>Burtenbach</t>
  </si>
  <si>
    <t>Busdorf</t>
  </si>
  <si>
    <t>Buseck</t>
  </si>
  <si>
    <t>Büsingen am Hochrhein</t>
  </si>
  <si>
    <t>Büsum</t>
  </si>
  <si>
    <t>Butjadingen</t>
  </si>
  <si>
    <t>Büttelborn</t>
  </si>
  <si>
    <t>Buttenheim</t>
  </si>
  <si>
    <t>Buttenwiesen</t>
  </si>
  <si>
    <t>Bütthard</t>
  </si>
  <si>
    <t>Buttstädt, Großbrembach, Kleinbrembach</t>
  </si>
  <si>
    <t>Butzbach</t>
  </si>
  <si>
    <t>Bützow u.a.</t>
  </si>
  <si>
    <t>Buxheim</t>
  </si>
  <si>
    <t>Buxtehude</t>
  </si>
  <si>
    <t>Cadenberge</t>
  </si>
  <si>
    <t>Cadolzburg</t>
  </si>
  <si>
    <t>Calau, Bronkow</t>
  </si>
  <si>
    <t>Calbe, Rosenburg u.a.</t>
  </si>
  <si>
    <t>Calberlah</t>
  </si>
  <si>
    <t>Calden</t>
  </si>
  <si>
    <t>Callbach</t>
  </si>
  <si>
    <t>Callenberg, Hohenstein-Ernstthal, Bernsdorf</t>
  </si>
  <si>
    <t>Zwickau</t>
  </si>
  <si>
    <t>Cappeln (Oldenburg)</t>
  </si>
  <si>
    <t>Carlsberg</t>
  </si>
  <si>
    <t>Castrop-Rauxel</t>
  </si>
  <si>
    <t>Celle, Wittbeck</t>
  </si>
  <si>
    <t>Chamerau</t>
  </si>
  <si>
    <t>Chemnitz</t>
  </si>
  <si>
    <t xml:space="preserve"> Chemnitz</t>
  </si>
  <si>
    <t>Chieming</t>
  </si>
  <si>
    <t>Chiemsee</t>
  </si>
  <si>
    <t>Clausen</t>
  </si>
  <si>
    <t>Claußnitz</t>
  </si>
  <si>
    <t>Clausthal-Zellerfeld, Oberschulenberg</t>
  </si>
  <si>
    <t>Cleebronn</t>
  </si>
  <si>
    <t>Clenze</t>
  </si>
  <si>
    <t xml:space="preserve"> Coburg</t>
  </si>
  <si>
    <t>Cochem</t>
  </si>
  <si>
    <t>Cölbe</t>
  </si>
  <si>
    <t>Colditz</t>
  </si>
  <si>
    <t>Collenberg</t>
  </si>
  <si>
    <t>Colmberg</t>
  </si>
  <si>
    <t>Cölpin</t>
  </si>
  <si>
    <t>Contwig</t>
  </si>
  <si>
    <t>Coppenbrügge</t>
  </si>
  <si>
    <t>Cornberg</t>
  </si>
  <si>
    <t>Coswig</t>
  </si>
  <si>
    <t>Coswig (Anhalt)</t>
  </si>
  <si>
    <t>Cottbus</t>
  </si>
  <si>
    <t xml:space="preserve"> Cottbus</t>
  </si>
  <si>
    <t>Crailsheim</t>
  </si>
  <si>
    <t>Creglingen</t>
  </si>
  <si>
    <t>Cremlingen</t>
  </si>
  <si>
    <t>Creußen</t>
  </si>
  <si>
    <t>Creuzburg</t>
  </si>
  <si>
    <t>Crimmitschau</t>
  </si>
  <si>
    <t>Crinitz</t>
  </si>
  <si>
    <t>Crinitzberg</t>
  </si>
  <si>
    <t>Crivitz, Friedrichsruhe u.a.</t>
  </si>
  <si>
    <t>Crossen, Heideland u.a.</t>
  </si>
  <si>
    <t>Crottendorf</t>
  </si>
  <si>
    <t>Cunewalde</t>
  </si>
  <si>
    <t>Daaden</t>
  </si>
  <si>
    <t>Dachsbach</t>
  </si>
  <si>
    <t>Dachsberg</t>
  </si>
  <si>
    <t>Dägeling, Neuenbrook</t>
  </si>
  <si>
    <t>Dahlem</t>
  </si>
  <si>
    <t>Dahlen</t>
  </si>
  <si>
    <t>Dahlenburg</t>
  </si>
  <si>
    <t>Dahme</t>
  </si>
  <si>
    <t>Dahme u.a.</t>
  </si>
  <si>
    <t>Dahmen, Groß Wokern, Teterow</t>
  </si>
  <si>
    <t>Dahn</t>
  </si>
  <si>
    <t>Dähre, Diesdorf, Wallstawe</t>
  </si>
  <si>
    <t>Daisendorf</t>
  </si>
  <si>
    <t>Daleiden, Preischeid u.a.</t>
  </si>
  <si>
    <t>Dallgow-Döberitz</t>
  </si>
  <si>
    <t>Dammbach</t>
  </si>
  <si>
    <t>Damme</t>
  </si>
  <si>
    <t>Damnatz</t>
  </si>
  <si>
    <t>Damp</t>
  </si>
  <si>
    <t>Dänischenhagen</t>
  </si>
  <si>
    <t>Danndorf</t>
  </si>
  <si>
    <t>Dannenberg</t>
  </si>
  <si>
    <t>Dannenfels</t>
  </si>
  <si>
    <t>Dannewerk</t>
  </si>
  <si>
    <t>Dannstadt-Schauernheim</t>
  </si>
  <si>
    <t>Dargun</t>
  </si>
  <si>
    <t>Darmstadt</t>
  </si>
  <si>
    <t xml:space="preserve"> Darmstadt</t>
  </si>
  <si>
    <t>Dasing</t>
  </si>
  <si>
    <t>Dassel</t>
  </si>
  <si>
    <t>Dassow</t>
  </si>
  <si>
    <t>Datteln</t>
  </si>
  <si>
    <t>Dauchingen</t>
  </si>
  <si>
    <t>Daun</t>
  </si>
  <si>
    <t>Dautmergen</t>
  </si>
  <si>
    <t>Dautphetal</t>
  </si>
  <si>
    <t>Deckenpfronn</t>
  </si>
  <si>
    <t>Deggenhausertal</t>
  </si>
  <si>
    <t>Deggingen</t>
  </si>
  <si>
    <t>Deidesheim</t>
  </si>
  <si>
    <t>Deilingen</t>
  </si>
  <si>
    <t>Deining</t>
  </si>
  <si>
    <t>Deiningen</t>
  </si>
  <si>
    <t>Deisenhausen</t>
  </si>
  <si>
    <t>Deißlingen</t>
  </si>
  <si>
    <t>Deizisau</t>
  </si>
  <si>
    <t>Delbrück</t>
  </si>
  <si>
    <t>Delitzsch, Krostitz u.a.</t>
  </si>
  <si>
    <t>Dellfeld</t>
  </si>
  <si>
    <t>Dellstedt</t>
  </si>
  <si>
    <t>Delmenhorst</t>
  </si>
  <si>
    <t>Delve</t>
  </si>
  <si>
    <t>Demmin u.a.</t>
  </si>
  <si>
    <t>Denkendorf</t>
  </si>
  <si>
    <t>Denkingen</t>
  </si>
  <si>
    <t>Denklingen</t>
  </si>
  <si>
    <t>Denkte</t>
  </si>
  <si>
    <t>Dentlein a. Forst</t>
  </si>
  <si>
    <t>Denzlingen</t>
  </si>
  <si>
    <t>Dermbach, Wiesenthal</t>
  </si>
  <si>
    <t>Dernau</t>
  </si>
  <si>
    <t>Dernbach (Westerwald)</t>
  </si>
  <si>
    <t>Dersum</t>
  </si>
  <si>
    <t>Dessau-Roßlau</t>
  </si>
  <si>
    <t xml:space="preserve"> Dessau-Roßlau</t>
  </si>
  <si>
    <t>Detern</t>
  </si>
  <si>
    <t>Detmold</t>
  </si>
  <si>
    <t>Dettelbach</t>
  </si>
  <si>
    <t>Dettenhausen</t>
  </si>
  <si>
    <t>Dettenheim</t>
  </si>
  <si>
    <t>Dettighofen</t>
  </si>
  <si>
    <t>Dettingen an der Erms</t>
  </si>
  <si>
    <t>Dettingen an der Iller</t>
  </si>
  <si>
    <t>Dettingen unter Teck</t>
  </si>
  <si>
    <t>Deuerling</t>
  </si>
  <si>
    <t>Deuselbach, Hermeskeil, Rorodt</t>
  </si>
  <si>
    <t>Deutsch Evern</t>
  </si>
  <si>
    <t>Dickenschied u.a.</t>
  </si>
  <si>
    <t>Didderse</t>
  </si>
  <si>
    <t>Dieburg</t>
  </si>
  <si>
    <t>Diedorf</t>
  </si>
  <si>
    <t>Diekholzen</t>
  </si>
  <si>
    <t>Dielheim</t>
  </si>
  <si>
    <t>Dielkirchen</t>
  </si>
  <si>
    <t>Dielmissen</t>
  </si>
  <si>
    <t>Diemelsee</t>
  </si>
  <si>
    <t>Diemelstadt</t>
  </si>
  <si>
    <t>Diepenau</t>
  </si>
  <si>
    <t>Dierdorf</t>
  </si>
  <si>
    <t>Dierhagen</t>
  </si>
  <si>
    <t>Diespeck</t>
  </si>
  <si>
    <t>Dießen a. Ammersee</t>
  </si>
  <si>
    <t>Dietenheim</t>
  </si>
  <si>
    <t>Dietenhofen</t>
  </si>
  <si>
    <t>Dietersburg</t>
  </si>
  <si>
    <t>Dietersheim</t>
  </si>
  <si>
    <t>Dieterskirchen</t>
  </si>
  <si>
    <t>Dietfurt a.d. Altmühl</t>
  </si>
  <si>
    <t>Dietingen</t>
  </si>
  <si>
    <t>Dietmannsried</t>
  </si>
  <si>
    <t>Dietramszell</t>
  </si>
  <si>
    <t>Dietzenbach</t>
  </si>
  <si>
    <t>Offenbach</t>
  </si>
  <si>
    <t>Dietzhölztal</t>
  </si>
  <si>
    <t>Diez, Hambach, Aull</t>
  </si>
  <si>
    <t>Dillenburg</t>
  </si>
  <si>
    <t>Dillingen/Saar</t>
  </si>
  <si>
    <t>Dingelstädt</t>
  </si>
  <si>
    <t>Dingolfing</t>
  </si>
  <si>
    <t>Dingolfing-Landau</t>
  </si>
  <si>
    <t>Dingolshausen</t>
  </si>
  <si>
    <t>Dinkelsbühl</t>
  </si>
  <si>
    <t>Dinkelscherben</t>
  </si>
  <si>
    <t>Dinklage</t>
  </si>
  <si>
    <t>Dinslaken</t>
  </si>
  <si>
    <t>Dipperz</t>
  </si>
  <si>
    <t>Dippoldiswalde</t>
  </si>
  <si>
    <t>Dirmstein</t>
  </si>
  <si>
    <t>Dischingen</t>
  </si>
  <si>
    <t>Dissen</t>
  </si>
  <si>
    <t>Dittelbrunn</t>
  </si>
  <si>
    <t>Dittelsheim-Heßloch</t>
  </si>
  <si>
    <t>Dittenheim</t>
  </si>
  <si>
    <t>Ditzingen</t>
  </si>
  <si>
    <t>Dobel</t>
  </si>
  <si>
    <t>Döbeln, Großweitzschen u.a.</t>
  </si>
  <si>
    <t>Doberlug-Kirchhain</t>
  </si>
  <si>
    <t>Döbern</t>
  </si>
  <si>
    <t>Doberschau-Gaußig, Großpostwitz, Obergurig</t>
  </si>
  <si>
    <t>Dogern</t>
  </si>
  <si>
    <t>Döhlau</t>
  </si>
  <si>
    <t>Dollern</t>
  </si>
  <si>
    <t>Dollerup</t>
  </si>
  <si>
    <t>Dollnstein</t>
  </si>
  <si>
    <t>Dombühl</t>
  </si>
  <si>
    <t>Dömitz</t>
  </si>
  <si>
    <t>Dommitzsch</t>
  </si>
  <si>
    <t>Domsühl, Mestlin, Obere Warnow u.a.</t>
  </si>
  <si>
    <t>Donaueschingen</t>
  </si>
  <si>
    <t>Donaustauf</t>
  </si>
  <si>
    <t>Donauwörth</t>
  </si>
  <si>
    <t>Donnersdorf</t>
  </si>
  <si>
    <t>Donzdorf</t>
  </si>
  <si>
    <t>Dörentrup</t>
  </si>
  <si>
    <t>Dorf Mecklenburg, Lübow u.a.</t>
  </si>
  <si>
    <t>Dorfchemnitz, Mulda, Sayda</t>
  </si>
  <si>
    <t>Dorfen</t>
  </si>
  <si>
    <t>Dorfhain</t>
  </si>
  <si>
    <t>Dörfles-Esbach</t>
  </si>
  <si>
    <t>Dorfprozelten</t>
  </si>
  <si>
    <t>Dormagen</t>
  </si>
  <si>
    <t>Dormettingen</t>
  </si>
  <si>
    <t>Dornburg</t>
  </si>
  <si>
    <t>Dornburg-Camburg u.a.</t>
  </si>
  <si>
    <t>Dorn-Dürkheim</t>
  </si>
  <si>
    <t>Dornhan</t>
  </si>
  <si>
    <t>Dornstadt</t>
  </si>
  <si>
    <t>Stadtkreis Ulm</t>
  </si>
  <si>
    <t>Dornstetten</t>
  </si>
  <si>
    <t>Dornum</t>
  </si>
  <si>
    <t>Dörpen, Lehe, u.a.</t>
  </si>
  <si>
    <t>Dörphof</t>
  </si>
  <si>
    <t>Dörpstedt</t>
  </si>
  <si>
    <t>Dorstadt, Flöthe, Börßum u.a.</t>
  </si>
  <si>
    <t>Dorsten</t>
  </si>
  <si>
    <t>Dortmund</t>
  </si>
  <si>
    <t xml:space="preserve"> Dortmund</t>
  </si>
  <si>
    <t>Dörverden</t>
  </si>
  <si>
    <t>Dörzbach</t>
  </si>
  <si>
    <t>Döschnitz, Sitzendorf, Rohrbach</t>
  </si>
  <si>
    <t>Dossenheim</t>
  </si>
  <si>
    <t>Dötlingen</t>
  </si>
  <si>
    <t>Dotternhausen</t>
  </si>
  <si>
    <t>Drachselsried</t>
  </si>
  <si>
    <t>Drage, Seeth</t>
  </si>
  <si>
    <t>Drakenburg</t>
  </si>
  <si>
    <t>Dransfeld u.a.</t>
  </si>
  <si>
    <t>Dranske</t>
  </si>
  <si>
    <t>Drebach</t>
  </si>
  <si>
    <t>Drebber</t>
  </si>
  <si>
    <t>Drebkau</t>
  </si>
  <si>
    <t>Drei Gleichen</t>
  </si>
  <si>
    <t>Dreieich</t>
  </si>
  <si>
    <t>Dreisen, Standenbühl</t>
  </si>
  <si>
    <t>Drensteinfurt</t>
  </si>
  <si>
    <t>Dresden</t>
  </si>
  <si>
    <t xml:space="preserve"> Dresden</t>
  </si>
  <si>
    <t>Driedorf</t>
  </si>
  <si>
    <t>Drochtersen</t>
  </si>
  <si>
    <t>Drolshagen</t>
  </si>
  <si>
    <t>Droyßig, Wetterzeube</t>
  </si>
  <si>
    <t>Ducherow</t>
  </si>
  <si>
    <t>Dudeldorf</t>
  </si>
  <si>
    <t>Dudenhofen</t>
  </si>
  <si>
    <t>Duderstadt</t>
  </si>
  <si>
    <t>Duggendorf</t>
  </si>
  <si>
    <t>Duingen</t>
  </si>
  <si>
    <t>Duisburg</t>
  </si>
  <si>
    <t xml:space="preserve"> Duisburg</t>
  </si>
  <si>
    <t>Dülmen</t>
  </si>
  <si>
    <t>Dummerstorf</t>
  </si>
  <si>
    <t>Düngenheim</t>
  </si>
  <si>
    <t>Dunningen</t>
  </si>
  <si>
    <t>Durach</t>
  </si>
  <si>
    <t>Durbach</t>
  </si>
  <si>
    <t>Dürbheim</t>
  </si>
  <si>
    <t>Durchhausen</t>
  </si>
  <si>
    <t>Durlangen, Weggen-Ziegelhütte, Leinhäusle</t>
  </si>
  <si>
    <t>Dürmentingen</t>
  </si>
  <si>
    <t>Durmersheim</t>
  </si>
  <si>
    <t>Dürnau</t>
  </si>
  <si>
    <t>Dürrholz</t>
  </si>
  <si>
    <t>Dürrlauingen</t>
  </si>
  <si>
    <t>Dürrwangen</t>
  </si>
  <si>
    <t>Düsseldorf</t>
  </si>
  <si>
    <t xml:space="preserve"> Düsseldorf</t>
  </si>
  <si>
    <t>Dußlingen</t>
  </si>
  <si>
    <t>Ebeleben</t>
  </si>
  <si>
    <t>Ebelsbach</t>
  </si>
  <si>
    <t>Ebensfeld</t>
  </si>
  <si>
    <t>Ebenweiler</t>
  </si>
  <si>
    <t>Eberbach</t>
  </si>
  <si>
    <t>Eberdingen</t>
  </si>
  <si>
    <t>Eberfing</t>
  </si>
  <si>
    <t>Eberhardzell</t>
  </si>
  <si>
    <t>Ebermannsdorf</t>
  </si>
  <si>
    <t>Ebermannstadt</t>
  </si>
  <si>
    <t>Forchheim</t>
  </si>
  <si>
    <t>Ebern</t>
  </si>
  <si>
    <t>Ebersbach an der Fils</t>
  </si>
  <si>
    <t>Ebersbach-Musbach</t>
  </si>
  <si>
    <t>Ebersbach-Neugersdorf</t>
  </si>
  <si>
    <t>Ebersburg</t>
  </si>
  <si>
    <t>Ebersdorf b. Coburg</t>
  </si>
  <si>
    <t>Ebershausen</t>
  </si>
  <si>
    <t>Eberstadt</t>
  </si>
  <si>
    <t>Eberswalde</t>
  </si>
  <si>
    <t>Ebertsheim</t>
  </si>
  <si>
    <t>Ebhausen</t>
  </si>
  <si>
    <t>Ebnath</t>
  </si>
  <si>
    <t>Ebrach</t>
  </si>
  <si>
    <t>Ebringen</t>
  </si>
  <si>
    <t>Ebsdorfergrund</t>
  </si>
  <si>
    <t>Ebstorf</t>
  </si>
  <si>
    <t>Eching</t>
  </si>
  <si>
    <t>Eching a. Ammersee</t>
  </si>
  <si>
    <t>Echzell</t>
  </si>
  <si>
    <t>Eckartsberga</t>
  </si>
  <si>
    <t>Eckental</t>
  </si>
  <si>
    <t>Eckernförde</t>
  </si>
  <si>
    <t>Eckersdorf</t>
  </si>
  <si>
    <t>Eddelak, Averlak, Dingen, Ramhusen</t>
  </si>
  <si>
    <t>Edelsfeld</t>
  </si>
  <si>
    <t>Edemissen</t>
  </si>
  <si>
    <t>Edenkoben</t>
  </si>
  <si>
    <t>Ederheim</t>
  </si>
  <si>
    <t>Edermünde</t>
  </si>
  <si>
    <t>Edertal</t>
  </si>
  <si>
    <t>Edesheim</t>
  </si>
  <si>
    <t>Edewecht</t>
  </si>
  <si>
    <t>Ediger-Eller</t>
  </si>
  <si>
    <t>Edingen-Neckarhausen</t>
  </si>
  <si>
    <t>Edling</t>
  </si>
  <si>
    <t>Effeltrich</t>
  </si>
  <si>
    <t>Efringen-Kirchen</t>
  </si>
  <si>
    <t>Egeln, Borne, Wolmirsleben u.a.</t>
  </si>
  <si>
    <t>Egelsbach</t>
  </si>
  <si>
    <t>Egenhausen</t>
  </si>
  <si>
    <t>Egenhofen</t>
  </si>
  <si>
    <t>Egesheim</t>
  </si>
  <si>
    <t>Egg an der Günz</t>
  </si>
  <si>
    <t>Eggebek, Langstedt, Sollerup, Süderhackstedt</t>
  </si>
  <si>
    <t>Eggenfelden</t>
  </si>
  <si>
    <t>Eggenstein-Leopoldshafen</t>
  </si>
  <si>
    <t>Eggenthal</t>
  </si>
  <si>
    <t>Eggesin</t>
  </si>
  <si>
    <t>Eggestorf</t>
  </si>
  <si>
    <t>Eggingen</t>
  </si>
  <si>
    <t>Egglham</t>
  </si>
  <si>
    <t>Egglkofen</t>
  </si>
  <si>
    <t>Eggolsheim</t>
  </si>
  <si>
    <t>Eggstätt</t>
  </si>
  <si>
    <t>Eggstedt</t>
  </si>
  <si>
    <t>Eging a. See</t>
  </si>
  <si>
    <t>Eglfing</t>
  </si>
  <si>
    <t>Egling</t>
  </si>
  <si>
    <t>Egling a.d. Paar</t>
  </si>
  <si>
    <t>Egloffstein</t>
  </si>
  <si>
    <t>Egmating</t>
  </si>
  <si>
    <t>Egweil</t>
  </si>
  <si>
    <t>Ehekirchen</t>
  </si>
  <si>
    <t>Ehingen</t>
  </si>
  <si>
    <t>Ehingen (Donau), Lauterach</t>
  </si>
  <si>
    <t>Ehingen a. Ries</t>
  </si>
  <si>
    <t>Ehningen</t>
  </si>
  <si>
    <t>Ehra-Lessien</t>
  </si>
  <si>
    <t>Ehrenburg</t>
  </si>
  <si>
    <t>Ehrenfriedersdorf</t>
  </si>
  <si>
    <t>Ehrenkirchen</t>
  </si>
  <si>
    <t>Ehringshausen</t>
  </si>
  <si>
    <t>Eibelstadt</t>
  </si>
  <si>
    <t>Eibenstock</t>
  </si>
  <si>
    <t>Eich</t>
  </si>
  <si>
    <t>Eichenau</t>
  </si>
  <si>
    <t>Eichenbarleben, Irxleben, Niederndodeleben u.a.</t>
  </si>
  <si>
    <t>Eichenbühl</t>
  </si>
  <si>
    <t>Eichendorf</t>
  </si>
  <si>
    <t>Eichenzell</t>
  </si>
  <si>
    <t>Eichstetten</t>
  </si>
  <si>
    <t>Eicklingen</t>
  </si>
  <si>
    <t>Eigeltingen</t>
  </si>
  <si>
    <t>Eilenburg u.a.</t>
  </si>
  <si>
    <t>Eime</t>
  </si>
  <si>
    <t>Eimeldingen</t>
  </si>
  <si>
    <t>Eimke</t>
  </si>
  <si>
    <t>Einbeck, Kreiensen</t>
  </si>
  <si>
    <t>Einhausen</t>
  </si>
  <si>
    <t>Eiselfing</t>
  </si>
  <si>
    <t>Eisenach</t>
  </si>
  <si>
    <t xml:space="preserve"> Eisenach</t>
  </si>
  <si>
    <t>Eisenbach</t>
  </si>
  <si>
    <t>Eisenberg (Pfalz)</t>
  </si>
  <si>
    <t>Eisenberg, Gösen, Hainspitz</t>
  </si>
  <si>
    <t>Eisenheim</t>
  </si>
  <si>
    <t>Eisenhüttenstadt</t>
  </si>
  <si>
    <t>Eisfeld, Auengrund</t>
  </si>
  <si>
    <t>Eisingen</t>
  </si>
  <si>
    <t>Eisleben</t>
  </si>
  <si>
    <t>Eislingen/Fils</t>
  </si>
  <si>
    <t>Eitelborn</t>
  </si>
  <si>
    <t>Eitensheim</t>
  </si>
  <si>
    <t>Eiterfeld</t>
  </si>
  <si>
    <t>Eitorf</t>
  </si>
  <si>
    <t>Eitting</t>
  </si>
  <si>
    <t>Elbe</t>
  </si>
  <si>
    <t>Elbe-Parey</t>
  </si>
  <si>
    <t>Elbtal</t>
  </si>
  <si>
    <t>Elchesheim-Illingen</t>
  </si>
  <si>
    <t>Elchingen</t>
  </si>
  <si>
    <t>Eldingen</t>
  </si>
  <si>
    <t>Elfershausen</t>
  </si>
  <si>
    <t>Elkenroth</t>
  </si>
  <si>
    <t>Elleben, Wachsenburg</t>
  </si>
  <si>
    <t>Ellefeld</t>
  </si>
  <si>
    <t>Ellenberg</t>
  </si>
  <si>
    <t>Ellenz-Poltersdorf</t>
  </si>
  <si>
    <t>Ellerau</t>
  </si>
  <si>
    <t>Ellerbek</t>
  </si>
  <si>
    <t>Ellerhoop</t>
  </si>
  <si>
    <t>Ellern (Hunsrück), Schnorbach</t>
  </si>
  <si>
    <t>Ellerstadt</t>
  </si>
  <si>
    <t>Ellgau</t>
  </si>
  <si>
    <t>Ellhofen</t>
  </si>
  <si>
    <t>Ellingen</t>
  </si>
  <si>
    <t>Ellingstedt</t>
  </si>
  <si>
    <t>Ellrich</t>
  </si>
  <si>
    <t>Ellwangen (Jagst)</t>
  </si>
  <si>
    <t>Ellzee</t>
  </si>
  <si>
    <t>Elmenhorst</t>
  </si>
  <si>
    <t>Elmenhorst/Lichtenhagen, Rostock</t>
  </si>
  <si>
    <t xml:space="preserve"> Rostock</t>
  </si>
  <si>
    <t>Elmshorn</t>
  </si>
  <si>
    <t>Elmstein</t>
  </si>
  <si>
    <t>Elsdorf</t>
  </si>
  <si>
    <t>Elsdorf-Westermühlen</t>
  </si>
  <si>
    <t>Elsendorf</t>
  </si>
  <si>
    <t>Elsenfeld</t>
  </si>
  <si>
    <t>Elsfleth</t>
  </si>
  <si>
    <t>Elsteraue</t>
  </si>
  <si>
    <t>Elsterberg</t>
  </si>
  <si>
    <t>Elsterwerda</t>
  </si>
  <si>
    <t>Elstra, Oßling u.a.</t>
  </si>
  <si>
    <t>Eltmann</t>
  </si>
  <si>
    <t>Eltville am Rhein</t>
  </si>
  <si>
    <t>Elz</t>
  </si>
  <si>
    <t>Elzach, Biederbach</t>
  </si>
  <si>
    <t>Elze</t>
  </si>
  <si>
    <t>Elztal</t>
  </si>
  <si>
    <t>Embsen</t>
  </si>
  <si>
    <t>Emden</t>
  </si>
  <si>
    <t>Emerkingen</t>
  </si>
  <si>
    <t>Emersacker</t>
  </si>
  <si>
    <t>Emkendorf</t>
  </si>
  <si>
    <t>Emmelshausen</t>
  </si>
  <si>
    <t>Emmendorf</t>
  </si>
  <si>
    <t>Emmerich am Rhein</t>
  </si>
  <si>
    <t>Emmering</t>
  </si>
  <si>
    <t>Emmerthal</t>
  </si>
  <si>
    <t>Emmerting</t>
  </si>
  <si>
    <t>Emmerzhausen, Niederdreisbach, Steinebach</t>
  </si>
  <si>
    <t>Emmingen-Liptingen</t>
  </si>
  <si>
    <t>Empfingen</t>
  </si>
  <si>
    <t>Emsbüren</t>
  </si>
  <si>
    <t>Emsdetten</t>
  </si>
  <si>
    <t>Emskirchen</t>
  </si>
  <si>
    <t>Emstek</t>
  </si>
  <si>
    <t>Emtmannsberg</t>
  </si>
  <si>
    <t>Endingen am Kaiserstuhl</t>
  </si>
  <si>
    <t>Engden, Isterberg, Schüttorf u.a.</t>
  </si>
  <si>
    <t>Engelsberg</t>
  </si>
  <si>
    <t>Engelsbrand</t>
  </si>
  <si>
    <t>Engelschoff</t>
  </si>
  <si>
    <t>Engelskirchen</t>
  </si>
  <si>
    <t>Engelthal/Offenhausen</t>
  </si>
  <si>
    <t>Engen</t>
  </si>
  <si>
    <t>Enger</t>
  </si>
  <si>
    <t>Engstingen</t>
  </si>
  <si>
    <t>Eningen</t>
  </si>
  <si>
    <t>Enkenbach-Alsenborn</t>
  </si>
  <si>
    <t>Enkirch u.a.</t>
  </si>
  <si>
    <t>Ennepetal</t>
  </si>
  <si>
    <t>Ennigerloh</t>
  </si>
  <si>
    <t>Ensdorf</t>
  </si>
  <si>
    <t>Ense</t>
  </si>
  <si>
    <t>Enzklösterle</t>
  </si>
  <si>
    <t>Epfenbach</t>
  </si>
  <si>
    <t>Epfendorf</t>
  </si>
  <si>
    <t>Eppelborn</t>
  </si>
  <si>
    <t>Neunkirchen</t>
  </si>
  <si>
    <t>Eppelheim</t>
  </si>
  <si>
    <t>Eppendorf</t>
  </si>
  <si>
    <t>Eppenschlag</t>
  </si>
  <si>
    <t>Eppertshausen</t>
  </si>
  <si>
    <t>Eppingen</t>
  </si>
  <si>
    <t>Eppishausen</t>
  </si>
  <si>
    <t>Eppstein</t>
  </si>
  <si>
    <t>Erbach</t>
  </si>
  <si>
    <t>Erbendorf</t>
  </si>
  <si>
    <t>Erdmannhausen</t>
  </si>
  <si>
    <t>Erdweg</t>
  </si>
  <si>
    <t>Eresing</t>
  </si>
  <si>
    <t>Erfde</t>
  </si>
  <si>
    <t>Erftstadt</t>
  </si>
  <si>
    <t>Erfurt</t>
  </si>
  <si>
    <t xml:space="preserve"> Erfurt</t>
  </si>
  <si>
    <t>Ergersheim</t>
  </si>
  <si>
    <t>Ergolding, Landshut</t>
  </si>
  <si>
    <t xml:space="preserve"> Landshut</t>
  </si>
  <si>
    <t>Ergoldsbach</t>
  </si>
  <si>
    <t>Ering</t>
  </si>
  <si>
    <t>Eriskirch</t>
  </si>
  <si>
    <t>Erkelenz</t>
  </si>
  <si>
    <t>Erkenbrechtsweiler</t>
  </si>
  <si>
    <t>Erkheim</t>
  </si>
  <si>
    <t>Erkner</t>
  </si>
  <si>
    <t>Erkrath</t>
  </si>
  <si>
    <t>Erlabrunn</t>
  </si>
  <si>
    <t>Erlangen</t>
  </si>
  <si>
    <t xml:space="preserve"> Erlangen</t>
  </si>
  <si>
    <t>Erlbach</t>
  </si>
  <si>
    <t>Erlenbach</t>
  </si>
  <si>
    <t>Erlenbach a.Main</t>
  </si>
  <si>
    <t>Erlenbach b. Marktheidenfeld</t>
  </si>
  <si>
    <t>Erlensee</t>
  </si>
  <si>
    <t>Erligheim</t>
  </si>
  <si>
    <t>Erndtebrück</t>
  </si>
  <si>
    <t>Ernsgaden</t>
  </si>
  <si>
    <t>Erolzheim</t>
  </si>
  <si>
    <t>Erpel</t>
  </si>
  <si>
    <t>Erpolzheim</t>
  </si>
  <si>
    <t>Ertingen</t>
  </si>
  <si>
    <t>Erwitte</t>
  </si>
  <si>
    <t>Erxleben, Nordgermersleben u.a.</t>
  </si>
  <si>
    <t>Erzhausen</t>
  </si>
  <si>
    <t>Esch</t>
  </si>
  <si>
    <t>Eschach, Obergröningen</t>
  </si>
  <si>
    <t>Eschau</t>
  </si>
  <si>
    <t>Eschbach</t>
  </si>
  <si>
    <t>Eschborn</t>
  </si>
  <si>
    <t>Eschbronn</t>
  </si>
  <si>
    <t>Esche, Georgsdorf, Lage, Neuenhaus, Osterwald</t>
  </si>
  <si>
    <t>Eschede</t>
  </si>
  <si>
    <t>Eschelbronn</t>
  </si>
  <si>
    <t>Eschenbach</t>
  </si>
  <si>
    <t>Eschenbach i.d. OPf.</t>
  </si>
  <si>
    <t>Eschenburg</t>
  </si>
  <si>
    <t>Eschenlohe</t>
  </si>
  <si>
    <t>Eschlkam</t>
  </si>
  <si>
    <t>Eschwege</t>
  </si>
  <si>
    <t>Eschweiler</t>
  </si>
  <si>
    <t>Esens, Neuharlingersiel u.a.</t>
  </si>
  <si>
    <t>Esgrus</t>
  </si>
  <si>
    <t>Eslarn</t>
  </si>
  <si>
    <t>Eslohe</t>
  </si>
  <si>
    <t>Espelkamp</t>
  </si>
  <si>
    <t>Espenau</t>
  </si>
  <si>
    <t>Esselbach</t>
  </si>
  <si>
    <t>Essen</t>
  </si>
  <si>
    <t xml:space="preserve"> Essen</t>
  </si>
  <si>
    <t>Essen (Oldenburg)</t>
  </si>
  <si>
    <t>Essenbach</t>
  </si>
  <si>
    <t>Essing</t>
  </si>
  <si>
    <t>Essingen</t>
  </si>
  <si>
    <t>Esslingen am Neckar</t>
  </si>
  <si>
    <t>Eßweiler</t>
  </si>
  <si>
    <t>Estenfeld</t>
  </si>
  <si>
    <t>Esterwegen u.a.</t>
  </si>
  <si>
    <t>Esthal</t>
  </si>
  <si>
    <t>Estorf</t>
  </si>
  <si>
    <t>Ettal</t>
  </si>
  <si>
    <t>Ettenheim</t>
  </si>
  <si>
    <t>Ettenstatt</t>
  </si>
  <si>
    <t>Ettlingen</t>
  </si>
  <si>
    <t>Ettringen</t>
  </si>
  <si>
    <t>Etzelwang</t>
  </si>
  <si>
    <t>Etzenricht</t>
  </si>
  <si>
    <t>Euerbach</t>
  </si>
  <si>
    <t>Euerdorf</t>
  </si>
  <si>
    <t>Eurasburg</t>
  </si>
  <si>
    <t>Eußenheim</t>
  </si>
  <si>
    <t>Eutin, Süsel</t>
  </si>
  <si>
    <t>Eutingen im Gäu</t>
  </si>
  <si>
    <t>Everswinkel</t>
  </si>
  <si>
    <t>Extertal</t>
  </si>
  <si>
    <t>Eystrup, Hassel u.a.</t>
  </si>
  <si>
    <t>Fachbach, Exklave Lahnstein</t>
  </si>
  <si>
    <t>Fahrdorf</t>
  </si>
  <si>
    <t>Fahrenbach</t>
  </si>
  <si>
    <t>Fahrenzhausen</t>
  </si>
  <si>
    <t>Falkenberg</t>
  </si>
  <si>
    <t>Falkenberg/ Elster</t>
  </si>
  <si>
    <t>Falkenfels</t>
  </si>
  <si>
    <t>Falkensee</t>
  </si>
  <si>
    <t>Falkenstein</t>
  </si>
  <si>
    <t>Falkenstein/Vogtl.</t>
  </si>
  <si>
    <t>Farchant</t>
  </si>
  <si>
    <t>Fargau-Pratjau</t>
  </si>
  <si>
    <t>Faßberg</t>
  </si>
  <si>
    <t>Faulbach</t>
  </si>
  <si>
    <t>Fehmarn</t>
  </si>
  <si>
    <t>Fehrbellin</t>
  </si>
  <si>
    <t>Fehrbellin, Temnitzquell, Märkisch Linden u.a.</t>
  </si>
  <si>
    <t>Feichten a.d. Alz</t>
  </si>
  <si>
    <t>Feilbingert</t>
  </si>
  <si>
    <t>Feilitzsch</t>
  </si>
  <si>
    <t>Feldafing</t>
  </si>
  <si>
    <t>Feldatal</t>
  </si>
  <si>
    <t>Feldberg</t>
  </si>
  <si>
    <t>Feldberger Seenlandschaft</t>
  </si>
  <si>
    <t>Felde</t>
  </si>
  <si>
    <t>Feldkirchen</t>
  </si>
  <si>
    <t>Feldkirchen-Westerham</t>
  </si>
  <si>
    <t>Fell</t>
  </si>
  <si>
    <t>Fellbach</t>
  </si>
  <si>
    <t>Fellen</t>
  </si>
  <si>
    <t>Fellheim</t>
  </si>
  <si>
    <t>Felm</t>
  </si>
  <si>
    <t>Felsberg</t>
  </si>
  <si>
    <t>Fensterbach</t>
  </si>
  <si>
    <t>Ferdinandshof u.a.</t>
  </si>
  <si>
    <t>Fernwald</t>
  </si>
  <si>
    <t>Ferschweiler</t>
  </si>
  <si>
    <t>Feuchtwangen</t>
  </si>
  <si>
    <t>Fichtelberg</t>
  </si>
  <si>
    <t>Fichtenau</t>
  </si>
  <si>
    <t>Fichtenberg</t>
  </si>
  <si>
    <t>Filderstadt</t>
  </si>
  <si>
    <t>Filsum</t>
  </si>
  <si>
    <t>Finnentrop</t>
  </si>
  <si>
    <t>Finning</t>
  </si>
  <si>
    <t>Finningen</t>
  </si>
  <si>
    <t>Finsing</t>
  </si>
  <si>
    <t>Finsterwalde</t>
  </si>
  <si>
    <t>Fintel, Lauenbrück u.a.</t>
  </si>
  <si>
    <t>Fischach</t>
  </si>
  <si>
    <t>Fischbach, Erfweiler u.a.</t>
  </si>
  <si>
    <t>Fischbachau</t>
  </si>
  <si>
    <t>Fischbachtal</t>
  </si>
  <si>
    <t>Fischen im Allgäu</t>
  </si>
  <si>
    <t>Fischerbach, Haslach, Hofstetten</t>
  </si>
  <si>
    <t>Fischingen</t>
  </si>
  <si>
    <t>Fitzbek</t>
  </si>
  <si>
    <t>Flachslanden</t>
  </si>
  <si>
    <t>Fladungen</t>
  </si>
  <si>
    <t>Flammersfeld</t>
  </si>
  <si>
    <t>Fleckeby u.a.</t>
  </si>
  <si>
    <t>Flein</t>
  </si>
  <si>
    <t>Fleischwangen</t>
  </si>
  <si>
    <t>Flensburg</t>
  </si>
  <si>
    <t>Flensburg, Tastrup</t>
  </si>
  <si>
    <t>Flieden</t>
  </si>
  <si>
    <t>Flintbek</t>
  </si>
  <si>
    <t>Flintsbach a. Inn</t>
  </si>
  <si>
    <t>Flöha</t>
  </si>
  <si>
    <t>Floh-Seligenthal</t>
  </si>
  <si>
    <t>Flonheim</t>
  </si>
  <si>
    <t>Flörsbachtal</t>
  </si>
  <si>
    <t>Flörsheim am Main</t>
  </si>
  <si>
    <t>Flörsheim-Dalsheim</t>
  </si>
  <si>
    <t>Florstadt</t>
  </si>
  <si>
    <t>Floß</t>
  </si>
  <si>
    <t>Flossenbürg</t>
  </si>
  <si>
    <t>Fluorn-Winzeln</t>
  </si>
  <si>
    <t>Fockbek</t>
  </si>
  <si>
    <t>Föhr</t>
  </si>
  <si>
    <t>Föhren</t>
  </si>
  <si>
    <t>Forbach</t>
  </si>
  <si>
    <t>Forchtenberg</t>
  </si>
  <si>
    <t>Forst</t>
  </si>
  <si>
    <t>Forst an der Weinstraße</t>
  </si>
  <si>
    <t>Forst/ Lausitz</t>
  </si>
  <si>
    <t>Forstern</t>
  </si>
  <si>
    <t>Forstinning</t>
  </si>
  <si>
    <t>Frammersbach</t>
  </si>
  <si>
    <t>Frankenau</t>
  </si>
  <si>
    <t>Frankenberg</t>
  </si>
  <si>
    <t>Frankenblick, Schalkau, Bachfeld</t>
  </si>
  <si>
    <t>Frankenhardt</t>
  </si>
  <si>
    <t>Frankenstein, Neidenfels, Frankeneck</t>
  </si>
  <si>
    <t>Frankenthal (Pfalz)</t>
  </si>
  <si>
    <t xml:space="preserve"> Frankenthal (Pfalz)</t>
  </si>
  <si>
    <t>Frankfurt</t>
  </si>
  <si>
    <t xml:space="preserve"> Frankfurt am Main</t>
  </si>
  <si>
    <t>Frankfurt am Main</t>
  </si>
  <si>
    <t>Frankfurt am Main (Taunusturm)</t>
  </si>
  <si>
    <t>Frankfurt am Main, Opernturm</t>
  </si>
  <si>
    <t>Frankfurt/ Oder</t>
  </si>
  <si>
    <t>Fränkisch-Crumbach</t>
  </si>
  <si>
    <t>Frankleben</t>
  </si>
  <si>
    <t>Frankweiler</t>
  </si>
  <si>
    <t>Franzburg, Richtenberg, u.a.</t>
  </si>
  <si>
    <t>Frasdorf</t>
  </si>
  <si>
    <t>Frauenau</t>
  </si>
  <si>
    <t>Frauenneuharting</t>
  </si>
  <si>
    <t>Frauenstein</t>
  </si>
  <si>
    <t>Fraunberg</t>
  </si>
  <si>
    <t>Fraureuth</t>
  </si>
  <si>
    <t>Frechen</t>
  </si>
  <si>
    <t>Freden (Leine)</t>
  </si>
  <si>
    <t>Fredenbeck</t>
  </si>
  <si>
    <t>Fredersdorf-Vogelsdorf, Petershagen</t>
  </si>
  <si>
    <t>Freiamt</t>
  </si>
  <si>
    <t>Freiberg am Neckar</t>
  </si>
  <si>
    <t>Freiburg (Elbe)</t>
  </si>
  <si>
    <t>Freiburg im Breisgau</t>
  </si>
  <si>
    <t>Stadtkreis Freiburg im Breisgau</t>
  </si>
  <si>
    <t>Freiensteinau</t>
  </si>
  <si>
    <t>Freigericht</t>
  </si>
  <si>
    <t>Freihung</t>
  </si>
  <si>
    <t>Freilassing</t>
  </si>
  <si>
    <t>Freilingen, Freirachdorf u.a.</t>
  </si>
  <si>
    <t>Freinsheim</t>
  </si>
  <si>
    <t>Freisbach</t>
  </si>
  <si>
    <t>Freisen</t>
  </si>
  <si>
    <t>Freistatt, Varrel, Wehrbleck</t>
  </si>
  <si>
    <t>Freital</t>
  </si>
  <si>
    <t>Fremdingen</t>
  </si>
  <si>
    <t>Frensdorf</t>
  </si>
  <si>
    <t>Freudenberg</t>
  </si>
  <si>
    <t>Freudenberg, Collenberg</t>
  </si>
  <si>
    <t>Freudenburg</t>
  </si>
  <si>
    <t>Freudental</t>
  </si>
  <si>
    <t>Freyburg, Balgstädt</t>
  </si>
  <si>
    <t>Freystadt</t>
  </si>
  <si>
    <t>Freyung</t>
  </si>
  <si>
    <t>Frickenhausen</t>
  </si>
  <si>
    <t>Frickingen</t>
  </si>
  <si>
    <t>Fridingen an der Donau</t>
  </si>
  <si>
    <t>Fridolfing</t>
  </si>
  <si>
    <t>Friedberg</t>
  </si>
  <si>
    <t>Friedberg (Hessen)</t>
  </si>
  <si>
    <t>Friedeburg</t>
  </si>
  <si>
    <t>Friedelsheim</t>
  </si>
  <si>
    <t>Friedenfels</t>
  </si>
  <si>
    <t>Friedenweiler</t>
  </si>
  <si>
    <t>Friedewald</t>
  </si>
  <si>
    <t>Friedland</t>
  </si>
  <si>
    <t>Friedland, Galenbeck, Datzetal</t>
  </si>
  <si>
    <t>Friedrichsdorf</t>
  </si>
  <si>
    <t>Friedrichshafen</t>
  </si>
  <si>
    <t>Friedrichskoog</t>
  </si>
  <si>
    <t>Friedrichstadt, Koldenbüttel u.a.</t>
  </si>
  <si>
    <t>Friedrichsthal</t>
  </si>
  <si>
    <t xml:space="preserve"> Saarbrücken</t>
  </si>
  <si>
    <t>Frielendorf</t>
  </si>
  <si>
    <t>Friesack</t>
  </si>
  <si>
    <t>Friesenhagen</t>
  </si>
  <si>
    <t>Friesenheim</t>
  </si>
  <si>
    <t>Friesenried</t>
  </si>
  <si>
    <t>Friesoythe</t>
  </si>
  <si>
    <t>Friolzheim</t>
  </si>
  <si>
    <t>Frittlingen</t>
  </si>
  <si>
    <t>Fritzlar</t>
  </si>
  <si>
    <t>Frohburg</t>
  </si>
  <si>
    <t>Fröndenberg/Ruhr</t>
  </si>
  <si>
    <t>Fronhausen</t>
  </si>
  <si>
    <t>Fronreute</t>
  </si>
  <si>
    <t>Frontenhausen</t>
  </si>
  <si>
    <t>Fuchsmühl</t>
  </si>
  <si>
    <t>Fuchsstadt</t>
  </si>
  <si>
    <t>Fuchstal</t>
  </si>
  <si>
    <t>Fuhlenhagen</t>
  </si>
  <si>
    <t>Fuldabrück</t>
  </si>
  <si>
    <t>Fünfstetten</t>
  </si>
  <si>
    <t>Fürstenau</t>
  </si>
  <si>
    <t>Fürstenberg</t>
  </si>
  <si>
    <t>Fürsteneck</t>
  </si>
  <si>
    <t>Fürstenstein</t>
  </si>
  <si>
    <t>Fürstenwalde/ Spree</t>
  </si>
  <si>
    <t>Fürstenzell</t>
  </si>
  <si>
    <t>Furth</t>
  </si>
  <si>
    <t xml:space="preserve"> Fürth</t>
  </si>
  <si>
    <t>Furth i. Wald</t>
  </si>
  <si>
    <t>Fürthen</t>
  </si>
  <si>
    <t>Furtwangen im Schwarzwald</t>
  </si>
  <si>
    <t>Füssen</t>
  </si>
  <si>
    <t>Fußgönheim</t>
  </si>
  <si>
    <t>Gablingen</t>
  </si>
  <si>
    <t>Gachenbach</t>
  </si>
  <si>
    <t>Gadebusch</t>
  </si>
  <si>
    <t>Gädheim</t>
  </si>
  <si>
    <t>Gaggenau</t>
  </si>
  <si>
    <t>Gaiberg</t>
  </si>
  <si>
    <t>Gaienhofen</t>
  </si>
  <si>
    <t>Gaildorf</t>
  </si>
  <si>
    <t>Gailingen am Hochrhein</t>
  </si>
  <si>
    <t>Gaimersheim</t>
  </si>
  <si>
    <t>Gaißach</t>
  </si>
  <si>
    <t>Gallmersgarten</t>
  </si>
  <si>
    <t>Gammelsdorf</t>
  </si>
  <si>
    <t>Gammelshausen</t>
  </si>
  <si>
    <t>Gammertingen</t>
  </si>
  <si>
    <t>Ganderkesee</t>
  </si>
  <si>
    <t>Gangelt, Selfkant</t>
  </si>
  <si>
    <t>Gangkofen</t>
  </si>
  <si>
    <t>Garbsen</t>
  </si>
  <si>
    <t>Garching a.d. Alz</t>
  </si>
  <si>
    <t>Garching b. München</t>
  </si>
  <si>
    <t>Gardelegen</t>
  </si>
  <si>
    <t>Garding, Osterhever, Poppenbüll u.a.</t>
  </si>
  <si>
    <t>Garmisch-Partenkirchen (Schneefernerhaus)</t>
  </si>
  <si>
    <t>Garrel</t>
  </si>
  <si>
    <t>Gars a. Inn</t>
  </si>
  <si>
    <t>Gars am Inn</t>
  </si>
  <si>
    <t>Garstedt</t>
  </si>
  <si>
    <t>Gartow</t>
  </si>
  <si>
    <t>Gärtringen</t>
  </si>
  <si>
    <t>Gartz (Oder)</t>
  </si>
  <si>
    <t>Garz/ Rügen</t>
  </si>
  <si>
    <t>Gattendorf</t>
  </si>
  <si>
    <t>Gau-Algesheim</t>
  </si>
  <si>
    <t>Gau-Bickelheim</t>
  </si>
  <si>
    <t>Gäufelden</t>
  </si>
  <si>
    <t>Gaukönigshofen</t>
  </si>
  <si>
    <t>Gau-Odernheim</t>
  </si>
  <si>
    <t>Gauting</t>
  </si>
  <si>
    <t>Gebenbach</t>
  </si>
  <si>
    <t>Gebesee</t>
  </si>
  <si>
    <t>Gebhardshain</t>
  </si>
  <si>
    <t>Gebsattel</t>
  </si>
  <si>
    <t>Gechingen</t>
  </si>
  <si>
    <t>Gedern</t>
  </si>
  <si>
    <t>Geeste</t>
  </si>
  <si>
    <t>Geesthacht</t>
  </si>
  <si>
    <t>Geestland</t>
  </si>
  <si>
    <t>Gefell</t>
  </si>
  <si>
    <t>Saale-Orla-Kreis</t>
  </si>
  <si>
    <t>Gefrees</t>
  </si>
  <si>
    <t>Gehrde</t>
  </si>
  <si>
    <t>Gehrden</t>
  </si>
  <si>
    <t>Geilenkirchen</t>
  </si>
  <si>
    <t>Geisa</t>
  </si>
  <si>
    <t>Geiselbach</t>
  </si>
  <si>
    <t>Geiselberg</t>
  </si>
  <si>
    <t>Geiselhöring</t>
  </si>
  <si>
    <t>Geiselwind</t>
  </si>
  <si>
    <t>Geisenfeld</t>
  </si>
  <si>
    <t>Geisenhausen</t>
  </si>
  <si>
    <t>Geisenheim</t>
  </si>
  <si>
    <t>Geisingen</t>
  </si>
  <si>
    <t>Geislingen</t>
  </si>
  <si>
    <t>Geislingen an der Steige</t>
  </si>
  <si>
    <t>Geithain</t>
  </si>
  <si>
    <t>Gelchsheim, Sonderhofen</t>
  </si>
  <si>
    <t>Geldern</t>
  </si>
  <si>
    <t>Geldersheim</t>
  </si>
  <si>
    <t>Gelenau/Erzgeb.</t>
  </si>
  <si>
    <t>Gelsenkirchen</t>
  </si>
  <si>
    <t xml:space="preserve"> Gelsenkirchen</t>
  </si>
  <si>
    <t>Gelsenkirchen Rotthausen</t>
  </si>
  <si>
    <t>Geltendorf</t>
  </si>
  <si>
    <t>Gelting</t>
  </si>
  <si>
    <t>Gemmingen</t>
  </si>
  <si>
    <t>Gemmrigheim</t>
  </si>
  <si>
    <t>Gemünden</t>
  </si>
  <si>
    <t>Gemünden (Felda)</t>
  </si>
  <si>
    <t>Gemünden a. Main</t>
  </si>
  <si>
    <t>Genderkingen</t>
  </si>
  <si>
    <t>Gengenbach</t>
  </si>
  <si>
    <t>Gensingen</t>
  </si>
  <si>
    <t>Genthin, Hohenseeden, Zabakuck u.a.</t>
  </si>
  <si>
    <t>Georgenberg</t>
  </si>
  <si>
    <t>Georgensgmünd</t>
  </si>
  <si>
    <t>Georgenthal/ Thür. Wald</t>
  </si>
  <si>
    <t>Georgsmarienhütte</t>
  </si>
  <si>
    <t>Gera</t>
  </si>
  <si>
    <t>Gera, Zedlitz u.a.</t>
  </si>
  <si>
    <t>Gerabronn</t>
  </si>
  <si>
    <t>Gerach</t>
  </si>
  <si>
    <t>Geratskirchen</t>
  </si>
  <si>
    <t>Gerbrunn</t>
  </si>
  <si>
    <t>Gerbstedt</t>
  </si>
  <si>
    <t>Gerdau</t>
  </si>
  <si>
    <t>Geretsried</t>
  </si>
  <si>
    <t>Gerhardshofen</t>
  </si>
  <si>
    <t>Geringswalde</t>
  </si>
  <si>
    <t>Gerlingen</t>
  </si>
  <si>
    <t>Germaringen</t>
  </si>
  <si>
    <t>Germering</t>
  </si>
  <si>
    <t>Gernsbach</t>
  </si>
  <si>
    <t>Gernsheim</t>
  </si>
  <si>
    <t>Geroda</t>
  </si>
  <si>
    <t>Geroldsgrün</t>
  </si>
  <si>
    <t>Geroldshausen</t>
  </si>
  <si>
    <t>Gerolfingen</t>
  </si>
  <si>
    <t>Gerolsbach</t>
  </si>
  <si>
    <t>Gerolsheim</t>
  </si>
  <si>
    <t>Gerolstein</t>
  </si>
  <si>
    <t>Gerolzhofen</t>
  </si>
  <si>
    <t>Gersdorf</t>
  </si>
  <si>
    <t>Gersfeld</t>
  </si>
  <si>
    <t>Gersheim</t>
  </si>
  <si>
    <t>Gerstetten</t>
  </si>
  <si>
    <t>Gersthofen</t>
  </si>
  <si>
    <t>Gerstungen</t>
  </si>
  <si>
    <t>Gerzen</t>
  </si>
  <si>
    <t>Geschendorf</t>
  </si>
  <si>
    <t>Gescher</t>
  </si>
  <si>
    <t>Geschwenda</t>
  </si>
  <si>
    <t>Gesees</t>
  </si>
  <si>
    <t>Geseke</t>
  </si>
  <si>
    <t>Geslau</t>
  </si>
  <si>
    <t>Gessertshausen</t>
  </si>
  <si>
    <t>Gettorf u.a.</t>
  </si>
  <si>
    <t>Gevelsberg</t>
  </si>
  <si>
    <t>Gevenich</t>
  </si>
  <si>
    <t>Gevensleben</t>
  </si>
  <si>
    <t>Geyer</t>
  </si>
  <si>
    <t>Giebelstadt</t>
  </si>
  <si>
    <t>Gieboldehausen, Rhumequelle</t>
  </si>
  <si>
    <t>Giengen an der Brenz</t>
  </si>
  <si>
    <t>Giesen</t>
  </si>
  <si>
    <t>Gilching</t>
  </si>
  <si>
    <t>Gillenfeld</t>
  </si>
  <si>
    <t>Gilserberg</t>
  </si>
  <si>
    <t>Gimbsheim</t>
  </si>
  <si>
    <t>Gingen an der Fils</t>
  </si>
  <si>
    <t>Gingst</t>
  </si>
  <si>
    <t>Ginsheim-Gustavsburg</t>
  </si>
  <si>
    <t>Gladbeck</t>
  </si>
  <si>
    <t>Gladenbach</t>
  </si>
  <si>
    <t>Glandorf</t>
  </si>
  <si>
    <t>Glan-Münchweiler</t>
  </si>
  <si>
    <t>Glasau</t>
  </si>
  <si>
    <t>Glashütte</t>
  </si>
  <si>
    <t>Glashütten</t>
  </si>
  <si>
    <t>Glattbach</t>
  </si>
  <si>
    <t>Glatten</t>
  </si>
  <si>
    <t>Glauburg</t>
  </si>
  <si>
    <t>Glauchau</t>
  </si>
  <si>
    <t>Gleichen</t>
  </si>
  <si>
    <t>Gleißenberg</t>
  </si>
  <si>
    <t>Glewitz</t>
  </si>
  <si>
    <t>Glienicke/Nordbahn</t>
  </si>
  <si>
    <t>Glinde</t>
  </si>
  <si>
    <t>Glonn</t>
  </si>
  <si>
    <t>Glött</t>
  </si>
  <si>
    <t>Glottertal</t>
  </si>
  <si>
    <t>Glücksburg, Munkbrarup</t>
  </si>
  <si>
    <t>Glückstadt</t>
  </si>
  <si>
    <t>Gmund a. Tegernsee</t>
  </si>
  <si>
    <t>Gnarrenburg</t>
  </si>
  <si>
    <t>Gnoien u.a.</t>
  </si>
  <si>
    <t>Gnotzheim</t>
  </si>
  <si>
    <t>Gnutz</t>
  </si>
  <si>
    <t>Goch</t>
  </si>
  <si>
    <t>Gochsheim</t>
  </si>
  <si>
    <t>Göda</t>
  </si>
  <si>
    <t>Göggingen</t>
  </si>
  <si>
    <t>Göhrde</t>
  </si>
  <si>
    <t>Goldbach</t>
  </si>
  <si>
    <t>Goldbeck, Arneburg u.a.</t>
  </si>
  <si>
    <t>Goldberg</t>
  </si>
  <si>
    <t>Goldenstedt</t>
  </si>
  <si>
    <t>Goldkronach</t>
  </si>
  <si>
    <t>Göllheim</t>
  </si>
  <si>
    <t>Golmbach</t>
  </si>
  <si>
    <t>Golßen</t>
  </si>
  <si>
    <t>Golzow, Zechin u.a.</t>
  </si>
  <si>
    <t>Gomadingen</t>
  </si>
  <si>
    <t>Gomaringen</t>
  </si>
  <si>
    <t>Gommern, Dannigkow</t>
  </si>
  <si>
    <t>Gommersheim</t>
  </si>
  <si>
    <t>Gondelsheim</t>
  </si>
  <si>
    <t>Gönnheim</t>
  </si>
  <si>
    <t>Görisried</t>
  </si>
  <si>
    <t>Gorleben</t>
  </si>
  <si>
    <t>Gornsdorf</t>
  </si>
  <si>
    <t>Görwihl</t>
  </si>
  <si>
    <t>Gorxheimertal</t>
  </si>
  <si>
    <t>Görzke</t>
  </si>
  <si>
    <t>Gosheim</t>
  </si>
  <si>
    <t>Gössenheim</t>
  </si>
  <si>
    <t>Gößnitz</t>
  </si>
  <si>
    <t>Gößweinstein</t>
  </si>
  <si>
    <t>Gottenheim</t>
  </si>
  <si>
    <t>Gottfrieding</t>
  </si>
  <si>
    <t>Gottmadingen</t>
  </si>
  <si>
    <t>Graben-Neudorf</t>
  </si>
  <si>
    <t>Grabenstätt</t>
  </si>
  <si>
    <t>Grabenstetten</t>
  </si>
  <si>
    <t>Grabfeld</t>
  </si>
  <si>
    <t>Grabow u.a.</t>
  </si>
  <si>
    <t>Grabowhöfe, Moltzow u.a.</t>
  </si>
  <si>
    <t>Gräfelfing</t>
  </si>
  <si>
    <t>Grafenau</t>
  </si>
  <si>
    <t>Grafenberg</t>
  </si>
  <si>
    <t>Gräfenberg</t>
  </si>
  <si>
    <t>Gräfendorf</t>
  </si>
  <si>
    <t>Grafengehaig</t>
  </si>
  <si>
    <t>Kulmbach</t>
  </si>
  <si>
    <t>Gräfenhainichen</t>
  </si>
  <si>
    <t>Grafenhausen</t>
  </si>
  <si>
    <t>Grafenrheinfeld</t>
  </si>
  <si>
    <t>Gräfenroda</t>
  </si>
  <si>
    <t>Gräfenthal</t>
  </si>
  <si>
    <t>Grafenwiesen</t>
  </si>
  <si>
    <t>Grafenwöhr</t>
  </si>
  <si>
    <t>Grafhorst</t>
  </si>
  <si>
    <t>Grafing b. München</t>
  </si>
  <si>
    <t>Grafling</t>
  </si>
  <si>
    <t>Grafrath</t>
  </si>
  <si>
    <t>Grafschaft</t>
  </si>
  <si>
    <t>Grainau</t>
  </si>
  <si>
    <t>Grainet</t>
  </si>
  <si>
    <t>Gransee, Löwenberg</t>
  </si>
  <si>
    <t>Grasberg</t>
  </si>
  <si>
    <t>Grasbrunn</t>
  </si>
  <si>
    <t>Grasellenbach</t>
  </si>
  <si>
    <t>Grassau</t>
  </si>
  <si>
    <t>Grattersdorf</t>
  </si>
  <si>
    <t>Grävenwiesbach</t>
  </si>
  <si>
    <t>Grebenau</t>
  </si>
  <si>
    <t>Grebenhain</t>
  </si>
  <si>
    <t>Grebenstein</t>
  </si>
  <si>
    <t>Grebin</t>
  </si>
  <si>
    <t>Greding</t>
  </si>
  <si>
    <t>Grefrath</t>
  </si>
  <si>
    <t>Greifenberg</t>
  </si>
  <si>
    <t>Greifenstein</t>
  </si>
  <si>
    <t>Gremsdorf</t>
  </si>
  <si>
    <t>Grenzach-Wyhlen</t>
  </si>
  <si>
    <t>Grettstadt</t>
  </si>
  <si>
    <t>Greußen Clingen Großenehrich</t>
  </si>
  <si>
    <t>Greußenheim</t>
  </si>
  <si>
    <t>Greven</t>
  </si>
  <si>
    <t>Grevenbroich</t>
  </si>
  <si>
    <t>Grevesmühlen, Stepenitztal, Upahl u.a.</t>
  </si>
  <si>
    <t>Griesbach i. Rottal</t>
  </si>
  <si>
    <t>Griesheim</t>
  </si>
  <si>
    <t>Griesingen</t>
  </si>
  <si>
    <t>Griesstätt</t>
  </si>
  <si>
    <t>Grimma</t>
  </si>
  <si>
    <t>Grimmen</t>
  </si>
  <si>
    <t>Gröbenzell</t>
  </si>
  <si>
    <t>Gröditz, Wülknitz, Röderaue</t>
  </si>
  <si>
    <t>Groitzsch</t>
  </si>
  <si>
    <t>Grömbach</t>
  </si>
  <si>
    <t>Grömitz</t>
  </si>
  <si>
    <t>Gronau</t>
  </si>
  <si>
    <t>Gronau (Leine)</t>
  </si>
  <si>
    <t>Grönwohld</t>
  </si>
  <si>
    <t>Groß Grönau</t>
  </si>
  <si>
    <t>Groß Köris</t>
  </si>
  <si>
    <t>Groß Kreutz</t>
  </si>
  <si>
    <t>Groß Kummerfeld</t>
  </si>
  <si>
    <t>Groß Miltzow</t>
  </si>
  <si>
    <t>Groß Oesingen</t>
  </si>
  <si>
    <t>Groß Rheide</t>
  </si>
  <si>
    <t>Groß Twülpstedt</t>
  </si>
  <si>
    <t>Groß Wittensee</t>
  </si>
  <si>
    <t>Großaitingen</t>
  </si>
  <si>
    <t>Großalmerode</t>
  </si>
  <si>
    <t>Großbeeren</t>
  </si>
  <si>
    <t>Großbettlingen</t>
  </si>
  <si>
    <t>Groß-Bieberau</t>
  </si>
  <si>
    <t>Großbottwar</t>
  </si>
  <si>
    <t>Großbreitenbach</t>
  </si>
  <si>
    <t>Großdubrau, Malschwitz</t>
  </si>
  <si>
    <t>Großefehn</t>
  </si>
  <si>
    <t>Grosselfingen</t>
  </si>
  <si>
    <t>Großenaspe</t>
  </si>
  <si>
    <t>Großenbrode</t>
  </si>
  <si>
    <t>Großengottern, Heroldishausen</t>
  </si>
  <si>
    <t>Großenhain</t>
  </si>
  <si>
    <t>Großenhain, Ebersbach u.a.</t>
  </si>
  <si>
    <t>Großenkneten</t>
  </si>
  <si>
    <t>Großenlüder</t>
  </si>
  <si>
    <t>Großenseebach</t>
  </si>
  <si>
    <t>Großenwiehe, Lindewitt</t>
  </si>
  <si>
    <t>Großenwörden</t>
  </si>
  <si>
    <t>Großerlach</t>
  </si>
  <si>
    <t>Großfahner, Dachwig u.a.</t>
  </si>
  <si>
    <t>Großhabersdorf</t>
  </si>
  <si>
    <t>Großhansdorf</t>
  </si>
  <si>
    <t>Großharrie</t>
  </si>
  <si>
    <t>Großharthau, Frankenthal</t>
  </si>
  <si>
    <t>Großheide</t>
  </si>
  <si>
    <t>Großheirath</t>
  </si>
  <si>
    <t>Großheubach</t>
  </si>
  <si>
    <t>Großkarolinenfeld</t>
  </si>
  <si>
    <t>Großkrotzenburg</t>
  </si>
  <si>
    <t>Großlittgen</t>
  </si>
  <si>
    <t>Großmaischeid</t>
  </si>
  <si>
    <t>Großmehring</t>
  </si>
  <si>
    <t>Großolbersdorf</t>
  </si>
  <si>
    <t>Großostheim</t>
  </si>
  <si>
    <t>Großpösna</t>
  </si>
  <si>
    <t>Großräschen</t>
  </si>
  <si>
    <t>Großrinderfeld</t>
  </si>
  <si>
    <t>Groß-Rohrheim</t>
  </si>
  <si>
    <t>Großröhrsdorf, Bretnig-Hauswalde</t>
  </si>
  <si>
    <t>Großrosseln</t>
  </si>
  <si>
    <t>Großrückerswalde</t>
  </si>
  <si>
    <t>Großrudestedt, Schloßvippach u.a.</t>
  </si>
  <si>
    <t>Großschirma</t>
  </si>
  <si>
    <t>Großschönau</t>
  </si>
  <si>
    <t>Großsolt</t>
  </si>
  <si>
    <t>Groß-Umstadt</t>
  </si>
  <si>
    <t>Großvargula, Tonna</t>
  </si>
  <si>
    <t>Großwallstadt</t>
  </si>
  <si>
    <t>Großweil</t>
  </si>
  <si>
    <t>Groß-Zimmern</t>
  </si>
  <si>
    <t>Grub a. Forst</t>
  </si>
  <si>
    <t>Grube</t>
  </si>
  <si>
    <t>Gruibingen</t>
  </si>
  <si>
    <t>Grumbach</t>
  </si>
  <si>
    <t>Grünberg</t>
  </si>
  <si>
    <t>Gründau</t>
  </si>
  <si>
    <t>Grünendeich</t>
  </si>
  <si>
    <t>Grünenplan, Delligsen</t>
  </si>
  <si>
    <t>Grünhain-Beierfeld</t>
  </si>
  <si>
    <t>Grünhainichen</t>
  </si>
  <si>
    <t>Grünkraut</t>
  </si>
  <si>
    <t>Grünsfeld</t>
  </si>
  <si>
    <t>Grünstadt</t>
  </si>
  <si>
    <t>Grünwald</t>
  </si>
  <si>
    <t>Gschwend</t>
  </si>
  <si>
    <t>Gstadt a. Chiemsee</t>
  </si>
  <si>
    <t>Guben, Schenkendöbern</t>
  </si>
  <si>
    <t>Gudensberg</t>
  </si>
  <si>
    <t>Gudow</t>
  </si>
  <si>
    <t>Güglingen</t>
  </si>
  <si>
    <t>Guldental</t>
  </si>
  <si>
    <t>Gülzow</t>
  </si>
  <si>
    <t>Gummersbach</t>
  </si>
  <si>
    <t>Gumtow, Kyritz u.a.</t>
  </si>
  <si>
    <t>Gundelfingen a.d. Donau</t>
  </si>
  <si>
    <t>Gundelfingen, Heuweiler</t>
  </si>
  <si>
    <t>Gundelsheim</t>
  </si>
  <si>
    <t>Gundersheim</t>
  </si>
  <si>
    <t>Gundersweiler, Gonbach u.a.</t>
  </si>
  <si>
    <t>Gundheim</t>
  </si>
  <si>
    <t>Gundremmingen</t>
  </si>
  <si>
    <t>Gunningen</t>
  </si>
  <si>
    <t>Guntersblum</t>
  </si>
  <si>
    <t>Güntersleben</t>
  </si>
  <si>
    <t>Gunzenhausen</t>
  </si>
  <si>
    <t>Gusborn</t>
  </si>
  <si>
    <t>Gusenburg</t>
  </si>
  <si>
    <t>Güsten</t>
  </si>
  <si>
    <t>Gutach (Schwarzwaldbahn)</t>
  </si>
  <si>
    <t>Gutach im Breisgau</t>
  </si>
  <si>
    <t>Gütenbach</t>
  </si>
  <si>
    <t>Guteneck</t>
  </si>
  <si>
    <t>Gutenstetten</t>
  </si>
  <si>
    <t>Gutenzell-Hürbel</t>
  </si>
  <si>
    <t>Güterglück, Lindau, Deetz u.a.</t>
  </si>
  <si>
    <t>Guttenberg</t>
  </si>
  <si>
    <t>Gützkow</t>
  </si>
  <si>
    <t>Guxhagen</t>
  </si>
  <si>
    <t>Haag a.d. Amper</t>
  </si>
  <si>
    <t>Haag i. OB</t>
  </si>
  <si>
    <t>Haan</t>
  </si>
  <si>
    <t>Haar</t>
  </si>
  <si>
    <t xml:space="preserve"> München</t>
  </si>
  <si>
    <t>Haarbach</t>
  </si>
  <si>
    <t>Habach</t>
  </si>
  <si>
    <t>Habel, Gröde</t>
  </si>
  <si>
    <t>Habichtswald</t>
  </si>
  <si>
    <t>Habighorst</t>
  </si>
  <si>
    <t>Hachenburg</t>
  </si>
  <si>
    <t>Hackenheim</t>
  </si>
  <si>
    <t>Hadamar</t>
  </si>
  <si>
    <t>Hafenlohr, Rothenbuch</t>
  </si>
  <si>
    <t>Hage, Halbemond u.a.</t>
  </si>
  <si>
    <t>Häg-Ehrsberg</t>
  </si>
  <si>
    <t>Hagelstadt</t>
  </si>
  <si>
    <t>Hagen</t>
  </si>
  <si>
    <t xml:space="preserve"> Hagen</t>
  </si>
  <si>
    <t>Hagen am Teutoburger Wald</t>
  </si>
  <si>
    <t>Hagenbach</t>
  </si>
  <si>
    <t>Hagenbüchach</t>
  </si>
  <si>
    <t>Hagenburg</t>
  </si>
  <si>
    <t>Hagenow u.a.</t>
  </si>
  <si>
    <t>Hahausen, Lutter, Wallmoden</t>
  </si>
  <si>
    <t>Hahnbach</t>
  </si>
  <si>
    <t>Hähnichen, Horka, Kodersdorf</t>
  </si>
  <si>
    <t>Hahnstätten u.a.</t>
  </si>
  <si>
    <t>Haibach</t>
  </si>
  <si>
    <t>Haidmühle</t>
  </si>
  <si>
    <t>Haiger</t>
  </si>
  <si>
    <t>Haigerloch</t>
  </si>
  <si>
    <t>Haimhausen</t>
  </si>
  <si>
    <t>Haina</t>
  </si>
  <si>
    <t>Hainburg</t>
  </si>
  <si>
    <t>Hainichen, Rossau, Striegistal</t>
  </si>
  <si>
    <t>Hainsfarth</t>
  </si>
  <si>
    <t>Haiterbach</t>
  </si>
  <si>
    <t>Halbe</t>
  </si>
  <si>
    <t>Halberstadt</t>
  </si>
  <si>
    <t>Halberstadt, Groß Quenstedt</t>
  </si>
  <si>
    <t>Halblech</t>
  </si>
  <si>
    <t>Haldensleben</t>
  </si>
  <si>
    <t>Haldensleben, Flechtingen, Bülstringen u.a.</t>
  </si>
  <si>
    <t>Haldenwang</t>
  </si>
  <si>
    <t>Halfing</t>
  </si>
  <si>
    <t>Hallbergmoos</t>
  </si>
  <si>
    <t>Halle</t>
  </si>
  <si>
    <t>Halle (Westfalen)</t>
  </si>
  <si>
    <t>Halle/ Saale</t>
  </si>
  <si>
    <t xml:space="preserve"> Halle (Saale)</t>
  </si>
  <si>
    <t>Hallerndorf</t>
  </si>
  <si>
    <t>Hallgarten</t>
  </si>
  <si>
    <t>Hallig Hooge</t>
  </si>
  <si>
    <t>Hallschlag</t>
  </si>
  <si>
    <t>Hallstadt</t>
  </si>
  <si>
    <t>Halsbach</t>
  </si>
  <si>
    <t>Halsbrücke</t>
  </si>
  <si>
    <t>Halstenbek</t>
  </si>
  <si>
    <t>Haltern am See</t>
  </si>
  <si>
    <t>Halver</t>
  </si>
  <si>
    <t>Halvesbostel</t>
  </si>
  <si>
    <t>Hambergen, Holste u.a.</t>
  </si>
  <si>
    <t>Hambrücken</t>
  </si>
  <si>
    <t>Hambühren</t>
  </si>
  <si>
    <t>Hamburg</t>
  </si>
  <si>
    <t>Hamburg, Oststeinbek</t>
  </si>
  <si>
    <t>Hamdorf</t>
  </si>
  <si>
    <t>Hameln</t>
  </si>
  <si>
    <t>Hamfelde, Kasseburg, Köthel, Rausdorf, Schönberg</t>
  </si>
  <si>
    <t>Hamm</t>
  </si>
  <si>
    <t>Hamm (Sieg)</t>
  </si>
  <si>
    <t>Hammah</t>
  </si>
  <si>
    <t>Hammelburg</t>
  </si>
  <si>
    <t>Hammersbach</t>
  </si>
  <si>
    <t>Hamminkeln</t>
  </si>
  <si>
    <t>Hamweddel</t>
  </si>
  <si>
    <t>Hanau</t>
  </si>
  <si>
    <t>Handeloh</t>
  </si>
  <si>
    <t>Handewitt</t>
  </si>
  <si>
    <t>Handorf</t>
  </si>
  <si>
    <t>Hanerau-Hademarschen, Seefeld u.a.</t>
  </si>
  <si>
    <t>Hanhofen</t>
  </si>
  <si>
    <t>Hankensbüttel, Obernholz, Dedelstorf</t>
  </si>
  <si>
    <t>Hann. Münden, Gutsbezirk Reinhardswald</t>
  </si>
  <si>
    <t>Hanstedt</t>
  </si>
  <si>
    <t>Hanstedt, Asendorf</t>
  </si>
  <si>
    <t>Happurg</t>
  </si>
  <si>
    <t>Harbke, Sommersdorf, Wefensleben, Ummendorf, Eilsleben</t>
  </si>
  <si>
    <t>Hardegsen</t>
  </si>
  <si>
    <t>Hardheim</t>
  </si>
  <si>
    <t>Hardt</t>
  </si>
  <si>
    <t>Hardthausen am Kocher</t>
  </si>
  <si>
    <t>Haren</t>
  </si>
  <si>
    <t>Hargesheim</t>
  </si>
  <si>
    <t>Harmstorf</t>
  </si>
  <si>
    <t>Harpstedt, Groß Ippener, Colnrade u.a.</t>
  </si>
  <si>
    <t>Harrislee</t>
  </si>
  <si>
    <t>Harsdorf</t>
  </si>
  <si>
    <t>Harsefeld</t>
  </si>
  <si>
    <t>Harsewinkel</t>
  </si>
  <si>
    <t>Harsleben</t>
  </si>
  <si>
    <t>Harsum</t>
  </si>
  <si>
    <t>Hartenholm</t>
  </si>
  <si>
    <t>Hartenstein</t>
  </si>
  <si>
    <t>Hartha</t>
  </si>
  <si>
    <t>Harthausen</t>
  </si>
  <si>
    <t>Hartheim</t>
  </si>
  <si>
    <t>Hartmannsdorf</t>
  </si>
  <si>
    <t>Hartmannsdorf-Reichenau</t>
  </si>
  <si>
    <t>Harxheim</t>
  </si>
  <si>
    <t>Harztor</t>
  </si>
  <si>
    <t>Hasbergen</t>
  </si>
  <si>
    <t>Hasel</t>
  </si>
  <si>
    <t>Haselbach</t>
  </si>
  <si>
    <t>Haseldorf</t>
  </si>
  <si>
    <t>Haselund</t>
  </si>
  <si>
    <t>Haselünne</t>
  </si>
  <si>
    <t>Hasloch</t>
  </si>
  <si>
    <t>Haßbergen</t>
  </si>
  <si>
    <t>Hasselroth</t>
  </si>
  <si>
    <t>Haßfurt</t>
  </si>
  <si>
    <t>Haßloch</t>
  </si>
  <si>
    <t>Haßmersheim</t>
  </si>
  <si>
    <t>Haste, Hohnhorst</t>
  </si>
  <si>
    <t>Hatten</t>
  </si>
  <si>
    <t>Hattenhofen</t>
  </si>
  <si>
    <t>Hattersheim</t>
  </si>
  <si>
    <t>Hattert</t>
  </si>
  <si>
    <t>Hattingen</t>
  </si>
  <si>
    <t>Hattorf</t>
  </si>
  <si>
    <t>Hattstedt u.a.</t>
  </si>
  <si>
    <t>Hatzenbühl</t>
  </si>
  <si>
    <t>Hatzfeld</t>
  </si>
  <si>
    <t>Hauenstein</t>
  </si>
  <si>
    <t>Haundorf</t>
  </si>
  <si>
    <t>Hauneck</t>
  </si>
  <si>
    <t>Haunetal</t>
  </si>
  <si>
    <t>Haunsheim</t>
  </si>
  <si>
    <t>Hausach</t>
  </si>
  <si>
    <t>Hausen</t>
  </si>
  <si>
    <t>Hausen am Tann</t>
  </si>
  <si>
    <t>Hausen b. Würzburg</t>
  </si>
  <si>
    <t>Hausen im Wiesental</t>
  </si>
  <si>
    <t>Hausen ob Verena</t>
  </si>
  <si>
    <t>Hausham</t>
  </si>
  <si>
    <t>Hauzenberg</t>
  </si>
  <si>
    <t>Havelberg</t>
  </si>
  <si>
    <t>Havelsee</t>
  </si>
  <si>
    <t>Haverlah</t>
  </si>
  <si>
    <t>Havetoft</t>
  </si>
  <si>
    <t>Havixbeck</t>
  </si>
  <si>
    <t>Hawangen</t>
  </si>
  <si>
    <t>Hayingen</t>
  </si>
  <si>
    <t>Hebertsfelden</t>
  </si>
  <si>
    <t>Hebertshausen</t>
  </si>
  <si>
    <t>Hechingen</t>
  </si>
  <si>
    <t>Hechthausen</t>
  </si>
  <si>
    <t>Hecklingen</t>
  </si>
  <si>
    <t>Heddesheim</t>
  </si>
  <si>
    <t>Hedeper</t>
  </si>
  <si>
    <t>Hedersleben</t>
  </si>
  <si>
    <t>Heek</t>
  </si>
  <si>
    <t>Heemsen</t>
  </si>
  <si>
    <t>Heere</t>
  </si>
  <si>
    <t>Heeßen, Bad Eilsen</t>
  </si>
  <si>
    <t>Heide u.a.</t>
  </si>
  <si>
    <t>Heideck</t>
  </si>
  <si>
    <t>Heidelberg</t>
  </si>
  <si>
    <t>Stadtkreis Heidelberg</t>
  </si>
  <si>
    <t>Heiden</t>
  </si>
  <si>
    <t>Heidenau</t>
  </si>
  <si>
    <t>Heidenheim an der Brenz</t>
  </si>
  <si>
    <t>Heidenrod</t>
  </si>
  <si>
    <t>Heidesee</t>
  </si>
  <si>
    <t>Heidesheim am Rhein</t>
  </si>
  <si>
    <t>Heigenbrücken</t>
  </si>
  <si>
    <t>Heikendorf</t>
  </si>
  <si>
    <t>Stadtkreis Heilbronn</t>
  </si>
  <si>
    <t>Heiligenberg</t>
  </si>
  <si>
    <t>Heiligenhafen</t>
  </si>
  <si>
    <t>Heiligenhaus</t>
  </si>
  <si>
    <t>Heiligenstadt</t>
  </si>
  <si>
    <t>Heiligenstadt i. OFr.</t>
  </si>
  <si>
    <t>Heiligkreuzsteinach</t>
  </si>
  <si>
    <t>Heilsbronn</t>
  </si>
  <si>
    <t>Heimbach</t>
  </si>
  <si>
    <t>Heimbuchenthal</t>
  </si>
  <si>
    <t>Heimenkirch</t>
  </si>
  <si>
    <t>Lindau (Bodensee)</t>
  </si>
  <si>
    <t>Heimertingen</t>
  </si>
  <si>
    <t>Heimsheim</t>
  </si>
  <si>
    <t>Heinersreuth</t>
  </si>
  <si>
    <t>Heiningen</t>
  </si>
  <si>
    <t>Heinrichsthal</t>
  </si>
  <si>
    <t>Heinsen</t>
  </si>
  <si>
    <t>Heist</t>
  </si>
  <si>
    <t>Heitersheim</t>
  </si>
  <si>
    <t>Helbra</t>
  </si>
  <si>
    <t>Heldenstein</t>
  </si>
  <si>
    <t>Heldrungen</t>
  </si>
  <si>
    <t>Helgoland</t>
  </si>
  <si>
    <t>Hellenthal</t>
  </si>
  <si>
    <t>Helmbrechts</t>
  </si>
  <si>
    <t>Helmstadt</t>
  </si>
  <si>
    <t>Helmstadt-Bargen</t>
  </si>
  <si>
    <t>Helpsen, Seggebruch</t>
  </si>
  <si>
    <t>Helsa</t>
  </si>
  <si>
    <t>Heltersberg</t>
  </si>
  <si>
    <t>Hemau</t>
  </si>
  <si>
    <t>Hemdingen</t>
  </si>
  <si>
    <t>Hemer</t>
  </si>
  <si>
    <t>Hemhofen</t>
  </si>
  <si>
    <t>Hemmingen</t>
  </si>
  <si>
    <t>Hemmingstedt</t>
  </si>
  <si>
    <t>Hemmoor</t>
  </si>
  <si>
    <t>Hemsbach</t>
  </si>
  <si>
    <t>Henfenfeld</t>
  </si>
  <si>
    <t>Hengersberg</t>
  </si>
  <si>
    <t>Hennef (Sieg)</t>
  </si>
  <si>
    <t>Hennigsdorf</t>
  </si>
  <si>
    <t>Hennstedt</t>
  </si>
  <si>
    <t>Hennweiler</t>
  </si>
  <si>
    <t>Henstedt-Ulzburg</t>
  </si>
  <si>
    <t>Hepberg</t>
  </si>
  <si>
    <t>Heppenheim (Bergstraße)</t>
  </si>
  <si>
    <t>Herbertingen</t>
  </si>
  <si>
    <t>Herbolzheim</t>
  </si>
  <si>
    <t>Herborn</t>
  </si>
  <si>
    <t>Herbrechtingen</t>
  </si>
  <si>
    <t>Herbstein</t>
  </si>
  <si>
    <t>Herdecke</t>
  </si>
  <si>
    <t>Herdorf</t>
  </si>
  <si>
    <t>Herdwangen-Schönach</t>
  </si>
  <si>
    <t>Hergatz</t>
  </si>
  <si>
    <t>Hergisdorf</t>
  </si>
  <si>
    <t>Heringen</t>
  </si>
  <si>
    <t>Heringen/ Helme</t>
  </si>
  <si>
    <t>Heringsdorf</t>
  </si>
  <si>
    <t>Herleshausen</t>
  </si>
  <si>
    <t>Hermannsburg</t>
  </si>
  <si>
    <t>Hermaringen</t>
  </si>
  <si>
    <t>Hermsdorf</t>
  </si>
  <si>
    <t>Hermsdorf/Erzgeb.</t>
  </si>
  <si>
    <t>Herne</t>
  </si>
  <si>
    <t xml:space="preserve"> Herne</t>
  </si>
  <si>
    <t>Heroldsbach</t>
  </si>
  <si>
    <t>Heroldsberg</t>
  </si>
  <si>
    <t>Heroldstatt</t>
  </si>
  <si>
    <t>Herrenberg</t>
  </si>
  <si>
    <t>Herrieden</t>
  </si>
  <si>
    <t>Herrischried</t>
  </si>
  <si>
    <t>Herrngiersdorf</t>
  </si>
  <si>
    <t>Herrnhut</t>
  </si>
  <si>
    <t>Herrsching a. Ammersee</t>
  </si>
  <si>
    <t>Herrstein</t>
  </si>
  <si>
    <t>Hersbruck</t>
  </si>
  <si>
    <t>Herschbach</t>
  </si>
  <si>
    <t>Herscheid</t>
  </si>
  <si>
    <t>Herschweiler-Pettersheim</t>
  </si>
  <si>
    <t>Herten</t>
  </si>
  <si>
    <t>Herxheim</t>
  </si>
  <si>
    <t>Herzberg, Elbingerode, Hörden</t>
  </si>
  <si>
    <t>Herzberg/ Elster</t>
  </si>
  <si>
    <t>Herzebrock-Clarholz</t>
  </si>
  <si>
    <t>Herzhorn, Kamerlanderdeich</t>
  </si>
  <si>
    <t>Herzlake, Dohren</t>
  </si>
  <si>
    <t>Herzogenaurach</t>
  </si>
  <si>
    <t>Herzogenrath</t>
  </si>
  <si>
    <t>Hesel, Neukamperfehn u.a.</t>
  </si>
  <si>
    <t>Hespe</t>
  </si>
  <si>
    <t>Heßdorf</t>
  </si>
  <si>
    <t>Heßheim</t>
  </si>
  <si>
    <t>Hessigheim</t>
  </si>
  <si>
    <t>Hessisch Lichtenau</t>
  </si>
  <si>
    <t>Hessisch Oldendorf</t>
  </si>
  <si>
    <t>Hetlingen</t>
  </si>
  <si>
    <t>Hettenleidelheim</t>
  </si>
  <si>
    <t>Hettingen</t>
  </si>
  <si>
    <t>Hettstadt</t>
  </si>
  <si>
    <t>Hettstedt, Endorf</t>
  </si>
  <si>
    <t>Hetzerath, Dierscheid, Heckenmünster</t>
  </si>
  <si>
    <t>Heubach</t>
  </si>
  <si>
    <t>Heuchelheim</t>
  </si>
  <si>
    <t>Heuchlingen</t>
  </si>
  <si>
    <t>Heuerßen</t>
  </si>
  <si>
    <t>Heusenstamm</t>
  </si>
  <si>
    <t>Heusweiler</t>
  </si>
  <si>
    <t>Hiddenhausen</t>
  </si>
  <si>
    <t>Hiddensee</t>
  </si>
  <si>
    <t>Hilchenbach</t>
  </si>
  <si>
    <t>Hilden</t>
  </si>
  <si>
    <t>Hilden, Düsseldorf</t>
  </si>
  <si>
    <t>Hilders, Ehrenberg</t>
  </si>
  <si>
    <t>Hildrizhausen</t>
  </si>
  <si>
    <t>Hilgert</t>
  </si>
  <si>
    <t>Hilgertshausen-Tandern</t>
  </si>
  <si>
    <t>Hille</t>
  </si>
  <si>
    <t>Hillerse</t>
  </si>
  <si>
    <t>Hillesheim</t>
  </si>
  <si>
    <t>Hillscheid</t>
  </si>
  <si>
    <t>Hilpoltstein</t>
  </si>
  <si>
    <t>Hiltenfingen</t>
  </si>
  <si>
    <t>Hilter</t>
  </si>
  <si>
    <t>Hiltpoltstein</t>
  </si>
  <si>
    <t>Hilzingen</t>
  </si>
  <si>
    <t>Himbergen</t>
  </si>
  <si>
    <t>Himmelkron</t>
  </si>
  <si>
    <t>Himmelpforten</t>
  </si>
  <si>
    <t>Himmelstadt</t>
  </si>
  <si>
    <t>Hinte</t>
  </si>
  <si>
    <t>Hinterschmiding</t>
  </si>
  <si>
    <t>Hinterweidenthal</t>
  </si>
  <si>
    <t>Hinterzarten</t>
  </si>
  <si>
    <t>Hinzweiler</t>
  </si>
  <si>
    <t>Hirrlingen</t>
  </si>
  <si>
    <t>Hirschaid</t>
  </si>
  <si>
    <t>Hirschau</t>
  </si>
  <si>
    <t>Hirschbach</t>
  </si>
  <si>
    <t>Hirschberg</t>
  </si>
  <si>
    <t>Hirschberg an der Bergstraße</t>
  </si>
  <si>
    <t>Hirschfeld</t>
  </si>
  <si>
    <t>Hirschhorn</t>
  </si>
  <si>
    <t>Hirschhorn, Brombach, Heddesbach</t>
  </si>
  <si>
    <t>Hirzenhain</t>
  </si>
  <si>
    <t>Hitzacker (Elbe)</t>
  </si>
  <si>
    <t>Hitzhofen</t>
  </si>
  <si>
    <t>Höchberg</t>
  </si>
  <si>
    <t>Hochdorf</t>
  </si>
  <si>
    <t>Hochdorf-Assenheim</t>
  </si>
  <si>
    <t>Höchenschwand</t>
  </si>
  <si>
    <t>Hochheim am Main</t>
  </si>
  <si>
    <t>Hochspeyer</t>
  </si>
  <si>
    <t>Höchst i. Odw.</t>
  </si>
  <si>
    <t>Hochstadt</t>
  </si>
  <si>
    <t>Höchstädt</t>
  </si>
  <si>
    <t>Hochstadt a. Main</t>
  </si>
  <si>
    <t>Höchstädt a.d. Donau</t>
  </si>
  <si>
    <t>Höchstadt a.d.Aisch</t>
  </si>
  <si>
    <t>Hockenheim</t>
  </si>
  <si>
    <t>Hodenhagen u.a.</t>
  </si>
  <si>
    <t xml:space="preserve"> Hof</t>
  </si>
  <si>
    <t>Hofbieber</t>
  </si>
  <si>
    <t>Höfen an der Enz</t>
  </si>
  <si>
    <t>Höfer</t>
  </si>
  <si>
    <t>Hofgeismar</t>
  </si>
  <si>
    <t>Hofheim am Taunus</t>
  </si>
  <si>
    <t>Hofheim i. UFr.</t>
  </si>
  <si>
    <t>Hofkirchen</t>
  </si>
  <si>
    <t>Hofstetten</t>
  </si>
  <si>
    <t>Högel</t>
  </si>
  <si>
    <t>Höhbeck</t>
  </si>
  <si>
    <t>Hohberg</t>
  </si>
  <si>
    <t>Höheinöd, Petersberg u.a.</t>
  </si>
  <si>
    <t>Hohen Neuendorf</t>
  </si>
  <si>
    <t>Hohen Neuendorf OT Bergfelde</t>
  </si>
  <si>
    <t>Hohenahr</t>
  </si>
  <si>
    <t>Hohenaltheim</t>
  </si>
  <si>
    <t>Hohenaspe</t>
  </si>
  <si>
    <t>Hohenau</t>
  </si>
  <si>
    <t>Hohenberg a.d. Eger</t>
  </si>
  <si>
    <t>Hohenbrunn</t>
  </si>
  <si>
    <t>Hohenburg</t>
  </si>
  <si>
    <t>Hohenfelde</t>
  </si>
  <si>
    <t>Hohenfels</t>
  </si>
  <si>
    <t>Hohenfurch</t>
  </si>
  <si>
    <t>Hohenhameln</t>
  </si>
  <si>
    <t>Hohenhorn</t>
  </si>
  <si>
    <t>Hohenkammer</t>
  </si>
  <si>
    <t>Höhenkirchen-Siegertsbrunn</t>
  </si>
  <si>
    <t>Hohenleipisch</t>
  </si>
  <si>
    <t>Hohenleuben</t>
  </si>
  <si>
    <t>Hohenlinden</t>
  </si>
  <si>
    <t>Hohenlockstedt</t>
  </si>
  <si>
    <t>Hohenmölsen</t>
  </si>
  <si>
    <t>Hohenpeißenberg</t>
  </si>
  <si>
    <t>Hohenpolding</t>
  </si>
  <si>
    <t>Hohenroda</t>
  </si>
  <si>
    <t>Hohenroth</t>
  </si>
  <si>
    <t>Hohenstadt/Drackenstein</t>
  </si>
  <si>
    <t>Hohenstein</t>
  </si>
  <si>
    <t>Hohentengen</t>
  </si>
  <si>
    <t>Hohentengen am Hochrhein</t>
  </si>
  <si>
    <t>Hohenthann</t>
  </si>
  <si>
    <t>Hohenwart</t>
  </si>
  <si>
    <t>Hohenwarth</t>
  </si>
  <si>
    <t>Hohenwestedt</t>
  </si>
  <si>
    <t>Hohn</t>
  </si>
  <si>
    <t>Höhn</t>
  </si>
  <si>
    <t>Hohndorf</t>
  </si>
  <si>
    <t>Hohne</t>
  </si>
  <si>
    <t>Hohnstein</t>
  </si>
  <si>
    <t>Hohnstorf (Elbe), Hittbergen</t>
  </si>
  <si>
    <t>Höhr-Grenzhausen</t>
  </si>
  <si>
    <t>Hoisdorf</t>
  </si>
  <si>
    <t>Holdorf</t>
  </si>
  <si>
    <t>Holenberg</t>
  </si>
  <si>
    <t>Holle</t>
  </si>
  <si>
    <t>Hollenbach</t>
  </si>
  <si>
    <t>Hollenstedt, Drestedt u.a.</t>
  </si>
  <si>
    <t>Hollern-Twielenfleth</t>
  </si>
  <si>
    <t>Hollfeld</t>
  </si>
  <si>
    <t>Hollingstedt</t>
  </si>
  <si>
    <t>Holm</t>
  </si>
  <si>
    <t>Holstenniendorf</t>
  </si>
  <si>
    <t>Holtsee</t>
  </si>
  <si>
    <t>Holzdorf</t>
  </si>
  <si>
    <t>Holzen, Eschershausen, Eimen</t>
  </si>
  <si>
    <t>Holzgerlingen</t>
  </si>
  <si>
    <t>Holzgünz</t>
  </si>
  <si>
    <t>Holzheim</t>
  </si>
  <si>
    <t>Holzkirchen</t>
  </si>
  <si>
    <t>Holzmaden</t>
  </si>
  <si>
    <t>Holzwickede</t>
  </si>
  <si>
    <t>Homberg</t>
  </si>
  <si>
    <t>Homberg (Ohm)</t>
  </si>
  <si>
    <t>Homburg</t>
  </si>
  <si>
    <t>Hoogstede</t>
  </si>
  <si>
    <t>Hopferau</t>
  </si>
  <si>
    <t>Höpfingen</t>
  </si>
  <si>
    <t>Hoppstädten-Weiersbach</t>
  </si>
  <si>
    <t>Hopsten</t>
  </si>
  <si>
    <t>Horb am Neckar</t>
  </si>
  <si>
    <t>Horben</t>
  </si>
  <si>
    <t>Hördt</t>
  </si>
  <si>
    <t>Horgau</t>
  </si>
  <si>
    <t>Horgenzell</t>
  </si>
  <si>
    <t>Hörgertshausen</t>
  </si>
  <si>
    <t>Horhausen (Westerwald)</t>
  </si>
  <si>
    <t>Hornbach</t>
  </si>
  <si>
    <t>Horn-Bad Meinberg</t>
  </si>
  <si>
    <t>Hornberg</t>
  </si>
  <si>
    <t>Horneburg</t>
  </si>
  <si>
    <t>Hörnum (Sylt)</t>
  </si>
  <si>
    <t>Hörselberg-Hainich</t>
  </si>
  <si>
    <t>Horst</t>
  </si>
  <si>
    <t>Horstedt</t>
  </si>
  <si>
    <t>Hörstel</t>
  </si>
  <si>
    <t>Horstmar</t>
  </si>
  <si>
    <t>Hösbach</t>
  </si>
  <si>
    <t>Hosenfeld</t>
  </si>
  <si>
    <t>Höslwang</t>
  </si>
  <si>
    <t>Hoßkirch</t>
  </si>
  <si>
    <t>Hötensleben, Völpke, Ottleben u.a.</t>
  </si>
  <si>
    <t>Höttingen</t>
  </si>
  <si>
    <t>Hövelhof</t>
  </si>
  <si>
    <t>Hoya, Hoyerhagen, Hilgermissen</t>
  </si>
  <si>
    <t>Hoyerswerda</t>
  </si>
  <si>
    <t>Hückelhoven</t>
  </si>
  <si>
    <t>Hückeswagen</t>
  </si>
  <si>
    <t>Hude (Oldenburg)</t>
  </si>
  <si>
    <t>Hüffenhardt</t>
  </si>
  <si>
    <t>Hüfingen</t>
  </si>
  <si>
    <t>Hügelsheim</t>
  </si>
  <si>
    <t>Huglfing</t>
  </si>
  <si>
    <t>Huisheim</t>
  </si>
  <si>
    <t>Hülben</t>
  </si>
  <si>
    <t>Hüllhorst</t>
  </si>
  <si>
    <t>Hummeltal</t>
  </si>
  <si>
    <t>Hunderdorf</t>
  </si>
  <si>
    <t>Hundsbach</t>
  </si>
  <si>
    <t>Hünfeld</t>
  </si>
  <si>
    <t>Hünfelden</t>
  </si>
  <si>
    <t>Hungen</t>
  </si>
  <si>
    <t>Hünstetten, Idstein</t>
  </si>
  <si>
    <t>Hünxe</t>
  </si>
  <si>
    <t>Hurlach</t>
  </si>
  <si>
    <t>Hürtgenwald</t>
  </si>
  <si>
    <t>Hürth</t>
  </si>
  <si>
    <t>Husby</t>
  </si>
  <si>
    <t>Husum</t>
  </si>
  <si>
    <t>Husum, Schwesing u.a.</t>
  </si>
  <si>
    <t>Hütschenhausen</t>
  </si>
  <si>
    <t>Hüttenberg</t>
  </si>
  <si>
    <t>Hutthurm</t>
  </si>
  <si>
    <t>Hüttisheim</t>
  </si>
  <si>
    <t>Hüttlingen</t>
  </si>
  <si>
    <t>Huy</t>
  </si>
  <si>
    <t>Ibbenbüren</t>
  </si>
  <si>
    <t>Ichenhausen</t>
  </si>
  <si>
    <t>Icking</t>
  </si>
  <si>
    <t>Idar-Oberstein</t>
  </si>
  <si>
    <t>Idstedt</t>
  </si>
  <si>
    <t>Iffeldorf</t>
  </si>
  <si>
    <t>Iffezheim</t>
  </si>
  <si>
    <t>Igensdorf</t>
  </si>
  <si>
    <t>Igersheim</t>
  </si>
  <si>
    <t>Iggensbach</t>
  </si>
  <si>
    <t>Iggingen</t>
  </si>
  <si>
    <t>Igling</t>
  </si>
  <si>
    <t>Ihlienworth</t>
  </si>
  <si>
    <t>Ihlow</t>
  </si>
  <si>
    <t>Ihringen</t>
  </si>
  <si>
    <t>Ihrlerstein</t>
  </si>
  <si>
    <t>Ilberstedt</t>
  </si>
  <si>
    <t>Illerkirchberg</t>
  </si>
  <si>
    <t>Illerrieden</t>
  </si>
  <si>
    <t>Illertissen</t>
  </si>
  <si>
    <t>Illesheim</t>
  </si>
  <si>
    <t>Illingen</t>
  </si>
  <si>
    <t>Illmensee</t>
  </si>
  <si>
    <t>Illschwang</t>
  </si>
  <si>
    <t>Ilmenau</t>
  </si>
  <si>
    <t>Ilmmünster</t>
  </si>
  <si>
    <t>Ilsede</t>
  </si>
  <si>
    <t>Ilsenburg, Nordharz</t>
  </si>
  <si>
    <t>Ilsfeld</t>
  </si>
  <si>
    <t>Ilshofen</t>
  </si>
  <si>
    <t>Ilvesheim</t>
  </si>
  <si>
    <t>Immendingen</t>
  </si>
  <si>
    <t>Immenhausen</t>
  </si>
  <si>
    <t>Immenreuth</t>
  </si>
  <si>
    <t>Immenstaad am Bodensee</t>
  </si>
  <si>
    <t>Immenstadt im Allgäu</t>
  </si>
  <si>
    <t>Imsbach</t>
  </si>
  <si>
    <t>Inchenhofen</t>
  </si>
  <si>
    <t>Inden</t>
  </si>
  <si>
    <t>Ingelheim am Rhein</t>
  </si>
  <si>
    <t>Ingenried</t>
  </si>
  <si>
    <t>Ingersheim</t>
  </si>
  <si>
    <t>Ingoldingen</t>
  </si>
  <si>
    <t>Ingolstadt</t>
  </si>
  <si>
    <t xml:space="preserve"> Ingolstadt</t>
  </si>
  <si>
    <t>Innernzell</t>
  </si>
  <si>
    <t>Inning a. Ammersee</t>
  </si>
  <si>
    <t>Insel Poel</t>
  </si>
  <si>
    <t>Insheim</t>
  </si>
  <si>
    <t>Insingen</t>
  </si>
  <si>
    <t>Inzell</t>
  </si>
  <si>
    <t>Inzigkofen</t>
  </si>
  <si>
    <t>Inzlingen</t>
  </si>
  <si>
    <t>Iphofen</t>
  </si>
  <si>
    <t>Ippesheim</t>
  </si>
  <si>
    <t>Ipsheim</t>
  </si>
  <si>
    <t>Irmenach</t>
  </si>
  <si>
    <t>Irndorf</t>
  </si>
  <si>
    <t>Irrel</t>
  </si>
  <si>
    <t>Irsch</t>
  </si>
  <si>
    <t>Irschenberg</t>
  </si>
  <si>
    <t>Irsee</t>
  </si>
  <si>
    <t>Isen</t>
  </si>
  <si>
    <t>Isenbüttel</t>
  </si>
  <si>
    <t>Iserlohn</t>
  </si>
  <si>
    <t>Isernhagen</t>
  </si>
  <si>
    <t>Ismaning</t>
  </si>
  <si>
    <t>Isny im Allgäu</t>
  </si>
  <si>
    <t>Ispringen</t>
  </si>
  <si>
    <t>Isselburg</t>
  </si>
  <si>
    <t>Issigau</t>
  </si>
  <si>
    <t>Issum</t>
  </si>
  <si>
    <t>Itterbeck/Wielen</t>
  </si>
  <si>
    <t>Ittlingen</t>
  </si>
  <si>
    <t>Itzehoe</t>
  </si>
  <si>
    <t>Itzgrund</t>
  </si>
  <si>
    <t>Jachenau</t>
  </si>
  <si>
    <t>Jade</t>
  </si>
  <si>
    <t>Jagel, Lottorf</t>
  </si>
  <si>
    <t>Jagsthausen</t>
  </si>
  <si>
    <t>Jagstzell</t>
  </si>
  <si>
    <t>Jahnsdorf</t>
  </si>
  <si>
    <t>Jameln</t>
  </si>
  <si>
    <t>Jandelsbrunn</t>
  </si>
  <si>
    <t>Jänschwalde</t>
  </si>
  <si>
    <t>Jarmen</t>
  </si>
  <si>
    <t>Jelmstorf</t>
  </si>
  <si>
    <t>Jembke</t>
  </si>
  <si>
    <t>Jemgum</t>
  </si>
  <si>
    <t>Jena</t>
  </si>
  <si>
    <t xml:space="preserve"> Jena</t>
  </si>
  <si>
    <t>Jena, Bucha, Großpürschütz u.a.</t>
  </si>
  <si>
    <t>Jengen</t>
  </si>
  <si>
    <t>Jerichow</t>
  </si>
  <si>
    <t>Jerxheim</t>
  </si>
  <si>
    <t>Jesberg</t>
  </si>
  <si>
    <t>Jesenwang</t>
  </si>
  <si>
    <t>Jessen (Elster)</t>
  </si>
  <si>
    <t>Jesteburg</t>
  </si>
  <si>
    <t>Jestetten</t>
  </si>
  <si>
    <t>Jettenbach</t>
  </si>
  <si>
    <t>Jettingen</t>
  </si>
  <si>
    <t>Jettingen-Scheppach</t>
  </si>
  <si>
    <t>Jetzendorf</t>
  </si>
  <si>
    <t>Jevenstedt</t>
  </si>
  <si>
    <t>Jever</t>
  </si>
  <si>
    <t>Joachimsthal u.a.</t>
  </si>
  <si>
    <t>Jockgrim</t>
  </si>
  <si>
    <t>Johannesberg</t>
  </si>
  <si>
    <t>Johanngeorgenstadt</t>
  </si>
  <si>
    <t>Johanniskirchen</t>
  </si>
  <si>
    <t>Jöhstadt</t>
  </si>
  <si>
    <t>Joldelund</t>
  </si>
  <si>
    <t>Jonsdorf</t>
  </si>
  <si>
    <t>Jördenstorf, Prebberede u.a.</t>
  </si>
  <si>
    <t>Jork</t>
  </si>
  <si>
    <t>Jörl</t>
  </si>
  <si>
    <t>Jossgrund</t>
  </si>
  <si>
    <t>Jößnitz</t>
  </si>
  <si>
    <t>Jüchen</t>
  </si>
  <si>
    <t>Juist, Memmert</t>
  </si>
  <si>
    <t>Julbach</t>
  </si>
  <si>
    <t>Jülich</t>
  </si>
  <si>
    <t>Jungingen</t>
  </si>
  <si>
    <t>Jünkerath</t>
  </si>
  <si>
    <t>Jüterbog</t>
  </si>
  <si>
    <t>Kaarst</t>
  </si>
  <si>
    <t>Kabelsketal</t>
  </si>
  <si>
    <t>Käbschütztal, Klipphausen, Diera-Zehren</t>
  </si>
  <si>
    <t>Kahl am Main</t>
  </si>
  <si>
    <t>Kahla</t>
  </si>
  <si>
    <t>Kaisersbach</t>
  </si>
  <si>
    <t>Kaisersesch</t>
  </si>
  <si>
    <t xml:space="preserve"> Kaiserslautern</t>
  </si>
  <si>
    <t>Kaisheim</t>
  </si>
  <si>
    <t>Kalbach</t>
  </si>
  <si>
    <t>Kalbe</t>
  </si>
  <si>
    <t>Kalefeld</t>
  </si>
  <si>
    <t>Kalkar</t>
  </si>
  <si>
    <t>Kall</t>
  </si>
  <si>
    <t>Kalletal</t>
  </si>
  <si>
    <t>Kallmünz</t>
  </si>
  <si>
    <t>Kallstadt</t>
  </si>
  <si>
    <t>Kaltenbrunn</t>
  </si>
  <si>
    <t>Kaltenkirchen</t>
  </si>
  <si>
    <t>Kaltennordheim</t>
  </si>
  <si>
    <t>Kaltental</t>
  </si>
  <si>
    <t>Kamen</t>
  </si>
  <si>
    <t>Kamenz</t>
  </si>
  <si>
    <t>Kammeltal</t>
  </si>
  <si>
    <t>Kammlach</t>
  </si>
  <si>
    <t>Kamp-Bornhofen-Filsen</t>
  </si>
  <si>
    <t>Kampen (Sylt)</t>
  </si>
  <si>
    <t>Kämpfelbach</t>
  </si>
  <si>
    <t>Kamp-Lintfort</t>
  </si>
  <si>
    <t>Kandel</t>
  </si>
  <si>
    <t>Kandern</t>
  </si>
  <si>
    <t>Kappel-Grafenhausen</t>
  </si>
  <si>
    <t>Kappeln</t>
  </si>
  <si>
    <t>Kappelrodeck</t>
  </si>
  <si>
    <t>Karbach</t>
  </si>
  <si>
    <t>Karben</t>
  </si>
  <si>
    <t>Karlsbad</t>
  </si>
  <si>
    <t>Karlsburg</t>
  </si>
  <si>
    <t>Karlsdorf-Neuthard</t>
  </si>
  <si>
    <t>Karlsfeld</t>
  </si>
  <si>
    <t>Karlshagen</t>
  </si>
  <si>
    <t>Karlshuld</t>
  </si>
  <si>
    <t>Karlskron</t>
  </si>
  <si>
    <t>Stadtkreis Karlsruhe</t>
  </si>
  <si>
    <t>Karlstadt</t>
  </si>
  <si>
    <t>Karlstein am Main</t>
  </si>
  <si>
    <t>Karsbach</t>
  </si>
  <si>
    <t>Karsdorf</t>
  </si>
  <si>
    <t>Karstädt, Dambeck, Klüß</t>
  </si>
  <si>
    <t>Karwitz</t>
  </si>
  <si>
    <t>Kasendorf</t>
  </si>
  <si>
    <t>Kasseedorf</t>
  </si>
  <si>
    <t xml:space="preserve"> Kassel</t>
  </si>
  <si>
    <t>Kassel, Fuldatal</t>
  </si>
  <si>
    <t>Kastellaun</t>
  </si>
  <si>
    <t>Kastl</t>
  </si>
  <si>
    <t>Katlenburg-Lindau</t>
  </si>
  <si>
    <t>Katzenelnbogen</t>
  </si>
  <si>
    <t>Katzhütte</t>
  </si>
  <si>
    <t>Katzweiler</t>
  </si>
  <si>
    <t>Katzwinkel (Sieg)</t>
  </si>
  <si>
    <t>Kaub</t>
  </si>
  <si>
    <t>Kaufbeuren</t>
  </si>
  <si>
    <t xml:space="preserve"> Kaufbeuren</t>
  </si>
  <si>
    <t>Kaufering</t>
  </si>
  <si>
    <t>Kaufungen</t>
  </si>
  <si>
    <t>Kaulsdorf</t>
  </si>
  <si>
    <t>Kefenrod</t>
  </si>
  <si>
    <t>Kehl</t>
  </si>
  <si>
    <t>Kelbra (Kyffhäuser)</t>
  </si>
  <si>
    <t>Kelkheim</t>
  </si>
  <si>
    <t>Kell am See</t>
  </si>
  <si>
    <t>Kellenhusen</t>
  </si>
  <si>
    <t>Kellinghusen</t>
  </si>
  <si>
    <t>Kellmünz a.d. Iller</t>
  </si>
  <si>
    <t>Kelsterbach</t>
  </si>
  <si>
    <t>Keltern</t>
  </si>
  <si>
    <t>Kemberg</t>
  </si>
  <si>
    <t>Kemmern</t>
  </si>
  <si>
    <t>Kemnath</t>
  </si>
  <si>
    <t>Kempen</t>
  </si>
  <si>
    <t>Kempenich</t>
  </si>
  <si>
    <t>Kempten (Allgäu)</t>
  </si>
  <si>
    <t>Kenn</t>
  </si>
  <si>
    <t>Kenzingen</t>
  </si>
  <si>
    <t>Kerken</t>
  </si>
  <si>
    <t>Kernen im Remstal</t>
  </si>
  <si>
    <t>Kerpen</t>
  </si>
  <si>
    <t>Ketsch</t>
  </si>
  <si>
    <t>Kettenkamp, Eggermühlen, Ankum</t>
  </si>
  <si>
    <t>Kettershausen</t>
  </si>
  <si>
    <t>Ketzin</t>
  </si>
  <si>
    <t>Kevelaer-Kervenheim</t>
  </si>
  <si>
    <t>Kevelaer-Mitte</t>
  </si>
  <si>
    <t>Kevelaer-Twisteden</t>
  </si>
  <si>
    <t>Kevelaer-Wetten</t>
  </si>
  <si>
    <t>Kevelaer-Winnekendonk</t>
  </si>
  <si>
    <t>Kiebitzreihe</t>
  </si>
  <si>
    <t>Kiedrich</t>
  </si>
  <si>
    <t>Kiefersfelden</t>
  </si>
  <si>
    <t>Kiel</t>
  </si>
  <si>
    <t>Kiel Russee</t>
  </si>
  <si>
    <t>Kienberg</t>
  </si>
  <si>
    <t>Kierspe</t>
  </si>
  <si>
    <t>Kieselbronn</t>
  </si>
  <si>
    <t>Kindelbrück</t>
  </si>
  <si>
    <t>Kindenheim</t>
  </si>
  <si>
    <t>Kinding</t>
  </si>
  <si>
    <t>Kindsbach</t>
  </si>
  <si>
    <t>Kinsau</t>
  </si>
  <si>
    <t>Kipfenberg</t>
  </si>
  <si>
    <t>Kippenheim</t>
  </si>
  <si>
    <t>Kirchanschöring</t>
  </si>
  <si>
    <t>Kirchardt</t>
  </si>
  <si>
    <t>Kirchbarkau</t>
  </si>
  <si>
    <t>Kirchberg</t>
  </si>
  <si>
    <t>Kirchberg an der Iller</t>
  </si>
  <si>
    <t>Kirchberg an der Jagst</t>
  </si>
  <si>
    <t>Kirchberg u.a.</t>
  </si>
  <si>
    <t>Kirchdorf</t>
  </si>
  <si>
    <t>Kirchdorf a. Inn</t>
  </si>
  <si>
    <t>Kirchdorf a.d. Amper</t>
  </si>
  <si>
    <t>Kirchdorf an der Iller</t>
  </si>
  <si>
    <t>Kirchdorf i. Wald</t>
  </si>
  <si>
    <t>Kirchehrenbach</t>
  </si>
  <si>
    <t>Kirchen (Sieg)</t>
  </si>
  <si>
    <t>Kirchenlamitz</t>
  </si>
  <si>
    <t>Kirchensittenbach</t>
  </si>
  <si>
    <t>Kirchentellinsfurt</t>
  </si>
  <si>
    <t>Kirchenthumbach</t>
  </si>
  <si>
    <t>Kirchgellersen, Westergellersen, Südergellersen</t>
  </si>
  <si>
    <t>Kirchhain</t>
  </si>
  <si>
    <t>Kirchham</t>
  </si>
  <si>
    <t>Kirchhaslach</t>
  </si>
  <si>
    <t>Kirchheim</t>
  </si>
  <si>
    <t>Kirchheim (Hessen)</t>
  </si>
  <si>
    <t>Kirchheim am Neckar</t>
  </si>
  <si>
    <t>Kirchheim am Ries</t>
  </si>
  <si>
    <t>Kirchheim an der Weinstraße</t>
  </si>
  <si>
    <t>Kirchheim b. München</t>
  </si>
  <si>
    <t>Kirchheim in Schwaben</t>
  </si>
  <si>
    <t>Kirchheim unter Teck</t>
  </si>
  <si>
    <t>Kirchheimbolanden</t>
  </si>
  <si>
    <t>Kirchhundem</t>
  </si>
  <si>
    <t>Kirchlauter</t>
  </si>
  <si>
    <t>Kirchlengern</t>
  </si>
  <si>
    <t>Kirchlinteln</t>
  </si>
  <si>
    <t>Kirchroth</t>
  </si>
  <si>
    <t>Kirchseeon</t>
  </si>
  <si>
    <t>Kirchweidach</t>
  </si>
  <si>
    <t>Kirchzarten</t>
  </si>
  <si>
    <t>Kirchzell</t>
  </si>
  <si>
    <t>Kirkel</t>
  </si>
  <si>
    <t>Kirn</t>
  </si>
  <si>
    <t>Kirrweiler (Pfalz)</t>
  </si>
  <si>
    <t>Kirschkau, Pausa-Mühltroff</t>
  </si>
  <si>
    <t>Kirtorf</t>
  </si>
  <si>
    <t>Kisdorf</t>
  </si>
  <si>
    <t>Kissenbrück</t>
  </si>
  <si>
    <t>Kissing</t>
  </si>
  <si>
    <t>Kißlegg</t>
  </si>
  <si>
    <t>Kist, Irtenberger Wald</t>
  </si>
  <si>
    <t>Kitzscher</t>
  </si>
  <si>
    <t>Klausen</t>
  </si>
  <si>
    <t>Klein Bünzow</t>
  </si>
  <si>
    <t>Klein Offenseth-Sparrieshoop</t>
  </si>
  <si>
    <t>Klein Wesenberg</t>
  </si>
  <si>
    <t>Kleinblittersdorf</t>
  </si>
  <si>
    <t>Kleinbundenbach</t>
  </si>
  <si>
    <t>Kleines Wiesental</t>
  </si>
  <si>
    <t>Kleinheubach, Rüdenau</t>
  </si>
  <si>
    <t>Kleinich</t>
  </si>
  <si>
    <t>Kleinkahl</t>
  </si>
  <si>
    <t>Kleinlangheim</t>
  </si>
  <si>
    <t>Kleinmachnow</t>
  </si>
  <si>
    <t>Kleinmaischeid</t>
  </si>
  <si>
    <t>Kleinostheim</t>
  </si>
  <si>
    <t>Kleinrinderfeld</t>
  </si>
  <si>
    <t>Kleinwallstadt</t>
  </si>
  <si>
    <t>Klettgau</t>
  </si>
  <si>
    <t>Klingenberg</t>
  </si>
  <si>
    <t>Klingenberg a. Main</t>
  </si>
  <si>
    <t>Klingenmünster u.a.</t>
  </si>
  <si>
    <t>Klingenthal</t>
  </si>
  <si>
    <t>Klingenthal/Sa.</t>
  </si>
  <si>
    <t>Klostermansfeld, Benndorf</t>
  </si>
  <si>
    <t>Klotten</t>
  </si>
  <si>
    <t>Klötze, Apenburg-Winterfeld</t>
  </si>
  <si>
    <t>Klütz</t>
  </si>
  <si>
    <t>Knetzgau</t>
  </si>
  <si>
    <t>Knittlingen</t>
  </si>
  <si>
    <t>Knüllwald</t>
  </si>
  <si>
    <t>Kobern-Gondorf</t>
  </si>
  <si>
    <t>Koblenz</t>
  </si>
  <si>
    <t xml:space="preserve"> Koblenz</t>
  </si>
  <si>
    <t>Kochel a. See</t>
  </si>
  <si>
    <t>Köditz</t>
  </si>
  <si>
    <t>Ködnitz</t>
  </si>
  <si>
    <t>Köfering</t>
  </si>
  <si>
    <t>Kohlberg</t>
  </si>
  <si>
    <t>Kolbermoor</t>
  </si>
  <si>
    <t>Kolbingen</t>
  </si>
  <si>
    <t>Kolitzheim</t>
  </si>
  <si>
    <t>Kolkwitz</t>
  </si>
  <si>
    <t>Kölleda</t>
  </si>
  <si>
    <t>Kollmar, Pagensand</t>
  </si>
  <si>
    <t>Kollnburg</t>
  </si>
  <si>
    <t>Kollow</t>
  </si>
  <si>
    <t>Köln</t>
  </si>
  <si>
    <t>Köngen</t>
  </si>
  <si>
    <t>Königheim</t>
  </si>
  <si>
    <t>Königs Wusterhausen</t>
  </si>
  <si>
    <t>Königsbach-Stein</t>
  </si>
  <si>
    <t>Königsberg i. Bay.</t>
  </si>
  <si>
    <t>Königsbronn</t>
  </si>
  <si>
    <t>Königsbrück u.a.</t>
  </si>
  <si>
    <t>Königsbrunn</t>
  </si>
  <si>
    <t>Königsdorf</t>
  </si>
  <si>
    <t>Königsee-Rottenbach u.a.</t>
  </si>
  <si>
    <t>Königseggwald</t>
  </si>
  <si>
    <t>Königsfeld</t>
  </si>
  <si>
    <t>Königsfeld im Schwarzwald</t>
  </si>
  <si>
    <t>Königsheim</t>
  </si>
  <si>
    <t>Königslutter am Elm</t>
  </si>
  <si>
    <t>Königsmoos</t>
  </si>
  <si>
    <t>Königstein</t>
  </si>
  <si>
    <t>Königstein im Taunus</t>
  </si>
  <si>
    <t>Königstein/Sächs.Schw.</t>
  </si>
  <si>
    <t>Königswartha</t>
  </si>
  <si>
    <t>Königswinter</t>
  </si>
  <si>
    <t>Könnern</t>
  </si>
  <si>
    <t>Konnersreuth</t>
  </si>
  <si>
    <t>Konradsreuth</t>
  </si>
  <si>
    <t>Konz</t>
  </si>
  <si>
    <t>Konzell</t>
  </si>
  <si>
    <t>Korb</t>
  </si>
  <si>
    <t>Korbach</t>
  </si>
  <si>
    <t>Kordel</t>
  </si>
  <si>
    <t>Körle</t>
  </si>
  <si>
    <t>Körner, Weinbergen</t>
  </si>
  <si>
    <t>Korntal-Münchingen</t>
  </si>
  <si>
    <t>Kornwestheim</t>
  </si>
  <si>
    <t>Körperich u.a.</t>
  </si>
  <si>
    <t>Korschenbroich</t>
  </si>
  <si>
    <t>Kösching</t>
  </si>
  <si>
    <t>Kosel, Rieseby u.a.</t>
  </si>
  <si>
    <t>Koserow</t>
  </si>
  <si>
    <t>Kößlarn</t>
  </si>
  <si>
    <t>Köthen</t>
  </si>
  <si>
    <t>Kottenheim</t>
  </si>
  <si>
    <t>Kottgeisering</t>
  </si>
  <si>
    <t>Kottmar</t>
  </si>
  <si>
    <t>Kötz</t>
  </si>
  <si>
    <t>Kötzting</t>
  </si>
  <si>
    <t>Krackow, Nadrensee</t>
  </si>
  <si>
    <t>Kraiburg a. Inn</t>
  </si>
  <si>
    <t>Kraichtal</t>
  </si>
  <si>
    <t>Krakow, Dobbin-Linstow u.a.</t>
  </si>
  <si>
    <t>Kranenburg</t>
  </si>
  <si>
    <t>Kranichfeld u.a.</t>
  </si>
  <si>
    <t>Kranzberg</t>
  </si>
  <si>
    <t>Krauchenwies</t>
  </si>
  <si>
    <t>Krauschwitz, Weißkeißel</t>
  </si>
  <si>
    <t>Krautheim</t>
  </si>
  <si>
    <t>Krayenberggemeinde, Frauensee</t>
  </si>
  <si>
    <t>Krefeld</t>
  </si>
  <si>
    <t xml:space="preserve"> Krefeld</t>
  </si>
  <si>
    <t>Kreimbach-Kaulbach</t>
  </si>
  <si>
    <t>Kreischa</t>
  </si>
  <si>
    <t>Kremmen</t>
  </si>
  <si>
    <t>Krempe, Grevenkop, Süderau, Muchelndorf</t>
  </si>
  <si>
    <t>Kremperheide</t>
  </si>
  <si>
    <t>Kreßberg</t>
  </si>
  <si>
    <t>Kressbronn am Bodensee</t>
  </si>
  <si>
    <t>Kretz</t>
  </si>
  <si>
    <t>Kreuth</t>
  </si>
  <si>
    <t>Kreuzau</t>
  </si>
  <si>
    <t>Kreuztal</t>
  </si>
  <si>
    <t>Kreuzwertheim</t>
  </si>
  <si>
    <t>Krickenbach</t>
  </si>
  <si>
    <t>Kriegsfeld</t>
  </si>
  <si>
    <t>Krien u.a.</t>
  </si>
  <si>
    <t>Kriftel</t>
  </si>
  <si>
    <t>Krölpa</t>
  </si>
  <si>
    <t>Krombach</t>
  </si>
  <si>
    <t>Kronach</t>
  </si>
  <si>
    <t>Kronau</t>
  </si>
  <si>
    <t>Kronberg im Taunus</t>
  </si>
  <si>
    <t>Kronburg</t>
  </si>
  <si>
    <t>Kröning</t>
  </si>
  <si>
    <t>Kronprinzenkoog, Marne u.a.</t>
  </si>
  <si>
    <t>Kronshagen</t>
  </si>
  <si>
    <t>Kröpelin, Carinerland</t>
  </si>
  <si>
    <t>Kropp u.a.</t>
  </si>
  <si>
    <t>Kröppelshagen-Fahrendorf</t>
  </si>
  <si>
    <t>Kröslin, Krummin, Lassan u.a.</t>
  </si>
  <si>
    <t>Kröv</t>
  </si>
  <si>
    <t>Kruft</t>
  </si>
  <si>
    <t>Krumbach (Schwaben)</t>
  </si>
  <si>
    <t>Krummendeich</t>
  </si>
  <si>
    <t>Krummennaab</t>
  </si>
  <si>
    <t>Krummesse, Klempau</t>
  </si>
  <si>
    <t>Krummhörn</t>
  </si>
  <si>
    <t>Krün</t>
  </si>
  <si>
    <t>Kuchen</t>
  </si>
  <si>
    <t>Kuddewörde</t>
  </si>
  <si>
    <t>Kuhardt</t>
  </si>
  <si>
    <t>Kühbach</t>
  </si>
  <si>
    <t>Kuhfelde</t>
  </si>
  <si>
    <t>Kühlungsborn</t>
  </si>
  <si>
    <t>Küllstedt</t>
  </si>
  <si>
    <t>Kulmain</t>
  </si>
  <si>
    <t>Külsheim</t>
  </si>
  <si>
    <t>Kummerfeld</t>
  </si>
  <si>
    <t>Kümmersbruck</t>
  </si>
  <si>
    <t>Kunreuth</t>
  </si>
  <si>
    <t>Künzell</t>
  </si>
  <si>
    <t>Künzelsau, Ingelfingen</t>
  </si>
  <si>
    <t>Künzing</t>
  </si>
  <si>
    <t>Kupferberg</t>
  </si>
  <si>
    <t>Kupferzell</t>
  </si>
  <si>
    <t>Kuppenheim</t>
  </si>
  <si>
    <t>Küps</t>
  </si>
  <si>
    <t>Kürnach</t>
  </si>
  <si>
    <t>Kürnbach</t>
  </si>
  <si>
    <t>Kürten</t>
  </si>
  <si>
    <t>Küssaberg</t>
  </si>
  <si>
    <t>Küsten</t>
  </si>
  <si>
    <t>Kusterdingen</t>
  </si>
  <si>
    <t>Kutenholz</t>
  </si>
  <si>
    <t>Kutzenhausen</t>
  </si>
  <si>
    <t>Kyffhäuserland</t>
  </si>
  <si>
    <t>Kyllburg</t>
  </si>
  <si>
    <t>Laaber, Brunn</t>
  </si>
  <si>
    <t>Laage, Wardow u.a.</t>
  </si>
  <si>
    <t>Laatzen</t>
  </si>
  <si>
    <t>Laberweinting</t>
  </si>
  <si>
    <t>Laboe</t>
  </si>
  <si>
    <t>Lachen</t>
  </si>
  <si>
    <t>Lachendorf</t>
  </si>
  <si>
    <t>Ladbergen</t>
  </si>
  <si>
    <t>Ladelund</t>
  </si>
  <si>
    <t>Ladenburg</t>
  </si>
  <si>
    <t>Laer</t>
  </si>
  <si>
    <t>Lägerdorf</t>
  </si>
  <si>
    <t>Lähden</t>
  </si>
  <si>
    <t>Lahnau</t>
  </si>
  <si>
    <t>Lahnstein</t>
  </si>
  <si>
    <t>Lahntal</t>
  </si>
  <si>
    <t>Lahr/Schwarzwald</t>
  </si>
  <si>
    <t>Lahstedt</t>
  </si>
  <si>
    <t>Laichingen</t>
  </si>
  <si>
    <t>Lalendorf, Langhagen</t>
  </si>
  <si>
    <t>Lalling</t>
  </si>
  <si>
    <t>Lam</t>
  </si>
  <si>
    <t>Lambrecht (Pfalz)</t>
  </si>
  <si>
    <t>Lambsheim</t>
  </si>
  <si>
    <t>Lamerdingen</t>
  </si>
  <si>
    <t>Lampertheim</t>
  </si>
  <si>
    <t>Lamspringe</t>
  </si>
  <si>
    <t>Lamstedt</t>
  </si>
  <si>
    <t>Landau a.d. Isar</t>
  </si>
  <si>
    <t>Landau in der Pfalz</t>
  </si>
  <si>
    <t xml:space="preserve"> Landau in der Pfalz</t>
  </si>
  <si>
    <t>Landensberg</t>
  </si>
  <si>
    <t>Landesbergen</t>
  </si>
  <si>
    <t>Landsberg</t>
  </si>
  <si>
    <t>Landsberg a. Lech</t>
  </si>
  <si>
    <t>Landsberied</t>
  </si>
  <si>
    <t>Landscheid</t>
  </si>
  <si>
    <t>Landshut, Altdorf</t>
  </si>
  <si>
    <t>Landstuhl</t>
  </si>
  <si>
    <t>Langballig</t>
  </si>
  <si>
    <t>Langdorf</t>
  </si>
  <si>
    <t>Langelsheim</t>
  </si>
  <si>
    <t>Langen</t>
  </si>
  <si>
    <t>Langenaltheim</t>
  </si>
  <si>
    <t>Langenargen</t>
  </si>
  <si>
    <t>Langenau</t>
  </si>
  <si>
    <t>Langenbach</t>
  </si>
  <si>
    <t>Langenberg</t>
  </si>
  <si>
    <t>Langenbernsdorf</t>
  </si>
  <si>
    <t>Langenbrettach</t>
  </si>
  <si>
    <t>Langenburg</t>
  </si>
  <si>
    <t>Langendorf</t>
  </si>
  <si>
    <t>Langenenslingen</t>
  </si>
  <si>
    <t>Langeneß</t>
  </si>
  <si>
    <t>Langenfeld</t>
  </si>
  <si>
    <t>Langenhagen</t>
  </si>
  <si>
    <t>Langenhagen (Flughafen)</t>
  </si>
  <si>
    <t>Langenhorn, Ockholm u.a.</t>
  </si>
  <si>
    <t>Langenleuba-Niederhain</t>
  </si>
  <si>
    <t>Langenlonsheim</t>
  </si>
  <si>
    <t>Langenmosen</t>
  </si>
  <si>
    <t>Langenneufnach</t>
  </si>
  <si>
    <t>Langenpreising</t>
  </si>
  <si>
    <t>Langenselbold</t>
  </si>
  <si>
    <t>Langensendelbach</t>
  </si>
  <si>
    <t>Langenstein, Derenburg</t>
  </si>
  <si>
    <t>Langenweißbach, Wildenfels</t>
  </si>
  <si>
    <t>Langenwetzendorf</t>
  </si>
  <si>
    <t>Langenzenn</t>
  </si>
  <si>
    <t>Langeoog</t>
  </si>
  <si>
    <t>Langerringen</t>
  </si>
  <si>
    <t>Langerwehe</t>
  </si>
  <si>
    <t>Langfurth</t>
  </si>
  <si>
    <t>Langgöns</t>
  </si>
  <si>
    <t>Langlingen</t>
  </si>
  <si>
    <t>Langquaid</t>
  </si>
  <si>
    <t>Langsur</t>
  </si>
  <si>
    <t>Langwedel</t>
  </si>
  <si>
    <t>Langweid a. Lech</t>
  </si>
  <si>
    <t>Langweiler</t>
  </si>
  <si>
    <t>Lanitz-Hassel-Tal, Molauer Land</t>
  </si>
  <si>
    <t>Lappersdorf</t>
  </si>
  <si>
    <t>Lasbek</t>
  </si>
  <si>
    <t>Lasel</t>
  </si>
  <si>
    <t>Lastrup</t>
  </si>
  <si>
    <t>Laubach</t>
  </si>
  <si>
    <t>Lauben</t>
  </si>
  <si>
    <t>Laucha an der Unstrut</t>
  </si>
  <si>
    <t>Lauchhammer</t>
  </si>
  <si>
    <t>Lauchheim</t>
  </si>
  <si>
    <t>Lauchringen</t>
  </si>
  <si>
    <t>Lauda-Königshofen</t>
  </si>
  <si>
    <t>Laudenbach</t>
  </si>
  <si>
    <t>Lauenburg/Elbe</t>
  </si>
  <si>
    <t>Lauenförde</t>
  </si>
  <si>
    <t>Lauenhagen</t>
  </si>
  <si>
    <t>Lauf</t>
  </si>
  <si>
    <t>Lauf an der Pegnitz</t>
  </si>
  <si>
    <t>Laufach</t>
  </si>
  <si>
    <t>Laufen</t>
  </si>
  <si>
    <t>Laufenburg (Baden)</t>
  </si>
  <si>
    <t>Lauffen am Neckar</t>
  </si>
  <si>
    <t>Laugna</t>
  </si>
  <si>
    <t>Lauingen (Donau)</t>
  </si>
  <si>
    <t>Laupheim</t>
  </si>
  <si>
    <t>Lauta</t>
  </si>
  <si>
    <t>Lautenbach</t>
  </si>
  <si>
    <t>Lauter</t>
  </si>
  <si>
    <t>Lauterbach</t>
  </si>
  <si>
    <t>Lauter-Bernsbach</t>
  </si>
  <si>
    <t>Lauterecken u.a.</t>
  </si>
  <si>
    <t>Lauterhofen</t>
  </si>
  <si>
    <t>Lauterstein</t>
  </si>
  <si>
    <t>Lautertal</t>
  </si>
  <si>
    <t>Lautertal (Odenwald)</t>
  </si>
  <si>
    <t>Lautrach</t>
  </si>
  <si>
    <t>Lebach</t>
  </si>
  <si>
    <t>Lechbruck</t>
  </si>
  <si>
    <t>Leck</t>
  </si>
  <si>
    <t>Leegebruch</t>
  </si>
  <si>
    <t>Leese</t>
  </si>
  <si>
    <t>Leezen</t>
  </si>
  <si>
    <t>Legau</t>
  </si>
  <si>
    <t>Legde/Quitzöbel, Bad Wilsnack</t>
  </si>
  <si>
    <t>Legden</t>
  </si>
  <si>
    <t>Lehesten</t>
  </si>
  <si>
    <t>Lehmen, Niederfell, Oberfell, Wolken u.a.</t>
  </si>
  <si>
    <t>Lehnin</t>
  </si>
  <si>
    <t>Lehnstedt u.a.</t>
  </si>
  <si>
    <t>Lehrberg</t>
  </si>
  <si>
    <t>Lehre</t>
  </si>
  <si>
    <t>Lehrensteinsfeld</t>
  </si>
  <si>
    <t>Lehrte</t>
  </si>
  <si>
    <t>Leibertingen, Buchheim</t>
  </si>
  <si>
    <t>Leiblfing</t>
  </si>
  <si>
    <t>Leichlingen</t>
  </si>
  <si>
    <t>Leidersbach</t>
  </si>
  <si>
    <t>Leiferde</t>
  </si>
  <si>
    <t>Leimen</t>
  </si>
  <si>
    <t>Leimersheim</t>
  </si>
  <si>
    <t>Leinach</t>
  </si>
  <si>
    <t>Leinatal</t>
  </si>
  <si>
    <t>Leinburg</t>
  </si>
  <si>
    <t>Leinefelde-Worbis, Wingerode, Hausen</t>
  </si>
  <si>
    <t>Leinfelden-Echterdingen</t>
  </si>
  <si>
    <t>Leingarten</t>
  </si>
  <si>
    <t>Leiningen</t>
  </si>
  <si>
    <t>Leinzell</t>
  </si>
  <si>
    <t>Leipheim</t>
  </si>
  <si>
    <t xml:space="preserve"> Leipzig</t>
  </si>
  <si>
    <t>Leisnig</t>
  </si>
  <si>
    <t>Leiwen u.a.</t>
  </si>
  <si>
    <t>Lemberg</t>
  </si>
  <si>
    <t>Lembruch, Burlage</t>
  </si>
  <si>
    <t>Lemförde u.a.</t>
  </si>
  <si>
    <t>Lemgo</t>
  </si>
  <si>
    <t>Lemgow</t>
  </si>
  <si>
    <t>Lemwerder</t>
  </si>
  <si>
    <t>Lengdorf</t>
  </si>
  <si>
    <t>Lengede</t>
  </si>
  <si>
    <t>Lengenfeld</t>
  </si>
  <si>
    <t>Lengenwang</t>
  </si>
  <si>
    <t>Lengerich</t>
  </si>
  <si>
    <t>Lengerich u.a.</t>
  </si>
  <si>
    <t>Lenggries</t>
  </si>
  <si>
    <t>Lennestadt</t>
  </si>
  <si>
    <t>Lenningen</t>
  </si>
  <si>
    <t>Lensahn</t>
  </si>
  <si>
    <t>Lentföhrden</t>
  </si>
  <si>
    <t>Lenting</t>
  </si>
  <si>
    <t>Lenzen</t>
  </si>
  <si>
    <t>Lenzkirch</t>
  </si>
  <si>
    <t>Leonberg</t>
  </si>
  <si>
    <t>Leopoldshöhe</t>
  </si>
  <si>
    <t>Letschin</t>
  </si>
  <si>
    <t>Leubsdorf, Gornau, Augustusburg</t>
  </si>
  <si>
    <t>Leuchtenberg</t>
  </si>
  <si>
    <t>Leun</t>
  </si>
  <si>
    <t>Leuna</t>
  </si>
  <si>
    <t>Leupoldsgrün</t>
  </si>
  <si>
    <t>Leutenbach</t>
  </si>
  <si>
    <t>Leutersdorf, Spitzkunnersdorf</t>
  </si>
  <si>
    <t>Leutershausen</t>
  </si>
  <si>
    <t>Leutesdorf</t>
  </si>
  <si>
    <t>Leutkirch im Allgäu</t>
  </si>
  <si>
    <t>Leverkusen</t>
  </si>
  <si>
    <t xml:space="preserve"> Leverkusen</t>
  </si>
  <si>
    <t>Lich</t>
  </si>
  <si>
    <t>Lichtenau</t>
  </si>
  <si>
    <t>Lichtenberg</t>
  </si>
  <si>
    <t>Lichtenberg/Erzgeb.</t>
  </si>
  <si>
    <t>Lichtenow, Altlandsberg u.a.</t>
  </si>
  <si>
    <t>Lichtenstein</t>
  </si>
  <si>
    <t>Lichtentanne</t>
  </si>
  <si>
    <t>Lichtenwald</t>
  </si>
  <si>
    <t>Liebenau</t>
  </si>
  <si>
    <t>Liebenau (Hessen)</t>
  </si>
  <si>
    <t>Liebenburg</t>
  </si>
  <si>
    <t>Liebenwalde</t>
  </si>
  <si>
    <t>Lieberose</t>
  </si>
  <si>
    <t>Liebstadt</t>
  </si>
  <si>
    <t>Liederbach am Taunus</t>
  </si>
  <si>
    <t>Lienen</t>
  </si>
  <si>
    <t>Lilienthal</t>
  </si>
  <si>
    <t>Limbach</t>
  </si>
  <si>
    <t>Limbach-Oberfrohna</t>
  </si>
  <si>
    <t>Limburg</t>
  </si>
  <si>
    <t>Limburgerhof</t>
  </si>
  <si>
    <t>Limeshain</t>
  </si>
  <si>
    <t>Linau</t>
  </si>
  <si>
    <t>Linden</t>
  </si>
  <si>
    <t>Linden, Barkenholm</t>
  </si>
  <si>
    <t>Lindenberg</t>
  </si>
  <si>
    <t>Lindenberg im Allgäu</t>
  </si>
  <si>
    <t>Lindenfels</t>
  </si>
  <si>
    <t>Lindern (Oldenburg)</t>
  </si>
  <si>
    <t>Lindhorst</t>
  </si>
  <si>
    <t>Lindlar</t>
  </si>
  <si>
    <t>Lindow u.a.</t>
  </si>
  <si>
    <t>Lingen</t>
  </si>
  <si>
    <t>Lingenfeld</t>
  </si>
  <si>
    <t>Linkenheim-Hochstetten</t>
  </si>
  <si>
    <t>Linnich</t>
  </si>
  <si>
    <t>Linsburg</t>
  </si>
  <si>
    <t>Linsengericht</t>
  </si>
  <si>
    <t>Linz am Rhein, Ockenfels</t>
  </si>
  <si>
    <t>Lippetal</t>
  </si>
  <si>
    <t>Lippstadt</t>
  </si>
  <si>
    <t>Lisberg</t>
  </si>
  <si>
    <t>Lissendorf</t>
  </si>
  <si>
    <t>List</t>
  </si>
  <si>
    <t>Litzendorf</t>
  </si>
  <si>
    <t>Löbau, Kottmar u.a.</t>
  </si>
  <si>
    <t>Lobbach</t>
  </si>
  <si>
    <t>Lobenstein</t>
  </si>
  <si>
    <t>Löbnitz</t>
  </si>
  <si>
    <t>Loburg, Leitzkau</t>
  </si>
  <si>
    <t>Löchgau</t>
  </si>
  <si>
    <t>Löcknitz, Rothenklempenow</t>
  </si>
  <si>
    <t>Loffenau</t>
  </si>
  <si>
    <t>Löffingen</t>
  </si>
  <si>
    <t>Lohberg</t>
  </si>
  <si>
    <t>Lohfelden</t>
  </si>
  <si>
    <t>Lohmar</t>
  </si>
  <si>
    <t>Lohmen</t>
  </si>
  <si>
    <t>Löhnberg</t>
  </si>
  <si>
    <t>Lohne</t>
  </si>
  <si>
    <t>Löhne</t>
  </si>
  <si>
    <t>Lohnsfeld</t>
  </si>
  <si>
    <t>Lohr a. Main</t>
  </si>
  <si>
    <t>Lohra</t>
  </si>
  <si>
    <t>Lohsa</t>
  </si>
  <si>
    <t>Loiching</t>
  </si>
  <si>
    <t>Loitz</t>
  </si>
  <si>
    <t>Loitzendorf</t>
  </si>
  <si>
    <t>Lollar</t>
  </si>
  <si>
    <t>Lommatzsch</t>
  </si>
  <si>
    <t>Löningen</t>
  </si>
  <si>
    <t>Lonnerstadt</t>
  </si>
  <si>
    <t>Lonnig</t>
  </si>
  <si>
    <t>Lonsee</t>
  </si>
  <si>
    <t>Loose</t>
  </si>
  <si>
    <t>Lorch</t>
  </si>
  <si>
    <t>Lorsch</t>
  </si>
  <si>
    <t>Lorup, Rastdorf</t>
  </si>
  <si>
    <t>Losheim</t>
  </si>
  <si>
    <t>Loßburg</t>
  </si>
  <si>
    <t>Lößnitz</t>
  </si>
  <si>
    <t>Lotte</t>
  </si>
  <si>
    <t>Lottstetten</t>
  </si>
  <si>
    <t>Löwenstedt</t>
  </si>
  <si>
    <t>Löwenstein</t>
  </si>
  <si>
    <t>Loxstedt</t>
  </si>
  <si>
    <t>Lübbecke</t>
  </si>
  <si>
    <t>Lübben (Spreewald)</t>
  </si>
  <si>
    <t>Lübbenau/ Spreewald</t>
  </si>
  <si>
    <t>Lübbow</t>
  </si>
  <si>
    <t>Lübeck</t>
  </si>
  <si>
    <t>Lübeck Schlutup/St. Gertrud</t>
  </si>
  <si>
    <t>Lübeck St. Lorenz Nord</t>
  </si>
  <si>
    <t>Lubmin</t>
  </si>
  <si>
    <t>Lübstorf</t>
  </si>
  <si>
    <t>Lübtheen</t>
  </si>
  <si>
    <t>Lübz, Passow</t>
  </si>
  <si>
    <t>Lüchow</t>
  </si>
  <si>
    <t>Lucka</t>
  </si>
  <si>
    <t>Luckau (Wendland)</t>
  </si>
  <si>
    <t>Luckau, Waldrehna, Heideblick, Fürstlich Drehna</t>
  </si>
  <si>
    <t>Luckenwalde</t>
  </si>
  <si>
    <t>Lüdenscheid</t>
  </si>
  <si>
    <t>Lüder</t>
  </si>
  <si>
    <t>Lüdersfeld</t>
  </si>
  <si>
    <t>Lüdinghausen</t>
  </si>
  <si>
    <t>Ludwigschorgast</t>
  </si>
  <si>
    <t>Ludwigsfelde</t>
  </si>
  <si>
    <t>Ludwigshafen am Rhein</t>
  </si>
  <si>
    <t xml:space="preserve"> Ludwigshafen am Rhein</t>
  </si>
  <si>
    <t>Ludwigslust</t>
  </si>
  <si>
    <t>Ludwigsstadt</t>
  </si>
  <si>
    <t>Lüerdissen</t>
  </si>
  <si>
    <t>Lugau/Erzgeb.</t>
  </si>
  <si>
    <t>Lügde</t>
  </si>
  <si>
    <t>Luhden</t>
  </si>
  <si>
    <t>Luhe-Wildenau</t>
  </si>
  <si>
    <t>Luisenthal, Ohrdruf, Wolfis</t>
  </si>
  <si>
    <t>Lülsfeld</t>
  </si>
  <si>
    <t>Lunden</t>
  </si>
  <si>
    <t>Lünen</t>
  </si>
  <si>
    <t>Lünne, Schapen, Spelle</t>
  </si>
  <si>
    <t>Lunzenau</t>
  </si>
  <si>
    <t>Lustadt</t>
  </si>
  <si>
    <t>Lütjenburg</t>
  </si>
  <si>
    <t>Lütjensee</t>
  </si>
  <si>
    <t>Lütjenwestedt, Tackesdorf</t>
  </si>
  <si>
    <t>Lützelbach</t>
  </si>
  <si>
    <t>Lützen</t>
  </si>
  <si>
    <t>Lutzerath</t>
  </si>
  <si>
    <t>Lutzingen</t>
  </si>
  <si>
    <t>Lützkampen</t>
  </si>
  <si>
    <t>Lützow</t>
  </si>
  <si>
    <t>Lychen</t>
  </si>
  <si>
    <t>Maasen, Mellinghausen</t>
  </si>
  <si>
    <t>Maasholm, Schleimünde</t>
  </si>
  <si>
    <t>Machern</t>
  </si>
  <si>
    <t>Mackenbach</t>
  </si>
  <si>
    <t>Magdeburg</t>
  </si>
  <si>
    <t xml:space="preserve"> Magdeburg</t>
  </si>
  <si>
    <t>Magstadt</t>
  </si>
  <si>
    <t>Mahlberg</t>
  </si>
  <si>
    <t>Mahlstetten</t>
  </si>
  <si>
    <t>Mähring</t>
  </si>
  <si>
    <t>Maihingen</t>
  </si>
  <si>
    <t>Maikammer</t>
  </si>
  <si>
    <t>Mainaschaff</t>
  </si>
  <si>
    <t>Mainbernheim</t>
  </si>
  <si>
    <t>Mainburg</t>
  </si>
  <si>
    <t>Mainhardt</t>
  </si>
  <si>
    <t>Mainhausen</t>
  </si>
  <si>
    <t>Mainleus</t>
  </si>
  <si>
    <t>Maintal</t>
  </si>
  <si>
    <t>Mainz</t>
  </si>
  <si>
    <t xml:space="preserve"> Mainz</t>
  </si>
  <si>
    <t>Mainz Ebersheim, Hechtsheim</t>
  </si>
  <si>
    <t>Mainz-Kastel</t>
  </si>
  <si>
    <t xml:space="preserve"> Wiesbaden</t>
  </si>
  <si>
    <t>Maisach</t>
  </si>
  <si>
    <t>Maitenbeth</t>
  </si>
  <si>
    <t>Malberg, Norken, Höchstenbach u.a.</t>
  </si>
  <si>
    <t>Malborn</t>
  </si>
  <si>
    <t>Malchin</t>
  </si>
  <si>
    <t>Malchow u.a.</t>
  </si>
  <si>
    <t>Malente, Kirchnüchel</t>
  </si>
  <si>
    <t>Malgersdorf</t>
  </si>
  <si>
    <t>Mallersdorf-Pfaffenberg</t>
  </si>
  <si>
    <t>Malsburg-Marzell</t>
  </si>
  <si>
    <t>Malsch</t>
  </si>
  <si>
    <t>Malsfeld</t>
  </si>
  <si>
    <t>Malterdingen</t>
  </si>
  <si>
    <t>Mammelzen</t>
  </si>
  <si>
    <t>Mammendorf</t>
  </si>
  <si>
    <t>Mamming</t>
  </si>
  <si>
    <t>Manching</t>
  </si>
  <si>
    <t>Mandelbachtal</t>
  </si>
  <si>
    <t>Manderscheid</t>
  </si>
  <si>
    <t>Mannheim</t>
  </si>
  <si>
    <t>Stadtkreis Mannheim</t>
  </si>
  <si>
    <t>Mansfeld</t>
  </si>
  <si>
    <t>Mantel</t>
  </si>
  <si>
    <t>Marbach am Neckar</t>
  </si>
  <si>
    <t>Marburg</t>
  </si>
  <si>
    <t>March</t>
  </si>
  <si>
    <t>Margetshöchheim</t>
  </si>
  <si>
    <t>Mariaposching</t>
  </si>
  <si>
    <t>Marienberg</t>
  </si>
  <si>
    <t>Marienheide</t>
  </si>
  <si>
    <t>Marienmünster</t>
  </si>
  <si>
    <t>Maring-Noviand</t>
  </si>
  <si>
    <t>Markdorf</t>
  </si>
  <si>
    <t>Markersdorf, Neißeaue u.a.</t>
  </si>
  <si>
    <t>Markgröningen</t>
  </si>
  <si>
    <t>Märkisch Buchholz</t>
  </si>
  <si>
    <t>Markkleeberg</t>
  </si>
  <si>
    <t>Marklkofen</t>
  </si>
  <si>
    <t>Marklohe</t>
  </si>
  <si>
    <t>Markneukirchen</t>
  </si>
  <si>
    <t>Markranstädt</t>
  </si>
  <si>
    <t>Marksuhl, Krauthausen u.a.</t>
  </si>
  <si>
    <t>Markt Berolzheim</t>
  </si>
  <si>
    <t>Markt Bibart</t>
  </si>
  <si>
    <t>Markt Erlbach</t>
  </si>
  <si>
    <t>Markt Indersdorf</t>
  </si>
  <si>
    <t>Markt Nordheim</t>
  </si>
  <si>
    <t>Markt Rettenbach</t>
  </si>
  <si>
    <t>Markt Schwaben</t>
  </si>
  <si>
    <t>Markt Taschendorf</t>
  </si>
  <si>
    <t>Markt Wald</t>
  </si>
  <si>
    <t>Marktbergel</t>
  </si>
  <si>
    <t>Marktbreit</t>
  </si>
  <si>
    <t>Marktheidenfeld</t>
  </si>
  <si>
    <t>Marktl</t>
  </si>
  <si>
    <t>Marktleugast</t>
  </si>
  <si>
    <t>Marktleuthen</t>
  </si>
  <si>
    <t>Marktoberdorf</t>
  </si>
  <si>
    <t>Marktoffingen</t>
  </si>
  <si>
    <t>Marktredwitz</t>
  </si>
  <si>
    <t>Marktrodach</t>
  </si>
  <si>
    <t>Marktschellenberg</t>
  </si>
  <si>
    <t>Marktschorgast</t>
  </si>
  <si>
    <t>Marktzeuln</t>
  </si>
  <si>
    <t>Marl</t>
  </si>
  <si>
    <t>Marlow</t>
  </si>
  <si>
    <t>Marnheim</t>
  </si>
  <si>
    <t>Marnitz, Siggelkow</t>
  </si>
  <si>
    <t>Maroldsweisach</t>
  </si>
  <si>
    <t>Marpingen</t>
  </si>
  <si>
    <t>Marquartstein</t>
  </si>
  <si>
    <t>Marsberg</t>
  </si>
  <si>
    <t>Marschacht</t>
  </si>
  <si>
    <t>Martfeld, Schwarme</t>
  </si>
  <si>
    <t>Marxen</t>
  </si>
  <si>
    <t>Marxheim</t>
  </si>
  <si>
    <t>Marxzell</t>
  </si>
  <si>
    <t>Marzling</t>
  </si>
  <si>
    <t>Maselheim</t>
  </si>
  <si>
    <t>Maßbach</t>
  </si>
  <si>
    <t>Massenbachhausen</t>
  </si>
  <si>
    <t>Massing</t>
  </si>
  <si>
    <t>Maßweiler</t>
  </si>
  <si>
    <t>Mastershausen</t>
  </si>
  <si>
    <t>Mauer</t>
  </si>
  <si>
    <t>Mauern</t>
  </si>
  <si>
    <t>Mauerstetten</t>
  </si>
  <si>
    <t>Maulbronn</t>
  </si>
  <si>
    <t>Maulburg</t>
  </si>
  <si>
    <t>Mauth</t>
  </si>
  <si>
    <t>Maxdorf</t>
  </si>
  <si>
    <t>Maxhütte-Haidhof</t>
  </si>
  <si>
    <t>Mayen</t>
  </si>
  <si>
    <t>Mayschoß</t>
  </si>
  <si>
    <t>Mechernich</t>
  </si>
  <si>
    <t>Mechtersen</t>
  </si>
  <si>
    <t>Meckenbeuren</t>
  </si>
  <si>
    <t>Meckenheim</t>
  </si>
  <si>
    <t>Meckesheim</t>
  </si>
  <si>
    <t>Medard, Rathskirchen u.a.</t>
  </si>
  <si>
    <t>Medebach</t>
  </si>
  <si>
    <t>Medelby</t>
  </si>
  <si>
    <t>Medlingen</t>
  </si>
  <si>
    <t>Meeder</t>
  </si>
  <si>
    <t>Meerane</t>
  </si>
  <si>
    <t>Meerbeck</t>
  </si>
  <si>
    <t>Meerbusch</t>
  </si>
  <si>
    <t>Meersburg</t>
  </si>
  <si>
    <t>Megesheim</t>
  </si>
  <si>
    <t>Meggerdorf, Friedrichsholm, Friedrichsgraben u.a.</t>
  </si>
  <si>
    <t>Mehlbach</t>
  </si>
  <si>
    <t>Mehlingen</t>
  </si>
  <si>
    <t>Mehlmeisel</t>
  </si>
  <si>
    <t>Mehren u.a.</t>
  </si>
  <si>
    <t>Mehring</t>
  </si>
  <si>
    <t>Mehrstetten</t>
  </si>
  <si>
    <t>Meine</t>
  </si>
  <si>
    <t>Meinersen</t>
  </si>
  <si>
    <t>Meinerzhagen</t>
  </si>
  <si>
    <t>Meineweh, Osterfeld</t>
  </si>
  <si>
    <t>Meinhard</t>
  </si>
  <si>
    <t>Meinheim</t>
  </si>
  <si>
    <t>Meiningen</t>
  </si>
  <si>
    <t>Meisenheim</t>
  </si>
  <si>
    <t>Meißenheim</t>
  </si>
  <si>
    <t>Meißner</t>
  </si>
  <si>
    <t>Meitingen</t>
  </si>
  <si>
    <t>Melbeck, Barnstedt</t>
  </si>
  <si>
    <t>Melchow, Chorin u.a.</t>
  </si>
  <si>
    <t>Meldorf</t>
  </si>
  <si>
    <t>Melle</t>
  </si>
  <si>
    <t>Mellrichstadt</t>
  </si>
  <si>
    <t>Melsbach</t>
  </si>
  <si>
    <t>Melsdorf</t>
  </si>
  <si>
    <t>Melsungen</t>
  </si>
  <si>
    <t>Memmelsdorf</t>
  </si>
  <si>
    <t>Memmingen</t>
  </si>
  <si>
    <t xml:space="preserve"> Memmingen</t>
  </si>
  <si>
    <t>Memmingerberg</t>
  </si>
  <si>
    <t>Menden</t>
  </si>
  <si>
    <t>Mendig</t>
  </si>
  <si>
    <t>Mengen</t>
  </si>
  <si>
    <t>Mengerskirchen</t>
  </si>
  <si>
    <t>Mengkofen</t>
  </si>
  <si>
    <t>Menslage</t>
  </si>
  <si>
    <t>Menteroda, Obermehler</t>
  </si>
  <si>
    <t>Merching</t>
  </si>
  <si>
    <t>Merchweiler</t>
  </si>
  <si>
    <t>Merdingen</t>
  </si>
  <si>
    <t>Merenberg</t>
  </si>
  <si>
    <t>Mering</t>
  </si>
  <si>
    <t>Merkendorf</t>
  </si>
  <si>
    <t>Merklingen</t>
  </si>
  <si>
    <t>Merseburg</t>
  </si>
  <si>
    <t>Mertesdorf</t>
  </si>
  <si>
    <t>Mertingen</t>
  </si>
  <si>
    <t>Mertloch, Welling u.a.</t>
  </si>
  <si>
    <t>Merxheim</t>
  </si>
  <si>
    <t>Merzen, Neuenkirchen</t>
  </si>
  <si>
    <t>Merzenich</t>
  </si>
  <si>
    <t>Merzhausen</t>
  </si>
  <si>
    <t>Merzig</t>
  </si>
  <si>
    <t>Meschede</t>
  </si>
  <si>
    <t>Mespelbrunn</t>
  </si>
  <si>
    <t>Messel</t>
  </si>
  <si>
    <t>Meßkirch, Sauldorf</t>
  </si>
  <si>
    <t>Meßstetten</t>
  </si>
  <si>
    <t>Metelen</t>
  </si>
  <si>
    <t>Metten</t>
  </si>
  <si>
    <t>Mettenheim</t>
  </si>
  <si>
    <t>Mettingen</t>
  </si>
  <si>
    <t>Mettlach</t>
  </si>
  <si>
    <t>Metzingen</t>
  </si>
  <si>
    <t>Meudt, Molsberg, Hundsangen, Niederahr u.a.</t>
  </si>
  <si>
    <t>Meuselwitz</t>
  </si>
  <si>
    <t>Meyenburg, Kümmernitztal u.a.</t>
  </si>
  <si>
    <t>Michelau i. OFr.</t>
  </si>
  <si>
    <t>Michelau i. Steigerwald, Hundelshausen</t>
  </si>
  <si>
    <t>Michelbach an der Bilz</t>
  </si>
  <si>
    <t>Michelfeld</t>
  </si>
  <si>
    <t>Michelsneukirchen</t>
  </si>
  <si>
    <t>Michelstadt</t>
  </si>
  <si>
    <t>Michendorf</t>
  </si>
  <si>
    <t>Mickhausen</t>
  </si>
  <si>
    <t>Miehlen u.a.</t>
  </si>
  <si>
    <t>Mielkendorf</t>
  </si>
  <si>
    <t>Mietingen</t>
  </si>
  <si>
    <t>Mihla</t>
  </si>
  <si>
    <t>Mildstedt</t>
  </si>
  <si>
    <t>Milower Land, Schollene, Nennhausen u.a.</t>
  </si>
  <si>
    <t>Miltach</t>
  </si>
  <si>
    <t>Miltzow u.a.</t>
  </si>
  <si>
    <t>Mindelheim</t>
  </si>
  <si>
    <t>Mindelstetten</t>
  </si>
  <si>
    <t>Minden</t>
  </si>
  <si>
    <t>Mintraching</t>
  </si>
  <si>
    <t>Mirow</t>
  </si>
  <si>
    <t>Missen-Wilhams</t>
  </si>
  <si>
    <t>Mistelbach</t>
  </si>
  <si>
    <t>Mistelgau</t>
  </si>
  <si>
    <t>Mittelangeln</t>
  </si>
  <si>
    <t>Mittelbiberach</t>
  </si>
  <si>
    <t>Mittelbrunn, Queidersbach u.a.</t>
  </si>
  <si>
    <t>Mitteleschenbach</t>
  </si>
  <si>
    <t>Mittelneufnach</t>
  </si>
  <si>
    <t>Mittelsinn</t>
  </si>
  <si>
    <t>Mittelstenahe</t>
  </si>
  <si>
    <t>Mittelstetten</t>
  </si>
  <si>
    <t>Mittenaar</t>
  </si>
  <si>
    <t>Mittenwald</t>
  </si>
  <si>
    <t>Mittenwalde</t>
  </si>
  <si>
    <t>Mitterfels</t>
  </si>
  <si>
    <t>Mitterskirchen</t>
  </si>
  <si>
    <t>Mitterteich</t>
  </si>
  <si>
    <t>Mittweida, Kriebstein</t>
  </si>
  <si>
    <t>Mitwitz</t>
  </si>
  <si>
    <t>Möckern, Schermen, Nedlitz u.a.</t>
  </si>
  <si>
    <t>Möckmühl</t>
  </si>
  <si>
    <t>Mockrehna</t>
  </si>
  <si>
    <t>Modautal</t>
  </si>
  <si>
    <t>Moers</t>
  </si>
  <si>
    <t>Mogendorf, Ebernhahn, Staudt u.a.</t>
  </si>
  <si>
    <t>Mögglingen</t>
  </si>
  <si>
    <t>Möglingen</t>
  </si>
  <si>
    <t>Mohlsdorf-Teichwolframsdorf</t>
  </si>
  <si>
    <t>Möhnesee</t>
  </si>
  <si>
    <t>Möhrendorf/Mark</t>
  </si>
  <si>
    <t>Mohrkirch, Rügge</t>
  </si>
  <si>
    <t>Moisburg</t>
  </si>
  <si>
    <t>Molbergen</t>
  </si>
  <si>
    <t>Möllenbeck</t>
  </si>
  <si>
    <t>Möllenhagen</t>
  </si>
  <si>
    <t>Mölln</t>
  </si>
  <si>
    <t>Mömbris</t>
  </si>
  <si>
    <t>Mömlingen</t>
  </si>
  <si>
    <t>Mommenheim</t>
  </si>
  <si>
    <t>Mönchberg</t>
  </si>
  <si>
    <t>Mönchengladbach</t>
  </si>
  <si>
    <t>Mönchsdeggingen</t>
  </si>
  <si>
    <t>Mönchsroth</t>
  </si>
  <si>
    <t>Mönchweiler</t>
  </si>
  <si>
    <t>Monheim</t>
  </si>
  <si>
    <t>Monheim am Rhein</t>
  </si>
  <si>
    <t>Mönkeberg</t>
  </si>
  <si>
    <t>Monschau</t>
  </si>
  <si>
    <t>Monsheim</t>
  </si>
  <si>
    <t>Mönsheim</t>
  </si>
  <si>
    <t>Montabaur</t>
  </si>
  <si>
    <t>Monzelfeld, Hochscheid u.a.</t>
  </si>
  <si>
    <t>Monzingen</t>
  </si>
  <si>
    <t>Moorenweis</t>
  </si>
  <si>
    <t>Moormerland</t>
  </si>
  <si>
    <t>Moos</t>
  </si>
  <si>
    <t>Moosach</t>
  </si>
  <si>
    <t>Moosbach</t>
  </si>
  <si>
    <t>Moosburg a.d. Isar</t>
  </si>
  <si>
    <t>Moosinning</t>
  </si>
  <si>
    <t>Moosthenning</t>
  </si>
  <si>
    <t>Morbach</t>
  </si>
  <si>
    <t>Mörfelden-Walldorf</t>
  </si>
  <si>
    <t>Moringen</t>
  </si>
  <si>
    <t>Moritzburg</t>
  </si>
  <si>
    <t>Mörlenbach</t>
  </si>
  <si>
    <t>Mörnsheim</t>
  </si>
  <si>
    <t>Morsbach</t>
  </si>
  <si>
    <t>Morschen</t>
  </si>
  <si>
    <t>Mosbach</t>
  </si>
  <si>
    <t>Mossautal</t>
  </si>
  <si>
    <t>Mössingen</t>
  </si>
  <si>
    <t>Motten</t>
  </si>
  <si>
    <t>Möttingen</t>
  </si>
  <si>
    <t>Mötzing</t>
  </si>
  <si>
    <t>Mötzingen</t>
  </si>
  <si>
    <t>Much</t>
  </si>
  <si>
    <t>Mücheln</t>
  </si>
  <si>
    <t>Mücheln/ Geiseltal</t>
  </si>
  <si>
    <t>Mücke</t>
  </si>
  <si>
    <t>Mudau</t>
  </si>
  <si>
    <t>Müden</t>
  </si>
  <si>
    <t>Müden (Aller)</t>
  </si>
  <si>
    <t>Mudersbach</t>
  </si>
  <si>
    <t>Mügeln</t>
  </si>
  <si>
    <t>Muggensturm</t>
  </si>
  <si>
    <t>Mühlacker</t>
  </si>
  <si>
    <t>Mühlau</t>
  </si>
  <si>
    <t>Mühlberg, Bad Liebenwerda</t>
  </si>
  <si>
    <t>Mühlenbach</t>
  </si>
  <si>
    <t>Mühlenbecker Land</t>
  </si>
  <si>
    <t>Mühlhausen</t>
  </si>
  <si>
    <t>Mühlhausen im Täle</t>
  </si>
  <si>
    <t>Mühlhausen, Unstruttal</t>
  </si>
  <si>
    <t>Mühlhausen-Ehingen</t>
  </si>
  <si>
    <t>Mühlheim am Main</t>
  </si>
  <si>
    <t>Mühlheim an der Donau</t>
  </si>
  <si>
    <t>Mühlingen</t>
  </si>
  <si>
    <t>Mühltal</t>
  </si>
  <si>
    <t>Muhr a. See</t>
  </si>
  <si>
    <t>Muldenhammer</t>
  </si>
  <si>
    <t>Muldestausee</t>
  </si>
  <si>
    <t>Mulfingen</t>
  </si>
  <si>
    <t>Mülheim (Mosel)</t>
  </si>
  <si>
    <t>Mülheim an der Ruhr</t>
  </si>
  <si>
    <t xml:space="preserve"> Mülheim an der Ruhr</t>
  </si>
  <si>
    <t>Mülheim-Kärlich</t>
  </si>
  <si>
    <t>Müllheim</t>
  </si>
  <si>
    <t>Müllrose</t>
  </si>
  <si>
    <t>Mülsen</t>
  </si>
  <si>
    <t>Münchberg</t>
  </si>
  <si>
    <t>Müncheberg</t>
  </si>
  <si>
    <t>Münchenbernsdorf, Schwarzbach, Bocka</t>
  </si>
  <si>
    <t>Münchhausen</t>
  </si>
  <si>
    <t>Münchsmünster</t>
  </si>
  <si>
    <t>Münchsteinach</t>
  </si>
  <si>
    <t>Münchweiler an der Alsenz</t>
  </si>
  <si>
    <t>Münchweiler an der Rodalb</t>
  </si>
  <si>
    <t>Mundelsheim</t>
  </si>
  <si>
    <t>Munderkingen</t>
  </si>
  <si>
    <t>Münnerstadt</t>
  </si>
  <si>
    <t>Munningen</t>
  </si>
  <si>
    <t>Münsing</t>
  </si>
  <si>
    <t>Münsingen</t>
  </si>
  <si>
    <t>Munster</t>
  </si>
  <si>
    <t>Münster</t>
  </si>
  <si>
    <t>Münsterdorf</t>
  </si>
  <si>
    <t>Münsterhausen</t>
  </si>
  <si>
    <t>Münstermaifeld</t>
  </si>
  <si>
    <t>Münster-Sarmsheim</t>
  </si>
  <si>
    <t>Münstertal</t>
  </si>
  <si>
    <t>Münzenberg</t>
  </si>
  <si>
    <t>Murg</t>
  </si>
  <si>
    <t>Murnau a. Staffelsee</t>
  </si>
  <si>
    <t>Murrhardt</t>
  </si>
  <si>
    <t>Mutlangen</t>
  </si>
  <si>
    <t>Mutterstadt</t>
  </si>
  <si>
    <t>Mylau</t>
  </si>
  <si>
    <t>Nabburg</t>
  </si>
  <si>
    <t>Nachrodt-Wiblingwerde</t>
  </si>
  <si>
    <t>Nackenheim</t>
  </si>
  <si>
    <t>Nagel</t>
  </si>
  <si>
    <t>Nagold</t>
  </si>
  <si>
    <t>Nahe</t>
  </si>
  <si>
    <t>Nahrendorf</t>
  </si>
  <si>
    <t>Naila</t>
  </si>
  <si>
    <t>Nalbach</t>
  </si>
  <si>
    <t>Namborn</t>
  </si>
  <si>
    <t>Nandlstadt</t>
  </si>
  <si>
    <t>Nassau</t>
  </si>
  <si>
    <t>Nassenfels</t>
  </si>
  <si>
    <t>Nastätten u.a.</t>
  </si>
  <si>
    <t>Natendorf</t>
  </si>
  <si>
    <t>Nattheim</t>
  </si>
  <si>
    <t>Nauen</t>
  </si>
  <si>
    <t>Nauheim</t>
  </si>
  <si>
    <t>Naunhof</t>
  </si>
  <si>
    <t>Nauort</t>
  </si>
  <si>
    <t>Nauroth</t>
  </si>
  <si>
    <t>Nebra, Kaiserpfalz</t>
  </si>
  <si>
    <t>Neckarbischofsheim</t>
  </si>
  <si>
    <t>Neckargemünd</t>
  </si>
  <si>
    <t>Neckargerach</t>
  </si>
  <si>
    <t>Neckarsteinach</t>
  </si>
  <si>
    <t>Neckarsulm</t>
  </si>
  <si>
    <t>Neckartailfingen</t>
  </si>
  <si>
    <t>Neckartenzlingen</t>
  </si>
  <si>
    <t>Neckarwestheim</t>
  </si>
  <si>
    <t>Neckarzimmern</t>
  </si>
  <si>
    <t>Neenstetten</t>
  </si>
  <si>
    <t>Neetze</t>
  </si>
  <si>
    <t>Negenborn</t>
  </si>
  <si>
    <t>Nehms</t>
  </si>
  <si>
    <t>Nehren</t>
  </si>
  <si>
    <t>Neidenstein</t>
  </si>
  <si>
    <t>Neidlingen</t>
  </si>
  <si>
    <t>Neitersen</t>
  </si>
  <si>
    <t>Nellingen</t>
  </si>
  <si>
    <t>Nennslingen</t>
  </si>
  <si>
    <t>Nentershausen</t>
  </si>
  <si>
    <t>Nentershausen, Hübingen, Niederelbert u.a.</t>
  </si>
  <si>
    <t>Neresheim</t>
  </si>
  <si>
    <t>Nersingen</t>
  </si>
  <si>
    <t>Nesse-Apfelstädt, Nottleben</t>
  </si>
  <si>
    <t>Nesselwang</t>
  </si>
  <si>
    <t>Netphen</t>
  </si>
  <si>
    <t>Nettelsee</t>
  </si>
  <si>
    <t>Nettersheim</t>
  </si>
  <si>
    <t>Nettetal</t>
  </si>
  <si>
    <t>Netzschkau, Limbach</t>
  </si>
  <si>
    <t>Neu Darchau</t>
  </si>
  <si>
    <t>Neu Kaliß</t>
  </si>
  <si>
    <t>Neu Wulmstorf</t>
  </si>
  <si>
    <t>Neualbenreuth</t>
  </si>
  <si>
    <t>Neu-Anspach</t>
  </si>
  <si>
    <t>Neuberg</t>
  </si>
  <si>
    <t>Neubeuern</t>
  </si>
  <si>
    <t>Neubiberg</t>
  </si>
  <si>
    <t>Neubörger, Neulehe</t>
  </si>
  <si>
    <t>Neubrunn</t>
  </si>
  <si>
    <t>Neubukow, Ravensberg u.a.</t>
  </si>
  <si>
    <t>Neubulach</t>
  </si>
  <si>
    <t>Neuburg a. Inn</t>
  </si>
  <si>
    <t>Neuburg a.d. Kammel</t>
  </si>
  <si>
    <t>Neuburg am Rhein</t>
  </si>
  <si>
    <t>Neuburg an der Donau</t>
  </si>
  <si>
    <t>Neuburg-Steinhausen, Hornstorf</t>
  </si>
  <si>
    <t>Neuching</t>
  </si>
  <si>
    <t>Neudenau</t>
  </si>
  <si>
    <t>Neudrossenfeld</t>
  </si>
  <si>
    <t>Neu-Eichenberg</t>
  </si>
  <si>
    <t>Neuenbürg</t>
  </si>
  <si>
    <t>Neuenburg am Rhein</t>
  </si>
  <si>
    <t>Neuendettelsau</t>
  </si>
  <si>
    <t>Neuendorf</t>
  </si>
  <si>
    <t>Neuengönna u.a.</t>
  </si>
  <si>
    <t>Neuengörs</t>
  </si>
  <si>
    <t>Neuenhagen, Hoppegarten</t>
  </si>
  <si>
    <t>Neuenkirchen</t>
  </si>
  <si>
    <t>Neuenkirchen, Scholen</t>
  </si>
  <si>
    <t>Neuenkirchen-Vörden</t>
  </si>
  <si>
    <t>Neuenmarkt</t>
  </si>
  <si>
    <t>Neuenrade</t>
  </si>
  <si>
    <t>Neuensalz</t>
  </si>
  <si>
    <t>Neuenstadt am Kocher</t>
  </si>
  <si>
    <t>Neuenstein</t>
  </si>
  <si>
    <t>Neuenstein (Hessen)</t>
  </si>
  <si>
    <t>Neuental</t>
  </si>
  <si>
    <t>Neuerburg u.a.</t>
  </si>
  <si>
    <t>Neufahrn b. Freising</t>
  </si>
  <si>
    <t>Neufahrn i. NB</t>
  </si>
  <si>
    <t>Neufeld, Schmedeswurth</t>
  </si>
  <si>
    <t>Neuffen</t>
  </si>
  <si>
    <t>Neufra</t>
  </si>
  <si>
    <t>Neufraunhofen</t>
  </si>
  <si>
    <t>Neuhaus (Oste)</t>
  </si>
  <si>
    <t>Neuhaus a. Inn</t>
  </si>
  <si>
    <t>Neuhaus a.d.Pegnitz</t>
  </si>
  <si>
    <t>Neuhaus am Rennweg, Lauscha</t>
  </si>
  <si>
    <t>Neuhäusel</t>
  </si>
  <si>
    <t>Neuhausen</t>
  </si>
  <si>
    <t>Neuhausen auf den Fildern</t>
  </si>
  <si>
    <t>Neuhausen ob Eck</t>
  </si>
  <si>
    <t>Neuhausen/Erzgeb.</t>
  </si>
  <si>
    <t>Neuhausen/Spree</t>
  </si>
  <si>
    <t>Neuhaus-Schierschnitz, Judenbach</t>
  </si>
  <si>
    <t>Neuhemsbach</t>
  </si>
  <si>
    <t>Neuhof</t>
  </si>
  <si>
    <t>Neuhof a.d.Zenn</t>
  </si>
  <si>
    <t>Neuhofen</t>
  </si>
  <si>
    <t>Neuhütten</t>
  </si>
  <si>
    <t>Neu-Isenburg</t>
  </si>
  <si>
    <t>Neukalen</t>
  </si>
  <si>
    <t>Neukieritzsch, Deutzen</t>
  </si>
  <si>
    <t>Neukirch</t>
  </si>
  <si>
    <t>Neukirch/Lausitz</t>
  </si>
  <si>
    <t>Neukirchen</t>
  </si>
  <si>
    <t>Neukirchen (Knüll)</t>
  </si>
  <si>
    <t>Neukirchen am Teisenberg</t>
  </si>
  <si>
    <t>Neukirchen b. Hl. Blut</t>
  </si>
  <si>
    <t>Neukirchen b. Sulzbach-Rosen</t>
  </si>
  <si>
    <t>Neukirchen vorm Wald</t>
  </si>
  <si>
    <t>Neukirchen, Aventoft</t>
  </si>
  <si>
    <t>Neukirchen/Erzgeb.</t>
  </si>
  <si>
    <t>Neukirchen/Pleiße</t>
  </si>
  <si>
    <t>Neukirchen-Balbini</t>
  </si>
  <si>
    <t>Neukirchen-Vluyn</t>
  </si>
  <si>
    <t>Neukloster</t>
  </si>
  <si>
    <t>Neuler</t>
  </si>
  <si>
    <t>Neulingen</t>
  </si>
  <si>
    <t>Neulußheim</t>
  </si>
  <si>
    <t>Neumagen-Dhron</t>
  </si>
  <si>
    <t>Neumark</t>
  </si>
  <si>
    <t>Neumarkt-Sankt Veit</t>
  </si>
  <si>
    <t>Neumünster</t>
  </si>
  <si>
    <t>Neunburg vorm Wald</t>
  </si>
  <si>
    <t>Neunkirchen a. Brand</t>
  </si>
  <si>
    <t>Neunkirchen am Sand</t>
  </si>
  <si>
    <t>Neunkirchen-Seelscheid</t>
  </si>
  <si>
    <t>Neuötting</t>
  </si>
  <si>
    <t>Neupotz</t>
  </si>
  <si>
    <t>Neureichenau</t>
  </si>
  <si>
    <t>Neuried</t>
  </si>
  <si>
    <t>Neuruppin</t>
  </si>
  <si>
    <t>Neusalza-Spremberg</t>
  </si>
  <si>
    <t>Neusäß</t>
  </si>
  <si>
    <t>Neuschönau</t>
  </si>
  <si>
    <t>Neu-Seeland, Neupetershain</t>
  </si>
  <si>
    <t>Neusitz</t>
  </si>
  <si>
    <t>Neusorg</t>
  </si>
  <si>
    <t>Neuss</t>
  </si>
  <si>
    <t>Neustadt</t>
  </si>
  <si>
    <t>Neustadt (Dosse) u.a.</t>
  </si>
  <si>
    <t>Neustadt (Wied)</t>
  </si>
  <si>
    <t>Neustadt a. Kulm</t>
  </si>
  <si>
    <t>Neustadt a. Main</t>
  </si>
  <si>
    <t>Neustadt a.d. Donau</t>
  </si>
  <si>
    <t>Neustadt a.d.Aisch</t>
  </si>
  <si>
    <t>Neustadt am Rübenberge</t>
  </si>
  <si>
    <t>Neustadt an der Weinstraße</t>
  </si>
  <si>
    <t xml:space="preserve"> Neustadt an der Weinstraße</t>
  </si>
  <si>
    <t>Neustadt b. Coburg</t>
  </si>
  <si>
    <t>Neustadt i. Sa.</t>
  </si>
  <si>
    <t>Neustadt/ Orla</t>
  </si>
  <si>
    <t>Neustadt-Glewe</t>
  </si>
  <si>
    <t>Neustetten</t>
  </si>
  <si>
    <t>Neustrelitz</t>
  </si>
  <si>
    <t>Neutraubling</t>
  </si>
  <si>
    <t>Neutrebbin, Neuhardenberg</t>
  </si>
  <si>
    <t>Neuweiler</t>
  </si>
  <si>
    <t>Neuwerk</t>
  </si>
  <si>
    <t>Neuzelle</t>
  </si>
  <si>
    <t>Newel</t>
  </si>
  <si>
    <t>Nickenich</t>
  </si>
  <si>
    <t>Nidda</t>
  </si>
  <si>
    <t>Niddatal</t>
  </si>
  <si>
    <t>Nidderau</t>
  </si>
  <si>
    <t>Nideggen</t>
  </si>
  <si>
    <t>Niebüll</t>
  </si>
  <si>
    <t>Niedenstein</t>
  </si>
  <si>
    <t>Niederaichbach</t>
  </si>
  <si>
    <t>Niederalteich</t>
  </si>
  <si>
    <t>Niederaula</t>
  </si>
  <si>
    <t>Niederbreitbach</t>
  </si>
  <si>
    <t>Niederburg</t>
  </si>
  <si>
    <t>Niederdorfelden</t>
  </si>
  <si>
    <t>Niedereschach</t>
  </si>
  <si>
    <t>Niederfischbach</t>
  </si>
  <si>
    <t>Niederfrohna</t>
  </si>
  <si>
    <t>Niederfüllbach</t>
  </si>
  <si>
    <t>Niederkassel</t>
  </si>
  <si>
    <t>Niederkirchen</t>
  </si>
  <si>
    <t>Niederkirchen bei Deidesheim</t>
  </si>
  <si>
    <t>Niederkrüchten</t>
  </si>
  <si>
    <t>Niedermurach</t>
  </si>
  <si>
    <t>Niedernberg</t>
  </si>
  <si>
    <t>Niederneisen</t>
  </si>
  <si>
    <t>Niedernhall</t>
  </si>
  <si>
    <t>Niedernhausen</t>
  </si>
  <si>
    <t>Nieder-Olm</t>
  </si>
  <si>
    <t>Niederorschel u.a.</t>
  </si>
  <si>
    <t>Niederrieden</t>
  </si>
  <si>
    <t>Niederschönenfeld</t>
  </si>
  <si>
    <t>Niederstetten</t>
  </si>
  <si>
    <t>Niederstotzingen</t>
  </si>
  <si>
    <t>Niederviehbach</t>
  </si>
  <si>
    <t>Niederwerrn</t>
  </si>
  <si>
    <t>Niederwiesa</t>
  </si>
  <si>
    <t>Niederwinkling</t>
  </si>
  <si>
    <t>Niederwöhren</t>
  </si>
  <si>
    <t>Niederwörresbach</t>
  </si>
  <si>
    <t>Niederwürschnitz</t>
  </si>
  <si>
    <t>Niederzier</t>
  </si>
  <si>
    <t>Niederzissen</t>
  </si>
  <si>
    <t>Niefern-Öschelbronn</t>
  </si>
  <si>
    <t>Nieheim</t>
  </si>
  <si>
    <t>Niemegk</t>
  </si>
  <si>
    <t>Nienburg (Saale)</t>
  </si>
  <si>
    <t>Nienburg/Weser</t>
  </si>
  <si>
    <t>Nienhagen</t>
  </si>
  <si>
    <t>Nienstädt</t>
  </si>
  <si>
    <t>Niepars</t>
  </si>
  <si>
    <t>Niersbach, Sehlem, Plein u.a.</t>
  </si>
  <si>
    <t>Nierstein</t>
  </si>
  <si>
    <t>Niesky, Hohendubrau u.a.</t>
  </si>
  <si>
    <t>Nieste</t>
  </si>
  <si>
    <t>Niestetal</t>
  </si>
  <si>
    <t>Nister</t>
  </si>
  <si>
    <t>Nisterau u.a.</t>
  </si>
  <si>
    <t>Nistertal, Enspel</t>
  </si>
  <si>
    <t>Nittel</t>
  </si>
  <si>
    <t>Nittenau</t>
  </si>
  <si>
    <t>Nittendorf</t>
  </si>
  <si>
    <t>Nobitz, Göhren, Windischleuba</t>
  </si>
  <si>
    <t>Nohfelden</t>
  </si>
  <si>
    <t>Nonnenhorn</t>
  </si>
  <si>
    <t>Nonnweiler</t>
  </si>
  <si>
    <t>Norden</t>
  </si>
  <si>
    <t>Nordendorf</t>
  </si>
  <si>
    <t>Nordenham</t>
  </si>
  <si>
    <t>Norderney</t>
  </si>
  <si>
    <t>Norderstedt</t>
  </si>
  <si>
    <t>Nordhalben</t>
  </si>
  <si>
    <t>Nordhastedt</t>
  </si>
  <si>
    <t>Nordheim</t>
  </si>
  <si>
    <t>Nordheim v.d. Rhön</t>
  </si>
  <si>
    <t>Nordhorn</t>
  </si>
  <si>
    <t>Nordkirchen</t>
  </si>
  <si>
    <t>Nordleda</t>
  </si>
  <si>
    <t>Nördlingen</t>
  </si>
  <si>
    <t>Nordrach</t>
  </si>
  <si>
    <t>Nordsehl</t>
  </si>
  <si>
    <t>Nordstemmen</t>
  </si>
  <si>
    <t>Nordstrand, Elisabeth-Sophien-Koog, Südfall</t>
  </si>
  <si>
    <t>Nordwalde</t>
  </si>
  <si>
    <t>Norheim u.a.</t>
  </si>
  <si>
    <t>Nörten-Hardenberg</t>
  </si>
  <si>
    <t>Nortmoor</t>
  </si>
  <si>
    <t>Nortorf</t>
  </si>
  <si>
    <t>Nortrup</t>
  </si>
  <si>
    <t>Nörvenich</t>
  </si>
  <si>
    <t>Nossen</t>
  </si>
  <si>
    <t>Nossentiner Hütte</t>
  </si>
  <si>
    <t>Nottuln</t>
  </si>
  <si>
    <t>Notzingen</t>
  </si>
  <si>
    <t>Nübbel</t>
  </si>
  <si>
    <t>Nübel</t>
  </si>
  <si>
    <t>Nüdlingen</t>
  </si>
  <si>
    <t>Nufringen</t>
  </si>
  <si>
    <t>Nümbrecht</t>
  </si>
  <si>
    <t>Nünchritz, Glaubitz</t>
  </si>
  <si>
    <t>Nürnberg</t>
  </si>
  <si>
    <t xml:space="preserve"> Nürnberg</t>
  </si>
  <si>
    <t>Nürnberg-Feucht, Feuchter Forst</t>
  </si>
  <si>
    <t>Nürtingen</t>
  </si>
  <si>
    <t>Nusplingen</t>
  </si>
  <si>
    <t>Nußbach</t>
  </si>
  <si>
    <t>Nußdorf</t>
  </si>
  <si>
    <t>Nußdorf a. Inn</t>
  </si>
  <si>
    <t>Nusse</t>
  </si>
  <si>
    <t>Nußloch</t>
  </si>
  <si>
    <t>Nüsttal</t>
  </si>
  <si>
    <t>Nuthetal</t>
  </si>
  <si>
    <t>Nuthe-Urstromtal</t>
  </si>
  <si>
    <t>Oberammergau</t>
  </si>
  <si>
    <t>Oberasbach</t>
  </si>
  <si>
    <t>Oberau</t>
  </si>
  <si>
    <t>Oberaudorf</t>
  </si>
  <si>
    <t>Oberaula</t>
  </si>
  <si>
    <t>Oberaurach</t>
  </si>
  <si>
    <t>Oberbarnim, Märkische Höhe u.a.</t>
  </si>
  <si>
    <t>Oberbergkirchen</t>
  </si>
  <si>
    <t>Oberboihingen</t>
  </si>
  <si>
    <t>Oberdachstetten</t>
  </si>
  <si>
    <t>Oberderdingen</t>
  </si>
  <si>
    <t>Oberding</t>
  </si>
  <si>
    <t>Oberdischingen</t>
  </si>
  <si>
    <t>Oberdolling</t>
  </si>
  <si>
    <t>Oberdreis</t>
  </si>
  <si>
    <t>Oberelsbach</t>
  </si>
  <si>
    <t>Obergriesbach</t>
  </si>
  <si>
    <t>Obergünzburg</t>
  </si>
  <si>
    <t>Oberhaching</t>
  </si>
  <si>
    <t>Oberhaid</t>
  </si>
  <si>
    <t>Oberharmersbach</t>
  </si>
  <si>
    <t>Oberharz am Brocken</t>
  </si>
  <si>
    <t>Oberhausen</t>
  </si>
  <si>
    <t xml:space="preserve"> Oberhausen</t>
  </si>
  <si>
    <t>Oberhausen-Rheinhausen</t>
  </si>
  <si>
    <t>Oberhof</t>
  </si>
  <si>
    <t xml:space="preserve"> Suhl</t>
  </si>
  <si>
    <t>Oberkirch</t>
  </si>
  <si>
    <t>Oberkochen</t>
  </si>
  <si>
    <t>Oberkotzau</t>
  </si>
  <si>
    <t>Oberlahr</t>
  </si>
  <si>
    <t>Oberlangen, Niederlangen</t>
  </si>
  <si>
    <t>Oberleichtersbach</t>
  </si>
  <si>
    <t>Oberlungwitz</t>
  </si>
  <si>
    <t>Obermarchtal</t>
  </si>
  <si>
    <t>Ober-Mörlen</t>
  </si>
  <si>
    <t>Obermoschel, Schiersfeld</t>
  </si>
  <si>
    <t>Obernbreit</t>
  </si>
  <si>
    <t>Obernburg a.Main</t>
  </si>
  <si>
    <t>Oberndorf</t>
  </si>
  <si>
    <t>Oberndorf a.Lech</t>
  </si>
  <si>
    <t>Oberndorf am Neckar</t>
  </si>
  <si>
    <t>Oberneukirchen</t>
  </si>
  <si>
    <t>Obernheim</t>
  </si>
  <si>
    <t>Obernheim-Kirchenarnbach u.a.</t>
  </si>
  <si>
    <t>Obernkirchen</t>
  </si>
  <si>
    <t>Obernzell</t>
  </si>
  <si>
    <t>Obernzenn</t>
  </si>
  <si>
    <t>Ober-Olm</t>
  </si>
  <si>
    <t>Oberostendorf</t>
  </si>
  <si>
    <t>Oberottmarshausen</t>
  </si>
  <si>
    <t>Oberpframmern</t>
  </si>
  <si>
    <t>Oberpöring</t>
  </si>
  <si>
    <t>Ober-Ramstadt</t>
  </si>
  <si>
    <t>Oberreichenbach</t>
  </si>
  <si>
    <t>Oberreute</t>
  </si>
  <si>
    <t>Oberried</t>
  </si>
  <si>
    <t>Oberrieden</t>
  </si>
  <si>
    <t>Oberriexingen</t>
  </si>
  <si>
    <t>Oberrod u.a.</t>
  </si>
  <si>
    <t>Oberrot</t>
  </si>
  <si>
    <t>Oberroth</t>
  </si>
  <si>
    <t>Oberscheinfeld</t>
  </si>
  <si>
    <t>Oberschleißheim</t>
  </si>
  <si>
    <t>Oberschneiding</t>
  </si>
  <si>
    <t>Oberschönegg</t>
  </si>
  <si>
    <t>Oberschwarzach</t>
  </si>
  <si>
    <t>Oberschweinbach</t>
  </si>
  <si>
    <t>Obersinn</t>
  </si>
  <si>
    <t>Obersöchering</t>
  </si>
  <si>
    <t>Obersontheim</t>
  </si>
  <si>
    <t>Oberstadion</t>
  </si>
  <si>
    <t>Oberstaufen</t>
  </si>
  <si>
    <t>Oberstdorf</t>
  </si>
  <si>
    <t>Oberstenfeld</t>
  </si>
  <si>
    <t>Oberstreu</t>
  </si>
  <si>
    <t>Obersulm</t>
  </si>
  <si>
    <t>Obersüßbach</t>
  </si>
  <si>
    <t>Oberteuringen</t>
  </si>
  <si>
    <t>Oberthal</t>
  </si>
  <si>
    <t>Oberthulba</t>
  </si>
  <si>
    <t>Obertraubling</t>
  </si>
  <si>
    <t>Obertrubach</t>
  </si>
  <si>
    <t>Obertshausen</t>
  </si>
  <si>
    <t>Oberursel (Taunus)</t>
  </si>
  <si>
    <t>Oberviechtach</t>
  </si>
  <si>
    <t>Oberweißbach u.a.</t>
  </si>
  <si>
    <t>Oberwesel</t>
  </si>
  <si>
    <t>Oberweser</t>
  </si>
  <si>
    <t>Oberwiesenthal</t>
  </si>
  <si>
    <t>Oberzent</t>
  </si>
  <si>
    <t>Obing</t>
  </si>
  <si>
    <t>Obrigheim</t>
  </si>
  <si>
    <t>Obrigheim (Pfalz)</t>
  </si>
  <si>
    <t>Ochsenfurt</t>
  </si>
  <si>
    <t>Ochsenhausen</t>
  </si>
  <si>
    <t>Ochtendung</t>
  </si>
  <si>
    <t>Ochtersum</t>
  </si>
  <si>
    <t>Ochtrup</t>
  </si>
  <si>
    <t>Ockenheim</t>
  </si>
  <si>
    <t>Odelzhausen</t>
  </si>
  <si>
    <t>Odenbach</t>
  </si>
  <si>
    <t>Odenthal</t>
  </si>
  <si>
    <t>Oderberg u.a.</t>
  </si>
  <si>
    <t>Odernheim am Glan</t>
  </si>
  <si>
    <t>Oderwitz</t>
  </si>
  <si>
    <t>Oebisfelde</t>
  </si>
  <si>
    <t>Oederan</t>
  </si>
  <si>
    <t>Oederquart</t>
  </si>
  <si>
    <t>Oedheim</t>
  </si>
  <si>
    <t>Oelde</t>
  </si>
  <si>
    <t>Oelsnitz</t>
  </si>
  <si>
    <t>Oelsnitz/Erzgebirge</t>
  </si>
  <si>
    <t>Oer-Erkenschwick</t>
  </si>
  <si>
    <t>Oerlenbach</t>
  </si>
  <si>
    <t>Oerlinghausen</t>
  </si>
  <si>
    <t>Oestrich-Winkel</t>
  </si>
  <si>
    <t>Oettingen i. Bay.</t>
  </si>
  <si>
    <t>Oetzen</t>
  </si>
  <si>
    <t>Oeversee</t>
  </si>
  <si>
    <t>Offenau</t>
  </si>
  <si>
    <t>Offenbach am Main</t>
  </si>
  <si>
    <t xml:space="preserve"> Offenbach am Main</t>
  </si>
  <si>
    <t>Offenbach an der Queich</t>
  </si>
  <si>
    <t>Offenbach-Hundheim</t>
  </si>
  <si>
    <t>Offenberg</t>
  </si>
  <si>
    <t>Offingen</t>
  </si>
  <si>
    <t>Offstein</t>
  </si>
  <si>
    <t>Ofterdingen</t>
  </si>
  <si>
    <t>Ohlsbach</t>
  </si>
  <si>
    <t>Ohlstadt</t>
  </si>
  <si>
    <t>Ohmden</t>
  </si>
  <si>
    <t>Öhningen</t>
  </si>
  <si>
    <t>Ohrenbach</t>
  </si>
  <si>
    <t>Öhringen</t>
  </si>
  <si>
    <t>Oland</t>
  </si>
  <si>
    <t>Olbernhau, Pfaffroda, Heidersdorf</t>
  </si>
  <si>
    <t>Olbersdorf</t>
  </si>
  <si>
    <t>Ölbronn-Dürrn</t>
  </si>
  <si>
    <t>Olching</t>
  </si>
  <si>
    <t>Oldenburg (Oldenburg)</t>
  </si>
  <si>
    <t>Oldenburg in Holstein</t>
  </si>
  <si>
    <t>Oldendorf</t>
  </si>
  <si>
    <t>Oldendorf (Luhe), Amelinghausen, Rehlingen</t>
  </si>
  <si>
    <t>Oldenswort</t>
  </si>
  <si>
    <t>Olfen</t>
  </si>
  <si>
    <t>Olsberg</t>
  </si>
  <si>
    <t>Olsbrücken</t>
  </si>
  <si>
    <t>Öpfingen</t>
  </si>
  <si>
    <t>Oppenau</t>
  </si>
  <si>
    <t>Oppenheim</t>
  </si>
  <si>
    <t>Oppenweiler</t>
  </si>
  <si>
    <t>Oranienbaum-Wörlitz</t>
  </si>
  <si>
    <t>Oranienburg, Mühlenbecker Land</t>
  </si>
  <si>
    <t>Ornbau</t>
  </si>
  <si>
    <t>Orsingen-Nenzingen</t>
  </si>
  <si>
    <t>Ortenberg</t>
  </si>
  <si>
    <t>Ortenburg</t>
  </si>
  <si>
    <t>Ortrand</t>
  </si>
  <si>
    <t>Osburg, Gusterath, Farschweiler, Kasel u.a.</t>
  </si>
  <si>
    <t>Oschatz</t>
  </si>
  <si>
    <t>Oschersleben (Bode)</t>
  </si>
  <si>
    <t>Osdorf</t>
  </si>
  <si>
    <t>Osloß</t>
  </si>
  <si>
    <t xml:space="preserve"> Osnabrück</t>
  </si>
  <si>
    <t>Ostbevern</t>
  </si>
  <si>
    <t>Ostelsheim</t>
  </si>
  <si>
    <t>Osten</t>
  </si>
  <si>
    <t>Ostenfeld</t>
  </si>
  <si>
    <t>Osterberg</t>
  </si>
  <si>
    <t>Osterburg, Altmärkische Höhe</t>
  </si>
  <si>
    <t>Osterburken</t>
  </si>
  <si>
    <t>Osterby</t>
  </si>
  <si>
    <t>Ostercappeln</t>
  </si>
  <si>
    <t>Osterhofen</t>
  </si>
  <si>
    <t>Osterholz-Scharmbeck</t>
  </si>
  <si>
    <t>Osternienburger Land</t>
  </si>
  <si>
    <t>Osterode am Harz</t>
  </si>
  <si>
    <t>Osterrönfeld</t>
  </si>
  <si>
    <t>Osterspai</t>
  </si>
  <si>
    <t>Osterstedt</t>
  </si>
  <si>
    <t>Osterwieck</t>
  </si>
  <si>
    <t>Ostfildern</t>
  </si>
  <si>
    <t>Ostheim v.d. Rhön</t>
  </si>
  <si>
    <t>Osthofen</t>
  </si>
  <si>
    <t>Ostrach</t>
  </si>
  <si>
    <t>Ostrau</t>
  </si>
  <si>
    <t>Ostrhauderfehn</t>
  </si>
  <si>
    <t>Östringen</t>
  </si>
  <si>
    <t>Ostritz, Schönau-Berzdorf</t>
  </si>
  <si>
    <t>Ostseebad Heringsdorf</t>
  </si>
  <si>
    <t>Ötigheim</t>
  </si>
  <si>
    <t>Ötisheim</t>
  </si>
  <si>
    <t>Ottenbach</t>
  </si>
  <si>
    <t>Ottenbüttel</t>
  </si>
  <si>
    <t>Ottendorf-Okrilla</t>
  </si>
  <si>
    <t>Ottenhöfen im Schwarzwald</t>
  </si>
  <si>
    <t>Ottensoos</t>
  </si>
  <si>
    <t>Ottenstein</t>
  </si>
  <si>
    <t>Otter</t>
  </si>
  <si>
    <t>Otterbach</t>
  </si>
  <si>
    <t>Otterberg</t>
  </si>
  <si>
    <t>Otterfing</t>
  </si>
  <si>
    <t>Otterndorf</t>
  </si>
  <si>
    <t>Ottersberg</t>
  </si>
  <si>
    <t>Otterstadt</t>
  </si>
  <si>
    <t>Ottersweier</t>
  </si>
  <si>
    <t>Otting</t>
  </si>
  <si>
    <t>Ottobeuren</t>
  </si>
  <si>
    <t>Ottobrunn/Riemerling</t>
  </si>
  <si>
    <t>Ottrau</t>
  </si>
  <si>
    <t>Ottweiler</t>
  </si>
  <si>
    <t>Otzberg</t>
  </si>
  <si>
    <t>Otzing</t>
  </si>
  <si>
    <t>Ovelgönne</t>
  </si>
  <si>
    <t>Overath</t>
  </si>
  <si>
    <t>Owen</t>
  </si>
  <si>
    <t>Owingen</t>
  </si>
  <si>
    <t>Owschlag u.a.</t>
  </si>
  <si>
    <t>Oybin</t>
  </si>
  <si>
    <t>Oy-Mittelberg</t>
  </si>
  <si>
    <t>Oyten</t>
  </si>
  <si>
    <t>Padenstedt</t>
  </si>
  <si>
    <t>Pähl</t>
  </si>
  <si>
    <t>Pahlen</t>
  </si>
  <si>
    <t>Painten</t>
  </si>
  <si>
    <t>Palling</t>
  </si>
  <si>
    <t>Pampow</t>
  </si>
  <si>
    <t>Panketal</t>
  </si>
  <si>
    <t>Pansdorf</t>
  </si>
  <si>
    <t>Papenburg</t>
  </si>
  <si>
    <t>Pappenheim</t>
  </si>
  <si>
    <t>Parkstein</t>
  </si>
  <si>
    <t>Parkstetten</t>
  </si>
  <si>
    <t>Parsau</t>
  </si>
  <si>
    <t>Parsberg</t>
  </si>
  <si>
    <t>Parsdorf/Hergolding</t>
  </si>
  <si>
    <t>Partenstein</t>
  </si>
  <si>
    <t>Pasewalk u.a.</t>
  </si>
  <si>
    <t xml:space="preserve"> Passau</t>
  </si>
  <si>
    <t>Pastetten</t>
  </si>
  <si>
    <t>Patersdorf</t>
  </si>
  <si>
    <t>Pattensen</t>
  </si>
  <si>
    <t>Paunzhausen</t>
  </si>
  <si>
    <t>Pausa-Mühltroff</t>
  </si>
  <si>
    <t>Pechbrunn</t>
  </si>
  <si>
    <t>Pegau, Elstertrebnitz</t>
  </si>
  <si>
    <t>Pegnitz</t>
  </si>
  <si>
    <t>Peißenberg</t>
  </si>
  <si>
    <t>Peiting</t>
  </si>
  <si>
    <t>Peitz</t>
  </si>
  <si>
    <t>Pellingen</t>
  </si>
  <si>
    <t>Pelm, Neroth u.a.</t>
  </si>
  <si>
    <t>Pemfling</t>
  </si>
  <si>
    <t>Penig</t>
  </si>
  <si>
    <t>Penkun u.a.</t>
  </si>
  <si>
    <t>Pennigsehl</t>
  </si>
  <si>
    <t>Pentenried</t>
  </si>
  <si>
    <t>Pentling</t>
  </si>
  <si>
    <t>Penzberg</t>
  </si>
  <si>
    <t>Penzing</t>
  </si>
  <si>
    <t>Penzlin</t>
  </si>
  <si>
    <t>Perasdorf</t>
  </si>
  <si>
    <t>Perkam</t>
  </si>
  <si>
    <t>Perl</t>
  </si>
  <si>
    <t>Perleberg, Berge u.a.</t>
  </si>
  <si>
    <t>Perlesreut</t>
  </si>
  <si>
    <t>Petersaurach</t>
  </si>
  <si>
    <t>Petersberg</t>
  </si>
  <si>
    <t>Petersdorf</t>
  </si>
  <si>
    <t>Petershagen</t>
  </si>
  <si>
    <t>Petershausen</t>
  </si>
  <si>
    <t>Peterswald-Löffelscheid u.a.</t>
  </si>
  <si>
    <t>Pettendorf</t>
  </si>
  <si>
    <t>Petting</t>
  </si>
  <si>
    <t>Pettstadt</t>
  </si>
  <si>
    <t>Pfaffenhausen</t>
  </si>
  <si>
    <t>Pfaffenhofen</t>
  </si>
  <si>
    <t>Pfaffenhofen a.d. Roth</t>
  </si>
  <si>
    <t>Pfaffenweiler</t>
  </si>
  <si>
    <t>Pfaffing</t>
  </si>
  <si>
    <t>Pfakofen</t>
  </si>
  <si>
    <t>Pfalzgrafenweiler</t>
  </si>
  <si>
    <t>Pfarrkirchen</t>
  </si>
  <si>
    <t>Pfarrweisach</t>
  </si>
  <si>
    <t>Pfatter</t>
  </si>
  <si>
    <t>Pfedelbach</t>
  </si>
  <si>
    <t>Pfeffelbach</t>
  </si>
  <si>
    <t>Pfeffenhausen</t>
  </si>
  <si>
    <t>Pfinztal</t>
  </si>
  <si>
    <t>Pfofeld</t>
  </si>
  <si>
    <t>Pförring</t>
  </si>
  <si>
    <t>Pforzen</t>
  </si>
  <si>
    <t>Pforzheim</t>
  </si>
  <si>
    <t>Stadtkreis Pforzheim</t>
  </si>
  <si>
    <t>Pfreimd</t>
  </si>
  <si>
    <t>Pfronstetten</t>
  </si>
  <si>
    <t>Pfronten</t>
  </si>
  <si>
    <t>Pfullendorf</t>
  </si>
  <si>
    <t>Pfullingen</t>
  </si>
  <si>
    <t>Pfungstadt</t>
  </si>
  <si>
    <t>Philippsburg</t>
  </si>
  <si>
    <t>Philippsreut</t>
  </si>
  <si>
    <t>Philippsthal</t>
  </si>
  <si>
    <t>Piding</t>
  </si>
  <si>
    <t>Pielenhofen</t>
  </si>
  <si>
    <t>Piesport</t>
  </si>
  <si>
    <t>Pilsach</t>
  </si>
  <si>
    <t>Pilsting</t>
  </si>
  <si>
    <t>Pinnow</t>
  </si>
  <si>
    <t>Pinzberg</t>
  </si>
  <si>
    <t>Pirk</t>
  </si>
  <si>
    <t>Pirmasens</t>
  </si>
  <si>
    <t xml:space="preserve"> Pirmasens</t>
  </si>
  <si>
    <t>Pirna, Struppen, Dohma</t>
  </si>
  <si>
    <t>Pittenhart</t>
  </si>
  <si>
    <t>Plaidt</t>
  </si>
  <si>
    <t>Planegg/Krailling</t>
  </si>
  <si>
    <t>Plankenfels</t>
  </si>
  <si>
    <t>Plate</t>
  </si>
  <si>
    <t>Plattenburg</t>
  </si>
  <si>
    <t>Plattling</t>
  </si>
  <si>
    <t>Plau am See</t>
  </si>
  <si>
    <t>Plauen</t>
  </si>
  <si>
    <t>Plauen, Rößnitz</t>
  </si>
  <si>
    <t>Plech</t>
  </si>
  <si>
    <t>Pleidelsheim</t>
  </si>
  <si>
    <t>Pleinfeld</t>
  </si>
  <si>
    <t>Pleiskirchen</t>
  </si>
  <si>
    <t>Pleß</t>
  </si>
  <si>
    <t>Plessa, Schraden</t>
  </si>
  <si>
    <t>Plettenberg</t>
  </si>
  <si>
    <t>Pleystein</t>
  </si>
  <si>
    <t>Pliening</t>
  </si>
  <si>
    <t>Pliezhausen</t>
  </si>
  <si>
    <t>Plochingen</t>
  </si>
  <si>
    <t>Plößberg</t>
  </si>
  <si>
    <t>Plüderhausen</t>
  </si>
  <si>
    <t>Pluwig</t>
  </si>
  <si>
    <t>Pockau-Lengefeld (Lengefeld)</t>
  </si>
  <si>
    <t>Pockau-Lengefeld (Pockau)</t>
  </si>
  <si>
    <t>Pocking</t>
  </si>
  <si>
    <t>Pöcking</t>
  </si>
  <si>
    <t>Pöhl</t>
  </si>
  <si>
    <t>Pohle, Lauenau, Messenkamp, Hülsede etc</t>
  </si>
  <si>
    <t>Pohlheim</t>
  </si>
  <si>
    <t>Poing</t>
  </si>
  <si>
    <t>Polch</t>
  </si>
  <si>
    <t>Pollenfeld</t>
  </si>
  <si>
    <t>Pollhagen</t>
  </si>
  <si>
    <t>Polling</t>
  </si>
  <si>
    <t>Polsingen</t>
  </si>
  <si>
    <t>Pommelsbrunn</t>
  </si>
  <si>
    <t>Pommern</t>
  </si>
  <si>
    <t>Pommersfelden</t>
  </si>
  <si>
    <t>Poppenhausen</t>
  </si>
  <si>
    <t>Poppenricht</t>
  </si>
  <si>
    <t>Pörnbach</t>
  </si>
  <si>
    <t>Porta Westfalica</t>
  </si>
  <si>
    <t>Pösing</t>
  </si>
  <si>
    <t>Pößneck</t>
  </si>
  <si>
    <t>Postau</t>
  </si>
  <si>
    <t>Postbauer-Heng</t>
  </si>
  <si>
    <t>Postmünster</t>
  </si>
  <si>
    <t>Potsdam</t>
  </si>
  <si>
    <t xml:space="preserve"> Potsdam</t>
  </si>
  <si>
    <t>Pottenstein</t>
  </si>
  <si>
    <t>Pöttmes</t>
  </si>
  <si>
    <t>Poxdorf</t>
  </si>
  <si>
    <t>Pracht</t>
  </si>
  <si>
    <t>Prackenbach</t>
  </si>
  <si>
    <t>Preetz</t>
  </si>
  <si>
    <t>Preist</t>
  </si>
  <si>
    <t>Prem</t>
  </si>
  <si>
    <t>Premnitz</t>
  </si>
  <si>
    <t>Prenzlau, Nordwestuckermark u.a.</t>
  </si>
  <si>
    <t>Prerow a. Darß</t>
  </si>
  <si>
    <t>Pressath</t>
  </si>
  <si>
    <t>Presseck</t>
  </si>
  <si>
    <t>Pressig</t>
  </si>
  <si>
    <t>Pretzfeld</t>
  </si>
  <si>
    <t>Preußisch Oldendorf</t>
  </si>
  <si>
    <t>Prezelle</t>
  </si>
  <si>
    <t>Prichsenstadt</t>
  </si>
  <si>
    <t>Prien a. Chiemsee, Herrenchiemssee</t>
  </si>
  <si>
    <t>Prisdorf</t>
  </si>
  <si>
    <t>Prittriching</t>
  </si>
  <si>
    <t>Pritzwalk, Groß Pankow</t>
  </si>
  <si>
    <t>Probsteierhagen</t>
  </si>
  <si>
    <t>Probstzella</t>
  </si>
  <si>
    <t>Prohn</t>
  </si>
  <si>
    <t>Pronsfeld</t>
  </si>
  <si>
    <t>Pronstorf</t>
  </si>
  <si>
    <t>Prosselsheim</t>
  </si>
  <si>
    <t>Prüm</t>
  </si>
  <si>
    <t>Prutting</t>
  </si>
  <si>
    <t>Püchersreuth</t>
  </si>
  <si>
    <t>Puchheim</t>
  </si>
  <si>
    <t>Puderbach</t>
  </si>
  <si>
    <t>Pulheim</t>
  </si>
  <si>
    <t>Pullach i. Isartal</t>
  </si>
  <si>
    <t>Pullenreuth</t>
  </si>
  <si>
    <t>Pulsnitz</t>
  </si>
  <si>
    <t>Pünderich</t>
  </si>
  <si>
    <t>Pürgen</t>
  </si>
  <si>
    <t>Puschendorf</t>
  </si>
  <si>
    <t>Putbus</t>
  </si>
  <si>
    <t>Püttlingen</t>
  </si>
  <si>
    <t>Putzbrunn</t>
  </si>
  <si>
    <t>Pyrbaum</t>
  </si>
  <si>
    <t>Quakenbrück</t>
  </si>
  <si>
    <t>Quedlinburg</t>
  </si>
  <si>
    <t>Quedlinburg, Ballenstedt</t>
  </si>
  <si>
    <t>Querfurt, Obhausen, Mücheln u.a.</t>
  </si>
  <si>
    <t>Quickborn</t>
  </si>
  <si>
    <t>Quierschied</t>
  </si>
  <si>
    <t>Rabenau</t>
  </si>
  <si>
    <t>Rabenkirchen-Faulück</t>
  </si>
  <si>
    <t>Räbke</t>
  </si>
  <si>
    <t>Rackwitz</t>
  </si>
  <si>
    <t>Radbruch</t>
  </si>
  <si>
    <t>Raddestorf</t>
  </si>
  <si>
    <t>Radeberg, Wachau</t>
  </si>
  <si>
    <t>Radebeul</t>
  </si>
  <si>
    <t>Radeburg</t>
  </si>
  <si>
    <t>Radevormwald</t>
  </si>
  <si>
    <t>Radolfzell am Bodensee</t>
  </si>
  <si>
    <t>Raesfeld</t>
  </si>
  <si>
    <t>Raguhn-Jeßnitz</t>
  </si>
  <si>
    <t>Rahden</t>
  </si>
  <si>
    <t>Rain</t>
  </si>
  <si>
    <t>Rainau</t>
  </si>
  <si>
    <t>Raisting</t>
  </si>
  <si>
    <t>Rakow</t>
  </si>
  <si>
    <t>Ralingen</t>
  </si>
  <si>
    <t>Ramerberg</t>
  </si>
  <si>
    <t>Rammelsbach u.a.</t>
  </si>
  <si>
    <t>Rammingen</t>
  </si>
  <si>
    <t>Ramsau b. Berchtesgaden</t>
  </si>
  <si>
    <t>Ramsen</t>
  </si>
  <si>
    <t>Ramstein-Miesenbach</t>
  </si>
  <si>
    <t>Ramsthal</t>
  </si>
  <si>
    <t>Randersacker</t>
  </si>
  <si>
    <t>Rangendingen</t>
  </si>
  <si>
    <t>Rangsdorf</t>
  </si>
  <si>
    <t>Ranis</t>
  </si>
  <si>
    <t>Rannungen</t>
  </si>
  <si>
    <t>Ransbach-Baumbach</t>
  </si>
  <si>
    <t>Ranstadt</t>
  </si>
  <si>
    <t>Rantrum</t>
  </si>
  <si>
    <t>Raschau</t>
  </si>
  <si>
    <t>Rasdorf</t>
  </si>
  <si>
    <t>Rastede</t>
  </si>
  <si>
    <t>Rastenberg</t>
  </si>
  <si>
    <t>Rastow</t>
  </si>
  <si>
    <t>Ratekau</t>
  </si>
  <si>
    <t>Rathenow</t>
  </si>
  <si>
    <t>Ratingen</t>
  </si>
  <si>
    <t>Ratshausen</t>
  </si>
  <si>
    <t>Rattelsdorf</t>
  </si>
  <si>
    <t>Rattenberg</t>
  </si>
  <si>
    <t>Rattiszell</t>
  </si>
  <si>
    <t>Ratzeburg</t>
  </si>
  <si>
    <t>Rätzlingen</t>
  </si>
  <si>
    <t>Rätzlingen, Wegenstedt, Calvörde, Böddensell u.a.</t>
  </si>
  <si>
    <t>Raubach</t>
  </si>
  <si>
    <t>Raubling</t>
  </si>
  <si>
    <t>Rauenberg</t>
  </si>
  <si>
    <t>Rauhenebrach</t>
  </si>
  <si>
    <t>Raunheim</t>
  </si>
  <si>
    <t>Rauschenberg</t>
  </si>
  <si>
    <t>Ravenstein</t>
  </si>
  <si>
    <t>Rechberghausen</t>
  </si>
  <si>
    <t>Rechlin</t>
  </si>
  <si>
    <t>Rechtenbach</t>
  </si>
  <si>
    <t>Rechtmehring</t>
  </si>
  <si>
    <t>Recke</t>
  </si>
  <si>
    <t>Reckendorf</t>
  </si>
  <si>
    <t>Redwitz a.d. Rodach</t>
  </si>
  <si>
    <t>Rees</t>
  </si>
  <si>
    <t xml:space="preserve"> Regensburg</t>
  </si>
  <si>
    <t>Regenstauf</t>
  </si>
  <si>
    <t>Regesbostel</t>
  </si>
  <si>
    <t>Regis-Breitingen</t>
  </si>
  <si>
    <t>Regnitzlosau</t>
  </si>
  <si>
    <t>Rehau</t>
  </si>
  <si>
    <t>Rehborn</t>
  </si>
  <si>
    <t>Rehburg-Loccum</t>
  </si>
  <si>
    <t>Reher</t>
  </si>
  <si>
    <t>Rehling</t>
  </si>
  <si>
    <t>Rehlingen-Siersburg</t>
  </si>
  <si>
    <t>Rehna, Carlow u.a.</t>
  </si>
  <si>
    <t>Reichartshausen</t>
  </si>
  <si>
    <t>Reichelsheim (Odenwald)</t>
  </si>
  <si>
    <t>Reichelsheim (Wetterau)</t>
  </si>
  <si>
    <t>Reichenau</t>
  </si>
  <si>
    <t>Reichenbach</t>
  </si>
  <si>
    <t>Reichenbach an der Fils</t>
  </si>
  <si>
    <t>Reichenbach, Vierkirchen</t>
  </si>
  <si>
    <t>Reichenbach/Vogtl.</t>
  </si>
  <si>
    <t>Reichenberg, Guttenberger Wald</t>
  </si>
  <si>
    <t>Reichenschwand</t>
  </si>
  <si>
    <t>Reichersbeuern</t>
  </si>
  <si>
    <t>Reichertshausen</t>
  </si>
  <si>
    <t>Reichertsheim</t>
  </si>
  <si>
    <t>Reichertshofen</t>
  </si>
  <si>
    <t>Reichling</t>
  </si>
  <si>
    <t>Reichshof</t>
  </si>
  <si>
    <t>Reifenberg</t>
  </si>
  <si>
    <t>Reifferscheid, Kaltenborn, Wershofen u.a.</t>
  </si>
  <si>
    <t>Reil</t>
  </si>
  <si>
    <t>Reilingen</t>
  </si>
  <si>
    <t>Reimershagen, Lohmen, Zehna, Hägerfelde u.a.</t>
  </si>
  <si>
    <t>Reimlingen</t>
  </si>
  <si>
    <t>Reinbek</t>
  </si>
  <si>
    <t>Reinfeld (Holstein)</t>
  </si>
  <si>
    <t>Reinhardshagen</t>
  </si>
  <si>
    <t>Reinheim</t>
  </si>
  <si>
    <t>Reinsberg</t>
  </si>
  <si>
    <t>Reinsdorf</t>
  </si>
  <si>
    <t>Reinsfeld</t>
  </si>
  <si>
    <t>Reinstorf</t>
  </si>
  <si>
    <t>Reisbach</t>
  </si>
  <si>
    <t>Reischach</t>
  </si>
  <si>
    <t>Reiskirchen</t>
  </si>
  <si>
    <t>Reit im Winkl</t>
  </si>
  <si>
    <t>Reken</t>
  </si>
  <si>
    <t>Rellingen</t>
  </si>
  <si>
    <t>Remagen</t>
  </si>
  <si>
    <t>Remchingen</t>
  </si>
  <si>
    <t>Remlingen</t>
  </si>
  <si>
    <t>Remptendorf</t>
  </si>
  <si>
    <t>Remscheid</t>
  </si>
  <si>
    <t xml:space="preserve"> Remscheid</t>
  </si>
  <si>
    <t>Remse</t>
  </si>
  <si>
    <t>Remseck am Neckar</t>
  </si>
  <si>
    <t>Remshalden</t>
  </si>
  <si>
    <t>Renchen</t>
  </si>
  <si>
    <t>Rendsburg</t>
  </si>
  <si>
    <t>Rengsdorf</t>
  </si>
  <si>
    <t>Rennau, Querenhorst, Mariental, Grasleben</t>
  </si>
  <si>
    <t>Rennerod, Zehnhausen, Nister-Möhrendorf, Waigandshain</t>
  </si>
  <si>
    <t>Rennertshofen</t>
  </si>
  <si>
    <t>Renningen</t>
  </si>
  <si>
    <t>Renquishausen</t>
  </si>
  <si>
    <t>Rentweinsdorf</t>
  </si>
  <si>
    <t>Reppenstedt, Lüneburg</t>
  </si>
  <si>
    <t>Rerik, Bastorf, Biendorf</t>
  </si>
  <si>
    <t>Rethem (Aller), Häuslingen, Frankenfeld</t>
  </si>
  <si>
    <t>Retschow, Admannshagen-Bargeshagen u.a.</t>
  </si>
  <si>
    <t>Rettenbach</t>
  </si>
  <si>
    <t>Rettenberg</t>
  </si>
  <si>
    <t>Retterath</t>
  </si>
  <si>
    <t>Retzstadt</t>
  </si>
  <si>
    <t>Reute</t>
  </si>
  <si>
    <t>Reuth b. Erbendorf</t>
  </si>
  <si>
    <t>Rhauderfehn</t>
  </si>
  <si>
    <t>Rhaunen</t>
  </si>
  <si>
    <t>Rheda-Wiedenbrück</t>
  </si>
  <si>
    <t>Rhede</t>
  </si>
  <si>
    <t>Rhede (Ems)</t>
  </si>
  <si>
    <t>Rheinau</t>
  </si>
  <si>
    <t>Rheinbach</t>
  </si>
  <si>
    <t>Rheinberg</t>
  </si>
  <si>
    <t>Rheinböllen</t>
  </si>
  <si>
    <t>Rheinbreitbach</t>
  </si>
  <si>
    <t>Rheinbrohl</t>
  </si>
  <si>
    <t>Rheine</t>
  </si>
  <si>
    <t>Rheinfelden (Baden)</t>
  </si>
  <si>
    <t>Rheinhausen</t>
  </si>
  <si>
    <t>Rheinmünster</t>
  </si>
  <si>
    <t>Rheinsberg</t>
  </si>
  <si>
    <t>Rheinstetten</t>
  </si>
  <si>
    <t>Rheinzabern</t>
  </si>
  <si>
    <t>Rhens</t>
  </si>
  <si>
    <t>Rheurdt</t>
  </si>
  <si>
    <t>Rhinow</t>
  </si>
  <si>
    <t>Rhodt u.a.</t>
  </si>
  <si>
    <t>Ribbesbüttel</t>
  </si>
  <si>
    <t>Ribnitz-Damgarten</t>
  </si>
  <si>
    <t>Rickenbach</t>
  </si>
  <si>
    <t>Rickling</t>
  </si>
  <si>
    <t>Ried</t>
  </si>
  <si>
    <t>Riedbach</t>
  </si>
  <si>
    <t>Riede</t>
  </si>
  <si>
    <t>Rieden</t>
  </si>
  <si>
    <t>Rieden am Forggensee</t>
  </si>
  <si>
    <t>Riedenberg</t>
  </si>
  <si>
    <t>Riedenburg</t>
  </si>
  <si>
    <t>Riedenheim</t>
  </si>
  <si>
    <t>Riederich</t>
  </si>
  <si>
    <t>Riedering</t>
  </si>
  <si>
    <t>Riedhausen</t>
  </si>
  <si>
    <t>Riedlhütte</t>
  </si>
  <si>
    <t>Riedlingen</t>
  </si>
  <si>
    <t>Riedstadt</t>
  </si>
  <si>
    <t>Riegel Kaiserstuhl</t>
  </si>
  <si>
    <t>Riegelsberg</t>
  </si>
  <si>
    <t>Rielasingen-Worblingen</t>
  </si>
  <si>
    <t>Rieneck</t>
  </si>
  <si>
    <t>Riesa</t>
  </si>
  <si>
    <t>Riesa, Stauchitz, Hirschstein</t>
  </si>
  <si>
    <t>Riesbürg</t>
  </si>
  <si>
    <t>Rieschweiler-Mühlbach</t>
  </si>
  <si>
    <t>Rieste</t>
  </si>
  <si>
    <t>Riesweiler</t>
  </si>
  <si>
    <t>Rietberg</t>
  </si>
  <si>
    <t>Rietheim-Weilheim</t>
  </si>
  <si>
    <t>Rietschen</t>
  </si>
  <si>
    <t>Rimbach</t>
  </si>
  <si>
    <t>Rimpar</t>
  </si>
  <si>
    <t>Rimsting</t>
  </si>
  <si>
    <t>Rinchnach</t>
  </si>
  <si>
    <t>Ringe, Laar, Emlichheim</t>
  </si>
  <si>
    <t>Ringelai</t>
  </si>
  <si>
    <t>Ringgau</t>
  </si>
  <si>
    <t>Ringsheim</t>
  </si>
  <si>
    <t>Rinteln</t>
  </si>
  <si>
    <t>Risum-Lindholm, Stedesand</t>
  </si>
  <si>
    <t>Ritterhude</t>
  </si>
  <si>
    <t>Rittersdorf u.a.</t>
  </si>
  <si>
    <t>Röbel/Müritz</t>
  </si>
  <si>
    <t>Rochau</t>
  </si>
  <si>
    <t>Rochlitz</t>
  </si>
  <si>
    <t>Rockenberg</t>
  </si>
  <si>
    <t>Rockenhausen, Bisterschied u.a.</t>
  </si>
  <si>
    <t>Rockhausen, Klettbach</t>
  </si>
  <si>
    <t>Röckingen</t>
  </si>
  <si>
    <t>Rodach b. Coburg</t>
  </si>
  <si>
    <t>Rodalben</t>
  </si>
  <si>
    <t>Rodeberg, Dünwald u.a.</t>
  </si>
  <si>
    <t>Rödelsee</t>
  </si>
  <si>
    <t>Roden</t>
  </si>
  <si>
    <t>Rodenäs</t>
  </si>
  <si>
    <t>Rodenbach</t>
  </si>
  <si>
    <t>Rödental</t>
  </si>
  <si>
    <t>Röderland, Großthiemig u.a.</t>
  </si>
  <si>
    <t>Rödermark</t>
  </si>
  <si>
    <t>Rödersheim-Gronau</t>
  </si>
  <si>
    <t>Rodewald</t>
  </si>
  <si>
    <t>Rodewisch</t>
  </si>
  <si>
    <t>Rodgau</t>
  </si>
  <si>
    <t>Roding</t>
  </si>
  <si>
    <t>Rödinghausen</t>
  </si>
  <si>
    <t>Roetgen</t>
  </si>
  <si>
    <t>Röfingen</t>
  </si>
  <si>
    <t>Roggenburg</t>
  </si>
  <si>
    <t>Roggentin, Broderstorf u.a.</t>
  </si>
  <si>
    <t>Rögling</t>
  </si>
  <si>
    <t>Rohlstorf</t>
  </si>
  <si>
    <t>Rohr</t>
  </si>
  <si>
    <t>Rohr i. NB</t>
  </si>
  <si>
    <t>Rohrbach</t>
  </si>
  <si>
    <t>Rohrdorf</t>
  </si>
  <si>
    <t>Rohrenfels</t>
  </si>
  <si>
    <t>Röhrmoos</t>
  </si>
  <si>
    <t>Röhrnbach</t>
  </si>
  <si>
    <t>Röhrsdorf</t>
  </si>
  <si>
    <t>Rohrsen</t>
  </si>
  <si>
    <t>Roigheim</t>
  </si>
  <si>
    <t>Roitzsch, Petersroda</t>
  </si>
  <si>
    <t>Roklum</t>
  </si>
  <si>
    <t>Röllbach</t>
  </si>
  <si>
    <t>Römerberg</t>
  </si>
  <si>
    <t>Römerstein</t>
  </si>
  <si>
    <t>Römhild</t>
  </si>
  <si>
    <t>Rommerskirchen</t>
  </si>
  <si>
    <t>Romrod</t>
  </si>
  <si>
    <t>Römstedt</t>
  </si>
  <si>
    <t>Ronneburg</t>
  </si>
  <si>
    <t>Ronneburg, Braunichswalde, Großenstein u.a.</t>
  </si>
  <si>
    <t>Ronnenberg</t>
  </si>
  <si>
    <t>Ronsberg</t>
  </si>
  <si>
    <t>Ronshausen</t>
  </si>
  <si>
    <t>Rosbach v.d. Höhe</t>
  </si>
  <si>
    <t>Rosche</t>
  </si>
  <si>
    <t>Rosdorf</t>
  </si>
  <si>
    <t>Rosenbach</t>
  </si>
  <si>
    <t>Rosenberg</t>
  </si>
  <si>
    <t>Rosendahl</t>
  </si>
  <si>
    <t>Rosenfeld</t>
  </si>
  <si>
    <t>Rosengarten</t>
  </si>
  <si>
    <t xml:space="preserve"> Rosenheim</t>
  </si>
  <si>
    <t>Rosenow</t>
  </si>
  <si>
    <t>Rosenthal</t>
  </si>
  <si>
    <t>Rosenthal am Rennsteig</t>
  </si>
  <si>
    <t>Rositz, Starkenberg, Treben</t>
  </si>
  <si>
    <t>Röslau</t>
  </si>
  <si>
    <t>Rösrath</t>
  </si>
  <si>
    <t>Roßbach</t>
  </si>
  <si>
    <t>Roßdorf</t>
  </si>
  <si>
    <t>Roßhaupten</t>
  </si>
  <si>
    <t>Roßleben-Wiehe, Gehofen</t>
  </si>
  <si>
    <t>Roßtal</t>
  </si>
  <si>
    <t>Roßwein</t>
  </si>
  <si>
    <t>Rostock, Gelbensande, Rövershagen u.a.</t>
  </si>
  <si>
    <t>Rostock, Graal-Müritz</t>
  </si>
  <si>
    <t>Rostock, Lambrechtshagen</t>
  </si>
  <si>
    <t>Rostock, Papendorf u.a.</t>
  </si>
  <si>
    <t>Rot am See</t>
  </si>
  <si>
    <t>Rot an der Rot</t>
  </si>
  <si>
    <t>Rotenburg</t>
  </si>
  <si>
    <t>Rotenburg an der Fulda</t>
  </si>
  <si>
    <t>Rötgesbüttel</t>
  </si>
  <si>
    <t>Rötha</t>
  </si>
  <si>
    <t>Röthenbach (Allgäu)</t>
  </si>
  <si>
    <t>Röthenbach an der Pegnitz</t>
  </si>
  <si>
    <t>Rothenbuch, Rothenbucher Forst</t>
  </si>
  <si>
    <t>Rothenburg/O.L.</t>
  </si>
  <si>
    <t>Rothenfels</t>
  </si>
  <si>
    <t>Röthlein</t>
  </si>
  <si>
    <t>Rothselberg u.a.</t>
  </si>
  <si>
    <t>Rott</t>
  </si>
  <si>
    <t>Rott a. Inn</t>
  </si>
  <si>
    <t>Rottach-Egern</t>
  </si>
  <si>
    <t>Rottenacker</t>
  </si>
  <si>
    <t>Röttenbach</t>
  </si>
  <si>
    <t>Rottenbuch</t>
  </si>
  <si>
    <t>Rottenburg a.d. Laaber</t>
  </si>
  <si>
    <t>Rottenburg am Neckar</t>
  </si>
  <si>
    <t>Rottendorf</t>
  </si>
  <si>
    <t>Rotthalmünster</t>
  </si>
  <si>
    <t>Röttingen, Tauberrettersheim</t>
  </si>
  <si>
    <t>Rötz</t>
  </si>
  <si>
    <t>Rückersdorf</t>
  </si>
  <si>
    <t>Rückholz</t>
  </si>
  <si>
    <t>Rudelzhausen</t>
  </si>
  <si>
    <t>Ruderatshofen</t>
  </si>
  <si>
    <t>Rudersberg</t>
  </si>
  <si>
    <t>Rüdersdorf</t>
  </si>
  <si>
    <t>Ruderting</t>
  </si>
  <si>
    <t>Rüdesheim</t>
  </si>
  <si>
    <t>Rüdesheim am Rhein</t>
  </si>
  <si>
    <t>Rudolstadt</t>
  </si>
  <si>
    <t>Rugendorf</t>
  </si>
  <si>
    <t>Rügland</t>
  </si>
  <si>
    <t>Rühen</t>
  </si>
  <si>
    <t>Ruhla</t>
  </si>
  <si>
    <t>Ruhland</t>
  </si>
  <si>
    <t>Ruhpolding</t>
  </si>
  <si>
    <t>Ruhstorf a.d. Rott</t>
  </si>
  <si>
    <t>Rülzheim</t>
  </si>
  <si>
    <t>Rümmingen</t>
  </si>
  <si>
    <t>Rumohr</t>
  </si>
  <si>
    <t>Runding</t>
  </si>
  <si>
    <t>Runkel</t>
  </si>
  <si>
    <t>Ruppertsberg</t>
  </si>
  <si>
    <t>Ruppertshofen</t>
  </si>
  <si>
    <t>Ruppichteroth</t>
  </si>
  <si>
    <t>Rüsselsheim</t>
  </si>
  <si>
    <t>Rust</t>
  </si>
  <si>
    <t>Rutesheim</t>
  </si>
  <si>
    <t>Rüthen</t>
  </si>
  <si>
    <t>Saal</t>
  </si>
  <si>
    <t>Saal a.d. Donau</t>
  </si>
  <si>
    <t>Saalburg-Ebersdorf</t>
  </si>
  <si>
    <t>Saaldorf</t>
  </si>
  <si>
    <t>Saalfeld/Saale</t>
  </si>
  <si>
    <t>Saarbrücken</t>
  </si>
  <si>
    <t>Saarburg</t>
  </si>
  <si>
    <t>Saarwellingen</t>
  </si>
  <si>
    <t>Sachsen b. Ansbach</t>
  </si>
  <si>
    <t>Sachsenheim</t>
  </si>
  <si>
    <t>Sachsenkam</t>
  </si>
  <si>
    <t>Saerbeck</t>
  </si>
  <si>
    <t>Saffig</t>
  </si>
  <si>
    <t>Sagard</t>
  </si>
  <si>
    <t>Sailauf</t>
  </si>
  <si>
    <t>Salach</t>
  </si>
  <si>
    <t>Saldenburg</t>
  </si>
  <si>
    <t>Salem</t>
  </si>
  <si>
    <t>Salgen</t>
  </si>
  <si>
    <t>Salmtal</t>
  </si>
  <si>
    <t>Salzatal</t>
  </si>
  <si>
    <t>Salzbergen</t>
  </si>
  <si>
    <t>Salzgitter</t>
  </si>
  <si>
    <t>Salzhausen</t>
  </si>
  <si>
    <t>Salzhemmendorf</t>
  </si>
  <si>
    <t>Salzkotten</t>
  </si>
  <si>
    <t>Salzwedel</t>
  </si>
  <si>
    <t>Salzweg</t>
  </si>
  <si>
    <t>Samerberg</t>
  </si>
  <si>
    <t>Samtens</t>
  </si>
  <si>
    <t>Sand a. Main</t>
  </si>
  <si>
    <t>Sandau</t>
  </si>
  <si>
    <t>Sandberg</t>
  </si>
  <si>
    <t>Sande</t>
  </si>
  <si>
    <t>Sandersdorf-Brehna</t>
  </si>
  <si>
    <t>Sandesneben u.a.</t>
  </si>
  <si>
    <t>Sandhausen</t>
  </si>
  <si>
    <t>Sangerhausen</t>
  </si>
  <si>
    <t>Sanitz</t>
  </si>
  <si>
    <t>Sankt Annen, Rehm-Flehde-Bargen</t>
  </si>
  <si>
    <t>Sankt Augustin</t>
  </si>
  <si>
    <t>Sankt Englmar</t>
  </si>
  <si>
    <t>Sankt Goar</t>
  </si>
  <si>
    <t>Sankt Goarshausen u.a.</t>
  </si>
  <si>
    <t>Sankt Ingbert</t>
  </si>
  <si>
    <t>Sankt Katharinen (Landkreis Neuwied)</t>
  </si>
  <si>
    <t>Sankt Leon-Rot</t>
  </si>
  <si>
    <t>Sankt Margarethen</t>
  </si>
  <si>
    <t>Sankt Michaelisdonn,Gudendorf,Volsemenhusen,Trennewurth</t>
  </si>
  <si>
    <t>Sankt Oswald</t>
  </si>
  <si>
    <t>Sankt Peter</t>
  </si>
  <si>
    <t>Sankt Peter-Ording</t>
  </si>
  <si>
    <t>Sankt Wendel</t>
  </si>
  <si>
    <t>Sankt Wolfgang</t>
  </si>
  <si>
    <t>Sarkwitz</t>
  </si>
  <si>
    <t>Sarstedt</t>
  </si>
  <si>
    <t>Sasbach</t>
  </si>
  <si>
    <t>Sasbach am Kaiserstuhl</t>
  </si>
  <si>
    <t>Sasbachwalden</t>
  </si>
  <si>
    <t>Sassenberg</t>
  </si>
  <si>
    <t>Sassenburg</t>
  </si>
  <si>
    <t>Sassnitz</t>
  </si>
  <si>
    <t>Saterland</t>
  </si>
  <si>
    <t>Satow</t>
  </si>
  <si>
    <t>Satteldorf</t>
  </si>
  <si>
    <t>Sauensiek</t>
  </si>
  <si>
    <t>Sauerlach</t>
  </si>
  <si>
    <t>Saulgrub</t>
  </si>
  <si>
    <t>Saulheim</t>
  </si>
  <si>
    <t>Schaafheim</t>
  </si>
  <si>
    <t>Schaalby, Geelbek</t>
  </si>
  <si>
    <t>Schacht-Audorf</t>
  </si>
  <si>
    <t>Schafflund, Meyn u.a.</t>
  </si>
  <si>
    <t>Schafstedt, Weidenhof, Bornholt</t>
  </si>
  <si>
    <t>Schäftlarn</t>
  </si>
  <si>
    <t>Schalkenbach, Königsfeld, Dedenbach</t>
  </si>
  <si>
    <t>Schalksmühle</t>
  </si>
  <si>
    <t>Schallbach</t>
  </si>
  <si>
    <t>Schallodenbach</t>
  </si>
  <si>
    <t>Schallstadt</t>
  </si>
  <si>
    <t>Scharbeutz</t>
  </si>
  <si>
    <t>Scharbeutz, Süsel</t>
  </si>
  <si>
    <t>Scharnebeck, Echem, Lüdersburg, Rullstorf</t>
  </si>
  <si>
    <t>Schauenburg</t>
  </si>
  <si>
    <t>Schauenstein</t>
  </si>
  <si>
    <t>Schaufling</t>
  </si>
  <si>
    <t>Schechen</t>
  </si>
  <si>
    <t>Schechingen</t>
  </si>
  <si>
    <t>Scheer</t>
  </si>
  <si>
    <t>Scheeßel</t>
  </si>
  <si>
    <t>Schefflenz</t>
  </si>
  <si>
    <t>Scheibenberg</t>
  </si>
  <si>
    <t>Scheibenhardt</t>
  </si>
  <si>
    <t>Scheidegg</t>
  </si>
  <si>
    <t>Scheinfeld</t>
  </si>
  <si>
    <t>Schelklingen</t>
  </si>
  <si>
    <t>Schellerten</t>
  </si>
  <si>
    <t>Schemmerhofen</t>
  </si>
  <si>
    <t>Schenefeld</t>
  </si>
  <si>
    <t>Schenkenzell</t>
  </si>
  <si>
    <t>Schenklengsfeld</t>
  </si>
  <si>
    <t>Schermbeck</t>
  </si>
  <si>
    <t>Schernfeld</t>
  </si>
  <si>
    <t>Scherstetten</t>
  </si>
  <si>
    <t>Scheßlitz</t>
  </si>
  <si>
    <t>Scheuerfeld</t>
  </si>
  <si>
    <t>Scheuring</t>
  </si>
  <si>
    <t>Scheyern</t>
  </si>
  <si>
    <t>Schieder-Schwalenberg</t>
  </si>
  <si>
    <t>Schierling</t>
  </si>
  <si>
    <t>Schiffdorf</t>
  </si>
  <si>
    <t>Schifferstadt</t>
  </si>
  <si>
    <t>Schiffweiler</t>
  </si>
  <si>
    <t>Schildow</t>
  </si>
  <si>
    <t>Schillingen</t>
  </si>
  <si>
    <t>Schillingsfürst</t>
  </si>
  <si>
    <t>Schillsdorf</t>
  </si>
  <si>
    <t>Schiltach</t>
  </si>
  <si>
    <t>Schiltberg</t>
  </si>
  <si>
    <t>Schipkau</t>
  </si>
  <si>
    <t>Schirmitz</t>
  </si>
  <si>
    <t>Schirnding</t>
  </si>
  <si>
    <t>Schkeuditz</t>
  </si>
  <si>
    <t>Schkölen</t>
  </si>
  <si>
    <t>Schkopau</t>
  </si>
  <si>
    <t>Schladen-Werla</t>
  </si>
  <si>
    <t>Schlaitdorf</t>
  </si>
  <si>
    <t>Schlangen</t>
  </si>
  <si>
    <t>Schlangenbad</t>
  </si>
  <si>
    <t>Schlat</t>
  </si>
  <si>
    <t>Schleching</t>
  </si>
  <si>
    <t>Schlehdorf</t>
  </si>
  <si>
    <t>Schleiden</t>
  </si>
  <si>
    <t>Schleife</t>
  </si>
  <si>
    <t>Schleiz</t>
  </si>
  <si>
    <t>Schlema</t>
  </si>
  <si>
    <t>Schlettau</t>
  </si>
  <si>
    <t>Schleusegrund</t>
  </si>
  <si>
    <t>Schleusingen u.a.</t>
  </si>
  <si>
    <t>Schlieben</t>
  </si>
  <si>
    <t>Schliengen</t>
  </si>
  <si>
    <t>Schlier</t>
  </si>
  <si>
    <t>Schlierbach</t>
  </si>
  <si>
    <t>Schliersee</t>
  </si>
  <si>
    <t>Schlitz</t>
  </si>
  <si>
    <t>Schloß Holte-Stukenbrock</t>
  </si>
  <si>
    <t>Schlotheim</t>
  </si>
  <si>
    <t>Schluchsee</t>
  </si>
  <si>
    <t>Schlüchtern</t>
  </si>
  <si>
    <t>Schlüsselfeld</t>
  </si>
  <si>
    <t>Schmalenberg</t>
  </si>
  <si>
    <t>Schmalensee</t>
  </si>
  <si>
    <t>Schmalfeld</t>
  </si>
  <si>
    <t>Schmalkalden</t>
  </si>
  <si>
    <t>Schmallenberg</t>
  </si>
  <si>
    <t>Schmelz</t>
  </si>
  <si>
    <t>Schmidgaden</t>
  </si>
  <si>
    <t>Schmidmühlen</t>
  </si>
  <si>
    <t>Schmiechen</t>
  </si>
  <si>
    <t>Schmitten</t>
  </si>
  <si>
    <t>Schmölln, Altkirchen, Nöbdenitz u.a.</t>
  </si>
  <si>
    <t>Schnabelwaid</t>
  </si>
  <si>
    <t>Schnackenburg</t>
  </si>
  <si>
    <t>Schnaitsee</t>
  </si>
  <si>
    <t>Schnaittach</t>
  </si>
  <si>
    <t>Schnaittenbach</t>
  </si>
  <si>
    <t>Schneckenhausen</t>
  </si>
  <si>
    <t>Schneckenlohe</t>
  </si>
  <si>
    <t>Schneeberg</t>
  </si>
  <si>
    <t>Schnega</t>
  </si>
  <si>
    <t>Schneizlreuth</t>
  </si>
  <si>
    <t>Schnelldorf</t>
  </si>
  <si>
    <t>Schneverdingen, Heimbuch</t>
  </si>
  <si>
    <t>Schnürpflingen</t>
  </si>
  <si>
    <t>Schöffengrund</t>
  </si>
  <si>
    <t>Schöfweg</t>
  </si>
  <si>
    <t>Schollbrunn</t>
  </si>
  <si>
    <t>Schöllkrippen, Blankenbach</t>
  </si>
  <si>
    <t>Schöllnach</t>
  </si>
  <si>
    <t>Schömberg</t>
  </si>
  <si>
    <t>Schonach im Schwarzwald</t>
  </si>
  <si>
    <t>Schönaich</t>
  </si>
  <si>
    <t>Schönau</t>
  </si>
  <si>
    <t>Schönau a.d. Brend</t>
  </si>
  <si>
    <t>Schönau im Schwarzwald</t>
  </si>
  <si>
    <t>Schönberg</t>
  </si>
  <si>
    <t>Schönberg (Holstein)</t>
  </si>
  <si>
    <t>Schönborn</t>
  </si>
  <si>
    <t>Schönbrunn</t>
  </si>
  <si>
    <t>Schönbrunn i. Steigerwald</t>
  </si>
  <si>
    <t>Schondorf a. Ammersee</t>
  </si>
  <si>
    <t>Schondra</t>
  </si>
  <si>
    <t>Schönebeck</t>
  </si>
  <si>
    <t>Schönebeck (Elbe)</t>
  </si>
  <si>
    <t>Schöneck</t>
  </si>
  <si>
    <t>Schöneck/Vogtl.</t>
  </si>
  <si>
    <t>Schönecken</t>
  </si>
  <si>
    <t>Schönefeld</t>
  </si>
  <si>
    <t>Schöneiche bei Berlin</t>
  </si>
  <si>
    <t>Schönenberg-Kübelberg</t>
  </si>
  <si>
    <t>Schönewörde</t>
  </si>
  <si>
    <t>Schongau</t>
  </si>
  <si>
    <t>Schöngeising</t>
  </si>
  <si>
    <t>Schönheide</t>
  </si>
  <si>
    <t>Schöningen</t>
  </si>
  <si>
    <t>Schönkirchen</t>
  </si>
  <si>
    <t>Schönsee</t>
  </si>
  <si>
    <t>Schonstett</t>
  </si>
  <si>
    <t>Schöntal</t>
  </si>
  <si>
    <t>Schönthal</t>
  </si>
  <si>
    <t>Schonungen</t>
  </si>
  <si>
    <t>Schönwald</t>
  </si>
  <si>
    <t>Schönwald im Schwarzwald</t>
  </si>
  <si>
    <t>Schönwalde</t>
  </si>
  <si>
    <t>Schönwalde am Bungsberg</t>
  </si>
  <si>
    <t>Schopfheim</t>
  </si>
  <si>
    <t>Schopfloch</t>
  </si>
  <si>
    <t>Schopp</t>
  </si>
  <si>
    <t>Schöppenstedt</t>
  </si>
  <si>
    <t>Schöppingen</t>
  </si>
  <si>
    <t>Schorfheide</t>
  </si>
  <si>
    <t>Schorndorf</t>
  </si>
  <si>
    <t>Schortens</t>
  </si>
  <si>
    <t>Schotten</t>
  </si>
  <si>
    <t>Schramberg</t>
  </si>
  <si>
    <t>Schraplau, Farnstädt</t>
  </si>
  <si>
    <t>Schrecksbach</t>
  </si>
  <si>
    <t>Schriesheim</t>
  </si>
  <si>
    <t>Schrobenhausen</t>
  </si>
  <si>
    <t>Schrozberg</t>
  </si>
  <si>
    <t>Schuby</t>
  </si>
  <si>
    <t>Schüller</t>
  </si>
  <si>
    <t>Schülp bei Rendsburg</t>
  </si>
  <si>
    <t>Schulzendorf b. Eichenwade</t>
  </si>
  <si>
    <t>Schuttertal</t>
  </si>
  <si>
    <t>Schutterwald</t>
  </si>
  <si>
    <t>Schwaan u.a.</t>
  </si>
  <si>
    <t>Schwabach</t>
  </si>
  <si>
    <t xml:space="preserve"> Schwabach</t>
  </si>
  <si>
    <t>Schwabbruck</t>
  </si>
  <si>
    <t>Schwabhausen</t>
  </si>
  <si>
    <t>Schwäbisch Gmünd, Täferrot</t>
  </si>
  <si>
    <t>Schwabmünchen</t>
  </si>
  <si>
    <t>Schwabsoien</t>
  </si>
  <si>
    <t>Schwabstedt</t>
  </si>
  <si>
    <t>Schwaförden</t>
  </si>
  <si>
    <t>Schwaig b. Nürnberg, Behringersdorfer Forst</t>
  </si>
  <si>
    <t>Schwaigen</t>
  </si>
  <si>
    <t>Schwaigern</t>
  </si>
  <si>
    <t>Schwaikheim</t>
  </si>
  <si>
    <t>Schwalbach</t>
  </si>
  <si>
    <t>Schwalbach am Taunus</t>
  </si>
  <si>
    <t>Schwallungen</t>
  </si>
  <si>
    <t>Schwalmstadt</t>
  </si>
  <si>
    <t>Schwalmtal</t>
  </si>
  <si>
    <t>Schwanau</t>
  </si>
  <si>
    <t>Schwanebeck, Gröningen, Kroppenstedt</t>
  </si>
  <si>
    <t>Schwanewede</t>
  </si>
  <si>
    <t>Schwanfeld</t>
  </si>
  <si>
    <t>Schwangau</t>
  </si>
  <si>
    <t>Schwanstetten</t>
  </si>
  <si>
    <t>Schwarmstedt u.a.</t>
  </si>
  <si>
    <t>Schwarzach</t>
  </si>
  <si>
    <t>Schwarzach a. Main</t>
  </si>
  <si>
    <t>Schwarzach b. Nabburg</t>
  </si>
  <si>
    <t>Schwarzburg</t>
  </si>
  <si>
    <t>Schwarzenbach</t>
  </si>
  <si>
    <t>Schwarzenbach a. Wald</t>
  </si>
  <si>
    <t>Schwarzenbach a.d. Saale</t>
  </si>
  <si>
    <t>Schwarzenberg/Erzgeb.</t>
  </si>
  <si>
    <t>Schwarzenborn</t>
  </si>
  <si>
    <t>Schwarzenbruck</t>
  </si>
  <si>
    <t>Schwarzenfeld</t>
  </si>
  <si>
    <t>Schwarzengraben, St. Alban, Gerbach</t>
  </si>
  <si>
    <t>Schwarzheide N.L.</t>
  </si>
  <si>
    <t>Schwarzhofen</t>
  </si>
  <si>
    <t>Schwebheim</t>
  </si>
  <si>
    <t>Schwedt</t>
  </si>
  <si>
    <t>Schwegenheim</t>
  </si>
  <si>
    <t>Schweich</t>
  </si>
  <si>
    <t xml:space="preserve"> Schweinfurt</t>
  </si>
  <si>
    <t>Schweitenkirchen</t>
  </si>
  <si>
    <t>Schwelm</t>
  </si>
  <si>
    <t>Schwendi</t>
  </si>
  <si>
    <t>Schwenningen</t>
  </si>
  <si>
    <t>Schwentinental</t>
  </si>
  <si>
    <t>Schwentinetal</t>
  </si>
  <si>
    <t>Schweringen, Warpe, Bücken</t>
  </si>
  <si>
    <t>Schwerte</t>
  </si>
  <si>
    <t>Schwetzingen</t>
  </si>
  <si>
    <t>Schwieberdingen</t>
  </si>
  <si>
    <t>Schwielowswee</t>
  </si>
  <si>
    <t>Schwienau</t>
  </si>
  <si>
    <t>Schwifting</t>
  </si>
  <si>
    <t>Schwindegg</t>
  </si>
  <si>
    <t>Schwörstadt</t>
  </si>
  <si>
    <t>Schwülper</t>
  </si>
  <si>
    <t>Sebnitz</t>
  </si>
  <si>
    <t>Seckach</t>
  </si>
  <si>
    <t>Seddiner See</t>
  </si>
  <si>
    <t>Seebach</t>
  </si>
  <si>
    <t>Seebad Ahlbeck</t>
  </si>
  <si>
    <t>Seedorf</t>
  </si>
  <si>
    <t>Seefeld</t>
  </si>
  <si>
    <t>Seeg</t>
  </si>
  <si>
    <t>Seegebiet Mansfelder Land</t>
  </si>
  <si>
    <t>Seehausen, Werben, Leppin u.a.</t>
  </si>
  <si>
    <t>Seeheim-Jugenheim</t>
  </si>
  <si>
    <t>Seeland</t>
  </si>
  <si>
    <t>Seelbach</t>
  </si>
  <si>
    <t>Seelow, Lietzen u.a.</t>
  </si>
  <si>
    <t>Seelze</t>
  </si>
  <si>
    <t>Seeon-Seebruck</t>
  </si>
  <si>
    <t>Seesbach</t>
  </si>
  <si>
    <t>Seesen</t>
  </si>
  <si>
    <t>Seeshaupt</t>
  </si>
  <si>
    <t>Seester</t>
  </si>
  <si>
    <t>Seestermühe</t>
  </si>
  <si>
    <t>Seevetal</t>
  </si>
  <si>
    <t>Seewald</t>
  </si>
  <si>
    <t>Sehestedt</t>
  </si>
  <si>
    <t>Sehlde</t>
  </si>
  <si>
    <t>Sehma</t>
  </si>
  <si>
    <t>Sehnde</t>
  </si>
  <si>
    <t>Seibersbach</t>
  </si>
  <si>
    <t>Seiffen/Erzgeb.</t>
  </si>
  <si>
    <t>Seifhennersdorf</t>
  </si>
  <si>
    <t>Seitingen-Oberflacht</t>
  </si>
  <si>
    <t>Selb</t>
  </si>
  <si>
    <t>Selbitz</t>
  </si>
  <si>
    <t>Selent</t>
  </si>
  <si>
    <t>Seligenstadt</t>
  </si>
  <si>
    <t>Selk, Geltdorf, Hahnekrug</t>
  </si>
  <si>
    <t>Sellin</t>
  </si>
  <si>
    <t>Selm</t>
  </si>
  <si>
    <t>Selsingen</t>
  </si>
  <si>
    <t>Selters</t>
  </si>
  <si>
    <t>Selters (Westerwald)</t>
  </si>
  <si>
    <t>Sembach</t>
  </si>
  <si>
    <t>Semmenstedt</t>
  </si>
  <si>
    <t>Senden</t>
  </si>
  <si>
    <t>Sendenhorst</t>
  </si>
  <si>
    <t>Senftenberg</t>
  </si>
  <si>
    <t>Sengenthal</t>
  </si>
  <si>
    <t>Senheim</t>
  </si>
  <si>
    <t>Sennfeld</t>
  </si>
  <si>
    <t>Serrig</t>
  </si>
  <si>
    <t>Sersheim</t>
  </si>
  <si>
    <t>Seßlach</t>
  </si>
  <si>
    <t>Seth</t>
  </si>
  <si>
    <t>Seubersdorf i.d. OPf.</t>
  </si>
  <si>
    <t>Seulingen, Waake u.a.</t>
  </si>
  <si>
    <t>Sexau</t>
  </si>
  <si>
    <t>Sibbesse</t>
  </si>
  <si>
    <t>Sickte, Dettum u.a.</t>
  </si>
  <si>
    <t>Siedenburg, Staffhorst</t>
  </si>
  <si>
    <t>Siegbach</t>
  </si>
  <si>
    <t>Siegburg</t>
  </si>
  <si>
    <t>Siegelsbach</t>
  </si>
  <si>
    <t>Siegen</t>
  </si>
  <si>
    <t>Siegenburg</t>
  </si>
  <si>
    <t>Siegsdorf</t>
  </si>
  <si>
    <t>Siek</t>
  </si>
  <si>
    <t>Sielenbach</t>
  </si>
  <si>
    <t>Siershahn</t>
  </si>
  <si>
    <t>Sievershütten</t>
  </si>
  <si>
    <t>Sieverstedt</t>
  </si>
  <si>
    <t>Sigmaringendorf</t>
  </si>
  <si>
    <t>Sigmarszell</t>
  </si>
  <si>
    <t>Silberstedt, Schwittschau</t>
  </si>
  <si>
    <t>Simbach</t>
  </si>
  <si>
    <t>Simbach a. Inn</t>
  </si>
  <si>
    <t>Simmelsdorf</t>
  </si>
  <si>
    <t>Simmerath</t>
  </si>
  <si>
    <t>Simmern/Hunsrück u.a.</t>
  </si>
  <si>
    <t>Simmersfeld</t>
  </si>
  <si>
    <t>Simmertal</t>
  </si>
  <si>
    <t>Simmozheim</t>
  </si>
  <si>
    <t>Simonswald</t>
  </si>
  <si>
    <t>Sindelfingen</t>
  </si>
  <si>
    <t>Sindelsdorf</t>
  </si>
  <si>
    <t>Singen</t>
  </si>
  <si>
    <t>Singhofen</t>
  </si>
  <si>
    <t>Sinn</t>
  </si>
  <si>
    <t>Sinntal</t>
  </si>
  <si>
    <t>Sinsheim</t>
  </si>
  <si>
    <t>Sinzheim</t>
  </si>
  <si>
    <t>Sinzig</t>
  </si>
  <si>
    <t>Sinzing</t>
  </si>
  <si>
    <t>Sippersfeld</t>
  </si>
  <si>
    <t>Sipplingen</t>
  </si>
  <si>
    <t>Sittensen u.a.</t>
  </si>
  <si>
    <t>Sobernheim</t>
  </si>
  <si>
    <t>Söchtenau</t>
  </si>
  <si>
    <t>Soderstorf</t>
  </si>
  <si>
    <t>Sögel u.a.</t>
  </si>
  <si>
    <t>Sohland a. d. Spree</t>
  </si>
  <si>
    <t>Söhlde</t>
  </si>
  <si>
    <t>Sohren</t>
  </si>
  <si>
    <t>Söhrewald</t>
  </si>
  <si>
    <t>Sölden</t>
  </si>
  <si>
    <t>Solingen</t>
  </si>
  <si>
    <t xml:space="preserve"> Solingen</t>
  </si>
  <si>
    <t>Söllingen</t>
  </si>
  <si>
    <t>Sollstedt</t>
  </si>
  <si>
    <t>Solms</t>
  </si>
  <si>
    <t>Solnhofen</t>
  </si>
  <si>
    <t>Soltau</t>
  </si>
  <si>
    <t>Soltendiek</t>
  </si>
  <si>
    <t>Sommerach</t>
  </si>
  <si>
    <t>Sondershausen</t>
  </si>
  <si>
    <t>Sonnefeld</t>
  </si>
  <si>
    <t>Sonnen</t>
  </si>
  <si>
    <t>Sonnenbühl</t>
  </si>
  <si>
    <t>Sonnewalde</t>
  </si>
  <si>
    <t>Sonsbeck</t>
  </si>
  <si>
    <t>Sontheim</t>
  </si>
  <si>
    <t>Sontheim an der Brenz</t>
  </si>
  <si>
    <t>Sonthofen</t>
  </si>
  <si>
    <t>Sontra</t>
  </si>
  <si>
    <t>Sörup</t>
  </si>
  <si>
    <t>Sottrum, Reeßum, Bötersen u.a.</t>
  </si>
  <si>
    <t>Soyen</t>
  </si>
  <si>
    <t>Spaichingen</t>
  </si>
  <si>
    <t>Spalt</t>
  </si>
  <si>
    <t>Spangdahlem</t>
  </si>
  <si>
    <t>Spangenberg</t>
  </si>
  <si>
    <t>Spantekow</t>
  </si>
  <si>
    <t>Sparneck</t>
  </si>
  <si>
    <t>Spatzenhausen</t>
  </si>
  <si>
    <t>Spay</t>
  </si>
  <si>
    <t>Spechbach</t>
  </si>
  <si>
    <t>Speicher</t>
  </si>
  <si>
    <t>Speichersdorf</t>
  </si>
  <si>
    <t>Spenge</t>
  </si>
  <si>
    <t>Speyer</t>
  </si>
  <si>
    <t xml:space="preserve"> Speyer</t>
  </si>
  <si>
    <t>Spiegelau</t>
  </si>
  <si>
    <t>Spiegelberg</t>
  </si>
  <si>
    <t>Spiekeroog</t>
  </si>
  <si>
    <t>Spiesen-Elversberg</t>
  </si>
  <si>
    <t>Sponholz, Neunkirchen u.a.</t>
  </si>
  <si>
    <t>Spornitz</t>
  </si>
  <si>
    <t>Spraitbach</t>
  </si>
  <si>
    <t>Sprakensehl</t>
  </si>
  <si>
    <t>Spreenhagen</t>
  </si>
  <si>
    <t>Spreetal, Elsterheide</t>
  </si>
  <si>
    <t>Spremberg, Tschernitz u.a.</t>
  </si>
  <si>
    <t>Sprendlingen</t>
  </si>
  <si>
    <t>Springe</t>
  </si>
  <si>
    <t>Sprockhövel</t>
  </si>
  <si>
    <t>St. Blasien, Ibach</t>
  </si>
  <si>
    <t>St. Egidien</t>
  </si>
  <si>
    <t>St. Georgen</t>
  </si>
  <si>
    <t>St. Johann</t>
  </si>
  <si>
    <t>St. Märgen</t>
  </si>
  <si>
    <t>Stäbelow, Kritzmow</t>
  </si>
  <si>
    <t>Stadecken-Elsheim</t>
  </si>
  <si>
    <t>Stadelhofen</t>
  </si>
  <si>
    <t>Stadland</t>
  </si>
  <si>
    <t>Stadlern</t>
  </si>
  <si>
    <t>Stadt Schwäbisch Gmünd</t>
  </si>
  <si>
    <t>Stadtallendorf</t>
  </si>
  <si>
    <t>Stadtbergen</t>
  </si>
  <si>
    <t>Stadthagen</t>
  </si>
  <si>
    <t>Stadtilm, Ilmtal</t>
  </si>
  <si>
    <t>Stadtkyll</t>
  </si>
  <si>
    <t>Stadtlauringen</t>
  </si>
  <si>
    <t>Stadtlengsfeld, Weilar, Urnshausen</t>
  </si>
  <si>
    <t>Stadtlohn</t>
  </si>
  <si>
    <t>Stadtoldendorf u.a.</t>
  </si>
  <si>
    <t>Stadtprozelten</t>
  </si>
  <si>
    <t>Stadtroda u.a.</t>
  </si>
  <si>
    <t>Stadtsteinach</t>
  </si>
  <si>
    <t>Staffelstein</t>
  </si>
  <si>
    <t>Staig</t>
  </si>
  <si>
    <t>Stallwang</t>
  </si>
  <si>
    <t>Stammbach</t>
  </si>
  <si>
    <t>Stammham</t>
  </si>
  <si>
    <t>Stamsried</t>
  </si>
  <si>
    <t>Stapel</t>
  </si>
  <si>
    <t>Starzach</t>
  </si>
  <si>
    <t>Staßfurt</t>
  </si>
  <si>
    <t>Staudernheim</t>
  </si>
  <si>
    <t>Staufen im Breisgau</t>
  </si>
  <si>
    <t>Staufenberg</t>
  </si>
  <si>
    <t>Stavenhagen</t>
  </si>
  <si>
    <t>Stavern</t>
  </si>
  <si>
    <t>Steffenberg</t>
  </si>
  <si>
    <t>Stegaurach</t>
  </si>
  <si>
    <t>Stegen</t>
  </si>
  <si>
    <t>Steimbke</t>
  </si>
  <si>
    <t>Steimel</t>
  </si>
  <si>
    <t>Stein</t>
  </si>
  <si>
    <t>Stein a.d. Traun</t>
  </si>
  <si>
    <t>Steinach</t>
  </si>
  <si>
    <t>Steinau an der Straße</t>
  </si>
  <si>
    <t>Steinbach (Taunus)</t>
  </si>
  <si>
    <t>Steinbach a. Wald</t>
  </si>
  <si>
    <t>Steinbach, Weitersweiler, Bennhausen, Mörsfeld, Würzweiler, Ruppertsecken u.a.</t>
  </si>
  <si>
    <t>Steinbach-Hallenberg</t>
  </si>
  <si>
    <t>Steinberg</t>
  </si>
  <si>
    <t>Steinberg, Steinbergkirche</t>
  </si>
  <si>
    <t>Steindorf</t>
  </si>
  <si>
    <t>Steinen</t>
  </si>
  <si>
    <t>Steinenbronn</t>
  </si>
  <si>
    <t>Steinfeld</t>
  </si>
  <si>
    <t>Steingaden</t>
  </si>
  <si>
    <t>Steinhagen</t>
  </si>
  <si>
    <t>Steinheim</t>
  </si>
  <si>
    <t>Steinheim am Albuch</t>
  </si>
  <si>
    <t>Steinheim, Murr</t>
  </si>
  <si>
    <t>Steinhöring</t>
  </si>
  <si>
    <t>Steinhorst</t>
  </si>
  <si>
    <t>Steinkirchen</t>
  </si>
  <si>
    <t>Steinmauern</t>
  </si>
  <si>
    <t>Steinsfeld</t>
  </si>
  <si>
    <t>Steinweiler</t>
  </si>
  <si>
    <t>Steinwenden u.a.</t>
  </si>
  <si>
    <t>Steinwiesen</t>
  </si>
  <si>
    <t>Steißlingen</t>
  </si>
  <si>
    <t>Stelle</t>
  </si>
  <si>
    <t>Stemwede</t>
  </si>
  <si>
    <t>Stephanskirchen</t>
  </si>
  <si>
    <t>Stephansposching</t>
  </si>
  <si>
    <t>Sterley</t>
  </si>
  <si>
    <t>Sternberg</t>
  </si>
  <si>
    <t>Sternenfels</t>
  </si>
  <si>
    <t>Sterup</t>
  </si>
  <si>
    <t>Stetten</t>
  </si>
  <si>
    <t>Stetten am kalten Markt</t>
  </si>
  <si>
    <t>Stettfeld</t>
  </si>
  <si>
    <t>Steyerberg</t>
  </si>
  <si>
    <t>Stimpfach</t>
  </si>
  <si>
    <t>Stinstedt</t>
  </si>
  <si>
    <t>Stockach</t>
  </si>
  <si>
    <t>Stockelsdorf</t>
  </si>
  <si>
    <t>Stockheim</t>
  </si>
  <si>
    <t>Stöckse</t>
  </si>
  <si>
    <t>Stockstadt am Main</t>
  </si>
  <si>
    <t>Stockstadt am Rhein</t>
  </si>
  <si>
    <t>Stödtlen</t>
  </si>
  <si>
    <t>Stoetze</t>
  </si>
  <si>
    <t>Stolberg</t>
  </si>
  <si>
    <t>Stolberg (Rhld.)</t>
  </si>
  <si>
    <t>Stolk</t>
  </si>
  <si>
    <t>Stollberg/Erzgeb.</t>
  </si>
  <si>
    <t>Stolpen, Dürrröhrsdorf-Dittersbach</t>
  </si>
  <si>
    <t>Stoltebüll</t>
  </si>
  <si>
    <t>Stolzenau</t>
  </si>
  <si>
    <t>Storkow</t>
  </si>
  <si>
    <t>Störnstein</t>
  </si>
  <si>
    <t>Stötten am Auerberg</t>
  </si>
  <si>
    <t>Stöttwang</t>
  </si>
  <si>
    <t>Straelen</t>
  </si>
  <si>
    <t>Strasburg</t>
  </si>
  <si>
    <t>Straßberg</t>
  </si>
  <si>
    <t>Straßenhaus</t>
  </si>
  <si>
    <t>Straßkirchen</t>
  </si>
  <si>
    <t>Straßlach-Dingharting</t>
  </si>
  <si>
    <t>Straubenhardt</t>
  </si>
  <si>
    <t>Straubing</t>
  </si>
  <si>
    <t xml:space="preserve"> Straubing</t>
  </si>
  <si>
    <t>Straupitz</t>
  </si>
  <si>
    <t>Strausberg</t>
  </si>
  <si>
    <t>Straußfurt</t>
  </si>
  <si>
    <t>Strehla</t>
  </si>
  <si>
    <t>Stromberg</t>
  </si>
  <si>
    <t>Strullendorf</t>
  </si>
  <si>
    <t>Struvenhütten</t>
  </si>
  <si>
    <t>Struxdorf, Schnarup-Thumby</t>
  </si>
  <si>
    <t>Stubenberg</t>
  </si>
  <si>
    <t>Stühlingen</t>
  </si>
  <si>
    <t>Stuhr</t>
  </si>
  <si>
    <t>Stulln</t>
  </si>
  <si>
    <t>Stutensee</t>
  </si>
  <si>
    <t>Stuttgart</t>
  </si>
  <si>
    <t>Stadtkreis Stuttgart</t>
  </si>
  <si>
    <t>Stuttgart/Leinfelden-Echterdingen</t>
  </si>
  <si>
    <t>Stützengrün</t>
  </si>
  <si>
    <t>Südbrookmerland</t>
  </si>
  <si>
    <t>Südeichsfeld</t>
  </si>
  <si>
    <t>Süderbrarup</t>
  </si>
  <si>
    <t>Suderburg</t>
  </si>
  <si>
    <t>Süderhastedt</t>
  </si>
  <si>
    <t>Süderlügum, Braderup u.a.</t>
  </si>
  <si>
    <t>Süderoog, Pellworm</t>
  </si>
  <si>
    <t>Südharz, Berga</t>
  </si>
  <si>
    <t>Südliches Anhalt u.a.</t>
  </si>
  <si>
    <t>Südliches Anhalt, Köthen</t>
  </si>
  <si>
    <t>Südlohn</t>
  </si>
  <si>
    <t>Sugenheim</t>
  </si>
  <si>
    <t>Suhl</t>
  </si>
  <si>
    <t>Suhl, Marisfeld, Rohr u.a.</t>
  </si>
  <si>
    <t>Suhlendorf</t>
  </si>
  <si>
    <t>Sülfeld</t>
  </si>
  <si>
    <t>Sulingen</t>
  </si>
  <si>
    <t>Sulz am Neckar</t>
  </si>
  <si>
    <t>Sulzbach (Taunus)</t>
  </si>
  <si>
    <t>Sulzbach am Main</t>
  </si>
  <si>
    <t>Sulzbach an der Murr</t>
  </si>
  <si>
    <t>Sulzbach/Saar</t>
  </si>
  <si>
    <t>Sulzbach-Laufen</t>
  </si>
  <si>
    <t>Sulzbach-Rosenberg</t>
  </si>
  <si>
    <t>Sulzberg</t>
  </si>
  <si>
    <t>Sulzburg</t>
  </si>
  <si>
    <t>Sulzdorf a.d. Lederhecke</t>
  </si>
  <si>
    <t>Sulzemoos</t>
  </si>
  <si>
    <t>Sülzetal</t>
  </si>
  <si>
    <t>Sulzfeld</t>
  </si>
  <si>
    <t>Sulzheim</t>
  </si>
  <si>
    <t>Sünching</t>
  </si>
  <si>
    <t>Sundern</t>
  </si>
  <si>
    <t>Süpplingen, Frellstedt</t>
  </si>
  <si>
    <t>Süpplingenburg</t>
  </si>
  <si>
    <t>Surberg</t>
  </si>
  <si>
    <t>Surwold</t>
  </si>
  <si>
    <t>Süßen</t>
  </si>
  <si>
    <t>Sustrum, Lathen u.a.</t>
  </si>
  <si>
    <t>Suthfeld</t>
  </si>
  <si>
    <t>Swisttal</t>
  </si>
  <si>
    <t>Syke</t>
  </si>
  <si>
    <t>Sylt</t>
  </si>
  <si>
    <t>Syrgenstein</t>
  </si>
  <si>
    <t>Taarstedt</t>
  </si>
  <si>
    <t>Tabarz/ Thür. Wald</t>
  </si>
  <si>
    <t>Tacherting</t>
  </si>
  <si>
    <t>Taching a. See</t>
  </si>
  <si>
    <t>Tagmersheim</t>
  </si>
  <si>
    <t>Talheim</t>
  </si>
  <si>
    <t>Tambach-Dietharz/ Thür.</t>
  </si>
  <si>
    <t>Tamm</t>
  </si>
  <si>
    <t>Tangerhütte u.a.</t>
  </si>
  <si>
    <t>Tangermünde</t>
  </si>
  <si>
    <t>Tangstedt</t>
  </si>
  <si>
    <t>Tann</t>
  </si>
  <si>
    <t>Tanna</t>
  </si>
  <si>
    <t>Tännesberg</t>
  </si>
  <si>
    <t>Tannhausen</t>
  </si>
  <si>
    <t>Tannheim</t>
  </si>
  <si>
    <t>Tapfheim</t>
  </si>
  <si>
    <t>Tappenbeck</t>
  </si>
  <si>
    <t>Tarmstedt, Breddorf u.a.</t>
  </si>
  <si>
    <t>Tarp</t>
  </si>
  <si>
    <t>Tating, Westerhever, Tümlauer Koog</t>
  </si>
  <si>
    <t>Tauberbischofsheim</t>
  </si>
  <si>
    <t>Taucha</t>
  </si>
  <si>
    <t>Taufkirchen</t>
  </si>
  <si>
    <t>Taufkirchen (Vils)</t>
  </si>
  <si>
    <t>Taunusstein</t>
  </si>
  <si>
    <t>Taura b. Burgstädt</t>
  </si>
  <si>
    <t>Tawern</t>
  </si>
  <si>
    <t>Tecklenburg</t>
  </si>
  <si>
    <t>Tegernheim</t>
  </si>
  <si>
    <t>Tegernsee</t>
  </si>
  <si>
    <t>Teisendorf</t>
  </si>
  <si>
    <t>Teising</t>
  </si>
  <si>
    <t>Teisnach</t>
  </si>
  <si>
    <t>Telgte</t>
  </si>
  <si>
    <t>Tellingstedt</t>
  </si>
  <si>
    <t>Teltow</t>
  </si>
  <si>
    <t>Templin, Boitzenburg u.a.</t>
  </si>
  <si>
    <t>Tengen</t>
  </si>
  <si>
    <t>Teningen</t>
  </si>
  <si>
    <t>Tensfeld</t>
  </si>
  <si>
    <t>Tespe</t>
  </si>
  <si>
    <t>Tessin, Grammow u.a.</t>
  </si>
  <si>
    <t>Tetenbüll</t>
  </si>
  <si>
    <t>Tetenhusen</t>
  </si>
  <si>
    <t>Tettau</t>
  </si>
  <si>
    <t>Tettenweis</t>
  </si>
  <si>
    <t>Tettnang</t>
  </si>
  <si>
    <t>Teublitz</t>
  </si>
  <si>
    <t>Teuchern</t>
  </si>
  <si>
    <t>Teugn</t>
  </si>
  <si>
    <t>Teunz</t>
  </si>
  <si>
    <t>Teupitz</t>
  </si>
  <si>
    <t>Teuschnitz</t>
  </si>
  <si>
    <t>Teutschenthal</t>
  </si>
  <si>
    <t>Thaining</t>
  </si>
  <si>
    <t>Thale, Blankenburg</t>
  </si>
  <si>
    <t>Thaleischweiler-Fröschen</t>
  </si>
  <si>
    <t>Thalfang</t>
  </si>
  <si>
    <t>Thalheim/Erzgebirge</t>
  </si>
  <si>
    <t>Thalmassing</t>
  </si>
  <si>
    <t>Thalmässing</t>
  </si>
  <si>
    <t>Thannhausen</t>
  </si>
  <si>
    <t>Thanstein</t>
  </si>
  <si>
    <t>Tharandt u.a.</t>
  </si>
  <si>
    <t>Thedinghausen, Emtinghausen</t>
  </si>
  <si>
    <t>Theilenhofen</t>
  </si>
  <si>
    <t>Theilheim</t>
  </si>
  <si>
    <t>Themar</t>
  </si>
  <si>
    <t>Theres</t>
  </si>
  <si>
    <t>Thierhaupten</t>
  </si>
  <si>
    <t>Thiersheim</t>
  </si>
  <si>
    <t>Thierstein</t>
  </si>
  <si>
    <t>Tholey</t>
  </si>
  <si>
    <t>Thomasburg</t>
  </si>
  <si>
    <t>Thum</t>
  </si>
  <si>
    <t>Thüngen</t>
  </si>
  <si>
    <t>Thüngershem</t>
  </si>
  <si>
    <t>Thurmansbang</t>
  </si>
  <si>
    <t>Thurnau</t>
  </si>
  <si>
    <t>Thyrnau</t>
  </si>
  <si>
    <t>Tiddische</t>
  </si>
  <si>
    <t>Tiefenbach</t>
  </si>
  <si>
    <t>Tiefenbach u.a.</t>
  </si>
  <si>
    <t>Tiefenbronn</t>
  </si>
  <si>
    <t>Tiefenort</t>
  </si>
  <si>
    <t>Tiefenthal</t>
  </si>
  <si>
    <t>Timmaspe</t>
  </si>
  <si>
    <t>Timmendorfer Strand</t>
  </si>
  <si>
    <t>Titisee-Neustadt</t>
  </si>
  <si>
    <t>Titting</t>
  </si>
  <si>
    <t>Tittling</t>
  </si>
  <si>
    <t>Tittmoning</t>
  </si>
  <si>
    <t>Titz</t>
  </si>
  <si>
    <t>Todenbüttel</t>
  </si>
  <si>
    <t>Todendorf</t>
  </si>
  <si>
    <t>Todtmoos</t>
  </si>
  <si>
    <t>Todtnau</t>
  </si>
  <si>
    <t>Töging a. Inn</t>
  </si>
  <si>
    <t>Tolk, Twedt</t>
  </si>
  <si>
    <t>Tönisvorst</t>
  </si>
  <si>
    <t>Tönning</t>
  </si>
  <si>
    <t>Toppenstedt</t>
  </si>
  <si>
    <t>Torgau</t>
  </si>
  <si>
    <t>Torgau, Dreiheide</t>
  </si>
  <si>
    <t>Torgelow</t>
  </si>
  <si>
    <t>Tostedt, Kakenstorf u.a.</t>
  </si>
  <si>
    <t>Tosterglope</t>
  </si>
  <si>
    <t>Traben-Trarbach</t>
  </si>
  <si>
    <t>Trabitz</t>
  </si>
  <si>
    <t>Train</t>
  </si>
  <si>
    <t>Traitsching</t>
  </si>
  <si>
    <t>Trappenkamp</t>
  </si>
  <si>
    <t>Traunreut</t>
  </si>
  <si>
    <t>Trausnitz</t>
  </si>
  <si>
    <t>Trautskirchen</t>
  </si>
  <si>
    <t>Trebbin</t>
  </si>
  <si>
    <t>Trebel</t>
  </si>
  <si>
    <t>Trebgast</t>
  </si>
  <si>
    <t>Trebsen/Mulde</t>
  </si>
  <si>
    <t>Trebur</t>
  </si>
  <si>
    <t>Treffelstein</t>
  </si>
  <si>
    <t>Treffurt/Ifta</t>
  </si>
  <si>
    <t>Treia, Ahrenviölfeld</t>
  </si>
  <si>
    <t>Treis-Karden</t>
  </si>
  <si>
    <t>Tremsbüttel</t>
  </si>
  <si>
    <t>Trendelburg</t>
  </si>
  <si>
    <t>Treplin, Jacobsdorf, Frankfurt (Oder)</t>
  </si>
  <si>
    <t>Treuchtlingen</t>
  </si>
  <si>
    <t>Treuen</t>
  </si>
  <si>
    <t>Treuenbrietzen</t>
  </si>
  <si>
    <t>Triberg im Schwarzwald</t>
  </si>
  <si>
    <t>Tribsees</t>
  </si>
  <si>
    <t>Triefenstein</t>
  </si>
  <si>
    <t>Trier</t>
  </si>
  <si>
    <t xml:space="preserve"> Trier</t>
  </si>
  <si>
    <t>Trierweiler</t>
  </si>
  <si>
    <t>Triftern</t>
  </si>
  <si>
    <t>Triglitz, Putlitz</t>
  </si>
  <si>
    <t>Trippstadt u.a.</t>
  </si>
  <si>
    <t>Triptis</t>
  </si>
  <si>
    <t>Trittau</t>
  </si>
  <si>
    <t>Trittenheim</t>
  </si>
  <si>
    <t>Trochtelfingen</t>
  </si>
  <si>
    <t>Troisdorf</t>
  </si>
  <si>
    <t>Trossingen</t>
  </si>
  <si>
    <t>Tröstau</t>
  </si>
  <si>
    <t>Trostberg</t>
  </si>
  <si>
    <t>Trunkelsberg</t>
  </si>
  <si>
    <t>Tschirn</t>
  </si>
  <si>
    <t>Tülau</t>
  </si>
  <si>
    <t>Tuningen</t>
  </si>
  <si>
    <t>Tuntenhausen</t>
  </si>
  <si>
    <t>Türkenfeld</t>
  </si>
  <si>
    <t>Türkheim</t>
  </si>
  <si>
    <t>Tussenhausen</t>
  </si>
  <si>
    <t>Tüßling</t>
  </si>
  <si>
    <t>Tutzing</t>
  </si>
  <si>
    <t>Twist</t>
  </si>
  <si>
    <t>Twistetal</t>
  </si>
  <si>
    <t>Twistringen</t>
  </si>
  <si>
    <t>Übach-Palenberg</t>
  </si>
  <si>
    <t>Überherrn</t>
  </si>
  <si>
    <t>Überlingen</t>
  </si>
  <si>
    <t>Übersee</t>
  </si>
  <si>
    <t>Ubstadt-Weiher</t>
  </si>
  <si>
    <t>Uchte</t>
  </si>
  <si>
    <t>Üchtelhausen</t>
  </si>
  <si>
    <t>Uckerland, Groß Luckow, Schönhausen</t>
  </si>
  <si>
    <t>Udestedt, Mönchenholzhausen u.a.</t>
  </si>
  <si>
    <t>Uebigau-Wahrenbrück</t>
  </si>
  <si>
    <t>Ueckermünde</t>
  </si>
  <si>
    <t>Uedem</t>
  </si>
  <si>
    <t>Uehlfeld</t>
  </si>
  <si>
    <t>Uelsen, Halle, Gölenkamp, Getelo</t>
  </si>
  <si>
    <t>Uelvesbüll, Witzwort</t>
  </si>
  <si>
    <t>Uersfeld</t>
  </si>
  <si>
    <t>Uetersen</t>
  </si>
  <si>
    <t>Uetze</t>
  </si>
  <si>
    <t>Uffenheim</t>
  </si>
  <si>
    <t>Uffing a. Staffelsee</t>
  </si>
  <si>
    <t>Uhingen</t>
  </si>
  <si>
    <t>Uhldingen-Mühlhofen</t>
  </si>
  <si>
    <t>Ühlingen-Birkendorf</t>
  </si>
  <si>
    <t>Ulm</t>
  </si>
  <si>
    <t>Ulmen</t>
  </si>
  <si>
    <t>Ulrichstein</t>
  </si>
  <si>
    <t>Ulsnis</t>
  </si>
  <si>
    <t>Umkirch</t>
  </si>
  <si>
    <t>Ummendorf</t>
  </si>
  <si>
    <t>Ummern</t>
  </si>
  <si>
    <t>Undeloh</t>
  </si>
  <si>
    <t>Ungerhausen</t>
  </si>
  <si>
    <t>Unlingen</t>
  </si>
  <si>
    <t>Unnau</t>
  </si>
  <si>
    <t>Unterammergau</t>
  </si>
  <si>
    <t>Unterbreizbach</t>
  </si>
  <si>
    <t>Unterdießen</t>
  </si>
  <si>
    <t>Unterdietfurt</t>
  </si>
  <si>
    <t>Unteregg</t>
  </si>
  <si>
    <t>Untereisesheim</t>
  </si>
  <si>
    <t>Unterensingen</t>
  </si>
  <si>
    <t>Unterföhring</t>
  </si>
  <si>
    <t>Untergriesbach</t>
  </si>
  <si>
    <t>Untergruppenbach</t>
  </si>
  <si>
    <t>Unterhaching</t>
  </si>
  <si>
    <t>Unter-Hainbrunn</t>
  </si>
  <si>
    <t>Unterkirnach</t>
  </si>
  <si>
    <t>Unterleinleiter</t>
  </si>
  <si>
    <t>Unterlüß</t>
  </si>
  <si>
    <t>Untermarchtal</t>
  </si>
  <si>
    <t>Untermeitingen</t>
  </si>
  <si>
    <t>Untermerzbach</t>
  </si>
  <si>
    <t>Untermünkheim</t>
  </si>
  <si>
    <t>Unterneukirchen</t>
  </si>
  <si>
    <t>Unterpleichfeld</t>
  </si>
  <si>
    <t>Unterreichenbach</t>
  </si>
  <si>
    <t>Unterreit</t>
  </si>
  <si>
    <t>Unterroth</t>
  </si>
  <si>
    <t>Unterschleißheim</t>
  </si>
  <si>
    <t>Unterschneidheim</t>
  </si>
  <si>
    <t>Unterschwaningen</t>
  </si>
  <si>
    <t>Untersiemau</t>
  </si>
  <si>
    <t>Unterstadion</t>
  </si>
  <si>
    <t>Untersteinach</t>
  </si>
  <si>
    <t>Unterthingau</t>
  </si>
  <si>
    <t>Unterwaldhausen</t>
  </si>
  <si>
    <t>Unterwellenborn</t>
  </si>
  <si>
    <t>Unterwössen</t>
  </si>
  <si>
    <t>Untrasried</t>
  </si>
  <si>
    <t>Upgant-Schott, Osteel u.a.</t>
  </si>
  <si>
    <t>Uplengen</t>
  </si>
  <si>
    <t>Urbach</t>
  </si>
  <si>
    <t>Urbar (bei Koblenz)</t>
  </si>
  <si>
    <t>Urmitz</t>
  </si>
  <si>
    <t>Ursberg</t>
  </si>
  <si>
    <t>Ursensollen</t>
  </si>
  <si>
    <t>Urspringen</t>
  </si>
  <si>
    <t>Ürzig</t>
  </si>
  <si>
    <t>Usedom u.a.</t>
  </si>
  <si>
    <t>Usingen</t>
  </si>
  <si>
    <t>Uslar</t>
  </si>
  <si>
    <t>Ustersbach</t>
  </si>
  <si>
    <t>Uttenreuth, Marloffstein</t>
  </si>
  <si>
    <t>Uttenweiler</t>
  </si>
  <si>
    <t>Üttfeld</t>
  </si>
  <si>
    <t>Utting a. Ammersee</t>
  </si>
  <si>
    <t>Üttingen, Holzkirchen</t>
  </si>
  <si>
    <t>Utzenfeld</t>
  </si>
  <si>
    <t>Üxheim</t>
  </si>
  <si>
    <t>Vaale</t>
  </si>
  <si>
    <t>Vacha, Unterbreizbach</t>
  </si>
  <si>
    <t>Vachendorf</t>
  </si>
  <si>
    <t>Vaihingen an der Enz</t>
  </si>
  <si>
    <t>Vallendar</t>
  </si>
  <si>
    <t>Valley</t>
  </si>
  <si>
    <t>Varel</t>
  </si>
  <si>
    <t>Vaterstetten</t>
  </si>
  <si>
    <t>Vechelde</t>
  </si>
  <si>
    <t>Veilsdorf</t>
  </si>
  <si>
    <t>Veitsbronn</t>
  </si>
  <si>
    <t>Veitshöchheim</t>
  </si>
  <si>
    <t>Velbert</t>
  </si>
  <si>
    <t>Velburg</t>
  </si>
  <si>
    <t>Velden</t>
  </si>
  <si>
    <t>Velden/Hartenstein</t>
  </si>
  <si>
    <t>Velen</t>
  </si>
  <si>
    <t>Velgast</t>
  </si>
  <si>
    <t>Vellahn</t>
  </si>
  <si>
    <t>Vellberg</t>
  </si>
  <si>
    <t>Vellmar</t>
  </si>
  <si>
    <t>Velpke</t>
  </si>
  <si>
    <t>Velten, Oberkrämer</t>
  </si>
  <si>
    <t>Venningen</t>
  </si>
  <si>
    <t>Veringenstadt</t>
  </si>
  <si>
    <t>Verl</t>
  </si>
  <si>
    <t>Versmold</t>
  </si>
  <si>
    <t>Vestenbergsgreuth</t>
  </si>
  <si>
    <t>Vetschau</t>
  </si>
  <si>
    <t>Vettelschloß, Kretzhaus (Linz am Rhein)</t>
  </si>
  <si>
    <t>Vettweiß</t>
  </si>
  <si>
    <t>Viechtach</t>
  </si>
  <si>
    <t>Viereth-Trunstadt</t>
  </si>
  <si>
    <t>Vierhöfen</t>
  </si>
  <si>
    <t>Vierkirchen</t>
  </si>
  <si>
    <t>Viernau u.a.</t>
  </si>
  <si>
    <t>Viernheim</t>
  </si>
  <si>
    <t>Vilgertshofen</t>
  </si>
  <si>
    <t>Villingendorf</t>
  </si>
  <si>
    <t>Villingen-Schwenningen</t>
  </si>
  <si>
    <t>Villmar</t>
  </si>
  <si>
    <t>Vilsbiburg</t>
  </si>
  <si>
    <t>Vilseck</t>
  </si>
  <si>
    <t>Vilsheim</t>
  </si>
  <si>
    <t>Vilshofen an der Donau</t>
  </si>
  <si>
    <t>Vinningen, Trulben, Ruppertsweiler u.a.</t>
  </si>
  <si>
    <t>Viöl</t>
  </si>
  <si>
    <t>Visbek</t>
  </si>
  <si>
    <t>Visselhövede</t>
  </si>
  <si>
    <t>Vlotho</t>
  </si>
  <si>
    <t>Voerde (Niederrhein)</t>
  </si>
  <si>
    <t>Vogelsang-Warsin, Meiersberg, Mönkebude u.a.</t>
  </si>
  <si>
    <t>Vögelsen</t>
  </si>
  <si>
    <t>Vogt</t>
  </si>
  <si>
    <t>Vogtareuth</t>
  </si>
  <si>
    <t>Vogtei, Kammerforst u.a.</t>
  </si>
  <si>
    <t>Vogtsburg im Kaiserstuhl</t>
  </si>
  <si>
    <t>Vohburg a.d. Donau</t>
  </si>
  <si>
    <t>Vohenstrauß</t>
  </si>
  <si>
    <t>Vöhl</t>
  </si>
  <si>
    <t>Vöhrenbach</t>
  </si>
  <si>
    <t>Vöhringen</t>
  </si>
  <si>
    <t>Volkach</t>
  </si>
  <si>
    <t>Volkenschwand</t>
  </si>
  <si>
    <t>Volkertshausen</t>
  </si>
  <si>
    <t>Völklingen</t>
  </si>
  <si>
    <t>Volkmarsen</t>
  </si>
  <si>
    <t>Voltlage</t>
  </si>
  <si>
    <t>Vorbach</t>
  </si>
  <si>
    <t>Vordorf</t>
  </si>
  <si>
    <t>Vorra</t>
  </si>
  <si>
    <t>Vörstetten</t>
  </si>
  <si>
    <t>Vreden</t>
  </si>
  <si>
    <t>Waabs</t>
  </si>
  <si>
    <t>Waakirchen</t>
  </si>
  <si>
    <t>Waal</t>
  </si>
  <si>
    <t>Wabern</t>
  </si>
  <si>
    <t>Wachenheim an der Weinstraße</t>
  </si>
  <si>
    <t>Wachenroth</t>
  </si>
  <si>
    <t>Wachtberg</t>
  </si>
  <si>
    <t>Wachtendonk</t>
  </si>
  <si>
    <t>Wächtersbach</t>
  </si>
  <si>
    <t>Wacken</t>
  </si>
  <si>
    <t>Wackernheim</t>
  </si>
  <si>
    <t>Wackersdorf</t>
  </si>
  <si>
    <t>Waddeweitz</t>
  </si>
  <si>
    <t>Wadern</t>
  </si>
  <si>
    <t>Wadersloh</t>
  </si>
  <si>
    <t>Wadgassen</t>
  </si>
  <si>
    <t>Waffenbrunn</t>
  </si>
  <si>
    <t>Wagenfeld</t>
  </si>
  <si>
    <t>Wagenhoff, Ringelah</t>
  </si>
  <si>
    <t>Waghäusel</t>
  </si>
  <si>
    <t>Waging a. See</t>
  </si>
  <si>
    <t>Wahlstedt</t>
  </si>
  <si>
    <t>Wahrenholz</t>
  </si>
  <si>
    <t>Waiblingen</t>
  </si>
  <si>
    <t>Waibstadt</t>
  </si>
  <si>
    <t>Waidhaus</t>
  </si>
  <si>
    <t>Waidhofen</t>
  </si>
  <si>
    <t>Waigolshausen</t>
  </si>
  <si>
    <t>Wain</t>
  </si>
  <si>
    <t>Waischenfeld</t>
  </si>
  <si>
    <t>Walchensee</t>
  </si>
  <si>
    <t>Walchum</t>
  </si>
  <si>
    <t>Wald</t>
  </si>
  <si>
    <t>Waldachtal</t>
  </si>
  <si>
    <t>Waldalgesheim</t>
  </si>
  <si>
    <t>Waldaschaff, Waldaschaffer Forst</t>
  </si>
  <si>
    <t>Waldböckelheim</t>
  </si>
  <si>
    <t>Waldbreitbach, Hasuen</t>
  </si>
  <si>
    <t>Waldbröl</t>
  </si>
  <si>
    <t>Waldbronn</t>
  </si>
  <si>
    <t>Waldbrunn</t>
  </si>
  <si>
    <t>Waldbrunn, Irtenberger Wald</t>
  </si>
  <si>
    <t>Waldburg</t>
  </si>
  <si>
    <t>Waldbüttelbrunn</t>
  </si>
  <si>
    <t>Walddorfhäslach</t>
  </si>
  <si>
    <t>Waldeck</t>
  </si>
  <si>
    <t>Waldems</t>
  </si>
  <si>
    <t>Waldenbuch</t>
  </si>
  <si>
    <t>Waldenburg</t>
  </si>
  <si>
    <t>Walderbach</t>
  </si>
  <si>
    <t>Waldershof</t>
  </si>
  <si>
    <t>Waldesch, Hünenfeld</t>
  </si>
  <si>
    <t>Waldfeucht, Heinsberg</t>
  </si>
  <si>
    <t>Waldfischbach-Burgalben</t>
  </si>
  <si>
    <t>Waldheim</t>
  </si>
  <si>
    <t>Waldkappel</t>
  </si>
  <si>
    <t>Waldkirch</t>
  </si>
  <si>
    <t>Waldkirchen</t>
  </si>
  <si>
    <t>Waldkraiburg</t>
  </si>
  <si>
    <t>Waldleiningen, Fischbach</t>
  </si>
  <si>
    <t>Wald-Michelbach</t>
  </si>
  <si>
    <t>Waldmohr</t>
  </si>
  <si>
    <t>Waldmünchen</t>
  </si>
  <si>
    <t>Waldolms</t>
  </si>
  <si>
    <t>Waldrach</t>
  </si>
  <si>
    <t>Waldsassen</t>
  </si>
  <si>
    <t>Waldsee</t>
  </si>
  <si>
    <t>Waldshut-Tiengen</t>
  </si>
  <si>
    <t>Waldstetten</t>
  </si>
  <si>
    <t>Waldthurn</t>
  </si>
  <si>
    <t>Walheim</t>
  </si>
  <si>
    <t>Walkenried</t>
  </si>
  <si>
    <t>Walkertshofen</t>
  </si>
  <si>
    <t>Walldorf</t>
  </si>
  <si>
    <t>Walldürn</t>
  </si>
  <si>
    <t>Wallenfels</t>
  </si>
  <si>
    <t>Wallenhorst</t>
  </si>
  <si>
    <t>Wallerfangen</t>
  </si>
  <si>
    <t>Wallerfing</t>
  </si>
  <si>
    <t>Wallersdorf</t>
  </si>
  <si>
    <t>Wallerstein</t>
  </si>
  <si>
    <t>Wallertheim</t>
  </si>
  <si>
    <t>Wallgau</t>
  </si>
  <si>
    <t>Wallhalben u.a.</t>
  </si>
  <si>
    <t>Wallhausen</t>
  </si>
  <si>
    <t>Wallhausen, Blankenheim</t>
  </si>
  <si>
    <t>Walluf</t>
  </si>
  <si>
    <t>Walpertskirchen</t>
  </si>
  <si>
    <t>Walsdorf</t>
  </si>
  <si>
    <t>Walsdorf, Nohn u.a.</t>
  </si>
  <si>
    <t>Walsrode, Ostenholz</t>
  </si>
  <si>
    <t>Waltenhofen</t>
  </si>
  <si>
    <t>Waltershausen</t>
  </si>
  <si>
    <t>Walting</t>
  </si>
  <si>
    <t>Waltrop</t>
  </si>
  <si>
    <t>Walzbachtal</t>
  </si>
  <si>
    <t>Wanderup</t>
  </si>
  <si>
    <t>Wandlitz</t>
  </si>
  <si>
    <t>Wanfried</t>
  </si>
  <si>
    <t>Wangen</t>
  </si>
  <si>
    <t>Wangen im Allgäu</t>
  </si>
  <si>
    <t>Wangerland</t>
  </si>
  <si>
    <t>Wangerooge</t>
  </si>
  <si>
    <t>Wankendorf</t>
  </si>
  <si>
    <t>Wanna</t>
  </si>
  <si>
    <t>Wannweil</t>
  </si>
  <si>
    <t>Wanzleben-Börde</t>
  </si>
  <si>
    <t>Warberg</t>
  </si>
  <si>
    <t>Warburg</t>
  </si>
  <si>
    <t>Wardenburg</t>
  </si>
  <si>
    <t>Warder</t>
  </si>
  <si>
    <t>Waren/ Müritz</t>
  </si>
  <si>
    <t>Warin</t>
  </si>
  <si>
    <t>Warmensteinach</t>
  </si>
  <si>
    <t>Warmsen</t>
  </si>
  <si>
    <t>Warngau</t>
  </si>
  <si>
    <t>Warstein</t>
  </si>
  <si>
    <t>Wartenberg</t>
  </si>
  <si>
    <t>Warthausen</t>
  </si>
  <si>
    <t>Wartmannsroth</t>
  </si>
  <si>
    <t>Wasbek</t>
  </si>
  <si>
    <t>Wasbüttel</t>
  </si>
  <si>
    <t>Wäschenbeuren</t>
  </si>
  <si>
    <t>Wassenberg</t>
  </si>
  <si>
    <t>Wasserburg (Bodensee)</t>
  </si>
  <si>
    <t>Wasserburg a. Inn</t>
  </si>
  <si>
    <t>Wasserliesch</t>
  </si>
  <si>
    <t>Wasserlosen</t>
  </si>
  <si>
    <t>Wassertrüdingen</t>
  </si>
  <si>
    <t>Wasungen</t>
  </si>
  <si>
    <t>Wathlingen</t>
  </si>
  <si>
    <t>Wattendorf</t>
  </si>
  <si>
    <t>Wattenheim</t>
  </si>
  <si>
    <t>Waxweiler</t>
  </si>
  <si>
    <t>Wechingen</t>
  </si>
  <si>
    <t>Weddingstedt</t>
  </si>
  <si>
    <t>Wedel</t>
  </si>
  <si>
    <t>Wedemark</t>
  </si>
  <si>
    <t>Weener</t>
  </si>
  <si>
    <t>Wees</t>
  </si>
  <si>
    <t>Weeze</t>
  </si>
  <si>
    <t>Weferlingen, Behnsdorf, Belsdorf u.a.</t>
  </si>
  <si>
    <t>Wegberg</t>
  </si>
  <si>
    <t>Wegeleben</t>
  </si>
  <si>
    <t>Wegscheid</t>
  </si>
  <si>
    <t>Wehingen, Reichenbach</t>
  </si>
  <si>
    <t>Wehlen</t>
  </si>
  <si>
    <t>Wehr</t>
  </si>
  <si>
    <t>Wehretal</t>
  </si>
  <si>
    <t>Wehrheim</t>
  </si>
  <si>
    <t>Wehringen</t>
  </si>
  <si>
    <t>Weibersbrunn, Rohrbrunner Forst</t>
  </si>
  <si>
    <t>Weichering</t>
  </si>
  <si>
    <t>Weichs</t>
  </si>
  <si>
    <t>Weida, Harth-Pöllnitz, Wünschendorf</t>
  </si>
  <si>
    <t>Weiden in der OPf., Theisseil</t>
  </si>
  <si>
    <t xml:space="preserve"> Weiden i.d. OPf.</t>
  </si>
  <si>
    <t>Weidenbach</t>
  </si>
  <si>
    <t>Weidenberg, Kirchenpingarten</t>
  </si>
  <si>
    <t>Weidenstetten</t>
  </si>
  <si>
    <t>Weidenthal</t>
  </si>
  <si>
    <t>Weidhausen b. Coburg</t>
  </si>
  <si>
    <t>Weiding</t>
  </si>
  <si>
    <t>Weigendorf</t>
  </si>
  <si>
    <t>Weihenzell</t>
  </si>
  <si>
    <t>Weiherhammer</t>
  </si>
  <si>
    <t>Weihmichl</t>
  </si>
  <si>
    <t>Weikersheim</t>
  </si>
  <si>
    <t>Weil</t>
  </si>
  <si>
    <t>Weil am Rhein</t>
  </si>
  <si>
    <t>Weil der Stadt</t>
  </si>
  <si>
    <t>Weil im Schönbuch</t>
  </si>
  <si>
    <t>Weilbach</t>
  </si>
  <si>
    <t>Weilburg</t>
  </si>
  <si>
    <t>Weilen unter den Rinnen</t>
  </si>
  <si>
    <t>Weiler bei Bingen</t>
  </si>
  <si>
    <t>Weilerbach u.a.</t>
  </si>
  <si>
    <t>Weilersbach</t>
  </si>
  <si>
    <t>Weiler-Simmerberg</t>
  </si>
  <si>
    <t>Weilerswist</t>
  </si>
  <si>
    <t>Weilheim</t>
  </si>
  <si>
    <t>Weilheim an der Teck</t>
  </si>
  <si>
    <t>Weilheim i. OB</t>
  </si>
  <si>
    <t>Weilmünster</t>
  </si>
  <si>
    <t>Weilrod</t>
  </si>
  <si>
    <t>Weiltingen</t>
  </si>
  <si>
    <t>Weimar</t>
  </si>
  <si>
    <t xml:space="preserve"> Weimar</t>
  </si>
  <si>
    <t>Weimar (Lahn)</t>
  </si>
  <si>
    <t>Weinbach</t>
  </si>
  <si>
    <t>Weinböhla</t>
  </si>
  <si>
    <t>Weingarten</t>
  </si>
  <si>
    <t>Weingarten (Pfalz)</t>
  </si>
  <si>
    <t>Weinheim</t>
  </si>
  <si>
    <t>Weinsberg</t>
  </si>
  <si>
    <t>Weinstadt</t>
  </si>
  <si>
    <t>Weischlitz u.a.</t>
  </si>
  <si>
    <t>Weisenbach</t>
  </si>
  <si>
    <t>Weisendorf</t>
  </si>
  <si>
    <t>Weisenheim am Berg</t>
  </si>
  <si>
    <t>Weisenheim am Sand</t>
  </si>
  <si>
    <t>Weiskirchen</t>
  </si>
  <si>
    <t>Weismain</t>
  </si>
  <si>
    <t>Weissach</t>
  </si>
  <si>
    <t>Weissach im Tal</t>
  </si>
  <si>
    <t>Weißbach</t>
  </si>
  <si>
    <t>Weißdorf</t>
  </si>
  <si>
    <t>Weißenberg, Hochkirch u.a.</t>
  </si>
  <si>
    <t>Weißenborn</t>
  </si>
  <si>
    <t>Weißenborn, Oberschöna</t>
  </si>
  <si>
    <t>Weißenbrunn</t>
  </si>
  <si>
    <t>Weißenburg i. Bay.</t>
  </si>
  <si>
    <t>Weißenfels</t>
  </si>
  <si>
    <t>Weißenfels, Stößen</t>
  </si>
  <si>
    <t>Weißenhorn</t>
  </si>
  <si>
    <t>Weißenohe</t>
  </si>
  <si>
    <t>Weißensee</t>
  </si>
  <si>
    <t>Weißenstadt</t>
  </si>
  <si>
    <t>Weißenthurm</t>
  </si>
  <si>
    <t>Weißwasser, Boxberg</t>
  </si>
  <si>
    <t>Weisweil</t>
  </si>
  <si>
    <t>Weitefeld</t>
  </si>
  <si>
    <t>Weitersburg</t>
  </si>
  <si>
    <t>Weiterstadt</t>
  </si>
  <si>
    <t>Weitnau</t>
  </si>
  <si>
    <t>Weitramsdorf</t>
  </si>
  <si>
    <t>Welden</t>
  </si>
  <si>
    <t>Welle</t>
  </si>
  <si>
    <t>Wellendingen</t>
  </si>
  <si>
    <t>Wellheim</t>
  </si>
  <si>
    <t>Welschbillig, Igel, Aach</t>
  </si>
  <si>
    <t>Welsleben, Biere, Eickendorf u.a.</t>
  </si>
  <si>
    <t>Welver</t>
  </si>
  <si>
    <t>Welzheim</t>
  </si>
  <si>
    <t>Welzow</t>
  </si>
  <si>
    <t>Wemding</t>
  </si>
  <si>
    <t>Wendeburg</t>
  </si>
  <si>
    <t>Wendelstein</t>
  </si>
  <si>
    <t>Wenden</t>
  </si>
  <si>
    <t>Wendisch Evern</t>
  </si>
  <si>
    <t>Wendisch Rietz</t>
  </si>
  <si>
    <t>Wendlingen am Neckar</t>
  </si>
  <si>
    <t>Weng</t>
  </si>
  <si>
    <t>Wennigsen (Deister)</t>
  </si>
  <si>
    <t>Wenningstedt-Braderup (Sylt)</t>
  </si>
  <si>
    <t>Wensin</t>
  </si>
  <si>
    <t>Wenzenbach</t>
  </si>
  <si>
    <t>Werbach</t>
  </si>
  <si>
    <t>Werdau</t>
  </si>
  <si>
    <t>Werder/ Havel</t>
  </si>
  <si>
    <t>Werdohl</t>
  </si>
  <si>
    <t>Werl</t>
  </si>
  <si>
    <t>Werlte, Vrees, Lahn</t>
  </si>
  <si>
    <t>Wermelskirchen</t>
  </si>
  <si>
    <t>Wermsdorf</t>
  </si>
  <si>
    <t>Wernau (Neckar)</t>
  </si>
  <si>
    <t>Wernberg-Köblitz</t>
  </si>
  <si>
    <t>Werne</t>
  </si>
  <si>
    <t>Werneck</t>
  </si>
  <si>
    <t>Werneuchen</t>
  </si>
  <si>
    <t>Wernigerode</t>
  </si>
  <si>
    <t>Wernigerode, Nordharz</t>
  </si>
  <si>
    <t>Wertach</t>
  </si>
  <si>
    <t>Wertheim</t>
  </si>
  <si>
    <t>Werther (Westf.)</t>
  </si>
  <si>
    <t>Werther Hohenstein Wolkramshausen</t>
  </si>
  <si>
    <t>Wertingen</t>
  </si>
  <si>
    <t>Wesenberg</t>
  </si>
  <si>
    <t>Wesendorf</t>
  </si>
  <si>
    <t>Wesselburen</t>
  </si>
  <si>
    <t>Wesseling</t>
  </si>
  <si>
    <t>Weßling</t>
  </si>
  <si>
    <t>Wessobrunn</t>
  </si>
  <si>
    <t>Weste</t>
  </si>
  <si>
    <t>Westendorf</t>
  </si>
  <si>
    <t>Westendorf, Kühlenthal</t>
  </si>
  <si>
    <t>Westensee</t>
  </si>
  <si>
    <t>Westerburg</t>
  </si>
  <si>
    <t>Westerheim</t>
  </si>
  <si>
    <t>Westerholt, Schweindorf u.a.</t>
  </si>
  <si>
    <t>Westerkappeln</t>
  </si>
  <si>
    <t>Westermoor</t>
  </si>
  <si>
    <t>Wester-Ohrstedt</t>
  </si>
  <si>
    <t>Westerrönfeld</t>
  </si>
  <si>
    <t>Westerstede</t>
  </si>
  <si>
    <t>Westerstetten</t>
  </si>
  <si>
    <t>Westhausen</t>
  </si>
  <si>
    <t>Westheim</t>
  </si>
  <si>
    <t>Westheim (Pfalz)</t>
  </si>
  <si>
    <t>Westhofen, Bermersheim</t>
  </si>
  <si>
    <t>Westoverledingen</t>
  </si>
  <si>
    <t>Wettenberg</t>
  </si>
  <si>
    <t>Wetter</t>
  </si>
  <si>
    <t>Wetter (Ruhr)</t>
  </si>
  <si>
    <t>Wettringen</t>
  </si>
  <si>
    <t>Wettstetten</t>
  </si>
  <si>
    <t>Wetzlar Garbeinheim</t>
  </si>
  <si>
    <t>Wewelsfleth</t>
  </si>
  <si>
    <t>Weyarn</t>
  </si>
  <si>
    <t>Weyerbusch</t>
  </si>
  <si>
    <t>Weyhausen</t>
  </si>
  <si>
    <t>Weyhe</t>
  </si>
  <si>
    <t>Wickede (Ruhr)</t>
  </si>
  <si>
    <t>Widdern</t>
  </si>
  <si>
    <t>Wieden</t>
  </si>
  <si>
    <t>Wiedensahl</t>
  </si>
  <si>
    <t>Wiedergeltingen</t>
  </si>
  <si>
    <t>Wiefelstede</t>
  </si>
  <si>
    <t>Wiehl</t>
  </si>
  <si>
    <t>Wielenbach</t>
  </si>
  <si>
    <t>Wiemersdorf</t>
  </si>
  <si>
    <t>Wienhausen</t>
  </si>
  <si>
    <t>Wiernsheim</t>
  </si>
  <si>
    <t>Wiesa</t>
  </si>
  <si>
    <t>Wiesau</t>
  </si>
  <si>
    <t>Wiesbaden</t>
  </si>
  <si>
    <t>Wiesen, Wiesener Forst</t>
  </si>
  <si>
    <t>Wiesenbach</t>
  </si>
  <si>
    <t>Wiesenburg</t>
  </si>
  <si>
    <t>Wiesenfelden</t>
  </si>
  <si>
    <t>Wiesensteig</t>
  </si>
  <si>
    <t>Wiesent</t>
  </si>
  <si>
    <t>Wiesenthau</t>
  </si>
  <si>
    <t>Wiesentheid</t>
  </si>
  <si>
    <t>Wiesenttal</t>
  </si>
  <si>
    <t>Wieseth</t>
  </si>
  <si>
    <t>Wiesloch</t>
  </si>
  <si>
    <t>Wiesmoor</t>
  </si>
  <si>
    <t>Wiesthal</t>
  </si>
  <si>
    <t>Wietmarschen</t>
  </si>
  <si>
    <t>Wietze</t>
  </si>
  <si>
    <t>Wietzen</t>
  </si>
  <si>
    <t>Wietzendorf</t>
  </si>
  <si>
    <t>Wiggensbach</t>
  </si>
  <si>
    <t>Wilburgstetten</t>
  </si>
  <si>
    <t>Wildau</t>
  </si>
  <si>
    <t>Wildberg</t>
  </si>
  <si>
    <t>Wildeck</t>
  </si>
  <si>
    <t>Wildemann</t>
  </si>
  <si>
    <t>Wildenberg</t>
  </si>
  <si>
    <t>Wildenbungert, Gondershausen, Nörtershausen u.a.</t>
  </si>
  <si>
    <t>Wildeshausen</t>
  </si>
  <si>
    <t>Wildflecken</t>
  </si>
  <si>
    <t>Wildpoldsried</t>
  </si>
  <si>
    <t>Wildsteig</t>
  </si>
  <si>
    <t>Wilgartswiesen</t>
  </si>
  <si>
    <t>Wilhelmsdorf</t>
  </si>
  <si>
    <t>Wilhelmsfeld</t>
  </si>
  <si>
    <t>Wilhelmshaven</t>
  </si>
  <si>
    <t>Wilhelmsthal</t>
  </si>
  <si>
    <t>Wilhermsdorf</t>
  </si>
  <si>
    <t>Wilkau-Haßlau</t>
  </si>
  <si>
    <t>Willebadessen</t>
  </si>
  <si>
    <t>Willich</t>
  </si>
  <si>
    <t>Willingen (Upland)</t>
  </si>
  <si>
    <t>Willingshausen</t>
  </si>
  <si>
    <t>Willmering</t>
  </si>
  <si>
    <t>Willroth</t>
  </si>
  <si>
    <t>Willstätt</t>
  </si>
  <si>
    <t>Wilnsdorf</t>
  </si>
  <si>
    <t>Wilsdruff</t>
  </si>
  <si>
    <t>Wilster</t>
  </si>
  <si>
    <t>Wilsum</t>
  </si>
  <si>
    <t>Wilthen</t>
  </si>
  <si>
    <t>Wiltingen</t>
  </si>
  <si>
    <t>Wimsheim</t>
  </si>
  <si>
    <t>Wincheringen</t>
  </si>
  <si>
    <t>Windach</t>
  </si>
  <si>
    <t>Windbergen</t>
  </si>
  <si>
    <t>Windeck</t>
  </si>
  <si>
    <t>Windelsbach</t>
  </si>
  <si>
    <t>Winden im Elztal</t>
  </si>
  <si>
    <t>Windhagen</t>
  </si>
  <si>
    <t>Windischeschenbach</t>
  </si>
  <si>
    <t>Windorf</t>
  </si>
  <si>
    <t>Windsbach</t>
  </si>
  <si>
    <t>Wingst</t>
  </si>
  <si>
    <t>Winhöring</t>
  </si>
  <si>
    <t>Winkelhaid</t>
  </si>
  <si>
    <t>Winklarn</t>
  </si>
  <si>
    <t>Winnenden</t>
  </si>
  <si>
    <t>Winnert</t>
  </si>
  <si>
    <t>Winningen</t>
  </si>
  <si>
    <t>Winnweiler</t>
  </si>
  <si>
    <t>Winsen</t>
  </si>
  <si>
    <t>Winsen (Aller)</t>
  </si>
  <si>
    <t>Winterbach</t>
  </si>
  <si>
    <t>Winterberg</t>
  </si>
  <si>
    <t>Winterborn, Waldgrehweiler, Niedermoschel, u.a.</t>
  </si>
  <si>
    <t>Winterhausen</t>
  </si>
  <si>
    <t>Winterlingen</t>
  </si>
  <si>
    <t>Winterrieden</t>
  </si>
  <si>
    <t>Wintersheim</t>
  </si>
  <si>
    <t>Winterspelt</t>
  </si>
  <si>
    <t>Wintrich</t>
  </si>
  <si>
    <t>Winzer</t>
  </si>
  <si>
    <t>Wipfeld</t>
  </si>
  <si>
    <t>Wipperfürth</t>
  </si>
  <si>
    <t>Wirges, Stadt</t>
  </si>
  <si>
    <t>Wischhafen</t>
  </si>
  <si>
    <t>Wismar</t>
  </si>
  <si>
    <t>Wismar, Groß Krankow u.a.</t>
  </si>
  <si>
    <t>Wissen, Hövels u.a.</t>
  </si>
  <si>
    <t>Wittelshofen</t>
  </si>
  <si>
    <t>Witten</t>
  </si>
  <si>
    <t>Wittenberge, Rühstädt</t>
  </si>
  <si>
    <t>Wittenborn</t>
  </si>
  <si>
    <t>Wittenburg u.a.</t>
  </si>
  <si>
    <t>Wittenförden u.a.</t>
  </si>
  <si>
    <t>Wittenhagen</t>
  </si>
  <si>
    <t>Wittibreut</t>
  </si>
  <si>
    <t>Wittichenau</t>
  </si>
  <si>
    <t>Wittighausen</t>
  </si>
  <si>
    <t>Wittingen</t>
  </si>
  <si>
    <t>Wittislingen</t>
  </si>
  <si>
    <t>Wittlich</t>
  </si>
  <si>
    <t>Wittlingen</t>
  </si>
  <si>
    <t>Wittmar</t>
  </si>
  <si>
    <t>Wittnau</t>
  </si>
  <si>
    <t>Wittstock/Dosse, Heiligengrabe</t>
  </si>
  <si>
    <t>Witzenhausen</t>
  </si>
  <si>
    <t>Witzenhausen, Gutsbezirk</t>
  </si>
  <si>
    <t>Witzhave</t>
  </si>
  <si>
    <t>Wohlde</t>
  </si>
  <si>
    <t>Wohratal</t>
  </si>
  <si>
    <t>Wöhrden</t>
  </si>
  <si>
    <t>Woldegk</t>
  </si>
  <si>
    <t>Wolfach, Oberwolfach</t>
  </si>
  <si>
    <t>Wolfegg</t>
  </si>
  <si>
    <t>Wölfersheim</t>
  </si>
  <si>
    <t>Wolferstadt</t>
  </si>
  <si>
    <t>Wolfertschwenden</t>
  </si>
  <si>
    <t>Wolfhagen</t>
  </si>
  <si>
    <t>Wolframs-Eschenbach</t>
  </si>
  <si>
    <t>Wolfratshausen</t>
  </si>
  <si>
    <t>Wolfsburg</t>
  </si>
  <si>
    <t xml:space="preserve"> Wolfsburg</t>
  </si>
  <si>
    <t>Wolfschlugen</t>
  </si>
  <si>
    <t>Wolfsegg</t>
  </si>
  <si>
    <t>Wolfstein</t>
  </si>
  <si>
    <t>Wolgast</t>
  </si>
  <si>
    <t>Wolkenstein</t>
  </si>
  <si>
    <t>Wöllstadt</t>
  </si>
  <si>
    <t>Wöllstein</t>
  </si>
  <si>
    <t>Wolmirstedt u.a.</t>
  </si>
  <si>
    <t>Wolnzach</t>
  </si>
  <si>
    <t>Wolpertshausen</t>
  </si>
  <si>
    <t>Wolpertswende</t>
  </si>
  <si>
    <t>Wölpinghausen</t>
  </si>
  <si>
    <t>Wolsdorf</t>
  </si>
  <si>
    <t>Woltersdorf</t>
  </si>
  <si>
    <t>Woltersdorf, Müssen u.a.</t>
  </si>
  <si>
    <t>Wonfurt</t>
  </si>
  <si>
    <t>Wonneberg</t>
  </si>
  <si>
    <t>Wonsees</t>
  </si>
  <si>
    <t>Worbis</t>
  </si>
  <si>
    <t>Woringen</t>
  </si>
  <si>
    <t>Worms</t>
  </si>
  <si>
    <t xml:space="preserve"> Worms</t>
  </si>
  <si>
    <t>Wörnersberg</t>
  </si>
  <si>
    <t>Wörnitz</t>
  </si>
  <si>
    <t>Worpswede</t>
  </si>
  <si>
    <t>Wörrstadt</t>
  </si>
  <si>
    <t>Wört</t>
  </si>
  <si>
    <t>Wörth</t>
  </si>
  <si>
    <t>Wörth a.d. Isar</t>
  </si>
  <si>
    <t>Wörth a.Main</t>
  </si>
  <si>
    <t>Wörth an der Donau</t>
  </si>
  <si>
    <t>Wörthsee</t>
  </si>
  <si>
    <t>Wredenhagen</t>
  </si>
  <si>
    <t>Wrestedt</t>
  </si>
  <si>
    <t>Wriedel</t>
  </si>
  <si>
    <t>Wriezen</t>
  </si>
  <si>
    <t>Wrist</t>
  </si>
  <si>
    <t>Wrohm</t>
  </si>
  <si>
    <t>Wülfrath</t>
  </si>
  <si>
    <t>Wulfsen</t>
  </si>
  <si>
    <t>Wulften</t>
  </si>
  <si>
    <t>Wünnenberg</t>
  </si>
  <si>
    <t>Wunsiedel</t>
  </si>
  <si>
    <t>Wunstorf</t>
  </si>
  <si>
    <t>Wuppertal</t>
  </si>
  <si>
    <t xml:space="preserve"> Wuppertal</t>
  </si>
  <si>
    <t>Wurmannsquick</t>
  </si>
  <si>
    <t>Wurmberg</t>
  </si>
  <si>
    <t>Wurmlingen</t>
  </si>
  <si>
    <t>Wurmsham</t>
  </si>
  <si>
    <t>Würselen</t>
  </si>
  <si>
    <t>Wurster Nordseeküste</t>
  </si>
  <si>
    <t>Wurzbach</t>
  </si>
  <si>
    <t xml:space="preserve"> Würzburg</t>
  </si>
  <si>
    <t>Wurzen</t>
  </si>
  <si>
    <t>Wüstenrot, Beilstein-Stocksberg</t>
  </si>
  <si>
    <t>Wusterhausen</t>
  </si>
  <si>
    <t>Wusterwitz, Rosenau, Bensdorf</t>
  </si>
  <si>
    <t>Wustrow</t>
  </si>
  <si>
    <t>Wutach</t>
  </si>
  <si>
    <t>Wutha-Farnroda</t>
  </si>
  <si>
    <t>Wutöschingen</t>
  </si>
  <si>
    <t>Wyhl</t>
  </si>
  <si>
    <t>Xanten</t>
  </si>
  <si>
    <t>Zaberfeld</t>
  </si>
  <si>
    <t>Zachenberg</t>
  </si>
  <si>
    <t>Zahna-Elster</t>
  </si>
  <si>
    <t>Zaisenhausen</t>
  </si>
  <si>
    <t>Zandt</t>
  </si>
  <si>
    <t>Zapfendorf</t>
  </si>
  <si>
    <t>Zarpen</t>
  </si>
  <si>
    <t>Zarrentin</t>
  </si>
  <si>
    <t>Zehdenick</t>
  </si>
  <si>
    <t>Zeil a. Main</t>
  </si>
  <si>
    <t>Zeiskam</t>
  </si>
  <si>
    <t>Zeithain</t>
  </si>
  <si>
    <t>Zeitlarn</t>
  </si>
  <si>
    <t>Zeitlofs</t>
  </si>
  <si>
    <t>Zeitz</t>
  </si>
  <si>
    <t>Zeitz, Gutenborn u.a.</t>
  </si>
  <si>
    <t>Zell</t>
  </si>
  <si>
    <t>Zell (Mosel)</t>
  </si>
  <si>
    <t>Zell a. Main</t>
  </si>
  <si>
    <t>Zell am Harmersbach</t>
  </si>
  <si>
    <t>Zell im Wiesental</t>
  </si>
  <si>
    <t>Zell unter Aichelberg</t>
  </si>
  <si>
    <t>Zella-Mehlis</t>
  </si>
  <si>
    <t>Zellingen</t>
  </si>
  <si>
    <t>Zeltingen-Rachtig, Erden, Lösnich u.a.</t>
  </si>
  <si>
    <t>Zemmer</t>
  </si>
  <si>
    <t>Zenting</t>
  </si>
  <si>
    <t>Zerbst/Anhalt</t>
  </si>
  <si>
    <t>Zerf</t>
  </si>
  <si>
    <t>Zernien</t>
  </si>
  <si>
    <t>Zeschdorf, Podelzig, Lebus</t>
  </si>
  <si>
    <t>Zetel</t>
  </si>
  <si>
    <t>Zeulenroda-Triebes, Langenwolschendorf</t>
  </si>
  <si>
    <t>Zeulenroda-Triebes, Weißendorf</t>
  </si>
  <si>
    <t>Zeuthen</t>
  </si>
  <si>
    <t>Zeven, Elsdorf</t>
  </si>
  <si>
    <t>Ziegenrück</t>
  </si>
  <si>
    <t>Ziemetshausen</t>
  </si>
  <si>
    <t>Zierenberg</t>
  </si>
  <si>
    <t>Ziertheim</t>
  </si>
  <si>
    <t>Ziesar</t>
  </si>
  <si>
    <t>Ziethen</t>
  </si>
  <si>
    <t>Zimmern ob Rottweil</t>
  </si>
  <si>
    <t>Zimmern unter der Burg</t>
  </si>
  <si>
    <t>Zingst a. Darß</t>
  </si>
  <si>
    <t>Zinnowitz</t>
  </si>
  <si>
    <t>Zirndorf</t>
  </si>
  <si>
    <t>Zittau</t>
  </si>
  <si>
    <t>Zittau u.a.</t>
  </si>
  <si>
    <t>Zolling</t>
  </si>
  <si>
    <t>Zörbig</t>
  </si>
  <si>
    <t>Zorneding</t>
  </si>
  <si>
    <t>Zöschingen</t>
  </si>
  <si>
    <t>Zossen</t>
  </si>
  <si>
    <t>Zschopau</t>
  </si>
  <si>
    <t>Zschopau, Gornau</t>
  </si>
  <si>
    <t>Zschorlau</t>
  </si>
  <si>
    <t>Zülpich</t>
  </si>
  <si>
    <t>Zusmarshausen</t>
  </si>
  <si>
    <t>Zuzenhausen</t>
  </si>
  <si>
    <t>Zweibrücken</t>
  </si>
  <si>
    <t xml:space="preserve"> Zweibrücken</t>
  </si>
  <si>
    <t>Zweiflingen</t>
  </si>
  <si>
    <t>Zwenkau</t>
  </si>
  <si>
    <t>Zwiefalten</t>
  </si>
  <si>
    <t>Zwiesel</t>
  </si>
  <si>
    <t>Zwingenberg</t>
  </si>
  <si>
    <t>Zwönitz</t>
  </si>
  <si>
    <t>Sanierungszustand</t>
  </si>
  <si>
    <t>Lüftungskategorie</t>
  </si>
  <si>
    <t>Luftwechselrate bei 50 Pa</t>
  </si>
  <si>
    <t>Neubau</t>
  </si>
  <si>
    <t>ventilatorgestützte Lüftung</t>
  </si>
  <si>
    <t>freie Lüftung</t>
  </si>
  <si>
    <t>Modernisierung eingeschossiger Nutzungseinheiten</t>
  </si>
  <si>
    <t>Modernisierung mehrgeschossiger Nutzungseinheiten</t>
  </si>
  <si>
    <t>Bestandsgebäude</t>
  </si>
  <si>
    <t>Indikator?</t>
  </si>
  <si>
    <t>Deckungsgrad</t>
  </si>
  <si>
    <t>Gebäudezustand Hülle</t>
  </si>
  <si>
    <t>Gebäudezustand Heizkörper</t>
  </si>
  <si>
    <t>Empfehlung 1</t>
  </si>
  <si>
    <t>Empfehlung 2</t>
  </si>
  <si>
    <t>Empfehlung 3</t>
  </si>
  <si>
    <t>Vorlauftemperatur gegen JAZ und Effizienz plotten</t>
  </si>
  <si>
    <t>Raumranking anhand von Deckungsgrad</t>
  </si>
  <si>
    <t>JAZ in Sanierungsszenarien (Nur HK in Raum_krit, zwei schlechteste HK, plus Dämmmaßnahmen) plus Kostenersparnis durch Effizienzgewinn</t>
  </si>
  <si>
    <t>Emmpfehlung Frank-Rolf Roth (AK E, 08.04.2025)</t>
  </si>
  <si>
    <t>Luftwechselrate auf 0,05 - 0,1 (statt 0,5)</t>
  </si>
  <si>
    <t>Wärmebrückenzuschlag nicht 0,1</t>
  </si>
  <si>
    <t>Durchflüsse beachten, 30 mbar dp, "flow30-Prinzip"</t>
  </si>
  <si>
    <t xml:space="preserve">Anmerkung (ifeu) </t>
  </si>
  <si>
    <t>Überschrieben mit Annahme: 1,1
vorher: GEG 2023 Anlage 7: =MEDIAN(1,3;1,4;1,5;2;1,6;2;2,3;1,8)</t>
  </si>
  <si>
    <t>d_ins</t>
  </si>
  <si>
    <t>U_no_ins</t>
  </si>
  <si>
    <t>L_ins_intern [cm]</t>
  </si>
  <si>
    <t>L_ins [cm]</t>
  </si>
  <si>
    <t xml:space="preserve">nicht genutzt </t>
  </si>
  <si>
    <t xml:space="preserve">Abweichendes Modernisierungsjahr </t>
  </si>
  <si>
    <t>INTERN_TYP_wall_grenztan_intern</t>
  </si>
  <si>
    <t>Ist eine horizontale Decke vorhanden? Geben Sie bitte Breite und Länge an</t>
  </si>
  <si>
    <t>2010 - 2022</t>
  </si>
  <si>
    <t>2011 - 2022</t>
  </si>
  <si>
    <t>2012 - 2022</t>
  </si>
  <si>
    <t>2013 - 2022</t>
  </si>
  <si>
    <t>2014 - 2022</t>
  </si>
  <si>
    <t>2015 - 2022</t>
  </si>
  <si>
    <t>2016 - 2022</t>
  </si>
  <si>
    <t>2017 - 2022</t>
  </si>
  <si>
    <t>2018 - 2022</t>
  </si>
  <si>
    <t>2019 - 2022</t>
  </si>
  <si>
    <t>2020 - 2022</t>
  </si>
  <si>
    <t>2021 - 2022</t>
  </si>
  <si>
    <t>2022 - 2022</t>
  </si>
  <si>
    <t>2023 - 2022</t>
  </si>
  <si>
    <t>INTERN_EXIST_T_VL_nt</t>
  </si>
  <si>
    <t>INTERN_T_VL_nom_calc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</si>
</sst>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0;###0.00"/>
    <numFmt numFmtId="166" formatCode="0.0"/>
    <numFmt numFmtId="167" formatCode="_-* #,##0_-;\-* #,##0_-;_-* &quot;-&quot;??_-;_-@_-"/>
    <numFmt numFmtId="168" formatCode="0.00000"/>
    <numFmt numFmtId="169" formatCode="0.000000"/>
    <numFmt numFmtId="170" formatCode="0.0%"/>
  </numFmts>
  <fonts count="37" x14ac:knownFonts="1">
    <font>
      <sz val="11"/>
      <color theme="1"/>
      <name val="Calibri"/>
      <family val="2"/>
    </font>
    <font>
      <sz val="11"/>
      <color theme="1"/>
      <name val="Arial"/>
      <family val="2"/>
    </font>
    <font>
      <b/>
      <sz val="11"/>
      <color theme="1"/>
      <name val="Arial"/>
      <family val="2"/>
    </font>
    <font>
      <sz val="10"/>
      <color theme="1"/>
      <name val="Arial"/>
      <family val="2"/>
    </font>
    <font>
      <sz val="10"/>
      <color rgb="FF646070"/>
      <name val="Times New Roman"/>
      <family val="2"/>
    </font>
    <font>
      <sz val="10"/>
      <color rgb="FF747987"/>
      <name val="Times New Roman"/>
      <family val="2"/>
    </font>
    <font>
      <sz val="11"/>
      <color rgb="FF747987"/>
      <name val="Times New Roman"/>
      <family val="2"/>
    </font>
    <font>
      <sz val="12"/>
      <color rgb="FF646070"/>
      <name val="Courier New"/>
      <family val="2"/>
    </font>
    <font>
      <sz val="9"/>
      <name val="Arial"/>
      <family val="2"/>
    </font>
    <font>
      <sz val="9"/>
      <color rgb="FF444B72"/>
      <name val="Arial"/>
      <family val="2"/>
    </font>
    <font>
      <sz val="9"/>
      <color theme="1"/>
      <name val="Arial"/>
      <family val="2"/>
    </font>
    <font>
      <sz val="9"/>
      <color rgb="FF605B6E"/>
      <name val="Arial"/>
      <family val="2"/>
    </font>
    <font>
      <sz val="9"/>
      <color rgb="FF798382"/>
      <name val="Arial"/>
      <family val="2"/>
    </font>
    <font>
      <sz val="9"/>
      <color rgb="FF746E85"/>
      <name val="Arial"/>
      <family val="2"/>
    </font>
    <font>
      <b/>
      <sz val="11"/>
      <color indexed="8"/>
      <name val="Calibri"/>
      <family val="2"/>
    </font>
    <font>
      <b/>
      <i/>
      <sz val="11"/>
      <color indexed="8"/>
      <name val="Calibri"/>
      <family val="2"/>
    </font>
    <font>
      <i/>
      <sz val="11"/>
      <color indexed="8"/>
      <name val="Calibri"/>
      <family val="2"/>
    </font>
    <font>
      <sz val="11"/>
      <color indexed="8"/>
      <name val="Arial"/>
      <family val="2"/>
    </font>
    <font>
      <b/>
      <sz val="10"/>
      <name val="Arial"/>
      <family val="2"/>
    </font>
    <font>
      <b/>
      <sz val="12"/>
      <name val="Arial"/>
      <family val="2"/>
    </font>
    <font>
      <b/>
      <sz val="10"/>
      <color indexed="9"/>
      <name val="Arial"/>
      <family val="2"/>
    </font>
    <font>
      <sz val="11"/>
      <color rgb="FFFF0000"/>
      <name val="Calibri"/>
      <family val="2"/>
    </font>
    <font>
      <b/>
      <sz val="11"/>
      <color theme="1"/>
      <name val="Calibri"/>
      <family val="2"/>
    </font>
    <font>
      <sz val="11"/>
      <color rgb="FFFF0000"/>
      <name val="Arial"/>
      <family val="2"/>
    </font>
    <font>
      <b/>
      <sz val="11"/>
      <color rgb="FFFF0000"/>
      <name val="Calibri"/>
      <family val="2"/>
    </font>
    <font>
      <sz val="8"/>
      <name val="Calibri"/>
      <family val="2"/>
    </font>
    <font>
      <sz val="11"/>
      <color theme="1"/>
      <name val="Calibri"/>
      <family val="2"/>
    </font>
    <font>
      <sz val="11"/>
      <color theme="1"/>
      <name val="Aptos Narrow"/>
      <family val="2"/>
    </font>
    <font>
      <vertAlign val="subscript"/>
      <sz val="11"/>
      <color theme="1"/>
      <name val="Calibri"/>
      <family val="2"/>
    </font>
    <font>
      <i/>
      <sz val="11"/>
      <color theme="1"/>
      <name val="Calibri"/>
      <family val="2"/>
    </font>
    <font>
      <sz val="11"/>
      <color theme="0" tint="-0.14999847407452621"/>
      <name val="Calibri"/>
      <family val="2"/>
    </font>
    <font>
      <vertAlign val="subscript"/>
      <sz val="11"/>
      <color theme="1"/>
      <name val="Aptos Narrow"/>
      <family val="2"/>
    </font>
    <font>
      <b/>
      <sz val="11"/>
      <color theme="0"/>
      <name val="Calibri"/>
      <family val="2"/>
    </font>
    <font>
      <sz val="11"/>
      <color theme="0"/>
      <name val="Calibri"/>
      <family val="2"/>
    </font>
    <font>
      <sz val="11"/>
      <name val="Calibri"/>
      <family val="2"/>
    </font>
    <font>
      <b/>
      <u/>
      <sz val="11"/>
      <color theme="1"/>
      <name val="Calibri"/>
      <family val="2"/>
    </font>
    <font>
      <sz val="9"/>
      <color indexed="81"/>
      <name val="Segoe UI"/>
      <family val="2"/>
    </font>
  </fonts>
  <fills count="2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indexed="43"/>
        <bgColor indexed="64"/>
      </patternFill>
    </fill>
    <fill>
      <patternFill patternType="solid">
        <fgColor indexed="26"/>
        <bgColor indexed="64"/>
      </patternFill>
    </fill>
    <fill>
      <patternFill patternType="solid">
        <fgColor indexed="10"/>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3" tint="0.89999084444715716"/>
        <bgColor theme="0" tint="-0.14999847407452621"/>
      </patternFill>
    </fill>
    <fill>
      <patternFill patternType="solid">
        <fgColor theme="3" tint="0.89999084444715716"/>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9999"/>
        <bgColor indexed="64"/>
      </patternFill>
    </fill>
    <fill>
      <patternFill patternType="solid">
        <fgColor theme="4"/>
        <bgColor theme="4"/>
      </patternFill>
    </fill>
    <fill>
      <patternFill patternType="solid">
        <fgColor theme="4"/>
        <bgColor indexed="64"/>
      </patternFill>
    </fill>
    <fill>
      <patternFill patternType="solid">
        <fgColor theme="4"/>
        <bgColor theme="4" tint="0.79998168889431442"/>
      </patternFill>
    </fill>
    <fill>
      <patternFill patternType="solid">
        <fgColor theme="6" tint="0.59999389629810485"/>
        <bgColor indexed="64"/>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s>
  <borders count="49">
    <border>
      <left/>
      <right/>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style="medium">
        <color indexed="64"/>
      </left>
      <right style="medium">
        <color indexed="64"/>
      </right>
      <top/>
      <bottom style="medium">
        <color indexed="64"/>
      </bottom>
      <diagonal/>
    </border>
    <border>
      <left/>
      <right/>
      <top/>
      <bottom style="thin">
        <color theme="4" tint="0.39997558519241921"/>
      </bottom>
      <diagonal/>
    </border>
    <border>
      <left/>
      <right/>
      <top style="thin">
        <color theme="1"/>
      </top>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auto="1"/>
      </bottom>
      <diagonal/>
    </border>
    <border>
      <left style="thin">
        <color indexed="64"/>
      </left>
      <right style="thin">
        <color indexed="64"/>
      </right>
      <top/>
      <bottom style="medium">
        <color auto="1"/>
      </bottom>
      <diagonal/>
    </border>
    <border>
      <left style="thin">
        <color indexed="64"/>
      </left>
      <right style="thin">
        <color indexed="64"/>
      </right>
      <top/>
      <bottom/>
      <diagonal/>
    </border>
  </borders>
  <cellStyleXfs count="4">
    <xf numFmtId="0" fontId="0" fillId="0" borderId="0"/>
    <xf numFmtId="0" fontId="1" fillId="0" borderId="0"/>
    <xf numFmtId="43" fontId="26" fillId="0" borderId="0" applyFont="0" applyFill="0" applyBorder="0" applyAlignment="0" applyProtection="0"/>
    <xf numFmtId="9" fontId="26" fillId="0" borderId="0" applyFont="0" applyFill="0" applyBorder="0" applyAlignment="0" applyProtection="0"/>
  </cellStyleXfs>
  <cellXfs count="325">
    <xf numFmtId="0" fontId="0" fillId="0" borderId="0" xfId="0"/>
    <xf numFmtId="0" fontId="1" fillId="0" borderId="0" xfId="1"/>
    <xf numFmtId="0" fontId="14" fillId="0" borderId="0" xfId="1" applyFont="1"/>
    <xf numFmtId="0" fontId="14" fillId="0" borderId="0" xfId="1" applyFont="1" applyAlignment="1">
      <alignment horizontal="right"/>
    </xf>
    <xf numFmtId="0" fontId="15" fillId="2" borderId="1" xfId="1" applyFont="1" applyFill="1" applyBorder="1" applyAlignment="1">
      <alignment horizontal="center"/>
    </xf>
    <xf numFmtId="0" fontId="16" fillId="2" borderId="2" xfId="1" applyFont="1" applyFill="1" applyBorder="1"/>
    <xf numFmtId="0" fontId="15" fillId="2" borderId="3" xfId="1" applyFont="1" applyFill="1" applyBorder="1" applyAlignment="1">
      <alignment horizontal="center"/>
    </xf>
    <xf numFmtId="0" fontId="17" fillId="2" borderId="0" xfId="1" applyFont="1" applyFill="1"/>
    <xf numFmtId="0" fontId="1" fillId="2" borderId="0" xfId="1" applyFill="1"/>
    <xf numFmtId="0" fontId="14" fillId="2" borderId="3" xfId="1" applyFont="1" applyFill="1" applyBorder="1" applyAlignment="1">
      <alignment horizontal="center"/>
    </xf>
    <xf numFmtId="0" fontId="1" fillId="0" borderId="4" xfId="1" applyBorder="1"/>
    <xf numFmtId="0" fontId="1" fillId="0" borderId="5" xfId="1" applyBorder="1"/>
    <xf numFmtId="0" fontId="1" fillId="0" borderId="6" xfId="1" applyBorder="1"/>
    <xf numFmtId="0" fontId="1" fillId="0" borderId="1" xfId="1" applyBorder="1"/>
    <xf numFmtId="0" fontId="1" fillId="0" borderId="7" xfId="1" applyBorder="1"/>
    <xf numFmtId="0" fontId="1" fillId="0" borderId="8" xfId="1" applyBorder="1"/>
    <xf numFmtId="0" fontId="1" fillId="3" borderId="0" xfId="1" applyFill="1"/>
    <xf numFmtId="0" fontId="18" fillId="0" borderId="0" xfId="0" applyFont="1" applyAlignment="1">
      <alignment vertical="top" wrapText="1"/>
    </xf>
    <xf numFmtId="0" fontId="18" fillId="4" borderId="0" xfId="0" applyFont="1" applyFill="1" applyAlignment="1">
      <alignment horizontal="center" vertical="top" wrapText="1"/>
    </xf>
    <xf numFmtId="0" fontId="0" fillId="0" borderId="0" xfId="0" applyAlignment="1">
      <alignment vertical="top" wrapText="1"/>
    </xf>
    <xf numFmtId="0" fontId="18" fillId="0" borderId="0" xfId="0" applyFont="1" applyAlignment="1">
      <alignment horizontal="center" vertical="top" wrapText="1"/>
    </xf>
    <xf numFmtId="0" fontId="0" fillId="0" borderId="9" xfId="0" applyBorder="1"/>
    <xf numFmtId="0" fontId="22" fillId="0" borderId="0" xfId="0" applyFont="1"/>
    <xf numFmtId="0" fontId="23" fillId="0" borderId="0" xfId="1" applyFont="1"/>
    <xf numFmtId="0" fontId="21" fillId="0" borderId="0" xfId="0" applyFont="1"/>
    <xf numFmtId="49" fontId="0" fillId="0" borderId="0" xfId="0" applyNumberFormat="1"/>
    <xf numFmtId="0" fontId="21" fillId="2" borderId="0" xfId="0" applyFont="1" applyFill="1"/>
    <xf numFmtId="0" fontId="2" fillId="0" borderId="0" xfId="1" applyFont="1"/>
    <xf numFmtId="0" fontId="1" fillId="0" borderId="0" xfId="1" applyAlignment="1">
      <alignment horizontal="center" vertical="top" wrapText="1"/>
    </xf>
    <xf numFmtId="0" fontId="3" fillId="0" borderId="0" xfId="1" applyFont="1" applyAlignment="1">
      <alignment horizontal="left" vertical="top" wrapText="1"/>
    </xf>
    <xf numFmtId="164" fontId="4" fillId="0" borderId="0" xfId="1" applyNumberFormat="1" applyFont="1" applyAlignment="1">
      <alignment horizontal="left" vertical="top" wrapText="1"/>
    </xf>
    <xf numFmtId="165" fontId="5" fillId="0" borderId="0" xfId="1" applyNumberFormat="1" applyFont="1" applyAlignment="1">
      <alignment horizontal="center" vertical="top" wrapText="1"/>
    </xf>
    <xf numFmtId="164" fontId="5" fillId="0" borderId="0" xfId="1" applyNumberFormat="1" applyFont="1" applyAlignment="1">
      <alignment horizontal="center" vertical="top" wrapText="1"/>
    </xf>
    <xf numFmtId="164" fontId="4" fillId="0" borderId="0" xfId="1" applyNumberFormat="1" applyFont="1" applyAlignment="1">
      <alignment horizontal="center" vertical="top" wrapText="1"/>
    </xf>
    <xf numFmtId="164" fontId="5" fillId="0" borderId="0" xfId="1" applyNumberFormat="1" applyFont="1" applyAlignment="1">
      <alignment horizontal="left" vertical="top" wrapText="1"/>
    </xf>
    <xf numFmtId="165" fontId="6" fillId="0" borderId="0" xfId="1" applyNumberFormat="1" applyFont="1" applyAlignment="1">
      <alignment horizontal="center" vertical="top" wrapText="1"/>
    </xf>
    <xf numFmtId="164" fontId="7" fillId="0" borderId="0" xfId="1" applyNumberFormat="1" applyFont="1" applyAlignment="1">
      <alignment horizontal="center" vertical="top" wrapText="1"/>
    </xf>
    <xf numFmtId="0" fontId="8" fillId="0" borderId="0" xfId="1" applyFont="1" applyAlignment="1">
      <alignment horizontal="left" vertical="top" wrapText="1"/>
    </xf>
    <xf numFmtId="0" fontId="10" fillId="0" borderId="0" xfId="1" applyFont="1" applyAlignment="1">
      <alignment horizontal="left" vertical="top" wrapText="1"/>
    </xf>
    <xf numFmtId="0" fontId="1" fillId="0" borderId="0" xfId="1" applyAlignment="1">
      <alignment horizontal="left" vertical="top" wrapText="1"/>
    </xf>
    <xf numFmtId="164" fontId="9" fillId="0" borderId="0" xfId="1" applyNumberFormat="1" applyFont="1" applyAlignment="1">
      <alignment horizontal="left" vertical="top" wrapText="1"/>
    </xf>
    <xf numFmtId="164" fontId="11" fillId="0" borderId="0" xfId="1" applyNumberFormat="1" applyFont="1" applyAlignment="1">
      <alignment horizontal="center" vertical="top" wrapText="1"/>
    </xf>
    <xf numFmtId="165" fontId="12" fillId="0" borderId="0" xfId="1" applyNumberFormat="1" applyFont="1" applyAlignment="1">
      <alignment horizontal="center" vertical="top" wrapText="1"/>
    </xf>
    <xf numFmtId="164" fontId="13" fillId="0" borderId="0" xfId="1" applyNumberFormat="1" applyFont="1" applyAlignment="1">
      <alignment horizontal="center" vertical="top" wrapText="1"/>
    </xf>
    <xf numFmtId="0" fontId="0" fillId="0" borderId="0" xfId="0" applyAlignment="1">
      <alignment horizontal="right"/>
    </xf>
    <xf numFmtId="49" fontId="0" fillId="0" borderId="0" xfId="0" applyNumberFormat="1" applyAlignment="1">
      <alignment horizontal="right"/>
    </xf>
    <xf numFmtId="0" fontId="0" fillId="0" borderId="0" xfId="0" applyAlignment="1">
      <alignment wrapText="1"/>
    </xf>
    <xf numFmtId="49" fontId="0" fillId="8" borderId="10" xfId="0" applyNumberFormat="1" applyFill="1" applyBorder="1"/>
    <xf numFmtId="49" fontId="0" fillId="0" borderId="10" xfId="0" applyNumberFormat="1" applyBorder="1"/>
    <xf numFmtId="2" fontId="0" fillId="0" borderId="0" xfId="0" applyNumberFormat="1"/>
    <xf numFmtId="1" fontId="0" fillId="0" borderId="0" xfId="0" applyNumberFormat="1"/>
    <xf numFmtId="0" fontId="22" fillId="0" borderId="11" xfId="0" applyFont="1" applyBorder="1"/>
    <xf numFmtId="0" fontId="0" fillId="0" borderId="11" xfId="0" applyBorder="1"/>
    <xf numFmtId="2" fontId="19" fillId="4" borderId="0" xfId="0" applyNumberFormat="1" applyFont="1" applyFill="1" applyAlignment="1">
      <alignment horizontal="center" vertical="top" wrapText="1"/>
    </xf>
    <xf numFmtId="2" fontId="19" fillId="5" borderId="0" xfId="0" applyNumberFormat="1" applyFont="1" applyFill="1" applyAlignment="1">
      <alignment horizontal="center" vertical="top" wrapText="1"/>
    </xf>
    <xf numFmtId="2" fontId="18" fillId="4" borderId="0" xfId="0" applyNumberFormat="1" applyFont="1" applyFill="1" applyAlignment="1">
      <alignment horizontal="center" vertical="top" wrapText="1"/>
    </xf>
    <xf numFmtId="2" fontId="18" fillId="5" borderId="0" xfId="0" applyNumberFormat="1" applyFont="1" applyFill="1" applyAlignment="1">
      <alignment horizontal="center" vertical="top" wrapText="1"/>
    </xf>
    <xf numFmtId="2" fontId="0" fillId="4" borderId="0" xfId="0" applyNumberFormat="1" applyFill="1" applyAlignment="1">
      <alignment horizontal="center" vertical="top" wrapText="1"/>
    </xf>
    <xf numFmtId="2" fontId="0" fillId="5" borderId="0" xfId="0" applyNumberFormat="1" applyFill="1" applyAlignment="1">
      <alignment horizontal="center" vertical="top" wrapText="1"/>
    </xf>
    <xf numFmtId="2" fontId="0" fillId="6" borderId="0" xfId="0" applyNumberFormat="1" applyFill="1"/>
    <xf numFmtId="0" fontId="22" fillId="0" borderId="0" xfId="0" applyFont="1" applyAlignment="1">
      <alignment vertical="top" wrapText="1"/>
    </xf>
    <xf numFmtId="2" fontId="20" fillId="6" borderId="0" xfId="0" applyNumberFormat="1" applyFont="1" applyFill="1" applyAlignment="1">
      <alignment vertical="top" textRotation="90"/>
    </xf>
    <xf numFmtId="0" fontId="0" fillId="9" borderId="0" xfId="0" applyFill="1" applyAlignment="1">
      <alignment vertical="top" wrapText="1"/>
    </xf>
    <xf numFmtId="0" fontId="0" fillId="10" borderId="0" xfId="0" applyFill="1" applyAlignment="1">
      <alignment vertical="top" wrapText="1"/>
    </xf>
    <xf numFmtId="0" fontId="0" fillId="10" borderId="0" xfId="0" applyFill="1"/>
    <xf numFmtId="0" fontId="0" fillId="11" borderId="0" xfId="0" applyFill="1"/>
    <xf numFmtId="2" fontId="0" fillId="0" borderId="9" xfId="0" applyNumberFormat="1" applyBorder="1" applyAlignment="1">
      <alignment horizontal="right"/>
    </xf>
    <xf numFmtId="166" fontId="0" fillId="0" borderId="9" xfId="0" applyNumberFormat="1" applyBorder="1" applyAlignment="1">
      <alignment horizontal="right"/>
    </xf>
    <xf numFmtId="1" fontId="0" fillId="0" borderId="9" xfId="0" applyNumberFormat="1" applyBorder="1" applyAlignment="1">
      <alignment horizontal="right"/>
    </xf>
    <xf numFmtId="167" fontId="0" fillId="0" borderId="9" xfId="2" applyNumberFormat="1" applyFont="1" applyBorder="1"/>
    <xf numFmtId="1" fontId="0" fillId="0" borderId="9" xfId="2" applyNumberFormat="1" applyFont="1" applyBorder="1"/>
    <xf numFmtId="0" fontId="0" fillId="8" borderId="12" xfId="0" applyFill="1" applyBorder="1"/>
    <xf numFmtId="0" fontId="0" fillId="0" borderId="12" xfId="0" applyBorder="1"/>
    <xf numFmtId="0" fontId="0" fillId="0" borderId="13" xfId="0" applyBorder="1"/>
    <xf numFmtId="1" fontId="0" fillId="0" borderId="0" xfId="0" applyNumberFormat="1" applyAlignment="1">
      <alignment horizontal="right"/>
    </xf>
    <xf numFmtId="166" fontId="0" fillId="0" borderId="0" xfId="0" applyNumberFormat="1" applyAlignment="1">
      <alignment horizontal="right"/>
    </xf>
    <xf numFmtId="2" fontId="0" fillId="0" borderId="0" xfId="0" applyNumberFormat="1" applyAlignment="1">
      <alignment horizontal="right"/>
    </xf>
    <xf numFmtId="167" fontId="0" fillId="0" borderId="0" xfId="2" applyNumberFormat="1" applyFont="1" applyBorder="1"/>
    <xf numFmtId="0" fontId="27" fillId="0" borderId="0" xfId="0" applyFont="1"/>
    <xf numFmtId="1" fontId="0" fillId="0" borderId="9" xfId="0" applyNumberFormat="1" applyBorder="1"/>
    <xf numFmtId="0" fontId="0" fillId="0" borderId="15" xfId="0" applyBorder="1"/>
    <xf numFmtId="0" fontId="0" fillId="0" borderId="14" xfId="0" applyBorder="1"/>
    <xf numFmtId="0" fontId="0" fillId="0" borderId="17" xfId="0"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20" xfId="0" applyBorder="1"/>
    <xf numFmtId="0" fontId="0" fillId="0" borderId="21" xfId="0" applyBorder="1"/>
    <xf numFmtId="0" fontId="0" fillId="0" borderId="0" xfId="0" applyAlignment="1">
      <alignment vertical="center"/>
    </xf>
    <xf numFmtId="0" fontId="0" fillId="0" borderId="19" xfId="0" applyBorder="1"/>
    <xf numFmtId="0" fontId="0" fillId="0" borderId="16" xfId="0" applyBorder="1" applyAlignment="1">
      <alignment horizontal="center" vertical="center"/>
    </xf>
    <xf numFmtId="0" fontId="0" fillId="0" borderId="18" xfId="0" applyBorder="1" applyAlignment="1">
      <alignment horizontal="center" vertical="center"/>
    </xf>
    <xf numFmtId="0" fontId="0" fillId="12" borderId="17" xfId="0" applyFill="1" applyBorder="1" applyAlignment="1">
      <alignment horizontal="center" vertical="center"/>
    </xf>
    <xf numFmtId="0" fontId="0" fillId="0" borderId="14" xfId="0" applyBorder="1" applyAlignment="1">
      <alignment horizontal="center" vertical="center"/>
    </xf>
    <xf numFmtId="0" fontId="0" fillId="12" borderId="0" xfId="0" applyFill="1" applyAlignment="1">
      <alignment horizontal="center" vertical="center"/>
    </xf>
    <xf numFmtId="0" fontId="0" fillId="0" borderId="15" xfId="0" applyBorder="1" applyAlignment="1">
      <alignment horizontal="center" vertical="center"/>
    </xf>
    <xf numFmtId="0" fontId="0" fillId="0" borderId="19" xfId="0" applyBorder="1" applyAlignment="1">
      <alignment horizontal="center" vertical="center"/>
    </xf>
    <xf numFmtId="0" fontId="0" fillId="12" borderId="20" xfId="0" applyFill="1" applyBorder="1" applyAlignment="1">
      <alignment horizontal="center" vertical="center"/>
    </xf>
    <xf numFmtId="0" fontId="0" fillId="0" borderId="21" xfId="0" applyBorder="1" applyAlignment="1">
      <alignment horizontal="center" vertical="center"/>
    </xf>
    <xf numFmtId="2" fontId="0" fillId="0" borderId="20" xfId="0" applyNumberFormat="1" applyBorder="1" applyAlignment="1">
      <alignment horizontal="center" vertical="center"/>
    </xf>
    <xf numFmtId="2" fontId="0" fillId="0" borderId="17" xfId="0" applyNumberFormat="1" applyBorder="1" applyAlignment="1">
      <alignment horizontal="center" vertical="center"/>
    </xf>
    <xf numFmtId="2" fontId="0" fillId="0" borderId="0" xfId="0" applyNumberFormat="1" applyAlignment="1">
      <alignment horizontal="center" vertical="center"/>
    </xf>
    <xf numFmtId="1" fontId="0" fillId="12" borderId="0" xfId="0" applyNumberFormat="1" applyFill="1" applyAlignment="1">
      <alignment horizontal="center" vertical="center"/>
    </xf>
    <xf numFmtId="1" fontId="0" fillId="13" borderId="20" xfId="0" applyNumberFormat="1" applyFill="1" applyBorder="1" applyAlignment="1">
      <alignment horizontal="center" vertical="center"/>
    </xf>
    <xf numFmtId="0" fontId="0" fillId="0" borderId="0" xfId="0" applyAlignment="1">
      <alignment vertical="center" wrapText="1"/>
    </xf>
    <xf numFmtId="2" fontId="0" fillId="0" borderId="9" xfId="0" applyNumberFormat="1" applyBorder="1"/>
    <xf numFmtId="167" fontId="1" fillId="0" borderId="0" xfId="2" applyNumberFormat="1" applyFont="1"/>
    <xf numFmtId="167" fontId="1" fillId="7" borderId="0" xfId="2" applyNumberFormat="1" applyFont="1" applyFill="1"/>
    <xf numFmtId="167" fontId="0" fillId="0" borderId="0" xfId="2" applyNumberFormat="1" applyFont="1"/>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14" borderId="18" xfId="0" applyFill="1" applyBorder="1" applyAlignment="1">
      <alignment horizontal="center" vertical="center"/>
    </xf>
    <xf numFmtId="0" fontId="0" fillId="14" borderId="14" xfId="0" applyFill="1" applyBorder="1" applyAlignment="1">
      <alignment vertical="center"/>
    </xf>
    <xf numFmtId="0" fontId="0" fillId="14" borderId="0" xfId="0" applyFill="1" applyAlignment="1">
      <alignment vertical="center"/>
    </xf>
    <xf numFmtId="0" fontId="0" fillId="14" borderId="15" xfId="0" applyFill="1" applyBorder="1" applyAlignment="1">
      <alignment vertical="center"/>
    </xf>
    <xf numFmtId="2" fontId="0" fillId="14" borderId="17" xfId="0" applyNumberFormat="1" applyFill="1" applyBorder="1" applyAlignment="1">
      <alignment horizontal="center" vertical="center"/>
    </xf>
    <xf numFmtId="0" fontId="0" fillId="14" borderId="14" xfId="0" applyFill="1" applyBorder="1" applyAlignment="1">
      <alignment horizontal="center" vertical="center"/>
    </xf>
    <xf numFmtId="0" fontId="0" fillId="14" borderId="0" xfId="0" applyFill="1" applyAlignment="1">
      <alignment horizontal="center" vertical="center"/>
    </xf>
    <xf numFmtId="2" fontId="0" fillId="14" borderId="0" xfId="0" applyNumberFormat="1" applyFill="1" applyAlignment="1">
      <alignment horizontal="center" vertical="center"/>
    </xf>
    <xf numFmtId="0" fontId="0" fillId="14" borderId="15" xfId="0" applyFill="1" applyBorder="1" applyAlignment="1">
      <alignment horizontal="center" vertical="center"/>
    </xf>
    <xf numFmtId="0" fontId="0" fillId="14" borderId="14" xfId="0" applyFill="1" applyBorder="1"/>
    <xf numFmtId="1" fontId="0" fillId="14" borderId="0" xfId="0" applyNumberFormat="1" applyFill="1" applyAlignment="1">
      <alignment horizontal="center" vertical="center"/>
    </xf>
    <xf numFmtId="0" fontId="0" fillId="14" borderId="19" xfId="0" applyFill="1" applyBorder="1" applyAlignment="1">
      <alignment horizontal="center" vertical="center"/>
    </xf>
    <xf numFmtId="0" fontId="0" fillId="14" borderId="20" xfId="0" applyFill="1" applyBorder="1" applyAlignment="1">
      <alignment horizontal="center" vertical="center"/>
    </xf>
    <xf numFmtId="0" fontId="0" fillId="14" borderId="21" xfId="0" applyFill="1" applyBorder="1" applyAlignment="1">
      <alignment horizontal="center" vertical="center"/>
    </xf>
    <xf numFmtId="0" fontId="0" fillId="14" borderId="0" xfId="0" applyFill="1"/>
    <xf numFmtId="0" fontId="0" fillId="14" borderId="15" xfId="0" applyFill="1" applyBorder="1"/>
    <xf numFmtId="1" fontId="0" fillId="14" borderId="20" xfId="0" applyNumberFormat="1" applyFill="1" applyBorder="1" applyAlignment="1">
      <alignment horizontal="center" vertical="center"/>
    </xf>
    <xf numFmtId="2" fontId="0" fillId="0" borderId="9" xfId="0" applyNumberFormat="1" applyBorder="1" applyAlignment="1">
      <alignment wrapText="1"/>
    </xf>
    <xf numFmtId="9" fontId="0" fillId="0" borderId="9" xfId="3" applyFont="1" applyBorder="1" applyAlignment="1">
      <alignment wrapText="1"/>
    </xf>
    <xf numFmtId="167" fontId="0" fillId="0" borderId="9" xfId="0" applyNumberFormat="1" applyBorder="1"/>
    <xf numFmtId="167" fontId="0" fillId="0" borderId="0" xfId="0" applyNumberFormat="1"/>
    <xf numFmtId="164" fontId="5" fillId="0" borderId="0" xfId="1" applyNumberFormat="1" applyFont="1" applyAlignment="1">
      <alignment horizontal="left" wrapText="1"/>
    </xf>
    <xf numFmtId="0" fontId="1" fillId="15" borderId="0" xfId="1" applyFill="1"/>
    <xf numFmtId="167" fontId="0" fillId="2" borderId="9" xfId="0" applyNumberFormat="1" applyFill="1" applyBorder="1"/>
    <xf numFmtId="9" fontId="0" fillId="0" borderId="0" xfId="0" applyNumberFormat="1"/>
    <xf numFmtId="0" fontId="21" fillId="2" borderId="9" xfId="0" applyFont="1" applyFill="1" applyBorder="1"/>
    <xf numFmtId="0" fontId="24" fillId="0" borderId="0" xfId="0" applyFont="1"/>
    <xf numFmtId="9" fontId="0" fillId="0" borderId="9" xfId="0" applyNumberFormat="1" applyBorder="1"/>
    <xf numFmtId="0" fontId="0" fillId="0" borderId="0" xfId="0" quotePrefix="1"/>
    <xf numFmtId="0" fontId="22" fillId="0" borderId="22" xfId="0" applyFont="1" applyBorder="1"/>
    <xf numFmtId="0" fontId="0" fillId="0" borderId="22" xfId="0" applyBorder="1"/>
    <xf numFmtId="0" fontId="0" fillId="0" borderId="23" xfId="0" applyBorder="1"/>
    <xf numFmtId="0" fontId="0" fillId="16" borderId="24" xfId="0" applyFill="1" applyBorder="1"/>
    <xf numFmtId="0" fontId="0" fillId="0" borderId="25" xfId="0" applyBorder="1"/>
    <xf numFmtId="0" fontId="0" fillId="16" borderId="26" xfId="0" applyFill="1" applyBorder="1"/>
    <xf numFmtId="167" fontId="0" fillId="17" borderId="26" xfId="0" applyNumberFormat="1" applyFill="1" applyBorder="1"/>
    <xf numFmtId="0" fontId="0" fillId="0" borderId="27" xfId="0" applyBorder="1"/>
    <xf numFmtId="0" fontId="0" fillId="0" borderId="29" xfId="0" applyBorder="1"/>
    <xf numFmtId="0" fontId="0" fillId="11" borderId="30" xfId="0" applyFill="1" applyBorder="1"/>
    <xf numFmtId="0" fontId="0" fillId="0" borderId="31" xfId="0" applyBorder="1" applyAlignment="1">
      <alignment vertical="center" wrapText="1"/>
    </xf>
    <xf numFmtId="0" fontId="0" fillId="16" borderId="32" xfId="0" applyFill="1" applyBorder="1"/>
    <xf numFmtId="0" fontId="30" fillId="0" borderId="23" xfId="0" applyFont="1" applyBorder="1" applyAlignment="1">
      <alignment wrapText="1"/>
    </xf>
    <xf numFmtId="0" fontId="30" fillId="0" borderId="24" xfId="0" applyFont="1" applyBorder="1"/>
    <xf numFmtId="0" fontId="27" fillId="0" borderId="23" xfId="0" applyFont="1" applyBorder="1"/>
    <xf numFmtId="0" fontId="0" fillId="18" borderId="24" xfId="0" applyFill="1" applyBorder="1"/>
    <xf numFmtId="0" fontId="27" fillId="0" borderId="27" xfId="0" applyFont="1" applyBorder="1"/>
    <xf numFmtId="0" fontId="0" fillId="18" borderId="28" xfId="0" applyFill="1" applyBorder="1"/>
    <xf numFmtId="2" fontId="0" fillId="17" borderId="24" xfId="0" applyNumberFormat="1" applyFill="1" applyBorder="1"/>
    <xf numFmtId="0" fontId="0" fillId="0" borderId="27" xfId="0" applyBorder="1" applyAlignment="1">
      <alignment vertical="top" wrapText="1"/>
    </xf>
    <xf numFmtId="0" fontId="21" fillId="19" borderId="0" xfId="0" applyFont="1" applyFill="1"/>
    <xf numFmtId="0" fontId="0" fillId="19" borderId="0" xfId="0" applyFill="1"/>
    <xf numFmtId="0" fontId="0" fillId="19" borderId="0" xfId="0" quotePrefix="1" applyFill="1"/>
    <xf numFmtId="17" fontId="0" fillId="19" borderId="0" xfId="0" quotePrefix="1" applyNumberFormat="1" applyFill="1"/>
    <xf numFmtId="0" fontId="0" fillId="19" borderId="9" xfId="0" applyFill="1" applyBorder="1"/>
    <xf numFmtId="0" fontId="22" fillId="19" borderId="0" xfId="0" applyFont="1" applyFill="1"/>
    <xf numFmtId="0" fontId="0" fillId="8" borderId="33" xfId="0" applyFill="1" applyBorder="1"/>
    <xf numFmtId="0" fontId="0" fillId="8" borderId="34" xfId="0" applyFill="1" applyBorder="1"/>
    <xf numFmtId="0" fontId="22" fillId="8" borderId="10" xfId="0" applyFont="1" applyFill="1" applyBorder="1"/>
    <xf numFmtId="0" fontId="32" fillId="20" borderId="35" xfId="0" applyFont="1" applyFill="1" applyBorder="1"/>
    <xf numFmtId="0" fontId="32" fillId="20" borderId="36" xfId="0" applyFont="1" applyFill="1" applyBorder="1"/>
    <xf numFmtId="0" fontId="22" fillId="8" borderId="35" xfId="0" applyFont="1" applyFill="1" applyBorder="1"/>
    <xf numFmtId="0" fontId="0" fillId="8" borderId="36" xfId="0" applyFill="1" applyBorder="1"/>
    <xf numFmtId="0" fontId="0" fillId="8" borderId="37" xfId="0" applyFill="1" applyBorder="1"/>
    <xf numFmtId="0" fontId="22" fillId="0" borderId="35" xfId="0" applyFont="1" applyBorder="1"/>
    <xf numFmtId="0" fontId="0" fillId="0" borderId="36" xfId="0" applyBorder="1"/>
    <xf numFmtId="0" fontId="0" fillId="0" borderId="37" xfId="0" applyBorder="1"/>
    <xf numFmtId="0" fontId="0" fillId="0" borderId="0" xfId="0" applyAlignment="1">
      <alignment horizontal="left"/>
    </xf>
    <xf numFmtId="0" fontId="22" fillId="8" borderId="35" xfId="0" applyFont="1" applyFill="1" applyBorder="1" applyAlignment="1">
      <alignment textRotation="90" wrapText="1"/>
    </xf>
    <xf numFmtId="0" fontId="0" fillId="8" borderId="36" xfId="0" applyFill="1" applyBorder="1" applyAlignment="1">
      <alignment textRotation="90" wrapText="1"/>
    </xf>
    <xf numFmtId="0" fontId="0" fillId="0" borderId="0" xfId="0" applyAlignment="1">
      <alignment textRotation="90" wrapText="1"/>
    </xf>
    <xf numFmtId="0" fontId="32" fillId="20" borderId="38" xfId="0" applyFont="1" applyFill="1" applyBorder="1"/>
    <xf numFmtId="0" fontId="0" fillId="0" borderId="33" xfId="0" applyBorder="1"/>
    <xf numFmtId="0" fontId="0" fillId="0" borderId="36" xfId="0" applyBorder="1" applyAlignment="1">
      <alignment textRotation="90" wrapText="1"/>
    </xf>
    <xf numFmtId="0" fontId="0" fillId="0" borderId="33" xfId="0" applyBorder="1" applyAlignment="1">
      <alignment textRotation="90" wrapText="1"/>
    </xf>
    <xf numFmtId="0" fontId="0" fillId="0" borderId="34" xfId="0" applyBorder="1"/>
    <xf numFmtId="0" fontId="32" fillId="21" borderId="36" xfId="0" applyFont="1" applyFill="1" applyBorder="1"/>
    <xf numFmtId="0" fontId="32" fillId="21" borderId="36" xfId="0" applyFont="1" applyFill="1" applyBorder="1" applyAlignment="1">
      <alignment textRotation="90" wrapText="1"/>
    </xf>
    <xf numFmtId="0" fontId="32" fillId="21" borderId="37" xfId="0" applyFont="1" applyFill="1" applyBorder="1"/>
    <xf numFmtId="0" fontId="32" fillId="22" borderId="38" xfId="0" applyFont="1" applyFill="1" applyBorder="1"/>
    <xf numFmtId="0" fontId="32" fillId="21" borderId="38" xfId="0" applyFont="1" applyFill="1" applyBorder="1"/>
    <xf numFmtId="0" fontId="32" fillId="22" borderId="39" xfId="0" applyFont="1" applyFill="1" applyBorder="1"/>
    <xf numFmtId="0" fontId="33" fillId="21" borderId="0" xfId="0" applyFont="1" applyFill="1"/>
    <xf numFmtId="0" fontId="21" fillId="19" borderId="9" xfId="0" applyFont="1" applyFill="1" applyBorder="1"/>
    <xf numFmtId="0" fontId="34" fillId="0" borderId="0" xfId="0" applyFont="1"/>
    <xf numFmtId="0" fontId="0" fillId="19" borderId="0" xfId="0" applyFill="1" applyAlignment="1">
      <alignment vertical="top" wrapText="1"/>
    </xf>
    <xf numFmtId="0" fontId="0" fillId="19" borderId="0" xfId="0" applyFill="1" applyAlignment="1">
      <alignment wrapText="1"/>
    </xf>
    <xf numFmtId="166" fontId="0" fillId="0" borderId="0" xfId="0" applyNumberFormat="1"/>
    <xf numFmtId="0" fontId="22" fillId="0" borderId="20" xfId="0" applyFont="1" applyBorder="1"/>
    <xf numFmtId="0" fontId="0" fillId="17" borderId="0" xfId="0" applyFill="1"/>
    <xf numFmtId="0" fontId="0" fillId="0" borderId="2" xfId="0" applyBorder="1"/>
    <xf numFmtId="0" fontId="32" fillId="20" borderId="41" xfId="0" applyFont="1" applyFill="1" applyBorder="1"/>
    <xf numFmtId="0" fontId="0" fillId="23" borderId="0" xfId="0" applyFill="1"/>
    <xf numFmtId="9" fontId="0" fillId="0" borderId="40" xfId="0" applyNumberFormat="1" applyBorder="1"/>
    <xf numFmtId="15" fontId="0" fillId="0" borderId="0" xfId="0" applyNumberFormat="1"/>
    <xf numFmtId="0" fontId="0" fillId="0" borderId="0" xfId="0" applyAlignment="1">
      <alignment horizontal="left" vertical="top" wrapText="1"/>
    </xf>
    <xf numFmtId="9" fontId="0" fillId="0" borderId="9" xfId="3" applyFont="1" applyFill="1" applyBorder="1"/>
    <xf numFmtId="9" fontId="0" fillId="0" borderId="9" xfId="3" applyFont="1" applyBorder="1" applyAlignment="1">
      <alignment horizontal="right"/>
    </xf>
    <xf numFmtId="0" fontId="1" fillId="24" borderId="42" xfId="1" applyFill="1" applyBorder="1"/>
    <xf numFmtId="49" fontId="1" fillId="24" borderId="42" xfId="1" applyNumberFormat="1" applyFill="1" applyBorder="1"/>
    <xf numFmtId="1" fontId="1" fillId="24" borderId="42" xfId="1" applyNumberFormat="1" applyFill="1" applyBorder="1"/>
    <xf numFmtId="167" fontId="1" fillId="24" borderId="42" xfId="2" applyNumberFormat="1" applyFont="1" applyFill="1" applyBorder="1"/>
    <xf numFmtId="2" fontId="1" fillId="24" borderId="42" xfId="1" applyNumberFormat="1" applyFill="1" applyBorder="1"/>
    <xf numFmtId="169" fontId="1" fillId="24" borderId="42" xfId="1" applyNumberFormat="1" applyFill="1" applyBorder="1"/>
    <xf numFmtId="167" fontId="1" fillId="24" borderId="42" xfId="1" applyNumberFormat="1" applyFill="1" applyBorder="1"/>
    <xf numFmtId="49" fontId="1" fillId="0" borderId="0" xfId="1" applyNumberFormat="1"/>
    <xf numFmtId="1" fontId="1" fillId="0" borderId="0" xfId="1" applyNumberFormat="1"/>
    <xf numFmtId="2" fontId="1" fillId="0" borderId="0" xfId="1" applyNumberFormat="1"/>
    <xf numFmtId="169" fontId="1" fillId="0" borderId="0" xfId="1" applyNumberFormat="1"/>
    <xf numFmtId="167" fontId="1" fillId="0" borderId="0" xfId="1" applyNumberFormat="1"/>
    <xf numFmtId="0" fontId="1" fillId="24" borderId="0" xfId="1" applyFill="1"/>
    <xf numFmtId="49" fontId="1" fillId="24" borderId="0" xfId="1" applyNumberFormat="1" applyFill="1"/>
    <xf numFmtId="1" fontId="1" fillId="24" borderId="0" xfId="1" applyNumberFormat="1" applyFill="1"/>
    <xf numFmtId="167" fontId="1" fillId="24" borderId="0" xfId="2" applyNumberFormat="1" applyFont="1" applyFill="1"/>
    <xf numFmtId="2" fontId="1" fillId="24" borderId="0" xfId="1" applyNumberFormat="1" applyFill="1"/>
    <xf numFmtId="169" fontId="1" fillId="24" borderId="0" xfId="1" applyNumberFormat="1" applyFill="1"/>
    <xf numFmtId="167" fontId="1" fillId="24" borderId="0" xfId="1" applyNumberFormat="1" applyFill="1"/>
    <xf numFmtId="168" fontId="1" fillId="0" borderId="0" xfId="1" applyNumberFormat="1"/>
    <xf numFmtId="168" fontId="1" fillId="24" borderId="0" xfId="1" applyNumberFormat="1" applyFill="1"/>
    <xf numFmtId="49" fontId="1" fillId="7" borderId="0" xfId="1" applyNumberFormat="1" applyFill="1"/>
    <xf numFmtId="1" fontId="1" fillId="7" borderId="0" xfId="1" applyNumberFormat="1" applyFill="1"/>
    <xf numFmtId="2" fontId="1" fillId="7" borderId="0" xfId="1" applyNumberFormat="1" applyFill="1"/>
    <xf numFmtId="167" fontId="0" fillId="24" borderId="0" xfId="2" applyNumberFormat="1" applyFont="1" applyFill="1"/>
    <xf numFmtId="0" fontId="1" fillId="7" borderId="0" xfId="1" applyFill="1"/>
    <xf numFmtId="0" fontId="2" fillId="0" borderId="0" xfId="1" applyFont="1" applyAlignment="1">
      <alignment wrapText="1"/>
    </xf>
    <xf numFmtId="167" fontId="1" fillId="24" borderId="0" xfId="2" applyNumberFormat="1" applyFont="1" applyFill="1" applyBorder="1"/>
    <xf numFmtId="167" fontId="1" fillId="0" borderId="33" xfId="2" applyNumberFormat="1" applyFont="1" applyBorder="1"/>
    <xf numFmtId="167" fontId="1" fillId="24" borderId="33" xfId="2" applyNumberFormat="1" applyFont="1" applyFill="1" applyBorder="1"/>
    <xf numFmtId="167" fontId="1" fillId="0" borderId="36" xfId="2" applyNumberFormat="1" applyFont="1" applyBorder="1"/>
    <xf numFmtId="0" fontId="0" fillId="0" borderId="26" xfId="0" applyBorder="1"/>
    <xf numFmtId="167" fontId="0" fillId="0" borderId="26" xfId="0" applyNumberFormat="1" applyBorder="1"/>
    <xf numFmtId="2" fontId="0" fillId="12" borderId="17" xfId="0" applyNumberFormat="1" applyFill="1" applyBorder="1" applyAlignment="1">
      <alignment horizontal="center" vertical="center"/>
    </xf>
    <xf numFmtId="0" fontId="0" fillId="16" borderId="0" xfId="0" applyFill="1"/>
    <xf numFmtId="0" fontId="0" fillId="25" borderId="0" xfId="0" applyFill="1"/>
    <xf numFmtId="0" fontId="0" fillId="7" borderId="0" xfId="0" applyFill="1"/>
    <xf numFmtId="0" fontId="0" fillId="3" borderId="0" xfId="0" applyFill="1"/>
    <xf numFmtId="0" fontId="0" fillId="12" borderId="0" xfId="0" applyFill="1"/>
    <xf numFmtId="0" fontId="0" fillId="18" borderId="0" xfId="0" applyFill="1"/>
    <xf numFmtId="0" fontId="0" fillId="26" borderId="0" xfId="0" applyFill="1"/>
    <xf numFmtId="0" fontId="0" fillId="27" borderId="0" xfId="0" applyFill="1"/>
    <xf numFmtId="0" fontId="0" fillId="0" borderId="43" xfId="0" applyBorder="1"/>
    <xf numFmtId="9" fontId="0" fillId="0" borderId="0" xfId="3" applyFont="1"/>
    <xf numFmtId="0" fontId="22" fillId="28" borderId="0" xfId="0" applyFont="1" applyFill="1"/>
    <xf numFmtId="0" fontId="22" fillId="28" borderId="16" xfId="0" applyFont="1" applyFill="1" applyBorder="1"/>
    <xf numFmtId="0" fontId="0" fillId="28" borderId="17" xfId="0" applyFill="1" applyBorder="1"/>
    <xf numFmtId="0" fontId="0" fillId="0" borderId="17" xfId="0" applyBorder="1"/>
    <xf numFmtId="0" fontId="0" fillId="0" borderId="18" xfId="0" applyBorder="1"/>
    <xf numFmtId="0" fontId="0" fillId="28" borderId="14" xfId="0" applyFill="1" applyBorder="1"/>
    <xf numFmtId="0" fontId="0" fillId="28" borderId="0" xfId="0" applyFill="1"/>
    <xf numFmtId="0" fontId="0" fillId="28" borderId="19" xfId="0" applyFill="1" applyBorder="1"/>
    <xf numFmtId="0" fontId="0" fillId="28" borderId="20" xfId="0" applyFill="1" applyBorder="1"/>
    <xf numFmtId="9" fontId="22" fillId="0" borderId="15" xfId="3" applyFont="1" applyBorder="1"/>
    <xf numFmtId="9" fontId="22" fillId="0" borderId="21" xfId="3" applyFont="1" applyBorder="1"/>
    <xf numFmtId="9" fontId="0" fillId="0" borderId="36" xfId="3" applyFont="1" applyBorder="1"/>
    <xf numFmtId="0" fontId="22" fillId="0" borderId="2" xfId="0" applyFont="1" applyBorder="1"/>
    <xf numFmtId="1" fontId="22" fillId="0" borderId="9" xfId="0" applyNumberFormat="1" applyFont="1" applyBorder="1"/>
    <xf numFmtId="1" fontId="22" fillId="0" borderId="15" xfId="0" applyNumberFormat="1" applyFont="1" applyBorder="1"/>
    <xf numFmtId="0" fontId="0" fillId="0" borderId="11" xfId="0" quotePrefix="1" applyBorder="1"/>
    <xf numFmtId="0" fontId="0" fillId="8" borderId="10" xfId="0" applyFill="1" applyBorder="1"/>
    <xf numFmtId="0" fontId="0" fillId="0" borderId="10" xfId="0" applyBorder="1"/>
    <xf numFmtId="0" fontId="35" fillId="0" borderId="0" xfId="0" applyFont="1"/>
    <xf numFmtId="0" fontId="22" fillId="0" borderId="20" xfId="0" applyFont="1" applyBorder="1" applyAlignment="1">
      <alignment wrapText="1"/>
    </xf>
    <xf numFmtId="0" fontId="0" fillId="0" borderId="0" xfId="0" applyAlignment="1">
      <alignment horizontal="left" vertical="top"/>
    </xf>
    <xf numFmtId="170" fontId="0" fillId="0" borderId="0" xfId="3" applyNumberFormat="1" applyFont="1"/>
    <xf numFmtId="0" fontId="0" fillId="19" borderId="0" xfId="0" applyFill="1" applyAlignment="1">
      <alignment horizontal="center"/>
    </xf>
    <xf numFmtId="0" fontId="22" fillId="0" borderId="0" xfId="0" applyFont="1" applyAlignment="1">
      <alignment horizontal="center"/>
    </xf>
    <xf numFmtId="0" fontId="0" fillId="14" borderId="16" xfId="0" applyFill="1" applyBorder="1" applyAlignment="1">
      <alignment horizontal="center" vertical="center"/>
    </xf>
    <xf numFmtId="0" fontId="0" fillId="14" borderId="17"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14" borderId="0" xfId="0" applyFill="1" applyAlignment="1">
      <alignment horizontal="center" vertical="center" wrapText="1"/>
    </xf>
    <xf numFmtId="0" fontId="0" fillId="14" borderId="15" xfId="0" applyFill="1" applyBorder="1" applyAlignment="1">
      <alignment horizontal="center" vertical="center" wrapText="1"/>
    </xf>
    <xf numFmtId="0" fontId="0" fillId="0" borderId="0" xfId="0" applyAlignment="1">
      <alignment horizontal="center" vertical="center" wrapText="1"/>
    </xf>
    <xf numFmtId="0" fontId="0" fillId="0" borderId="15" xfId="0" applyBorder="1" applyAlignment="1">
      <alignment horizontal="center" vertical="center" wrapText="1"/>
    </xf>
    <xf numFmtId="0" fontId="0" fillId="14" borderId="20" xfId="0" applyFill="1" applyBorder="1" applyAlignment="1">
      <alignment horizontal="center" vertical="center" wrapText="1"/>
    </xf>
    <xf numFmtId="0" fontId="0" fillId="14" borderId="21"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0" fillId="0" borderId="0" xfId="1" applyFont="1" applyAlignment="1">
      <alignment horizontal="center"/>
    </xf>
    <xf numFmtId="164" fontId="11" fillId="0" borderId="0" xfId="1" applyNumberFormat="1" applyFont="1" applyAlignment="1">
      <alignment horizontal="left" wrapText="1"/>
    </xf>
    <xf numFmtId="164" fontId="13" fillId="0" borderId="0" xfId="1" applyNumberFormat="1" applyFont="1" applyAlignment="1">
      <alignment horizontal="center" wrapText="1"/>
    </xf>
    <xf numFmtId="164" fontId="11" fillId="0" borderId="0" xfId="1" applyNumberFormat="1" applyFont="1" applyAlignment="1">
      <alignment horizontal="center" wrapText="1"/>
    </xf>
    <xf numFmtId="164" fontId="4" fillId="0" borderId="0" xfId="1" applyNumberFormat="1" applyFont="1" applyAlignment="1">
      <alignment horizontal="center" wrapText="1"/>
    </xf>
    <xf numFmtId="164" fontId="5" fillId="0" borderId="0" xfId="1" applyNumberFormat="1" applyFont="1" applyAlignment="1">
      <alignment horizontal="left" wrapText="1"/>
    </xf>
    <xf numFmtId="0" fontId="0" fillId="0" borderId="0" xfId="0" applyBorder="1"/>
    <xf numFmtId="0" fontId="22" fillId="0" borderId="20" xfId="0" applyFont="1" applyFill="1" applyBorder="1"/>
    <xf numFmtId="0" fontId="0" fillId="0" borderId="0" xfId="0" applyFill="1" applyAlignment="1">
      <alignment wrapText="1"/>
    </xf>
    <xf numFmtId="0" fontId="0" fillId="0" borderId="0" xfId="0" applyFill="1"/>
    <xf numFmtId="0" fontId="0" fillId="0" borderId="9" xfId="0" applyFill="1" applyBorder="1"/>
    <xf numFmtId="1" fontId="0" fillId="0" borderId="9" xfId="0" applyNumberFormat="1" applyFill="1" applyBorder="1" applyAlignment="1">
      <alignment horizontal="right"/>
    </xf>
    <xf numFmtId="9" fontId="0" fillId="0" borderId="9" xfId="3" applyFont="1" applyFill="1" applyBorder="1" applyAlignment="1">
      <alignment horizontal="right"/>
    </xf>
    <xf numFmtId="166" fontId="0" fillId="0" borderId="9" xfId="0" applyNumberFormat="1" applyFill="1" applyBorder="1" applyAlignment="1">
      <alignment horizontal="right"/>
    </xf>
    <xf numFmtId="2" fontId="0" fillId="0" borderId="9" xfId="0" applyNumberFormat="1" applyFill="1" applyBorder="1" applyAlignment="1">
      <alignment horizontal="right"/>
    </xf>
    <xf numFmtId="9" fontId="0" fillId="0" borderId="9" xfId="0" applyNumberFormat="1" applyFill="1" applyBorder="1"/>
    <xf numFmtId="167" fontId="0" fillId="0" borderId="9" xfId="0" applyNumberFormat="1" applyFill="1" applyBorder="1"/>
    <xf numFmtId="1" fontId="0" fillId="0" borderId="9" xfId="2" applyNumberFormat="1" applyFont="1" applyFill="1" applyBorder="1"/>
    <xf numFmtId="167" fontId="0" fillId="0" borderId="9" xfId="2" applyNumberFormat="1" applyFont="1" applyFill="1" applyBorder="1"/>
    <xf numFmtId="9" fontId="0" fillId="0" borderId="40" xfId="0" applyNumberFormat="1" applyFill="1" applyBorder="1"/>
    <xf numFmtId="0" fontId="0" fillId="0" borderId="45" xfId="0" applyBorder="1"/>
    <xf numFmtId="0" fontId="22" fillId="0" borderId="0" xfId="0" applyFont="1" applyBorder="1"/>
    <xf numFmtId="0" fontId="0" fillId="0" borderId="44" xfId="0" applyBorder="1"/>
    <xf numFmtId="166" fontId="0" fillId="0" borderId="44" xfId="0" applyNumberFormat="1" applyBorder="1"/>
    <xf numFmtId="0" fontId="0" fillId="0" borderId="20" xfId="0" applyBorder="1" applyAlignment="1">
      <alignment wrapText="1"/>
    </xf>
    <xf numFmtId="0" fontId="0" fillId="0" borderId="20" xfId="0" quotePrefix="1" applyBorder="1"/>
    <xf numFmtId="0" fontId="0" fillId="0" borderId="46" xfId="0" applyBorder="1"/>
    <xf numFmtId="0" fontId="0" fillId="0" borderId="20" xfId="0" applyFill="1" applyBorder="1"/>
    <xf numFmtId="0" fontId="34" fillId="0" borderId="47" xfId="0" applyFont="1" applyBorder="1"/>
    <xf numFmtId="0" fontId="0" fillId="0" borderId="20" xfId="0" applyBorder="1" applyAlignment="1">
      <alignment horizontal="left"/>
    </xf>
    <xf numFmtId="0" fontId="0" fillId="0" borderId="46" xfId="0" quotePrefix="1" applyBorder="1"/>
    <xf numFmtId="0" fontId="0" fillId="0" borderId="47" xfId="0" applyBorder="1"/>
    <xf numFmtId="0" fontId="0" fillId="0" borderId="48" xfId="0" applyBorder="1"/>
    <xf numFmtId="0" fontId="0" fillId="0" borderId="0" xfId="0" applyNumberFormat="1"/>
    <xf numFmtId="0" fontId="22" fillId="0" borderId="0" xfId="0" applyFont="1" applyFill="1" applyBorder="1"/>
    <xf numFmtId="0" fontId="0" fillId="0" borderId="0" xfId="0" quotePrefix="1" applyFill="1" applyBorder="1"/>
    <xf numFmtId="1" fontId="0" fillId="0" borderId="46" xfId="0" applyNumberFormat="1" applyBorder="1"/>
  </cellXfs>
  <cellStyles count="4">
    <cellStyle name="Komma" xfId="2" builtinId="3"/>
    <cellStyle name="Prozent" xfId="3" builtinId="5"/>
    <cellStyle name="Standard" xfId="0" builtinId="0"/>
    <cellStyle name="Standard 2" xfId="1" xr:uid="{56A49AC1-C660-4256-BE9C-6F9EA27A4998}"/>
  </cellStyles>
  <dxfs count="213">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0" tint="-4.9989318521683403E-2"/>
        </patternFill>
      </fill>
    </dxf>
    <dxf>
      <numFmt numFmtId="2" formatCode="0.00"/>
      <fill>
        <patternFill>
          <bgColor theme="0" tint="-4.9989318521683403E-2"/>
        </patternFill>
      </fill>
    </dxf>
    <dxf>
      <numFmt numFmtId="1" formatCode="0"/>
    </dxf>
    <dxf>
      <numFmt numFmtId="0" formatCode="General"/>
    </dxf>
    <dxf>
      <numFmt numFmtId="0" formatCode="General"/>
    </dxf>
    <dxf>
      <alignment horizontal="general" vertical="top" textRotation="0" wrapText="1" indent="0" justifyLastLine="0" shrinkToFit="0" readingOrder="0"/>
    </dxf>
    <dxf>
      <numFmt numFmtId="30" formatCode="@"/>
    </dxf>
    <dxf>
      <numFmt numFmtId="0" formatCode="General"/>
    </dxf>
    <dxf>
      <numFmt numFmtId="0" formatCode="General"/>
    </dxf>
    <dxf>
      <numFmt numFmtId="30" formatCode="@"/>
    </dxf>
    <dxf>
      <numFmt numFmtId="30" formatCode="@"/>
      <alignment horizontal="right" vertical="bottom"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7" formatCode="_-* #,##0_-;\-* #,##0_-;_-* &quot;-&quot;??_-;_-@_-"/>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rial"/>
        <family val="2"/>
        <scheme val="none"/>
      </font>
      <numFmt numFmtId="1" formatCode="0"/>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fill>
        <patternFill patternType="solid">
          <fgColor theme="0" tint="-0.14999847407452621"/>
          <bgColor theme="0" tint="-0.14999847407452621"/>
        </patternFill>
      </fill>
      <alignment horizontal="general" vertical="bottom" textRotation="0" wrapText="0" indent="0" justifyLastLine="0" shrinkToFit="0" readingOrder="0"/>
    </dxf>
    <dxf>
      <border outline="0">
        <top style="thin">
          <color theme="1"/>
        </top>
        <bottom style="thin">
          <color theme="1"/>
        </bottom>
      </border>
    </dxf>
    <dxf>
      <font>
        <b val="0"/>
        <i val="0"/>
        <strike val="0"/>
        <condense val="0"/>
        <extend val="0"/>
        <outline val="0"/>
        <shadow val="0"/>
        <u val="none"/>
        <vertAlign val="baseline"/>
        <sz val="11"/>
        <color theme="1"/>
        <name val="Arial"/>
        <family val="2"/>
        <scheme val="none"/>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family val="2"/>
        <scheme val="none"/>
      </font>
      <numFmt numFmtId="0" formatCode="General"/>
      <alignment horizontal="general"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numFmt numFmtId="167" formatCode="_-* #,##0_-;\-* #,##0_-;_-* &quot;-&quot;??_-;_-@_-"/>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numFmt numFmtId="13" formatCode="0%"/>
    </dxf>
    <dxf>
      <font>
        <b/>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
      <border outline="0">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theme="4"/>
        </patternFill>
      </fill>
    </dxf>
    <dxf>
      <border outline="0">
        <left style="thin">
          <color theme="4" tint="0.39997558519241921"/>
        </left>
        <top style="thin">
          <color theme="4" tint="0.39997558519241921"/>
        </top>
      </border>
    </dxf>
    <dxf>
      <fill>
        <patternFill patternType="none">
          <fgColor indexed="64"/>
          <bgColor auto="1"/>
        </patternFill>
      </fill>
    </dxf>
    <dxf>
      <font>
        <strike val="0"/>
        <outline val="0"/>
        <shadow val="0"/>
        <u val="none"/>
        <vertAlign val="baseline"/>
        <sz val="11"/>
        <color theme="0"/>
        <name val="Calibri"/>
        <family val="2"/>
        <scheme val="none"/>
      </font>
      <fill>
        <patternFill>
          <bgColor theme="4"/>
        </patternFill>
      </fill>
    </dxf>
  </dxfs>
  <tableStyles count="0" defaultTableStyle="TableStyleMedium2" defaultPivotStyle="PivotStyleLight16"/>
  <colors>
    <mruColors>
      <color rgb="FF9F5987"/>
      <color rgb="FFA2C5D3"/>
      <color rgb="FFFF9999"/>
      <color rgb="FFFF7C8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Structure" Target="richData/rdrichvaluestructure.xml"/><Relationship Id="rId21" Type="http://schemas.openxmlformats.org/officeDocument/2006/relationships/worksheet" Target="worksheets/sheet21.xml"/><Relationship Id="rId34" Type="http://schemas.openxmlformats.org/officeDocument/2006/relationships/styles" Target="styles.xml"/><Relationship Id="rId42" Type="http://schemas.microsoft.com/office/2017/06/relationships/rdSupportingPropertyBagStructure" Target="richData/rdsupportingpropertybagstructure.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20/07/relationships/rdRichValueWebImage" Target="richData/rdRichValueWebImage.xml"/><Relationship Id="rId40" Type="http://schemas.microsoft.com/office/2017/06/relationships/rdArray" Target="richData/rdarray.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43" Type="http://schemas.microsoft.com/office/2017/06/relationships/rdSupportingPropertyBag" Target="richData/rdsupportingpropertybag.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 Target="richData/rdrichvalue.xml"/><Relationship Id="rId46" Type="http://schemas.openxmlformats.org/officeDocument/2006/relationships/calcChain" Target="calcChain.xml"/><Relationship Id="rId20" Type="http://schemas.openxmlformats.org/officeDocument/2006/relationships/worksheet" Target="worksheets/sheet20.xml"/><Relationship Id="rId41"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Data_radiator!$Y$184:$Y$199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ECE4-4DD3-9E41-A477B8C3CE59}"/>
            </c:ext>
          </c:extLst>
        </c:ser>
        <c:dLbls>
          <c:showLegendKey val="0"/>
          <c:showVal val="0"/>
          <c:showCatName val="0"/>
          <c:showSerName val="0"/>
          <c:showPercent val="0"/>
          <c:showBubbleSize val="0"/>
        </c:dLbls>
        <c:axId val="137906191"/>
        <c:axId val="66746927"/>
      </c:scatterChart>
      <c:valAx>
        <c:axId val="13790619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746927"/>
        <c:crosses val="autoZero"/>
        <c:crossBetween val="midCat"/>
      </c:valAx>
      <c:valAx>
        <c:axId val="6674692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7906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7.3355484143632146E-2"/>
          <c:y val="8.7158827915756049E-2"/>
          <c:w val="0.87772094032454873"/>
          <c:h val="0.8460638883833593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Data_radiator!$I$184:$I$199</c:f>
              <c:numCache>
                <c:formatCode>0.00000</c:formatCode>
                <c:ptCount val="16"/>
                <c:pt idx="0">
                  <c:v>0.37203599999999998</c:v>
                </c:pt>
                <c:pt idx="1">
                  <c:v>0.44413599999999998</c:v>
                </c:pt>
                <c:pt idx="2">
                  <c:v>0.55228600000000005</c:v>
                </c:pt>
                <c:pt idx="3">
                  <c:v>0.73253599999999996</c:v>
                </c:pt>
                <c:pt idx="4">
                  <c:v>0.56656799999999996</c:v>
                </c:pt>
                <c:pt idx="5">
                  <c:v>0.67636799999999997</c:v>
                </c:pt>
                <c:pt idx="6">
                  <c:v>0.84106800000000004</c:v>
                </c:pt>
                <c:pt idx="7">
                  <c:v>1.1155679999999999</c:v>
                </c:pt>
                <c:pt idx="8">
                  <c:v>0.7611</c:v>
                </c:pt>
                <c:pt idx="9">
                  <c:v>0.90859999999999996</c:v>
                </c:pt>
                <c:pt idx="10">
                  <c:v>1.12985</c:v>
                </c:pt>
                <c:pt idx="11">
                  <c:v>1.4985999999999999</c:v>
                </c:pt>
                <c:pt idx="12">
                  <c:v>0.95563200000000004</c:v>
                </c:pt>
                <c:pt idx="13">
                  <c:v>1.1408320000000001</c:v>
                </c:pt>
                <c:pt idx="14">
                  <c:v>1.4186319999999999</c:v>
                </c:pt>
                <c:pt idx="15">
                  <c:v>1.881632</c:v>
                </c:pt>
              </c:numCache>
            </c:numRef>
          </c:xVal>
          <c:yVal>
            <c:numRef>
              <c:f>Data_radiator!$Y$184:$Y$199</c:f>
              <c:numCache>
                <c:formatCode>_-* #,##0_-;\-* #,##0_-;_-* "-"??_-;_-@_-</c:formatCode>
                <c:ptCount val="16"/>
                <c:pt idx="0">
                  <c:v>406</c:v>
                </c:pt>
                <c:pt idx="1">
                  <c:v>482</c:v>
                </c:pt>
                <c:pt idx="2">
                  <c:v>595</c:v>
                </c:pt>
                <c:pt idx="3">
                  <c:v>781</c:v>
                </c:pt>
                <c:pt idx="4">
                  <c:v>588</c:v>
                </c:pt>
                <c:pt idx="5">
                  <c:v>698</c:v>
                </c:pt>
                <c:pt idx="6">
                  <c:v>862</c:v>
                </c:pt>
                <c:pt idx="7">
                  <c:v>1133</c:v>
                </c:pt>
                <c:pt idx="8">
                  <c:v>764</c:v>
                </c:pt>
                <c:pt idx="9">
                  <c:v>906</c:v>
                </c:pt>
                <c:pt idx="10">
                  <c:v>1119</c:v>
                </c:pt>
                <c:pt idx="11">
                  <c:v>1470</c:v>
                </c:pt>
                <c:pt idx="12">
                  <c:v>934</c:v>
                </c:pt>
                <c:pt idx="13">
                  <c:v>1108</c:v>
                </c:pt>
                <c:pt idx="14">
                  <c:v>1368</c:v>
                </c:pt>
                <c:pt idx="15">
                  <c:v>1798</c:v>
                </c:pt>
              </c:numCache>
            </c:numRef>
          </c:yVal>
          <c:smooth val="0"/>
          <c:extLst>
            <c:ext xmlns:c16="http://schemas.microsoft.com/office/drawing/2014/chart" uri="{C3380CC4-5D6E-409C-BE32-E72D297353CC}">
              <c16:uniqueId val="{00000000-B554-419A-91FC-F6ED4C4803EB}"/>
            </c:ext>
          </c:extLst>
        </c:ser>
        <c:dLbls>
          <c:showLegendKey val="0"/>
          <c:showVal val="0"/>
          <c:showCatName val="0"/>
          <c:showSerName val="0"/>
          <c:showPercent val="0"/>
          <c:showBubbleSize val="0"/>
        </c:dLbls>
        <c:axId val="736534735"/>
        <c:axId val="736535215"/>
      </c:scatterChart>
      <c:valAx>
        <c:axId val="736534735"/>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5215"/>
        <c:crosses val="autoZero"/>
        <c:crossBetween val="midCat"/>
      </c:valAx>
      <c:valAx>
        <c:axId val="7365352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65347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18" Type="http://schemas.openxmlformats.org/officeDocument/2006/relationships/image" Target="../media/image24.png"/><Relationship Id="rId3" Type="http://schemas.openxmlformats.org/officeDocument/2006/relationships/image" Target="../media/image9.png"/><Relationship Id="rId21" Type="http://schemas.openxmlformats.org/officeDocument/2006/relationships/image" Target="../media/image1.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20" Type="http://schemas.openxmlformats.org/officeDocument/2006/relationships/image" Target="../media/image26.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24" Type="http://schemas.openxmlformats.org/officeDocument/2006/relationships/image" Target="../media/image27.png"/><Relationship Id="rId5" Type="http://schemas.openxmlformats.org/officeDocument/2006/relationships/image" Target="../media/image11.png"/><Relationship Id="rId15" Type="http://schemas.openxmlformats.org/officeDocument/2006/relationships/image" Target="../media/image21.png"/><Relationship Id="rId23" Type="http://schemas.openxmlformats.org/officeDocument/2006/relationships/chart" Target="../charts/chart2.xml"/><Relationship Id="rId10" Type="http://schemas.openxmlformats.org/officeDocument/2006/relationships/image" Target="../media/image16.png"/><Relationship Id="rId19" Type="http://schemas.openxmlformats.org/officeDocument/2006/relationships/image" Target="../media/image25.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 Id="rId22"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3</xdr:col>
      <xdr:colOff>3028741</xdr:colOff>
      <xdr:row>51</xdr:row>
      <xdr:rowOff>189243</xdr:rowOff>
    </xdr:from>
    <xdr:to>
      <xdr:col>7</xdr:col>
      <xdr:colOff>705089</xdr:colOff>
      <xdr:row>64</xdr:row>
      <xdr:rowOff>130170</xdr:rowOff>
    </xdr:to>
    <xdr:pic>
      <xdr:nvPicPr>
        <xdr:cNvPr id="2" name="Grafik 1">
          <a:extLst>
            <a:ext uri="{FF2B5EF4-FFF2-40B4-BE49-F238E27FC236}">
              <a16:creationId xmlns:a16="http://schemas.microsoft.com/office/drawing/2014/main" id="{5AF03694-3C3A-44CB-AA42-3B7833893B77}"/>
            </a:ext>
          </a:extLst>
        </xdr:cNvPr>
        <xdr:cNvPicPr>
          <a:picLocks noChangeAspect="1"/>
        </xdr:cNvPicPr>
      </xdr:nvPicPr>
      <xdr:blipFill>
        <a:blip xmlns:r="http://schemas.openxmlformats.org/officeDocument/2006/relationships" r:embed="rId1"/>
        <a:stretch>
          <a:fillRect/>
        </a:stretch>
      </xdr:blipFill>
      <xdr:spPr>
        <a:xfrm>
          <a:off x="8410366" y="9942843"/>
          <a:ext cx="2934148" cy="2417427"/>
        </a:xfrm>
        <a:prstGeom prst="rect">
          <a:avLst/>
        </a:prstGeom>
      </xdr:spPr>
    </xdr:pic>
    <xdr:clientData/>
  </xdr:twoCellAnchor>
  <xdr:twoCellAnchor editAs="oneCell">
    <xdr:from>
      <xdr:col>39</xdr:col>
      <xdr:colOff>726141</xdr:colOff>
      <xdr:row>50</xdr:row>
      <xdr:rowOff>112060</xdr:rowOff>
    </xdr:from>
    <xdr:to>
      <xdr:col>60</xdr:col>
      <xdr:colOff>570524</xdr:colOff>
      <xdr:row>107</xdr:row>
      <xdr:rowOff>106508</xdr:rowOff>
    </xdr:to>
    <xdr:pic>
      <xdr:nvPicPr>
        <xdr:cNvPr id="3" name="Grafik 2">
          <a:extLst>
            <a:ext uri="{FF2B5EF4-FFF2-40B4-BE49-F238E27FC236}">
              <a16:creationId xmlns:a16="http://schemas.microsoft.com/office/drawing/2014/main" id="{8FAE119C-D289-428D-AD51-E3B6858AB2B6}"/>
            </a:ext>
          </a:extLst>
        </xdr:cNvPr>
        <xdr:cNvPicPr>
          <a:picLocks noChangeAspect="1"/>
        </xdr:cNvPicPr>
      </xdr:nvPicPr>
      <xdr:blipFill>
        <a:blip xmlns:r="http://schemas.openxmlformats.org/officeDocument/2006/relationships" r:embed="rId2"/>
        <a:stretch>
          <a:fillRect/>
        </a:stretch>
      </xdr:blipFill>
      <xdr:spPr>
        <a:xfrm>
          <a:off x="41569341" y="9675160"/>
          <a:ext cx="15970208" cy="10852948"/>
        </a:xfrm>
        <a:prstGeom prst="rect">
          <a:avLst/>
        </a:prstGeom>
      </xdr:spPr>
    </xdr:pic>
    <xdr:clientData/>
  </xdr:twoCellAnchor>
  <xdr:twoCellAnchor editAs="oneCell">
    <xdr:from>
      <xdr:col>14</xdr:col>
      <xdr:colOff>66675</xdr:colOff>
      <xdr:row>27</xdr:row>
      <xdr:rowOff>179624</xdr:rowOff>
    </xdr:from>
    <xdr:to>
      <xdr:col>19</xdr:col>
      <xdr:colOff>533400</xdr:colOff>
      <xdr:row>35</xdr:row>
      <xdr:rowOff>181236</xdr:rowOff>
    </xdr:to>
    <xdr:pic>
      <xdr:nvPicPr>
        <xdr:cNvPr id="4" name="Grafik 3">
          <a:extLst>
            <a:ext uri="{FF2B5EF4-FFF2-40B4-BE49-F238E27FC236}">
              <a16:creationId xmlns:a16="http://schemas.microsoft.com/office/drawing/2014/main" id="{70A86052-2AE4-49AB-AC12-32AF124885CB}"/>
            </a:ext>
          </a:extLst>
        </xdr:cNvPr>
        <xdr:cNvPicPr>
          <a:picLocks noChangeAspect="1"/>
        </xdr:cNvPicPr>
      </xdr:nvPicPr>
      <xdr:blipFill>
        <a:blip xmlns:r="http://schemas.openxmlformats.org/officeDocument/2006/relationships" r:embed="rId3"/>
        <a:stretch>
          <a:fillRect/>
        </a:stretch>
      </xdr:blipFill>
      <xdr:spPr>
        <a:xfrm>
          <a:off x="16621125" y="5361224"/>
          <a:ext cx="5705475" cy="1525612"/>
        </a:xfrm>
        <a:prstGeom prst="rect">
          <a:avLst/>
        </a:prstGeom>
      </xdr:spPr>
    </xdr:pic>
    <xdr:clientData/>
  </xdr:twoCellAnchor>
  <xdr:twoCellAnchor editAs="oneCell">
    <xdr:from>
      <xdr:col>33</xdr:col>
      <xdr:colOff>28576</xdr:colOff>
      <xdr:row>27</xdr:row>
      <xdr:rowOff>123825</xdr:rowOff>
    </xdr:from>
    <xdr:to>
      <xdr:col>36</xdr:col>
      <xdr:colOff>428289</xdr:colOff>
      <xdr:row>47</xdr:row>
      <xdr:rowOff>10300</xdr:rowOff>
    </xdr:to>
    <xdr:pic>
      <xdr:nvPicPr>
        <xdr:cNvPr id="5" name="Grafik 4">
          <a:extLst>
            <a:ext uri="{FF2B5EF4-FFF2-40B4-BE49-F238E27FC236}">
              <a16:creationId xmlns:a16="http://schemas.microsoft.com/office/drawing/2014/main" id="{243C894D-49B4-405D-8027-8D9AEF6653F8}"/>
            </a:ext>
          </a:extLst>
        </xdr:cNvPr>
        <xdr:cNvPicPr>
          <a:picLocks noChangeAspect="1"/>
        </xdr:cNvPicPr>
      </xdr:nvPicPr>
      <xdr:blipFill>
        <a:blip xmlns:r="http://schemas.openxmlformats.org/officeDocument/2006/relationships" r:embed="rId4"/>
        <a:stretch>
          <a:fillRect/>
        </a:stretch>
      </xdr:blipFill>
      <xdr:spPr>
        <a:xfrm>
          <a:off x="35556826" y="5305425"/>
          <a:ext cx="3057188" cy="369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68014</xdr:rowOff>
    </xdr:to>
    <xdr:sp macro="" textlink="">
      <xdr:nvSpPr>
        <xdr:cNvPr id="17" name="AutoShape 1" descr="{{\dot  {q}}}">
          <a:extLst>
            <a:ext uri="{FF2B5EF4-FFF2-40B4-BE49-F238E27FC236}">
              <a16:creationId xmlns:a16="http://schemas.microsoft.com/office/drawing/2014/main" id="{547BBB07-C938-4685-806E-AFD8172A0AB2}"/>
            </a:ext>
          </a:extLst>
        </xdr:cNvPr>
        <xdr:cNvSpPr>
          <a:spLocks noChangeAspect="1" noChangeArrowheads="1"/>
        </xdr:cNvSpPr>
      </xdr:nvSpPr>
      <xdr:spPr bwMode="auto">
        <a:xfrm>
          <a:off x="1905000" y="4857750"/>
          <a:ext cx="304800" cy="30894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18" name="Grafik 17">
          <a:extLst>
            <a:ext uri="{FF2B5EF4-FFF2-40B4-BE49-F238E27FC236}">
              <a16:creationId xmlns:a16="http://schemas.microsoft.com/office/drawing/2014/main" id="{A99913CE-2F22-44C6-9922-55FCE1A1F6D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1456" y="486603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19" name="Grafik 18">
          <a:extLst>
            <a:ext uri="{FF2B5EF4-FFF2-40B4-BE49-F238E27FC236}">
              <a16:creationId xmlns:a16="http://schemas.microsoft.com/office/drawing/2014/main" id="{796F448E-2B58-4D0F-A5FC-EA65774F009A}"/>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64411" y="48660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20" name="Grafik 19">
          <a:extLst>
            <a:ext uri="{FF2B5EF4-FFF2-40B4-BE49-F238E27FC236}">
              <a16:creationId xmlns:a16="http://schemas.microsoft.com/office/drawing/2014/main" id="{470E9981-E75E-4B5E-96EB-A0CACDB8681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0976" y="585414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21" name="Grafik 20">
          <a:extLst>
            <a:ext uri="{FF2B5EF4-FFF2-40B4-BE49-F238E27FC236}">
              <a16:creationId xmlns:a16="http://schemas.microsoft.com/office/drawing/2014/main" id="{A5319E83-8DD2-4AE6-8F7C-FB20C776752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020" y="5837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22" name="AutoShape 1" descr="{{\dot  {q}}}">
          <a:extLst>
            <a:ext uri="{FF2B5EF4-FFF2-40B4-BE49-F238E27FC236}">
              <a16:creationId xmlns:a16="http://schemas.microsoft.com/office/drawing/2014/main" id="{E3503F1B-E504-4EC1-9032-81F78464542C}"/>
            </a:ext>
          </a:extLst>
        </xdr:cNvPr>
        <xdr:cNvSpPr>
          <a:spLocks noChangeAspect="1" noChangeArrowheads="1"/>
        </xdr:cNvSpPr>
      </xdr:nvSpPr>
      <xdr:spPr bwMode="auto">
        <a:xfrm>
          <a:off x="7059706" y="450476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23" name="Grafik 22">
          <a:extLst>
            <a:ext uri="{FF2B5EF4-FFF2-40B4-BE49-F238E27FC236}">
              <a16:creationId xmlns:a16="http://schemas.microsoft.com/office/drawing/2014/main" id="{7566C343-BC7F-4A8C-A719-6DCDCF6A720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66162" y="4513048"/>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24" name="Grafik 23">
          <a:extLst>
            <a:ext uri="{FF2B5EF4-FFF2-40B4-BE49-F238E27FC236}">
              <a16:creationId xmlns:a16="http://schemas.microsoft.com/office/drawing/2014/main" id="{140E3D4B-8712-4F0A-BA23-29BA3323CCE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5645" y="4513048"/>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25" name="Grafik 24">
          <a:extLst>
            <a:ext uri="{FF2B5EF4-FFF2-40B4-BE49-F238E27FC236}">
              <a16:creationId xmlns:a16="http://schemas.microsoft.com/office/drawing/2014/main" id="{88FCCCA5-8F25-4A3F-86AC-6CA2A1BAB86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2210" y="5504525"/>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26" name="Grafik 25">
          <a:extLst>
            <a:ext uri="{FF2B5EF4-FFF2-40B4-BE49-F238E27FC236}">
              <a16:creationId xmlns:a16="http://schemas.microsoft.com/office/drawing/2014/main" id="{46A2BC26-7518-4246-A6F5-B44CB351DBA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82726" y="5487959"/>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14</xdr:row>
      <xdr:rowOff>0</xdr:rowOff>
    </xdr:from>
    <xdr:to>
      <xdr:col>4</xdr:col>
      <xdr:colOff>304800</xdr:colOff>
      <xdr:row>15</xdr:row>
      <xdr:rowOff>152058</xdr:rowOff>
    </xdr:to>
    <xdr:sp macro="" textlink="">
      <xdr:nvSpPr>
        <xdr:cNvPr id="2" name="AutoShape 1" descr="{{\dot  {q}}}">
          <a:extLst>
            <a:ext uri="{FF2B5EF4-FFF2-40B4-BE49-F238E27FC236}">
              <a16:creationId xmlns:a16="http://schemas.microsoft.com/office/drawing/2014/main" id="{D02F50D7-50A5-4694-AA08-7F4AAF3A43D6}"/>
            </a:ext>
          </a:extLst>
        </xdr:cNvPr>
        <xdr:cNvSpPr>
          <a:spLocks noChangeAspect="1" noChangeArrowheads="1"/>
        </xdr:cNvSpPr>
      </xdr:nvSpPr>
      <xdr:spPr bwMode="auto">
        <a:xfrm>
          <a:off x="7048500" y="4486275"/>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BAE6E1A0-E560-49D4-B7DE-D4A124C67A07}"/>
            </a:ext>
          </a:extLst>
        </xdr:cNvPr>
        <xdr:cNvSpPr>
          <a:spLocks noChangeAspect="1" noChangeArrowheads="1"/>
        </xdr:cNvSpPr>
      </xdr:nvSpPr>
      <xdr:spPr bwMode="auto">
        <a:xfrm>
          <a:off x="70485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3D168D2F-CF95-455F-996A-017D6744717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03E50F66-E3BA-4606-B9C8-289BBE6B3E2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3343B7F6-9A90-4318-A56B-D0A7DC88460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0C00488F-DC00-4C6C-B748-55464F5E9E1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F3E9A659-7F95-42AC-B8D5-60E3DB16F33D}"/>
            </a:ext>
          </a:extLst>
        </xdr:cNvPr>
        <xdr:cNvSpPr>
          <a:spLocks noChangeAspect="1" noChangeArrowheads="1"/>
        </xdr:cNvSpPr>
      </xdr:nvSpPr>
      <xdr:spPr bwMode="auto">
        <a:xfrm>
          <a:off x="70485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B48F4EBC-23C3-44E2-8A85-9BFA35077F44}"/>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223B93A7-937D-4831-A198-879C1CE046E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5306892A-392D-4807-855F-047348B6D55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D28D0FE1-DCEE-4953-85BA-40C37588D0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C7F61352-C289-4C63-95D2-FD71C82319A6}"/>
            </a:ext>
          </a:extLst>
        </xdr:cNvPr>
        <xdr:cNvSpPr>
          <a:spLocks noChangeAspect="1" noChangeArrowheads="1"/>
        </xdr:cNvSpPr>
      </xdr:nvSpPr>
      <xdr:spPr bwMode="auto">
        <a:xfrm>
          <a:off x="70485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722B44FB-0CDE-44B2-A4CD-8299FC54E4C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E262EB74-E110-4E9B-9377-67B6863514D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ECCD65DA-F002-4584-B02F-5ABA8D073A5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13629607-3218-4371-A3E1-C4F8E4F9FAB8}"/>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20AE5C7A-CCF0-4832-AC3D-95C4D55B8DD5}"/>
            </a:ext>
          </a:extLst>
        </xdr:cNvPr>
        <xdr:cNvSpPr>
          <a:spLocks noChangeAspect="1" noChangeArrowheads="1"/>
        </xdr:cNvSpPr>
      </xdr:nvSpPr>
      <xdr:spPr bwMode="auto">
        <a:xfrm>
          <a:off x="70485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7B5E8EAE-C041-44D0-91D7-AD225F2808D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549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4509CA61-E6C1-4708-AED3-7C2C75E7038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078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537202EB-A7DD-4F7E-B4CE-F1B85928FDA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4244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7E601B7F-4A20-4F69-A923-79605F43DDE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3715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152058</xdr:rowOff>
    </xdr:to>
    <xdr:sp macro="" textlink="">
      <xdr:nvSpPr>
        <xdr:cNvPr id="2" name="AutoShape 1" descr="{{\dot  {q}}}">
          <a:extLst>
            <a:ext uri="{FF2B5EF4-FFF2-40B4-BE49-F238E27FC236}">
              <a16:creationId xmlns:a16="http://schemas.microsoft.com/office/drawing/2014/main" id="{3E67C770-A2EA-4628-94EA-8B8AC0235CB6}"/>
            </a:ext>
          </a:extLst>
        </xdr:cNvPr>
        <xdr:cNvSpPr>
          <a:spLocks noChangeAspect="1" noChangeArrowheads="1"/>
        </xdr:cNvSpPr>
      </xdr:nvSpPr>
      <xdr:spPr bwMode="auto">
        <a:xfrm>
          <a:off x="7210425" y="3886200"/>
          <a:ext cx="304800" cy="35208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16</xdr:row>
      <xdr:rowOff>0</xdr:rowOff>
    </xdr:from>
    <xdr:to>
      <xdr:col>4</xdr:col>
      <xdr:colOff>304800</xdr:colOff>
      <xdr:row>17</xdr:row>
      <xdr:rowOff>28794</xdr:rowOff>
    </xdr:to>
    <xdr:sp macro="" textlink="">
      <xdr:nvSpPr>
        <xdr:cNvPr id="2" name="AutoShape 1" descr="{{\dot  {q}}}">
          <a:extLst>
            <a:ext uri="{FF2B5EF4-FFF2-40B4-BE49-F238E27FC236}">
              <a16:creationId xmlns:a16="http://schemas.microsoft.com/office/drawing/2014/main" id="{6E18388F-E34D-4CCF-A8E3-DBCD39159BA2}"/>
            </a:ext>
          </a:extLst>
        </xdr:cNvPr>
        <xdr:cNvSpPr>
          <a:spLocks noChangeAspect="1" noChangeArrowheads="1"/>
        </xdr:cNvSpPr>
      </xdr:nvSpPr>
      <xdr:spPr bwMode="auto">
        <a:xfrm>
          <a:off x="7886700" y="4686300"/>
          <a:ext cx="304800" cy="35264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twoCellAnchor>
    <xdr:from>
      <xdr:col>4</xdr:col>
      <xdr:colOff>306456</xdr:colOff>
      <xdr:row>16</xdr:row>
      <xdr:rowOff>8283</xdr:rowOff>
    </xdr:from>
    <xdr:to>
      <xdr:col>4</xdr:col>
      <xdr:colOff>525531</xdr:colOff>
      <xdr:row>16</xdr:row>
      <xdr:rowOff>236883</xdr:rowOff>
    </xdr:to>
    <xdr:pic>
      <xdr:nvPicPr>
        <xdr:cNvPr id="3" name="Grafik 2">
          <a:extLst>
            <a:ext uri="{FF2B5EF4-FFF2-40B4-BE49-F238E27FC236}">
              <a16:creationId xmlns:a16="http://schemas.microsoft.com/office/drawing/2014/main" id="{8D403B84-59AB-4D6D-AB2E-125FF21F690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3156" y="4694583"/>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16</xdr:row>
      <xdr:rowOff>8283</xdr:rowOff>
    </xdr:from>
    <xdr:to>
      <xdr:col>12</xdr:col>
      <xdr:colOff>520561</xdr:colOff>
      <xdr:row>16</xdr:row>
      <xdr:rowOff>236883</xdr:rowOff>
    </xdr:to>
    <xdr:pic>
      <xdr:nvPicPr>
        <xdr:cNvPr id="4" name="Grafik 3">
          <a:extLst>
            <a:ext uri="{FF2B5EF4-FFF2-40B4-BE49-F238E27FC236}">
              <a16:creationId xmlns:a16="http://schemas.microsoft.com/office/drawing/2014/main" id="{E4C53BC1-A521-4FE0-837B-24C3DFFB58FD}"/>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46086" y="469458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19</xdr:row>
      <xdr:rowOff>24849</xdr:rowOff>
    </xdr:from>
    <xdr:to>
      <xdr:col>12</xdr:col>
      <xdr:colOff>575226</xdr:colOff>
      <xdr:row>19</xdr:row>
      <xdr:rowOff>253449</xdr:rowOff>
    </xdr:to>
    <xdr:pic>
      <xdr:nvPicPr>
        <xdr:cNvPr id="5" name="Grafik 4">
          <a:extLst>
            <a:ext uri="{FF2B5EF4-FFF2-40B4-BE49-F238E27FC236}">
              <a16:creationId xmlns:a16="http://schemas.microsoft.com/office/drawing/2014/main" id="{6CF74035-97A0-4308-8596-08A2AD41898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62651" y="5682699"/>
          <a:ext cx="2190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19</xdr:row>
      <xdr:rowOff>8283</xdr:rowOff>
    </xdr:from>
    <xdr:to>
      <xdr:col>4</xdr:col>
      <xdr:colOff>503995</xdr:colOff>
      <xdr:row>19</xdr:row>
      <xdr:rowOff>236883</xdr:rowOff>
    </xdr:to>
    <xdr:pic>
      <xdr:nvPicPr>
        <xdr:cNvPr id="6" name="Grafik 5">
          <a:extLst>
            <a:ext uri="{FF2B5EF4-FFF2-40B4-BE49-F238E27FC236}">
              <a16:creationId xmlns:a16="http://schemas.microsoft.com/office/drawing/2014/main" id="{45EE3747-62FD-4C0C-AE1C-EEF949A860E1}"/>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09720" y="5666133"/>
          <a:ext cx="1809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36</xdr:row>
      <xdr:rowOff>0</xdr:rowOff>
    </xdr:from>
    <xdr:ext cx="304800" cy="353764"/>
    <xdr:sp macro="" textlink="">
      <xdr:nvSpPr>
        <xdr:cNvPr id="7" name="AutoShape 1" descr="{{\dot  {q}}}">
          <a:extLst>
            <a:ext uri="{FF2B5EF4-FFF2-40B4-BE49-F238E27FC236}">
              <a16:creationId xmlns:a16="http://schemas.microsoft.com/office/drawing/2014/main" id="{E7232F8D-5832-4A02-9B16-49E739F5D49C}"/>
            </a:ext>
          </a:extLst>
        </xdr:cNvPr>
        <xdr:cNvSpPr>
          <a:spLocks noChangeAspect="1" noChangeArrowheads="1"/>
        </xdr:cNvSpPr>
      </xdr:nvSpPr>
      <xdr:spPr bwMode="auto">
        <a:xfrm>
          <a:off x="7886700" y="9953625"/>
          <a:ext cx="304800" cy="353764"/>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oneCellAnchor>
  <xdr:twoCellAnchor>
    <xdr:from>
      <xdr:col>4</xdr:col>
      <xdr:colOff>306456</xdr:colOff>
      <xdr:row>36</xdr:row>
      <xdr:rowOff>8283</xdr:rowOff>
    </xdr:from>
    <xdr:to>
      <xdr:col>4</xdr:col>
      <xdr:colOff>525531</xdr:colOff>
      <xdr:row>36</xdr:row>
      <xdr:rowOff>236883</xdr:rowOff>
    </xdr:to>
    <xdr:pic>
      <xdr:nvPicPr>
        <xdr:cNvPr id="8" name="Grafik 7">
          <a:extLst>
            <a:ext uri="{FF2B5EF4-FFF2-40B4-BE49-F238E27FC236}">
              <a16:creationId xmlns:a16="http://schemas.microsoft.com/office/drawing/2014/main" id="{B3E93F96-5F99-42D8-9D1C-9C5A8A38E3F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3156" y="9961908"/>
          <a:ext cx="219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339586</xdr:colOff>
      <xdr:row>36</xdr:row>
      <xdr:rowOff>8283</xdr:rowOff>
    </xdr:from>
    <xdr:to>
      <xdr:col>12</xdr:col>
      <xdr:colOff>520561</xdr:colOff>
      <xdr:row>36</xdr:row>
      <xdr:rowOff>236883</xdr:rowOff>
    </xdr:to>
    <xdr:pic>
      <xdr:nvPicPr>
        <xdr:cNvPr id="9" name="Grafik 8">
          <a:extLst>
            <a:ext uri="{FF2B5EF4-FFF2-40B4-BE49-F238E27FC236}">
              <a16:creationId xmlns:a16="http://schemas.microsoft.com/office/drawing/2014/main" id="{0FB78E1D-93B2-455C-B7A8-D152D1B5EE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46086" y="9961908"/>
          <a:ext cx="1809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356151</xdr:colOff>
      <xdr:row>39</xdr:row>
      <xdr:rowOff>24849</xdr:rowOff>
    </xdr:from>
    <xdr:to>
      <xdr:col>12</xdr:col>
      <xdr:colOff>575226</xdr:colOff>
      <xdr:row>39</xdr:row>
      <xdr:rowOff>253449</xdr:rowOff>
    </xdr:to>
    <xdr:pic>
      <xdr:nvPicPr>
        <xdr:cNvPr id="10" name="Grafik 9">
          <a:extLst>
            <a:ext uri="{FF2B5EF4-FFF2-40B4-BE49-F238E27FC236}">
              <a16:creationId xmlns:a16="http://schemas.microsoft.com/office/drawing/2014/main" id="{D56EE8B0-0AFA-4FB4-A5A6-2F4C5559FC0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262651" y="10559499"/>
          <a:ext cx="219075" cy="17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323020</xdr:colOff>
      <xdr:row>39</xdr:row>
      <xdr:rowOff>8283</xdr:rowOff>
    </xdr:from>
    <xdr:to>
      <xdr:col>4</xdr:col>
      <xdr:colOff>503995</xdr:colOff>
      <xdr:row>39</xdr:row>
      <xdr:rowOff>236883</xdr:rowOff>
    </xdr:to>
    <xdr:pic>
      <xdr:nvPicPr>
        <xdr:cNvPr id="11" name="Grafik 10">
          <a:extLst>
            <a:ext uri="{FF2B5EF4-FFF2-40B4-BE49-F238E27FC236}">
              <a16:creationId xmlns:a16="http://schemas.microsoft.com/office/drawing/2014/main" id="{22816637-33CD-4DFE-9342-35071AD0052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09720" y="10542933"/>
          <a:ext cx="1809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304800</xdr:colOff>
      <xdr:row>14</xdr:row>
      <xdr:rowOff>152058</xdr:rowOff>
    </xdr:to>
    <xdr:sp macro="" textlink="">
      <xdr:nvSpPr>
        <xdr:cNvPr id="2" name="AutoShape 1" descr="{{\dot  {q}}}">
          <a:extLst>
            <a:ext uri="{FF2B5EF4-FFF2-40B4-BE49-F238E27FC236}">
              <a16:creationId xmlns:a16="http://schemas.microsoft.com/office/drawing/2014/main" id="{13F980B8-6002-41DA-82B1-66C8E8949DED}"/>
            </a:ext>
          </a:extLst>
        </xdr:cNvPr>
        <xdr:cNvSpPr>
          <a:spLocks noChangeAspect="1" noChangeArrowheads="1"/>
        </xdr:cNvSpPr>
      </xdr:nvSpPr>
      <xdr:spPr bwMode="auto">
        <a:xfrm>
          <a:off x="7210425" y="3886200"/>
          <a:ext cx="304800" cy="35208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DE"/>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29</xdr:col>
      <xdr:colOff>287153</xdr:colOff>
      <xdr:row>4</xdr:row>
      <xdr:rowOff>9445</xdr:rowOff>
    </xdr:from>
    <xdr:ext cx="7035813" cy="4097111"/>
    <xdr:pic>
      <xdr:nvPicPr>
        <xdr:cNvPr id="2" name="Grafik 1">
          <a:extLst>
            <a:ext uri="{FF2B5EF4-FFF2-40B4-BE49-F238E27FC236}">
              <a16:creationId xmlns:a16="http://schemas.microsoft.com/office/drawing/2014/main" id="{26E57D3D-BBAC-4E67-BB6A-2566BA6DE5C7}"/>
            </a:ext>
          </a:extLst>
        </xdr:cNvPr>
        <xdr:cNvPicPr>
          <a:picLocks noChangeAspect="1"/>
        </xdr:cNvPicPr>
      </xdr:nvPicPr>
      <xdr:blipFill>
        <a:blip xmlns:r="http://schemas.openxmlformats.org/officeDocument/2006/relationships" r:embed="rId1"/>
        <a:stretch>
          <a:fillRect/>
        </a:stretch>
      </xdr:blipFill>
      <xdr:spPr>
        <a:xfrm>
          <a:off x="17027341" y="1128633"/>
          <a:ext cx="7035813" cy="4097111"/>
        </a:xfrm>
        <a:prstGeom prst="rect">
          <a:avLst/>
        </a:prstGeom>
      </xdr:spPr>
    </xdr:pic>
    <xdr:clientData/>
  </xdr:oneCellAnchor>
  <xdr:oneCellAnchor>
    <xdr:from>
      <xdr:col>37</xdr:col>
      <xdr:colOff>162926</xdr:colOff>
      <xdr:row>107</xdr:row>
      <xdr:rowOff>3962</xdr:rowOff>
    </xdr:from>
    <xdr:ext cx="7329627" cy="3002383"/>
    <xdr:pic>
      <xdr:nvPicPr>
        <xdr:cNvPr id="3" name="Grafik 2">
          <a:extLst>
            <a:ext uri="{FF2B5EF4-FFF2-40B4-BE49-F238E27FC236}">
              <a16:creationId xmlns:a16="http://schemas.microsoft.com/office/drawing/2014/main" id="{EA8656F7-D8FD-4BA0-A7CB-091971815951}"/>
            </a:ext>
          </a:extLst>
        </xdr:cNvPr>
        <xdr:cNvPicPr>
          <a:picLocks noChangeAspect="1"/>
        </xdr:cNvPicPr>
      </xdr:nvPicPr>
      <xdr:blipFill>
        <a:blip xmlns:r="http://schemas.openxmlformats.org/officeDocument/2006/relationships" r:embed="rId2"/>
        <a:stretch>
          <a:fillRect/>
        </a:stretch>
      </xdr:blipFill>
      <xdr:spPr>
        <a:xfrm>
          <a:off x="29241390" y="16795176"/>
          <a:ext cx="7329627" cy="3002383"/>
        </a:xfrm>
        <a:prstGeom prst="rect">
          <a:avLst/>
        </a:prstGeom>
      </xdr:spPr>
    </xdr:pic>
    <xdr:clientData/>
  </xdr:oneCellAnchor>
  <xdr:twoCellAnchor editAs="oneCell">
    <xdr:from>
      <xdr:col>27</xdr:col>
      <xdr:colOff>266190</xdr:colOff>
      <xdr:row>330</xdr:row>
      <xdr:rowOff>126015</xdr:rowOff>
    </xdr:from>
    <xdr:to>
      <xdr:col>32</xdr:col>
      <xdr:colOff>721273</xdr:colOff>
      <xdr:row>423</xdr:row>
      <xdr:rowOff>117057</xdr:rowOff>
    </xdr:to>
    <xdr:pic>
      <xdr:nvPicPr>
        <xdr:cNvPr id="7" name="Grafik 6">
          <a:extLst>
            <a:ext uri="{FF2B5EF4-FFF2-40B4-BE49-F238E27FC236}">
              <a16:creationId xmlns:a16="http://schemas.microsoft.com/office/drawing/2014/main" id="{73737DC2-504C-4FE8-A611-4301D1D0090A}"/>
            </a:ext>
          </a:extLst>
        </xdr:cNvPr>
        <xdr:cNvPicPr>
          <a:picLocks noChangeAspect="1"/>
        </xdr:cNvPicPr>
      </xdr:nvPicPr>
      <xdr:blipFill>
        <a:blip xmlns:r="http://schemas.openxmlformats.org/officeDocument/2006/relationships" r:embed="rId3"/>
        <a:stretch>
          <a:fillRect/>
        </a:stretch>
      </xdr:blipFill>
      <xdr:spPr>
        <a:xfrm>
          <a:off x="21153955" y="44008250"/>
          <a:ext cx="5792494" cy="7453075"/>
        </a:xfrm>
        <a:prstGeom prst="rect">
          <a:avLst/>
        </a:prstGeom>
      </xdr:spPr>
    </xdr:pic>
    <xdr:clientData/>
  </xdr:twoCellAnchor>
  <xdr:twoCellAnchor editAs="oneCell">
    <xdr:from>
      <xdr:col>38</xdr:col>
      <xdr:colOff>49278</xdr:colOff>
      <xdr:row>93</xdr:row>
      <xdr:rowOff>78441</xdr:rowOff>
    </xdr:from>
    <xdr:to>
      <xdr:col>43</xdr:col>
      <xdr:colOff>286709</xdr:colOff>
      <xdr:row>108</xdr:row>
      <xdr:rowOff>86872</xdr:rowOff>
    </xdr:to>
    <xdr:pic>
      <xdr:nvPicPr>
        <xdr:cNvPr id="11" name="Grafik 10">
          <a:extLst>
            <a:ext uri="{FF2B5EF4-FFF2-40B4-BE49-F238E27FC236}">
              <a16:creationId xmlns:a16="http://schemas.microsoft.com/office/drawing/2014/main" id="{DFAFE0E2-E5E7-6A6C-7858-DA8019EFA79F}"/>
            </a:ext>
          </a:extLst>
        </xdr:cNvPr>
        <xdr:cNvPicPr>
          <a:picLocks noChangeAspect="1"/>
        </xdr:cNvPicPr>
      </xdr:nvPicPr>
      <xdr:blipFill>
        <a:blip xmlns:r="http://schemas.openxmlformats.org/officeDocument/2006/relationships" r:embed="rId4"/>
        <a:stretch>
          <a:fillRect/>
        </a:stretch>
      </xdr:blipFill>
      <xdr:spPr>
        <a:xfrm>
          <a:off x="35616749" y="3003176"/>
          <a:ext cx="4719784" cy="2697845"/>
        </a:xfrm>
        <a:prstGeom prst="rect">
          <a:avLst/>
        </a:prstGeom>
      </xdr:spPr>
    </xdr:pic>
    <xdr:clientData/>
  </xdr:twoCellAnchor>
  <xdr:twoCellAnchor editAs="oneCell">
    <xdr:from>
      <xdr:col>29</xdr:col>
      <xdr:colOff>284950</xdr:colOff>
      <xdr:row>36</xdr:row>
      <xdr:rowOff>36335</xdr:rowOff>
    </xdr:from>
    <xdr:to>
      <xdr:col>38</xdr:col>
      <xdr:colOff>55230</xdr:colOff>
      <xdr:row>116</xdr:row>
      <xdr:rowOff>89960</xdr:rowOff>
    </xdr:to>
    <xdr:pic>
      <xdr:nvPicPr>
        <xdr:cNvPr id="12" name="Grafik 11">
          <a:extLst>
            <a:ext uri="{FF2B5EF4-FFF2-40B4-BE49-F238E27FC236}">
              <a16:creationId xmlns:a16="http://schemas.microsoft.com/office/drawing/2014/main" id="{4177DD4B-4833-E749-D703-D056C02064A8}"/>
            </a:ext>
          </a:extLst>
        </xdr:cNvPr>
        <xdr:cNvPicPr>
          <a:picLocks noChangeAspect="1"/>
        </xdr:cNvPicPr>
      </xdr:nvPicPr>
      <xdr:blipFill>
        <a:blip xmlns:r="http://schemas.openxmlformats.org/officeDocument/2006/relationships" r:embed="rId5"/>
        <a:stretch>
          <a:fillRect/>
        </a:stretch>
      </xdr:blipFill>
      <xdr:spPr>
        <a:xfrm>
          <a:off x="16936891" y="6681423"/>
          <a:ext cx="7838513" cy="5880741"/>
        </a:xfrm>
        <a:prstGeom prst="rect">
          <a:avLst/>
        </a:prstGeom>
      </xdr:spPr>
    </xdr:pic>
    <xdr:clientData/>
  </xdr:twoCellAnchor>
  <xdr:twoCellAnchor editAs="oneCell">
    <xdr:from>
      <xdr:col>27</xdr:col>
      <xdr:colOff>789213</xdr:colOff>
      <xdr:row>83</xdr:row>
      <xdr:rowOff>163285</xdr:rowOff>
    </xdr:from>
    <xdr:to>
      <xdr:col>32</xdr:col>
      <xdr:colOff>700730</xdr:colOff>
      <xdr:row>127</xdr:row>
      <xdr:rowOff>287</xdr:rowOff>
    </xdr:to>
    <xdr:pic>
      <xdr:nvPicPr>
        <xdr:cNvPr id="13" name="Grafik 12">
          <a:extLst>
            <a:ext uri="{FF2B5EF4-FFF2-40B4-BE49-F238E27FC236}">
              <a16:creationId xmlns:a16="http://schemas.microsoft.com/office/drawing/2014/main" id="{158B2B3B-D68E-9F87-C9EF-25FEEE991886}"/>
            </a:ext>
          </a:extLst>
        </xdr:cNvPr>
        <xdr:cNvPicPr>
          <a:picLocks noChangeAspect="1"/>
        </xdr:cNvPicPr>
      </xdr:nvPicPr>
      <xdr:blipFill>
        <a:blip xmlns:r="http://schemas.openxmlformats.org/officeDocument/2006/relationships" r:embed="rId6"/>
        <a:stretch>
          <a:fillRect/>
        </a:stretch>
      </xdr:blipFill>
      <xdr:spPr>
        <a:xfrm>
          <a:off x="20886963" y="12709071"/>
          <a:ext cx="5258534" cy="7602011"/>
        </a:xfrm>
        <a:prstGeom prst="rect">
          <a:avLst/>
        </a:prstGeom>
      </xdr:spPr>
    </xdr:pic>
    <xdr:clientData/>
  </xdr:twoCellAnchor>
  <xdr:twoCellAnchor editAs="oneCell">
    <xdr:from>
      <xdr:col>29</xdr:col>
      <xdr:colOff>501064</xdr:colOff>
      <xdr:row>113</xdr:row>
      <xdr:rowOff>101652</xdr:rowOff>
    </xdr:from>
    <xdr:to>
      <xdr:col>38</xdr:col>
      <xdr:colOff>496751</xdr:colOff>
      <xdr:row>139</xdr:row>
      <xdr:rowOff>51300</xdr:rowOff>
    </xdr:to>
    <xdr:pic>
      <xdr:nvPicPr>
        <xdr:cNvPr id="14" name="Grafik 13">
          <a:extLst>
            <a:ext uri="{FF2B5EF4-FFF2-40B4-BE49-F238E27FC236}">
              <a16:creationId xmlns:a16="http://schemas.microsoft.com/office/drawing/2014/main" id="{C4E8EBB3-5E58-9315-3A00-AE3726A6C1F2}"/>
            </a:ext>
          </a:extLst>
        </xdr:cNvPr>
        <xdr:cNvPicPr>
          <a:picLocks noChangeAspect="1"/>
        </xdr:cNvPicPr>
      </xdr:nvPicPr>
      <xdr:blipFill>
        <a:blip xmlns:r="http://schemas.openxmlformats.org/officeDocument/2006/relationships" r:embed="rId7"/>
        <a:stretch>
          <a:fillRect/>
        </a:stretch>
      </xdr:blipFill>
      <xdr:spPr>
        <a:xfrm>
          <a:off x="28000299" y="6612270"/>
          <a:ext cx="8063922" cy="4606491"/>
        </a:xfrm>
        <a:prstGeom prst="rect">
          <a:avLst/>
        </a:prstGeom>
      </xdr:spPr>
    </xdr:pic>
    <xdr:clientData/>
  </xdr:twoCellAnchor>
  <xdr:twoCellAnchor editAs="oneCell">
    <xdr:from>
      <xdr:col>28</xdr:col>
      <xdr:colOff>108857</xdr:colOff>
      <xdr:row>147</xdr:row>
      <xdr:rowOff>95250</xdr:rowOff>
    </xdr:from>
    <xdr:to>
      <xdr:col>35</xdr:col>
      <xdr:colOff>520687</xdr:colOff>
      <xdr:row>179</xdr:row>
      <xdr:rowOff>11269</xdr:rowOff>
    </xdr:to>
    <xdr:pic>
      <xdr:nvPicPr>
        <xdr:cNvPr id="15" name="Grafik 14">
          <a:extLst>
            <a:ext uri="{FF2B5EF4-FFF2-40B4-BE49-F238E27FC236}">
              <a16:creationId xmlns:a16="http://schemas.microsoft.com/office/drawing/2014/main" id="{143DE3B6-14C5-C3B8-7FE6-B59BD919A710}"/>
            </a:ext>
          </a:extLst>
        </xdr:cNvPr>
        <xdr:cNvPicPr>
          <a:picLocks noChangeAspect="1"/>
        </xdr:cNvPicPr>
      </xdr:nvPicPr>
      <xdr:blipFill>
        <a:blip xmlns:r="http://schemas.openxmlformats.org/officeDocument/2006/relationships" r:embed="rId8"/>
        <a:stretch>
          <a:fillRect/>
        </a:stretch>
      </xdr:blipFill>
      <xdr:spPr>
        <a:xfrm>
          <a:off x="24819428" y="23744464"/>
          <a:ext cx="6739741" cy="5568138"/>
        </a:xfrm>
        <a:prstGeom prst="rect">
          <a:avLst/>
        </a:prstGeom>
      </xdr:spPr>
    </xdr:pic>
    <xdr:clientData/>
  </xdr:twoCellAnchor>
  <xdr:twoCellAnchor editAs="oneCell">
    <xdr:from>
      <xdr:col>37</xdr:col>
      <xdr:colOff>588310</xdr:colOff>
      <xdr:row>395</xdr:row>
      <xdr:rowOff>156883</xdr:rowOff>
    </xdr:from>
    <xdr:to>
      <xdr:col>46</xdr:col>
      <xdr:colOff>507783</xdr:colOff>
      <xdr:row>417</xdr:row>
      <xdr:rowOff>25740</xdr:rowOff>
    </xdr:to>
    <xdr:pic>
      <xdr:nvPicPr>
        <xdr:cNvPr id="16" name="Grafik 15">
          <a:extLst>
            <a:ext uri="{FF2B5EF4-FFF2-40B4-BE49-F238E27FC236}">
              <a16:creationId xmlns:a16="http://schemas.microsoft.com/office/drawing/2014/main" id="{E34B81B1-8C58-8250-F8FA-3F0BF30C82EF}"/>
            </a:ext>
          </a:extLst>
        </xdr:cNvPr>
        <xdr:cNvPicPr>
          <a:picLocks noChangeAspect="1"/>
        </xdr:cNvPicPr>
      </xdr:nvPicPr>
      <xdr:blipFill>
        <a:blip xmlns:r="http://schemas.openxmlformats.org/officeDocument/2006/relationships" r:embed="rId9"/>
        <a:stretch>
          <a:fillRect/>
        </a:stretch>
      </xdr:blipFill>
      <xdr:spPr>
        <a:xfrm>
          <a:off x="35259310" y="14556442"/>
          <a:ext cx="7987708" cy="3813327"/>
        </a:xfrm>
        <a:prstGeom prst="rect">
          <a:avLst/>
        </a:prstGeom>
      </xdr:spPr>
    </xdr:pic>
    <xdr:clientData/>
  </xdr:twoCellAnchor>
  <xdr:twoCellAnchor editAs="oneCell">
    <xdr:from>
      <xdr:col>46</xdr:col>
      <xdr:colOff>15208</xdr:colOff>
      <xdr:row>387</xdr:row>
      <xdr:rowOff>44824</xdr:rowOff>
    </xdr:from>
    <xdr:to>
      <xdr:col>50</xdr:col>
      <xdr:colOff>755803</xdr:colOff>
      <xdr:row>419</xdr:row>
      <xdr:rowOff>140558</xdr:rowOff>
    </xdr:to>
    <xdr:pic>
      <xdr:nvPicPr>
        <xdr:cNvPr id="17" name="Grafik 16">
          <a:extLst>
            <a:ext uri="{FF2B5EF4-FFF2-40B4-BE49-F238E27FC236}">
              <a16:creationId xmlns:a16="http://schemas.microsoft.com/office/drawing/2014/main" id="{B368B9C4-FE9A-FF9C-9E6E-E5CA6340B3C2}"/>
            </a:ext>
          </a:extLst>
        </xdr:cNvPr>
        <xdr:cNvPicPr>
          <a:picLocks noChangeAspect="1"/>
        </xdr:cNvPicPr>
      </xdr:nvPicPr>
      <xdr:blipFill>
        <a:blip xmlns:r="http://schemas.openxmlformats.org/officeDocument/2006/relationships" r:embed="rId10"/>
        <a:stretch>
          <a:fillRect/>
        </a:stretch>
      </xdr:blipFill>
      <xdr:spPr>
        <a:xfrm>
          <a:off x="42754443" y="13010030"/>
          <a:ext cx="4326477" cy="5833147"/>
        </a:xfrm>
        <a:prstGeom prst="rect">
          <a:avLst/>
        </a:prstGeom>
      </xdr:spPr>
    </xdr:pic>
    <xdr:clientData/>
  </xdr:twoCellAnchor>
  <xdr:twoCellAnchor editAs="oneCell">
    <xdr:from>
      <xdr:col>27</xdr:col>
      <xdr:colOff>340178</xdr:colOff>
      <xdr:row>180</xdr:row>
      <xdr:rowOff>29413</xdr:rowOff>
    </xdr:from>
    <xdr:to>
      <xdr:col>36</xdr:col>
      <xdr:colOff>103082</xdr:colOff>
      <xdr:row>388</xdr:row>
      <xdr:rowOff>122463</xdr:rowOff>
    </xdr:to>
    <xdr:pic>
      <xdr:nvPicPr>
        <xdr:cNvPr id="18" name="Grafik 17">
          <a:extLst>
            <a:ext uri="{FF2B5EF4-FFF2-40B4-BE49-F238E27FC236}">
              <a16:creationId xmlns:a16="http://schemas.microsoft.com/office/drawing/2014/main" id="{DFF5FF59-9F8B-DCE2-AC26-A5E1FF074784}"/>
            </a:ext>
          </a:extLst>
        </xdr:cNvPr>
        <xdr:cNvPicPr>
          <a:picLocks noChangeAspect="1"/>
        </xdr:cNvPicPr>
      </xdr:nvPicPr>
      <xdr:blipFill>
        <a:blip xmlns:r="http://schemas.openxmlformats.org/officeDocument/2006/relationships" r:embed="rId11"/>
        <a:stretch>
          <a:fillRect/>
        </a:stretch>
      </xdr:blipFill>
      <xdr:spPr>
        <a:xfrm>
          <a:off x="20437928" y="29733806"/>
          <a:ext cx="8702205" cy="3984694"/>
        </a:xfrm>
        <a:prstGeom prst="rect">
          <a:avLst/>
        </a:prstGeom>
      </xdr:spPr>
    </xdr:pic>
    <xdr:clientData/>
  </xdr:twoCellAnchor>
  <xdr:twoCellAnchor editAs="oneCell">
    <xdr:from>
      <xdr:col>26</xdr:col>
      <xdr:colOff>2443682</xdr:colOff>
      <xdr:row>140</xdr:row>
      <xdr:rowOff>56029</xdr:rowOff>
    </xdr:from>
    <xdr:to>
      <xdr:col>38</xdr:col>
      <xdr:colOff>105218</xdr:colOff>
      <xdr:row>156</xdr:row>
      <xdr:rowOff>150326</xdr:rowOff>
    </xdr:to>
    <xdr:pic>
      <xdr:nvPicPr>
        <xdr:cNvPr id="19" name="Grafik 18">
          <a:extLst>
            <a:ext uri="{FF2B5EF4-FFF2-40B4-BE49-F238E27FC236}">
              <a16:creationId xmlns:a16="http://schemas.microsoft.com/office/drawing/2014/main" id="{8358A31E-2F64-918C-F505-928128DC76EF}"/>
            </a:ext>
          </a:extLst>
        </xdr:cNvPr>
        <xdr:cNvPicPr>
          <a:picLocks noChangeAspect="1"/>
        </xdr:cNvPicPr>
      </xdr:nvPicPr>
      <xdr:blipFill>
        <a:blip xmlns:r="http://schemas.openxmlformats.org/officeDocument/2006/relationships" r:embed="rId12"/>
        <a:stretch>
          <a:fillRect/>
        </a:stretch>
      </xdr:blipFill>
      <xdr:spPr>
        <a:xfrm>
          <a:off x="24732182" y="11407588"/>
          <a:ext cx="10940506" cy="2963003"/>
        </a:xfrm>
        <a:prstGeom prst="rect">
          <a:avLst/>
        </a:prstGeom>
      </xdr:spPr>
    </xdr:pic>
    <xdr:clientData/>
  </xdr:twoCellAnchor>
  <xdr:twoCellAnchor editAs="oneCell">
    <xdr:from>
      <xdr:col>27</xdr:col>
      <xdr:colOff>197282</xdr:colOff>
      <xdr:row>293</xdr:row>
      <xdr:rowOff>122464</xdr:rowOff>
    </xdr:from>
    <xdr:to>
      <xdr:col>32</xdr:col>
      <xdr:colOff>825786</xdr:colOff>
      <xdr:row>402</xdr:row>
      <xdr:rowOff>47455</xdr:rowOff>
    </xdr:to>
    <xdr:pic>
      <xdr:nvPicPr>
        <xdr:cNvPr id="20" name="Grafik 19">
          <a:extLst>
            <a:ext uri="{FF2B5EF4-FFF2-40B4-BE49-F238E27FC236}">
              <a16:creationId xmlns:a16="http://schemas.microsoft.com/office/drawing/2014/main" id="{ACB8EF54-366D-019B-2B2C-567B2D11FDBD}"/>
            </a:ext>
          </a:extLst>
        </xdr:cNvPr>
        <xdr:cNvPicPr>
          <a:picLocks noChangeAspect="1"/>
        </xdr:cNvPicPr>
      </xdr:nvPicPr>
      <xdr:blipFill>
        <a:blip xmlns:r="http://schemas.openxmlformats.org/officeDocument/2006/relationships" r:embed="rId13"/>
        <a:stretch>
          <a:fillRect/>
        </a:stretch>
      </xdr:blipFill>
      <xdr:spPr>
        <a:xfrm>
          <a:off x="20295032" y="36902571"/>
          <a:ext cx="5975521" cy="3102429"/>
        </a:xfrm>
        <a:prstGeom prst="rect">
          <a:avLst/>
        </a:prstGeom>
      </xdr:spPr>
    </xdr:pic>
    <xdr:clientData/>
  </xdr:twoCellAnchor>
  <xdr:twoCellAnchor editAs="oneCell">
    <xdr:from>
      <xdr:col>24</xdr:col>
      <xdr:colOff>1002127</xdr:colOff>
      <xdr:row>389</xdr:row>
      <xdr:rowOff>112059</xdr:rowOff>
    </xdr:from>
    <xdr:to>
      <xdr:col>26</xdr:col>
      <xdr:colOff>2329151</xdr:colOff>
      <xdr:row>407</xdr:row>
      <xdr:rowOff>128259</xdr:rowOff>
    </xdr:to>
    <xdr:pic>
      <xdr:nvPicPr>
        <xdr:cNvPr id="21" name="Grafik 20">
          <a:extLst>
            <a:ext uri="{FF2B5EF4-FFF2-40B4-BE49-F238E27FC236}">
              <a16:creationId xmlns:a16="http://schemas.microsoft.com/office/drawing/2014/main" id="{2FD1AD76-885D-2176-EE6A-9831573A8442}"/>
            </a:ext>
          </a:extLst>
        </xdr:cNvPr>
        <xdr:cNvPicPr>
          <a:picLocks noChangeAspect="1"/>
        </xdr:cNvPicPr>
      </xdr:nvPicPr>
      <xdr:blipFill>
        <a:blip xmlns:r="http://schemas.openxmlformats.org/officeDocument/2006/relationships" r:embed="rId14"/>
        <a:stretch>
          <a:fillRect/>
        </a:stretch>
      </xdr:blipFill>
      <xdr:spPr>
        <a:xfrm>
          <a:off x="26943745" y="5726206"/>
          <a:ext cx="5988671" cy="3243496"/>
        </a:xfrm>
        <a:prstGeom prst="rect">
          <a:avLst/>
        </a:prstGeom>
      </xdr:spPr>
    </xdr:pic>
    <xdr:clientData/>
  </xdr:twoCellAnchor>
  <xdr:twoCellAnchor editAs="oneCell">
    <xdr:from>
      <xdr:col>37</xdr:col>
      <xdr:colOff>526676</xdr:colOff>
      <xdr:row>141</xdr:row>
      <xdr:rowOff>33618</xdr:rowOff>
    </xdr:from>
    <xdr:to>
      <xdr:col>44</xdr:col>
      <xdr:colOff>478442</xdr:colOff>
      <xdr:row>158</xdr:row>
      <xdr:rowOff>100832</xdr:rowOff>
    </xdr:to>
    <xdr:pic>
      <xdr:nvPicPr>
        <xdr:cNvPr id="22" name="Grafik 21">
          <a:extLst>
            <a:ext uri="{FF2B5EF4-FFF2-40B4-BE49-F238E27FC236}">
              <a16:creationId xmlns:a16="http://schemas.microsoft.com/office/drawing/2014/main" id="{6691B167-737E-B8D3-0FD0-A26881424B39}"/>
            </a:ext>
          </a:extLst>
        </xdr:cNvPr>
        <xdr:cNvPicPr>
          <a:picLocks noChangeAspect="1"/>
        </xdr:cNvPicPr>
      </xdr:nvPicPr>
      <xdr:blipFill>
        <a:blip xmlns:r="http://schemas.openxmlformats.org/officeDocument/2006/relationships" r:embed="rId15"/>
        <a:stretch>
          <a:fillRect/>
        </a:stretch>
      </xdr:blipFill>
      <xdr:spPr>
        <a:xfrm>
          <a:off x="35197676" y="11564471"/>
          <a:ext cx="6227060" cy="3115213"/>
        </a:xfrm>
        <a:prstGeom prst="rect">
          <a:avLst/>
        </a:prstGeom>
      </xdr:spPr>
    </xdr:pic>
    <xdr:clientData/>
  </xdr:twoCellAnchor>
  <xdr:twoCellAnchor editAs="oneCell">
    <xdr:from>
      <xdr:col>42</xdr:col>
      <xdr:colOff>526676</xdr:colOff>
      <xdr:row>130</xdr:row>
      <xdr:rowOff>112058</xdr:rowOff>
    </xdr:from>
    <xdr:to>
      <xdr:col>49</xdr:col>
      <xdr:colOff>481599</xdr:colOff>
      <xdr:row>148</xdr:row>
      <xdr:rowOff>49668</xdr:rowOff>
    </xdr:to>
    <xdr:pic>
      <xdr:nvPicPr>
        <xdr:cNvPr id="23" name="Grafik 22">
          <a:extLst>
            <a:ext uri="{FF2B5EF4-FFF2-40B4-BE49-F238E27FC236}">
              <a16:creationId xmlns:a16="http://schemas.microsoft.com/office/drawing/2014/main" id="{A19DDE0B-45E7-4390-43F0-0CD28B93A02F}"/>
            </a:ext>
          </a:extLst>
        </xdr:cNvPr>
        <xdr:cNvPicPr>
          <a:picLocks noChangeAspect="1"/>
        </xdr:cNvPicPr>
      </xdr:nvPicPr>
      <xdr:blipFill>
        <a:blip xmlns:r="http://schemas.openxmlformats.org/officeDocument/2006/relationships" r:embed="rId16"/>
        <a:stretch>
          <a:fillRect/>
        </a:stretch>
      </xdr:blipFill>
      <xdr:spPr>
        <a:xfrm>
          <a:off x="39680029" y="9670676"/>
          <a:ext cx="6230217" cy="3160099"/>
        </a:xfrm>
        <a:prstGeom prst="rect">
          <a:avLst/>
        </a:prstGeom>
      </xdr:spPr>
    </xdr:pic>
    <xdr:clientData/>
  </xdr:twoCellAnchor>
  <xdr:twoCellAnchor editAs="oneCell">
    <xdr:from>
      <xdr:col>38</xdr:col>
      <xdr:colOff>11204</xdr:colOff>
      <xdr:row>413</xdr:row>
      <xdr:rowOff>78442</xdr:rowOff>
    </xdr:from>
    <xdr:to>
      <xdr:col>42</xdr:col>
      <xdr:colOff>99105</xdr:colOff>
      <xdr:row>427</xdr:row>
      <xdr:rowOff>142260</xdr:rowOff>
    </xdr:to>
    <xdr:pic>
      <xdr:nvPicPr>
        <xdr:cNvPr id="24" name="Grafik 23">
          <a:extLst>
            <a:ext uri="{FF2B5EF4-FFF2-40B4-BE49-F238E27FC236}">
              <a16:creationId xmlns:a16="http://schemas.microsoft.com/office/drawing/2014/main" id="{898AA9E3-8B32-A7AD-A405-207739726A5D}"/>
            </a:ext>
          </a:extLst>
        </xdr:cNvPr>
        <xdr:cNvPicPr>
          <a:picLocks noChangeAspect="1"/>
        </xdr:cNvPicPr>
      </xdr:nvPicPr>
      <xdr:blipFill>
        <a:blip xmlns:r="http://schemas.openxmlformats.org/officeDocument/2006/relationships" r:embed="rId17"/>
        <a:stretch>
          <a:fillRect/>
        </a:stretch>
      </xdr:blipFill>
      <xdr:spPr>
        <a:xfrm>
          <a:off x="35578675" y="17705295"/>
          <a:ext cx="3673784" cy="2573936"/>
        </a:xfrm>
        <a:prstGeom prst="rect">
          <a:avLst/>
        </a:prstGeom>
      </xdr:spPr>
    </xdr:pic>
    <xdr:clientData/>
  </xdr:twoCellAnchor>
  <xdr:twoCellAnchor editAs="oneCell">
    <xdr:from>
      <xdr:col>45</xdr:col>
      <xdr:colOff>436001</xdr:colOff>
      <xdr:row>62</xdr:row>
      <xdr:rowOff>44824</xdr:rowOff>
    </xdr:from>
    <xdr:to>
      <xdr:col>51</xdr:col>
      <xdr:colOff>352020</xdr:colOff>
      <xdr:row>107</xdr:row>
      <xdr:rowOff>37056</xdr:rowOff>
    </xdr:to>
    <xdr:pic>
      <xdr:nvPicPr>
        <xdr:cNvPr id="4" name="Grafik 3">
          <a:extLst>
            <a:ext uri="{FF2B5EF4-FFF2-40B4-BE49-F238E27FC236}">
              <a16:creationId xmlns:a16="http://schemas.microsoft.com/office/drawing/2014/main" id="{4184551A-B616-29D4-067F-C0957E8AB67A}"/>
            </a:ext>
          </a:extLst>
        </xdr:cNvPr>
        <xdr:cNvPicPr>
          <a:picLocks noChangeAspect="1"/>
        </xdr:cNvPicPr>
      </xdr:nvPicPr>
      <xdr:blipFill>
        <a:blip xmlns:r="http://schemas.openxmlformats.org/officeDocument/2006/relationships" r:embed="rId18"/>
        <a:stretch>
          <a:fillRect/>
        </a:stretch>
      </xdr:blipFill>
      <xdr:spPr>
        <a:xfrm>
          <a:off x="42278766" y="1714500"/>
          <a:ext cx="5294843" cy="4178510"/>
        </a:xfrm>
        <a:prstGeom prst="rect">
          <a:avLst/>
        </a:prstGeom>
      </xdr:spPr>
    </xdr:pic>
    <xdr:clientData/>
  </xdr:twoCellAnchor>
  <xdr:twoCellAnchor editAs="oneCell">
    <xdr:from>
      <xdr:col>45</xdr:col>
      <xdr:colOff>389282</xdr:colOff>
      <xdr:row>39</xdr:row>
      <xdr:rowOff>13872</xdr:rowOff>
    </xdr:from>
    <xdr:to>
      <xdr:col>49</xdr:col>
      <xdr:colOff>875590</xdr:colOff>
      <xdr:row>101</xdr:row>
      <xdr:rowOff>114970</xdr:rowOff>
    </xdr:to>
    <xdr:pic>
      <xdr:nvPicPr>
        <xdr:cNvPr id="5" name="Grafik 4">
          <a:extLst>
            <a:ext uri="{FF2B5EF4-FFF2-40B4-BE49-F238E27FC236}">
              <a16:creationId xmlns:a16="http://schemas.microsoft.com/office/drawing/2014/main" id="{E159A65A-4224-1810-D7AB-61D82E7B822E}"/>
            </a:ext>
          </a:extLst>
        </xdr:cNvPr>
        <xdr:cNvPicPr>
          <a:picLocks noChangeAspect="1"/>
        </xdr:cNvPicPr>
      </xdr:nvPicPr>
      <xdr:blipFill>
        <a:blip xmlns:r="http://schemas.openxmlformats.org/officeDocument/2006/relationships" r:embed="rId19"/>
        <a:stretch>
          <a:fillRect/>
        </a:stretch>
      </xdr:blipFill>
      <xdr:spPr>
        <a:xfrm>
          <a:off x="32310456" y="7501350"/>
          <a:ext cx="4064395" cy="3249539"/>
        </a:xfrm>
        <a:prstGeom prst="rect">
          <a:avLst/>
        </a:prstGeom>
      </xdr:spPr>
    </xdr:pic>
    <xdr:clientData/>
  </xdr:twoCellAnchor>
  <xdr:twoCellAnchor editAs="oneCell">
    <xdr:from>
      <xdr:col>48</xdr:col>
      <xdr:colOff>11110</xdr:colOff>
      <xdr:row>3</xdr:row>
      <xdr:rowOff>672353</xdr:rowOff>
    </xdr:from>
    <xdr:to>
      <xdr:col>54</xdr:col>
      <xdr:colOff>144460</xdr:colOff>
      <xdr:row>114</xdr:row>
      <xdr:rowOff>111768</xdr:rowOff>
    </xdr:to>
    <xdr:pic>
      <xdr:nvPicPr>
        <xdr:cNvPr id="8" name="Grafik 7">
          <a:extLst>
            <a:ext uri="{FF2B5EF4-FFF2-40B4-BE49-F238E27FC236}">
              <a16:creationId xmlns:a16="http://schemas.microsoft.com/office/drawing/2014/main" id="{46E1F8F8-407F-FC2A-D443-1C205C6FEDF1}"/>
            </a:ext>
          </a:extLst>
        </xdr:cNvPr>
        <xdr:cNvPicPr>
          <a:picLocks noChangeAspect="1"/>
        </xdr:cNvPicPr>
      </xdr:nvPicPr>
      <xdr:blipFill>
        <a:blip xmlns:r="http://schemas.openxmlformats.org/officeDocument/2006/relationships" r:embed="rId20"/>
        <a:stretch>
          <a:fillRect/>
        </a:stretch>
      </xdr:blipFill>
      <xdr:spPr>
        <a:xfrm>
          <a:off x="44543286" y="1221441"/>
          <a:ext cx="5512174" cy="5586351"/>
        </a:xfrm>
        <a:prstGeom prst="rect">
          <a:avLst/>
        </a:prstGeom>
      </xdr:spPr>
    </xdr:pic>
    <xdr:clientData/>
  </xdr:twoCellAnchor>
  <xdr:twoCellAnchor editAs="oneCell">
    <xdr:from>
      <xdr:col>37</xdr:col>
      <xdr:colOff>736786</xdr:colOff>
      <xdr:row>1</xdr:row>
      <xdr:rowOff>44823</xdr:rowOff>
    </xdr:from>
    <xdr:to>
      <xdr:col>42</xdr:col>
      <xdr:colOff>877696</xdr:colOff>
      <xdr:row>93</xdr:row>
      <xdr:rowOff>34527</xdr:rowOff>
    </xdr:to>
    <xdr:pic>
      <xdr:nvPicPr>
        <xdr:cNvPr id="6" name="Grafik 5">
          <a:extLst>
            <a:ext uri="{FF2B5EF4-FFF2-40B4-BE49-F238E27FC236}">
              <a16:creationId xmlns:a16="http://schemas.microsoft.com/office/drawing/2014/main" id="{662155B4-4487-4926-BFA8-4CC4B4BCCC34}"/>
            </a:ext>
          </a:extLst>
        </xdr:cNvPr>
        <xdr:cNvPicPr>
          <a:picLocks noChangeAspect="1"/>
        </xdr:cNvPicPr>
      </xdr:nvPicPr>
      <xdr:blipFill>
        <a:blip xmlns:r="http://schemas.openxmlformats.org/officeDocument/2006/relationships" r:embed="rId21"/>
        <a:stretch>
          <a:fillRect/>
        </a:stretch>
      </xdr:blipFill>
      <xdr:spPr>
        <a:xfrm>
          <a:off x="35407786" y="224117"/>
          <a:ext cx="4623263" cy="2741257"/>
        </a:xfrm>
        <a:prstGeom prst="rect">
          <a:avLst/>
        </a:prstGeom>
      </xdr:spPr>
    </xdr:pic>
    <xdr:clientData/>
  </xdr:twoCellAnchor>
  <xdr:twoCellAnchor>
    <xdr:from>
      <xdr:col>2</xdr:col>
      <xdr:colOff>923925</xdr:colOff>
      <xdr:row>460</xdr:row>
      <xdr:rowOff>138112</xdr:rowOff>
    </xdr:from>
    <xdr:to>
      <xdr:col>6</xdr:col>
      <xdr:colOff>476250</xdr:colOff>
      <xdr:row>475</xdr:row>
      <xdr:rowOff>166687</xdr:rowOff>
    </xdr:to>
    <xdr:graphicFrame macro="">
      <xdr:nvGraphicFramePr>
        <xdr:cNvPr id="9" name="Diagramm 8">
          <a:extLst>
            <a:ext uri="{FF2B5EF4-FFF2-40B4-BE49-F238E27FC236}">
              <a16:creationId xmlns:a16="http://schemas.microsoft.com/office/drawing/2014/main" id="{114D60F8-4A0C-F690-FA67-AF2812457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414336</xdr:colOff>
      <xdr:row>460</xdr:row>
      <xdr:rowOff>80962</xdr:rowOff>
    </xdr:from>
    <xdr:to>
      <xdr:col>27</xdr:col>
      <xdr:colOff>476250</xdr:colOff>
      <xdr:row>487</xdr:row>
      <xdr:rowOff>161925</xdr:rowOff>
    </xdr:to>
    <xdr:graphicFrame macro="">
      <xdr:nvGraphicFramePr>
        <xdr:cNvPr id="26" name="Diagramm 25">
          <a:extLst>
            <a:ext uri="{FF2B5EF4-FFF2-40B4-BE49-F238E27FC236}">
              <a16:creationId xmlns:a16="http://schemas.microsoft.com/office/drawing/2014/main" id="{273B1283-30A7-2F3E-C57F-C164A227A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43</xdr:col>
      <xdr:colOff>240926</xdr:colOff>
      <xdr:row>92</xdr:row>
      <xdr:rowOff>100852</xdr:rowOff>
    </xdr:from>
    <xdr:to>
      <xdr:col>50</xdr:col>
      <xdr:colOff>55809</xdr:colOff>
      <xdr:row>108</xdr:row>
      <xdr:rowOff>36723</xdr:rowOff>
    </xdr:to>
    <xdr:pic>
      <xdr:nvPicPr>
        <xdr:cNvPr id="10" name="Grafik 9">
          <a:extLst>
            <a:ext uri="{FF2B5EF4-FFF2-40B4-BE49-F238E27FC236}">
              <a16:creationId xmlns:a16="http://schemas.microsoft.com/office/drawing/2014/main" id="{137C5B2C-9E14-42D8-689E-3D14B21FCD6D}"/>
            </a:ext>
          </a:extLst>
        </xdr:cNvPr>
        <xdr:cNvPicPr>
          <a:picLocks noChangeAspect="1"/>
        </xdr:cNvPicPr>
      </xdr:nvPicPr>
      <xdr:blipFill>
        <a:blip xmlns:r="http://schemas.openxmlformats.org/officeDocument/2006/relationships" r:embed="rId24"/>
        <a:stretch>
          <a:fillRect/>
        </a:stretch>
      </xdr:blipFill>
      <xdr:spPr>
        <a:xfrm>
          <a:off x="40290750" y="2846293"/>
          <a:ext cx="6090177" cy="27997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19050</xdr:colOff>
      <xdr:row>1</xdr:row>
      <xdr:rowOff>9525</xdr:rowOff>
    </xdr:from>
    <xdr:to>
      <xdr:col>14</xdr:col>
      <xdr:colOff>561975</xdr:colOff>
      <xdr:row>27</xdr:row>
      <xdr:rowOff>28575</xdr:rowOff>
    </xdr:to>
    <xdr:pic>
      <xdr:nvPicPr>
        <xdr:cNvPr id="2" name="Grafik 3">
          <a:extLst>
            <a:ext uri="{FF2B5EF4-FFF2-40B4-BE49-F238E27FC236}">
              <a16:creationId xmlns:a16="http://schemas.microsoft.com/office/drawing/2014/main" id="{BE37F986-9744-E685-B300-F5F7270FC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200025"/>
          <a:ext cx="10448925"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29</xdr:row>
      <xdr:rowOff>0</xdr:rowOff>
    </xdr:from>
    <xdr:to>
      <xdr:col>14</xdr:col>
      <xdr:colOff>647700</xdr:colOff>
      <xdr:row>54</xdr:row>
      <xdr:rowOff>85725</xdr:rowOff>
    </xdr:to>
    <xdr:pic>
      <xdr:nvPicPr>
        <xdr:cNvPr id="3" name="Grafik 4">
          <a:extLst>
            <a:ext uri="{FF2B5EF4-FFF2-40B4-BE49-F238E27FC236}">
              <a16:creationId xmlns:a16="http://schemas.microsoft.com/office/drawing/2014/main" id="{A79D391B-AF8D-BDEC-3F82-F412F7995F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5524500"/>
          <a:ext cx="10553700" cy="484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Jakob Metz" id="{0F338AB5-291F-40BB-8EDA-BF8451513D51}" userId="jakob.metz@ifeu.de" providerId="PeoplePicker"/>
  <person displayName="Peter Mellwig" id="{62934399-EFBE-4CDC-8F4A-4853D332CBE6}" userId="peter.mellwig@ifeu.de" providerId="PeoplePicker"/>
  <person displayName="Florian Maiwald" id="{098E639E-7B9A-4C9D-90B6-756C6FF31961}" userId="Florian.Maiwald@ifeu.de" providerId="PeoplePicker"/>
  <person displayName="Jakob Metz" id="{6D6572F9-10B7-4F77-91B0-E0436BF15387}" userId="S::jakob.metz@ifeu.de::e0c0a912-23d2-41d9-99e6-1221418e65ab" providerId="AD"/>
  <person displayName="Florian Maiwald" id="{A8B70471-3430-4427-8087-593084DB2B17}" userId="S::Florian.Maiwald@ifeu.de::8531b449-6a08-4ac9-972b-8b8e103f74ac" providerId="AD"/>
</personList>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9e10f751a17f600a53e98b078b2c8dca&amp;qlt=95" TargetMode="External"/><Relationship Id="rId671" Type="http://schemas.openxmlformats.org/officeDocument/2006/relationships/hyperlink" Target="https://www.bing.com/th?id=OSK.3aba591f4e9b9b5690b35873acca2754&amp;qlt=95" TargetMode="External"/><Relationship Id="rId769" Type="http://schemas.openxmlformats.org/officeDocument/2006/relationships/hyperlink" Target="https://www.bing.com/th?id=OSK.e12fc09c24f84c24ef31a9175e9e8399&amp;qlt=95" TargetMode="External"/><Relationship Id="rId21" Type="http://schemas.openxmlformats.org/officeDocument/2006/relationships/hyperlink" Target="https://www.bing.com/th?id=OSK.8564daa6a61d7db5d5578a105182ffac&amp;qlt=95" TargetMode="External"/><Relationship Id="rId324" Type="http://schemas.openxmlformats.org/officeDocument/2006/relationships/hyperlink" Target="https://www.bing.com/images/search?form=xlimg&amp;q=Gifhorn" TargetMode="External"/><Relationship Id="rId531" Type="http://schemas.openxmlformats.org/officeDocument/2006/relationships/hyperlink" Target="https://www.bing.com/th?id=OSK.1ed691747de8270fb8793a5b0f81f4ae&amp;qlt=95" TargetMode="External"/><Relationship Id="rId629" Type="http://schemas.openxmlformats.org/officeDocument/2006/relationships/hyperlink" Target="https://www.bing.com/th?id=OSK.c23afba1664ea3298b59b66c08da9b16&amp;qlt=95" TargetMode="External"/><Relationship Id="rId170" Type="http://schemas.openxmlformats.org/officeDocument/2006/relationships/hyperlink" Target="https://www.bing.com/images/search?form=xlimg&amp;q=Crimmitschau" TargetMode="External"/><Relationship Id="rId836" Type="http://schemas.openxmlformats.org/officeDocument/2006/relationships/hyperlink" Target="https://www.bing.com/images/search?form=xlimg&amp;q=Spremberg" TargetMode="External"/><Relationship Id="rId268" Type="http://schemas.openxmlformats.org/officeDocument/2006/relationships/hyperlink" Target="https://www.bing.com/images/search?form=xlimg&amp;q=Feldberg%20(Black%20Forest)" TargetMode="External"/><Relationship Id="rId475" Type="http://schemas.openxmlformats.org/officeDocument/2006/relationships/hyperlink" Target="https://www.bing.com/th?id=OSK.f7067e71c27e1050e9e128425f194e4d&amp;qlt=95" TargetMode="External"/><Relationship Id="rId682" Type="http://schemas.openxmlformats.org/officeDocument/2006/relationships/hyperlink" Target="https://www.bing.com/images/search?form=xlimg&amp;q=Oberstdorf" TargetMode="External"/><Relationship Id="rId903" Type="http://schemas.openxmlformats.org/officeDocument/2006/relationships/hyperlink" Target="https://www.bing.com/th?id=OSK.76334550f82032444c5bdca993aa8106&amp;qlt=95" TargetMode="External"/><Relationship Id="rId32" Type="http://schemas.openxmlformats.org/officeDocument/2006/relationships/hyperlink" Target="https://www.bing.com/images/search?form=xlimg&amp;q=Auerbach%20(Vogtland)" TargetMode="External"/><Relationship Id="rId128" Type="http://schemas.openxmlformats.org/officeDocument/2006/relationships/hyperlink" Target="https://www.bing.com/images/search?form=xlimg&amp;q=Braunschweig" TargetMode="External"/><Relationship Id="rId335" Type="http://schemas.openxmlformats.org/officeDocument/2006/relationships/hyperlink" Target="https://www.bing.com/th?id=OSK.3bc2f1d0d6554c8f5ac3171c0d94cf7c&amp;qlt=95" TargetMode="External"/><Relationship Id="rId542" Type="http://schemas.openxmlformats.org/officeDocument/2006/relationships/hyperlink" Target="https://www.bing.com/images/search?form=xlimg&amp;q=Lauda-K%c3%b6nigshofen" TargetMode="External"/><Relationship Id="rId181" Type="http://schemas.openxmlformats.org/officeDocument/2006/relationships/hyperlink" Target="https://www.bing.com/th?id=OSK.b7eed81d66f6aea02d8e75d6cc885653&amp;qlt=95" TargetMode="External"/><Relationship Id="rId402" Type="http://schemas.openxmlformats.org/officeDocument/2006/relationships/hyperlink" Target="https://www.bing.com/images/search?form=xlimg&amp;q=Hennigsdorf" TargetMode="External"/><Relationship Id="rId847" Type="http://schemas.openxmlformats.org/officeDocument/2006/relationships/hyperlink" Target="https://www.bing.com/th?id=OSK.699019d72157f1f552a1d68a41a583dc&amp;qlt=95" TargetMode="External"/><Relationship Id="rId279" Type="http://schemas.openxmlformats.org/officeDocument/2006/relationships/hyperlink" Target="https://www.bing.com/th?id=OSK.knQQjptWxpXKCvBWVTcwP5q8OVc8piK_gu_Ncw2Ar7U&amp;qlt=95" TargetMode="External"/><Relationship Id="rId486" Type="http://schemas.openxmlformats.org/officeDocument/2006/relationships/hyperlink" Target="https://www.bing.com/images/search?form=xlimg&amp;q=Cologne" TargetMode="External"/><Relationship Id="rId693" Type="http://schemas.openxmlformats.org/officeDocument/2006/relationships/hyperlink" Target="https://www.bing.com/th?id=OSK.0067e21210ad53657ded1be7a0333661&amp;qlt=95" TargetMode="External"/><Relationship Id="rId707" Type="http://schemas.openxmlformats.org/officeDocument/2006/relationships/hyperlink" Target="https://www.bing.com/th?id=OSK.278e87c070cf71f6c98125e3ac472f92&amp;qlt=95" TargetMode="External"/><Relationship Id="rId914" Type="http://schemas.openxmlformats.org/officeDocument/2006/relationships/hyperlink" Target="https://www.bing.com/images/search?form=xlimg&amp;q=Werdau" TargetMode="External"/><Relationship Id="rId43" Type="http://schemas.openxmlformats.org/officeDocument/2006/relationships/hyperlink" Target="https://www.bing.com/th?id=OSK.aa43b181203535db4b679e83aff0c4c0&amp;qlt=95" TargetMode="External"/><Relationship Id="rId139" Type="http://schemas.openxmlformats.org/officeDocument/2006/relationships/hyperlink" Target="https://www.bing.com/th?id=OSK.89d187ca307dc290276b715c1c44974a&amp;qlt=95" TargetMode="External"/><Relationship Id="rId346" Type="http://schemas.openxmlformats.org/officeDocument/2006/relationships/hyperlink" Target="https://www.bing.com/images/search?form=xlimg&amp;q=Greifswald" TargetMode="External"/><Relationship Id="rId553" Type="http://schemas.openxmlformats.org/officeDocument/2006/relationships/hyperlink" Target="https://www.bing.com/th?id=OSK.49dcbe44bb4358ac32f15071f142b1eb&amp;qlt=95" TargetMode="External"/><Relationship Id="rId760" Type="http://schemas.openxmlformats.org/officeDocument/2006/relationships/hyperlink" Target="https://www.bing.com/images/search?form=xlimg&amp;q=Rendsburg" TargetMode="External"/><Relationship Id="rId192" Type="http://schemas.openxmlformats.org/officeDocument/2006/relationships/hyperlink" Target="https://www.bing.com/images/search?form=xlimg&amp;q=Dinslaken" TargetMode="External"/><Relationship Id="rId206" Type="http://schemas.openxmlformats.org/officeDocument/2006/relationships/hyperlink" Target="https://www.bing.com/images/search?form=xlimg&amp;q=Duisburg" TargetMode="External"/><Relationship Id="rId413" Type="http://schemas.openxmlformats.org/officeDocument/2006/relationships/hyperlink" Target="https://www.bing.com/th?id=OSK.0cdffbc16f5397da90bed4ecc3d4f7c6&amp;qlt=95" TargetMode="External"/><Relationship Id="rId858" Type="http://schemas.openxmlformats.org/officeDocument/2006/relationships/hyperlink" Target="https://www.bing.com/images/search?form=xlimg&amp;q=Suhl" TargetMode="External"/><Relationship Id="rId497" Type="http://schemas.openxmlformats.org/officeDocument/2006/relationships/hyperlink" Target="https://www.bing.com/th?id=OSK.c05c4cadbdaa996c6edad2467ea57877&amp;qlt=95" TargetMode="External"/><Relationship Id="rId620" Type="http://schemas.openxmlformats.org/officeDocument/2006/relationships/hyperlink" Target="https://www.bing.com/images/search?form=xlimg&amp;q=Minden" TargetMode="External"/><Relationship Id="rId718" Type="http://schemas.openxmlformats.org/officeDocument/2006/relationships/hyperlink" Target="https://www.bing.com/images/search?form=xlimg&amp;q=Pinneberg" TargetMode="External"/><Relationship Id="rId925" Type="http://schemas.openxmlformats.org/officeDocument/2006/relationships/hyperlink" Target="https://www.bing.com/th?id=OSK.03dd64eed27c210f99fc1a6ad099b70c&amp;qlt=95" TargetMode="External"/><Relationship Id="rId357" Type="http://schemas.openxmlformats.org/officeDocument/2006/relationships/hyperlink" Target="https://www.bing.com/th?id=OSK.e3d44e691675c6e92ea5d79ce93273b6&amp;qlt=95" TargetMode="External"/><Relationship Id="rId54" Type="http://schemas.openxmlformats.org/officeDocument/2006/relationships/hyperlink" Target="https://www.bing.com/images/search?form=xlimg&amp;q=Bad%20Nauheim" TargetMode="External"/><Relationship Id="rId217" Type="http://schemas.openxmlformats.org/officeDocument/2006/relationships/hyperlink" Target="https://www.bing.com/th?id=OSK.Euyoym96Cbd3DUWvr8HoIFSjNwHhiADbz2QS1C49QWY&amp;qlt=95" TargetMode="External"/><Relationship Id="rId564" Type="http://schemas.openxmlformats.org/officeDocument/2006/relationships/hyperlink" Target="https://www.bing.com/images/search?form=xlimg&amp;q=Lorch%20am%20Rhein" TargetMode="External"/><Relationship Id="rId771" Type="http://schemas.openxmlformats.org/officeDocument/2006/relationships/hyperlink" Target="https://www.bing.com/th?id=OSK.594e1638d3f951966ea72b6dc3499eef&amp;qlt=95" TargetMode="External"/><Relationship Id="rId869" Type="http://schemas.openxmlformats.org/officeDocument/2006/relationships/hyperlink" Target="https://www.bing.com/th?id=OSK.1a916b8bc0ea748a12746763d9b30be0&amp;qlt=95" TargetMode="External"/><Relationship Id="rId424" Type="http://schemas.openxmlformats.org/officeDocument/2006/relationships/hyperlink" Target="https://www.bing.com/images/search?form=xlimg&amp;q=Hagen-Hohenlimburg" TargetMode="External"/><Relationship Id="rId631" Type="http://schemas.openxmlformats.org/officeDocument/2006/relationships/hyperlink" Target="https://www.bing.com/th?id=OSK.b44952d3a87879034fd121cc689e1253&amp;qlt=95" TargetMode="External"/><Relationship Id="rId729" Type="http://schemas.openxmlformats.org/officeDocument/2006/relationships/hyperlink" Target="https://www.bing.com/th?id=OSK.84cfeded5d8802ed7a127b66a35d86f9&amp;qlt=95" TargetMode="External"/><Relationship Id="rId270" Type="http://schemas.openxmlformats.org/officeDocument/2006/relationships/hyperlink" Target="https://www.bing.com/images/search?form=xlimg&amp;q=Fellbach" TargetMode="External"/><Relationship Id="rId936" Type="http://schemas.openxmlformats.org/officeDocument/2006/relationships/hyperlink" Target="https://www.bing.com/images/search?form=xlimg&amp;q=Wischhafen" TargetMode="External"/><Relationship Id="rId65" Type="http://schemas.openxmlformats.org/officeDocument/2006/relationships/hyperlink" Target="https://www.bing.com/th?id=OSK.c6a44c65569c629899bec220de25c475&amp;qlt=95" TargetMode="External"/><Relationship Id="rId130" Type="http://schemas.openxmlformats.org/officeDocument/2006/relationships/hyperlink" Target="https://www.bing.com/images/search?form=xlimg&amp;q=Bremen" TargetMode="External"/><Relationship Id="rId368" Type="http://schemas.openxmlformats.org/officeDocument/2006/relationships/hyperlink" Target="https://www.bing.com/images/search?form=xlimg&amp;q=Halberstadt" TargetMode="External"/><Relationship Id="rId575" Type="http://schemas.openxmlformats.org/officeDocument/2006/relationships/hyperlink" Target="https://www.bing.com/th?id=OSK.3913c1293525e0fcd0808fb14f0cb09c&amp;qlt=95" TargetMode="External"/><Relationship Id="rId782" Type="http://schemas.openxmlformats.org/officeDocument/2006/relationships/hyperlink" Target="https://www.bing.com/images/search?form=xlimg&amp;q=Salzgitter" TargetMode="External"/><Relationship Id="rId228" Type="http://schemas.openxmlformats.org/officeDocument/2006/relationships/hyperlink" Target="https://www.bing.com/images/search?form=xlimg&amp;q=Eisenach" TargetMode="External"/><Relationship Id="rId435" Type="http://schemas.openxmlformats.org/officeDocument/2006/relationships/hyperlink" Target="https://www.bing.com/th?id=OSK.0a4c5ccab2e1b5eddddeddc54a8390ee&amp;qlt=95" TargetMode="External"/><Relationship Id="rId642" Type="http://schemas.openxmlformats.org/officeDocument/2006/relationships/hyperlink" Target="https://www.bing.com/images/search?form=xlimg&amp;q=Neubrandenburg" TargetMode="External"/><Relationship Id="rId281" Type="http://schemas.openxmlformats.org/officeDocument/2006/relationships/hyperlink" Target="https://www.bing.com/th?id=OSK.bbfb4ab5f5266ee7c1ddedca870f3d37&amp;qlt=95" TargetMode="External"/><Relationship Id="rId502" Type="http://schemas.openxmlformats.org/officeDocument/2006/relationships/hyperlink" Target="https://www.bing.com/images/search?form=xlimg&amp;q=Krefeld" TargetMode="External"/><Relationship Id="rId947" Type="http://schemas.openxmlformats.org/officeDocument/2006/relationships/hyperlink" Target="https://www.bing.com/th?id=OSK.d0ae17d69017eaafa9a0ae1b6133700e&amp;qlt=95" TargetMode="External"/><Relationship Id="rId76" Type="http://schemas.openxmlformats.org/officeDocument/2006/relationships/hyperlink" Target="https://www.bing.com/images/search?form=xlimg&amp;q=Beerfelden" TargetMode="External"/><Relationship Id="rId141" Type="http://schemas.openxmlformats.org/officeDocument/2006/relationships/hyperlink" Target="https://www.bing.com/th?id=OSK.6538a256183e56214d4a4ba0d6a2554a&amp;qlt=95" TargetMode="External"/><Relationship Id="rId379" Type="http://schemas.openxmlformats.org/officeDocument/2006/relationships/hyperlink" Target="https://www.bing.com/th?id=OSK.f8ae55ec0600cfd93b87d6f6f410ad45&amp;qlt=95" TargetMode="External"/><Relationship Id="rId586" Type="http://schemas.openxmlformats.org/officeDocument/2006/relationships/hyperlink" Target="https://www.bing.com/images/search?form=xlimg&amp;q=Eisleben" TargetMode="External"/><Relationship Id="rId793" Type="http://schemas.openxmlformats.org/officeDocument/2006/relationships/hyperlink" Target="https://www.bing.com/th?id=OSK.0a7b5e73a7c699c512250c556e4ca5ff&amp;qlt=95" TargetMode="External"/><Relationship Id="rId807" Type="http://schemas.openxmlformats.org/officeDocument/2006/relationships/hyperlink" Target="https://www.bing.com/th?id=OSK.e0216e1fc38d69f770463d721658ebb0&amp;qlt=95" TargetMode="External"/><Relationship Id="rId7" Type="http://schemas.openxmlformats.org/officeDocument/2006/relationships/hyperlink" Target="https://www.bing.com/th?id=OSK.3fa6c0630c648f1c0080fd2247a44790&amp;qlt=95" TargetMode="External"/><Relationship Id="rId239" Type="http://schemas.openxmlformats.org/officeDocument/2006/relationships/hyperlink" Target="https://www.bing.com/th?id=OSK.7e3ce64577438e997ef65b71a3bec836&amp;qlt=95" TargetMode="External"/><Relationship Id="rId446" Type="http://schemas.openxmlformats.org/officeDocument/2006/relationships/hyperlink" Target="https://www.bing.com/images/search?form=xlimg&amp;q=Ilmenau" TargetMode="External"/><Relationship Id="rId653" Type="http://schemas.openxmlformats.org/officeDocument/2006/relationships/hyperlink" Target="https://www.bing.com/th?id=OSK.40de4728e007c0760bb93b9955292e68&amp;qlt=95" TargetMode="External"/><Relationship Id="rId292" Type="http://schemas.openxmlformats.org/officeDocument/2006/relationships/hyperlink" Target="https://www.bing.com/images/search?form=xlimg&amp;q=Freiburg%20im%20Breisgau" TargetMode="External"/><Relationship Id="rId306" Type="http://schemas.openxmlformats.org/officeDocument/2006/relationships/hyperlink" Target="https://www.bing.com/images/search?form=xlimg&amp;q=F%c3%bcrstenwalde" TargetMode="External"/><Relationship Id="rId860" Type="http://schemas.openxmlformats.org/officeDocument/2006/relationships/hyperlink" Target="https://www.bing.com/images/search?form=xlimg&amp;q=Sulzbach,%20Saarland" TargetMode="External"/><Relationship Id="rId958" Type="http://schemas.openxmlformats.org/officeDocument/2006/relationships/hyperlink" Target="https://www.bing.com/images/search?form=xlimg&amp;q=W%c3%bcrzburg" TargetMode="External"/><Relationship Id="rId87" Type="http://schemas.openxmlformats.org/officeDocument/2006/relationships/hyperlink" Target="https://www.bing.com/th?id=OSK.b53a9842d0c2234f0cb1ea2e5909af30&amp;qlt=95" TargetMode="External"/><Relationship Id="rId513" Type="http://schemas.openxmlformats.org/officeDocument/2006/relationships/hyperlink" Target="https://www.bing.com/th?id=OSK.ECaDSHn2rN7o44KZfNRrieAkcGqC707chmAOy5OlL2o&amp;qlt=95" TargetMode="External"/><Relationship Id="rId597" Type="http://schemas.openxmlformats.org/officeDocument/2006/relationships/hyperlink" Target="https://www.bing.com/th?id=OSK.schgd4ox1e356CsHGHAPi0OzTYyV8Li42bK74RaGsOM&amp;qlt=95" TargetMode="External"/><Relationship Id="rId720" Type="http://schemas.openxmlformats.org/officeDocument/2006/relationships/hyperlink" Target="https://www.bing.com/images/search?form=xlimg&amp;q=Pirmasens" TargetMode="External"/><Relationship Id="rId818" Type="http://schemas.openxmlformats.org/officeDocument/2006/relationships/hyperlink" Target="https://www.bing.com/images/search?form=xlimg&amp;q=Sigmaringen" TargetMode="External"/><Relationship Id="rId152" Type="http://schemas.openxmlformats.org/officeDocument/2006/relationships/hyperlink" Target="https://www.bing.com/images/search?form=xlimg&amp;q=Celle" TargetMode="External"/><Relationship Id="rId457" Type="http://schemas.openxmlformats.org/officeDocument/2006/relationships/hyperlink" Target="https://www.bing.com/th?id=OSK.9c0d8b19052dbe5d44d8bd41ce5aceef&amp;qlt=95" TargetMode="External"/><Relationship Id="rId664" Type="http://schemas.openxmlformats.org/officeDocument/2006/relationships/hyperlink" Target="https://www.bing.com/images/search?form=xlimg&amp;q=Nienburg,%20Lower%20Saxony" TargetMode="External"/><Relationship Id="rId871" Type="http://schemas.openxmlformats.org/officeDocument/2006/relationships/hyperlink" Target="https://www.bing.com/th?id=OSK.704b1496b313ad7024e8e422f93b1e01&amp;qlt=95" TargetMode="External"/><Relationship Id="rId969" Type="http://schemas.openxmlformats.org/officeDocument/2006/relationships/hyperlink" Target="https://www.bing.com/th?id=OSK.7801eaec18db604720c8897b39037961&amp;qlt=95" TargetMode="External"/><Relationship Id="rId14" Type="http://schemas.openxmlformats.org/officeDocument/2006/relationships/hyperlink" Target="https://www.bing.com/images/search?form=xlimg&amp;q=Andernach" TargetMode="External"/><Relationship Id="rId317" Type="http://schemas.openxmlformats.org/officeDocument/2006/relationships/hyperlink" Target="https://www.bing.com/th?id=OSK.603277e4294cf661aef17ec3b25cc380&amp;qlt=95" TargetMode="External"/><Relationship Id="rId524" Type="http://schemas.openxmlformats.org/officeDocument/2006/relationships/hyperlink" Target="https://www.bing.com/images/search?form=xlimg&amp;q=Regensburg%20(district)" TargetMode="External"/><Relationship Id="rId731" Type="http://schemas.openxmlformats.org/officeDocument/2006/relationships/hyperlink" Target="https://www.bing.com/th?id=OSK.c6457327606c2ac93db8ef35fb855404&amp;qlt=95" TargetMode="External"/><Relationship Id="rId98" Type="http://schemas.openxmlformats.org/officeDocument/2006/relationships/hyperlink" Target="https://www.bing.com/images/search?form=xlimg&amp;q=Bielefeld" TargetMode="External"/><Relationship Id="rId163" Type="http://schemas.openxmlformats.org/officeDocument/2006/relationships/hyperlink" Target="https://www.bing.com/th?id=OSK.a653ac0c07a226c0b5d2d585edd13656&amp;qlt=95" TargetMode="External"/><Relationship Id="rId370" Type="http://schemas.openxmlformats.org/officeDocument/2006/relationships/hyperlink" Target="https://www.bing.com/images/search?form=xlimg&amp;q=Haldensleben" TargetMode="External"/><Relationship Id="rId829" Type="http://schemas.openxmlformats.org/officeDocument/2006/relationships/hyperlink" Target="https://www.bing.com/th?id=OSK.b69b954cd2061967d148296ccc2e943e&amp;qlt=95" TargetMode="External"/><Relationship Id="rId230" Type="http://schemas.openxmlformats.org/officeDocument/2006/relationships/hyperlink" Target="https://www.bing.com/images/search?form=xlimg&amp;q=Eisenh%c3%bcttenstadt" TargetMode="External"/><Relationship Id="rId468" Type="http://schemas.openxmlformats.org/officeDocument/2006/relationships/hyperlink" Target="https://www.bing.com/images/search?form=xlimg&amp;q=Karlsruhe" TargetMode="External"/><Relationship Id="rId675" Type="http://schemas.openxmlformats.org/officeDocument/2006/relationships/hyperlink" Target="https://www.bing.com/th?id=OSK.1b6824a9faf0cb3413e3d4878a49703f&amp;qlt=95" TargetMode="External"/><Relationship Id="rId882" Type="http://schemas.openxmlformats.org/officeDocument/2006/relationships/hyperlink" Target="https://www.bing.com/images/search?form=xlimg&amp;q=Villingen-Schwenningen" TargetMode="External"/><Relationship Id="rId25" Type="http://schemas.openxmlformats.org/officeDocument/2006/relationships/hyperlink" Target="https://www.bing.com/th?id=OSK.ea962e223d2687b02a42cc51007a2f85&amp;qlt=95" TargetMode="External"/><Relationship Id="rId328" Type="http://schemas.openxmlformats.org/officeDocument/2006/relationships/hyperlink" Target="https://www.bing.com/images/search?form=xlimg&amp;q=Gladbeck" TargetMode="External"/><Relationship Id="rId535" Type="http://schemas.openxmlformats.org/officeDocument/2006/relationships/hyperlink" Target="https://www.bing.com/th?id=OSK.fe22ec1b5e87ca97d768f8af78ce196c&amp;qlt=95" TargetMode="External"/><Relationship Id="rId742" Type="http://schemas.openxmlformats.org/officeDocument/2006/relationships/hyperlink" Target="https://www.bing.com/images/search?form=xlimg&amp;q=Rastatt" TargetMode="External"/><Relationship Id="rId174" Type="http://schemas.openxmlformats.org/officeDocument/2006/relationships/hyperlink" Target="https://www.bing.com/images/search?form=xlimg&amp;q=Dachau,%20Bavaria" TargetMode="External"/><Relationship Id="rId381" Type="http://schemas.openxmlformats.org/officeDocument/2006/relationships/hyperlink" Target="https://www.bing.com/th?id=OSK.5d4f58204601fa1f31c408c65607c0ed&amp;qlt=95" TargetMode="External"/><Relationship Id="rId602" Type="http://schemas.openxmlformats.org/officeDocument/2006/relationships/hyperlink" Target="https://www.bing.com/images/search?form=xlimg&amp;q=Meersburg" TargetMode="External"/><Relationship Id="rId241" Type="http://schemas.openxmlformats.org/officeDocument/2006/relationships/hyperlink" Target="https://www.bing.com/th?id=OSK.4f07d02168ffebe5e10d7403326790fb&amp;qlt=95" TargetMode="External"/><Relationship Id="rId479" Type="http://schemas.openxmlformats.org/officeDocument/2006/relationships/hyperlink" Target="https://www.bing.com/th?id=OSK.512a3c275f39d0a30f6e07b03e508254&amp;qlt=95" TargetMode="External"/><Relationship Id="rId686" Type="http://schemas.openxmlformats.org/officeDocument/2006/relationships/hyperlink" Target="https://www.bing.com/images/search?form=xlimg&amp;q=Oberviechtach" TargetMode="External"/><Relationship Id="rId893" Type="http://schemas.openxmlformats.org/officeDocument/2006/relationships/hyperlink" Target="https://www.bing.com/th?id=OSK.9d712ab80ff73a2384f21e66b8bf2ae8&amp;qlt=95" TargetMode="External"/><Relationship Id="rId907" Type="http://schemas.openxmlformats.org/officeDocument/2006/relationships/hyperlink" Target="https://www.bing.com/th?id=OSK.7230c9cd015545666b3a5e4cb19bd9c4&amp;qlt=95" TargetMode="External"/><Relationship Id="rId36" Type="http://schemas.openxmlformats.org/officeDocument/2006/relationships/hyperlink" Target="https://www.bing.com/images/search?form=xlimg&amp;q=Aulendorf" TargetMode="External"/><Relationship Id="rId339" Type="http://schemas.openxmlformats.org/officeDocument/2006/relationships/hyperlink" Target="https://www.bing.com/th?id=OSK.17bf596c48a9b9e63249d07c4c7fd404&amp;qlt=95" TargetMode="External"/><Relationship Id="rId546" Type="http://schemas.openxmlformats.org/officeDocument/2006/relationships/hyperlink" Target="https://www.bing.com/images/search?form=xlimg&amp;q=Leipzig" TargetMode="External"/><Relationship Id="rId753" Type="http://schemas.openxmlformats.org/officeDocument/2006/relationships/hyperlink" Target="https://www.bing.com/th?id=OSK.7c5a8819dd90a469201f8d5e5dd04479&amp;qlt=95" TargetMode="External"/><Relationship Id="rId101" Type="http://schemas.openxmlformats.org/officeDocument/2006/relationships/hyperlink" Target="https://www.bing.com/th?id=OSK.15e2b2e8c7c1c0b3db64cae86e1e467c&amp;qlt=95" TargetMode="External"/><Relationship Id="rId185" Type="http://schemas.openxmlformats.org/officeDocument/2006/relationships/hyperlink" Target="https://www.bing.com/th?id=OSK.65d446a9ffbd2e05934ec40b27711b0d&amp;qlt=95" TargetMode="External"/><Relationship Id="rId406" Type="http://schemas.openxmlformats.org/officeDocument/2006/relationships/hyperlink" Target="https://www.bing.com/images/search?form=xlimg&amp;q=Herleshausen" TargetMode="External"/><Relationship Id="rId960" Type="http://schemas.openxmlformats.org/officeDocument/2006/relationships/hyperlink" Target="https://www.bing.com/images/search?form=xlimg&amp;q=Wurzen" TargetMode="External"/><Relationship Id="rId392" Type="http://schemas.openxmlformats.org/officeDocument/2006/relationships/hyperlink" Target="https://www.bing.com/images/search?form=xlimg&amp;q=Heidenheim%20an%20der%20Brenz" TargetMode="External"/><Relationship Id="rId613" Type="http://schemas.openxmlformats.org/officeDocument/2006/relationships/hyperlink" Target="https://www.bing.com/th?id=OSK.c6de3165581220ede929d813c84bd642&amp;qlt=95" TargetMode="External"/><Relationship Id="rId697" Type="http://schemas.openxmlformats.org/officeDocument/2006/relationships/hyperlink" Target="https://www.bing.com/th?id=OSK.2d949e7ce7a29050bebdac0f3cf093a3&amp;qlt=95" TargetMode="External"/><Relationship Id="rId820" Type="http://schemas.openxmlformats.org/officeDocument/2006/relationships/hyperlink" Target="https://www.bing.com/images/search?form=xlimg&amp;q=Sindelfingen" TargetMode="External"/><Relationship Id="rId918" Type="http://schemas.openxmlformats.org/officeDocument/2006/relationships/hyperlink" Target="https://www.bing.com/images/search?form=xlimg&amp;q=Wermelskirchen" TargetMode="External"/><Relationship Id="rId252" Type="http://schemas.openxmlformats.org/officeDocument/2006/relationships/hyperlink" Target="https://www.bing.com/images/search?form=xlimg&amp;q=Eschweiler" TargetMode="External"/><Relationship Id="rId47" Type="http://schemas.openxmlformats.org/officeDocument/2006/relationships/hyperlink" Target="https://www.bing.com/th?id=OSK.bdc815331fce5dd414351d502cc71e37&amp;qlt=95" TargetMode="External"/><Relationship Id="rId112" Type="http://schemas.openxmlformats.org/officeDocument/2006/relationships/hyperlink" Target="https://www.bing.com/images/search?form=xlimg&amp;q=Bocholt,%20Germany" TargetMode="External"/><Relationship Id="rId557" Type="http://schemas.openxmlformats.org/officeDocument/2006/relationships/hyperlink" Target="https://www.bing.com/th?id=OSK.c79dada7cd4029077cff1f5c06674ad6&amp;qlt=95" TargetMode="External"/><Relationship Id="rId764" Type="http://schemas.openxmlformats.org/officeDocument/2006/relationships/hyperlink" Target="https://www.bing.com/images/search?form=xlimg&amp;q=Rheinhausen%20(Breisgau)" TargetMode="External"/><Relationship Id="rId196" Type="http://schemas.openxmlformats.org/officeDocument/2006/relationships/hyperlink" Target="https://www.bing.com/images/search?form=xlimg&amp;q=Dorsten" TargetMode="External"/><Relationship Id="rId417" Type="http://schemas.openxmlformats.org/officeDocument/2006/relationships/hyperlink" Target="https://www.bing.com/th?id=OSK.e426c6c5b7528386131bcd6bdfe28d1e&amp;qlt=95" TargetMode="External"/><Relationship Id="rId624" Type="http://schemas.openxmlformats.org/officeDocument/2006/relationships/hyperlink" Target="https://www.bing.com/images/search?form=xlimg&amp;q=Mittweida" TargetMode="External"/><Relationship Id="rId831" Type="http://schemas.openxmlformats.org/officeDocument/2006/relationships/hyperlink" Target="https://www.bing.com/th?id=OSK.6e8d21e0294ecf2a53d6faa87e39d26f&amp;qlt=95" TargetMode="External"/><Relationship Id="rId263" Type="http://schemas.openxmlformats.org/officeDocument/2006/relationships/hyperlink" Target="https://www.bing.com/th?id=OSK.2ed17be81b93eeaa31874f7e1a78d166&amp;qlt=95" TargetMode="External"/><Relationship Id="rId470" Type="http://schemas.openxmlformats.org/officeDocument/2006/relationships/hyperlink" Target="https://www.bing.com/images/search?form=xlimg&amp;q=Kassel" TargetMode="External"/><Relationship Id="rId929" Type="http://schemas.openxmlformats.org/officeDocument/2006/relationships/hyperlink" Target="https://www.bing.com/th?id=OSK.QDNm1JyFhR7tIqAcYmXmMuFqKjke8NY8ZSwh4lgggOA&amp;qlt=95" TargetMode="External"/><Relationship Id="rId58" Type="http://schemas.openxmlformats.org/officeDocument/2006/relationships/hyperlink" Target="https://www.bing.com/images/search?form=xlimg&amp;q=Bad%20Segeberg" TargetMode="External"/><Relationship Id="rId123" Type="http://schemas.openxmlformats.org/officeDocument/2006/relationships/hyperlink" Target="https://www.bing.com/th?id=OSK.1b594d93b192d430718b4e4561851bc5&amp;qlt=95" TargetMode="External"/><Relationship Id="rId330" Type="http://schemas.openxmlformats.org/officeDocument/2006/relationships/hyperlink" Target="https://www.bing.com/images/search?form=xlimg&amp;q=Glauchau" TargetMode="External"/><Relationship Id="rId568" Type="http://schemas.openxmlformats.org/officeDocument/2006/relationships/hyperlink" Target="https://www.bing.com/images/search?form=xlimg&amp;q=L%c3%bcbbenau" TargetMode="External"/><Relationship Id="rId775" Type="http://schemas.openxmlformats.org/officeDocument/2006/relationships/hyperlink" Target="https://www.bing.com/th?id=OSK.276b14895d281a4293267bcbfe150359&amp;qlt=95" TargetMode="External"/><Relationship Id="rId428" Type="http://schemas.openxmlformats.org/officeDocument/2006/relationships/hyperlink" Target="https://www.bing.com/images/search?form=xlimg&amp;q=Holzminden" TargetMode="External"/><Relationship Id="rId635" Type="http://schemas.openxmlformats.org/officeDocument/2006/relationships/hyperlink" Target="https://www.bing.com/th?id=OSK.5296ec5cd8da4b9ffade186091924175&amp;qlt=95" TargetMode="External"/><Relationship Id="rId842" Type="http://schemas.openxmlformats.org/officeDocument/2006/relationships/hyperlink" Target="https://www.bing.com/images/search?form=xlimg&amp;q=Stade" TargetMode="External"/><Relationship Id="rId274" Type="http://schemas.openxmlformats.org/officeDocument/2006/relationships/hyperlink" Target="https://www.bing.com/images/search?form=xlimg&amp;q=Finsterwalde" TargetMode="External"/><Relationship Id="rId481" Type="http://schemas.openxmlformats.org/officeDocument/2006/relationships/hyperlink" Target="https://www.bing.com/th?id=OSK.835d83884f97b2ade6e43d3f2610f250&amp;qlt=95" TargetMode="External"/><Relationship Id="rId702" Type="http://schemas.openxmlformats.org/officeDocument/2006/relationships/hyperlink" Target="https://www.bing.com/images/search?form=xlimg&amp;q=Osnabr%c3%bcck" TargetMode="External"/><Relationship Id="rId69" Type="http://schemas.openxmlformats.org/officeDocument/2006/relationships/hyperlink" Target="https://www.bing.com/th?id=OSK.003b2e20bb4f7515abd3f46709ff4af6&amp;qlt=95" TargetMode="External"/><Relationship Id="rId134" Type="http://schemas.openxmlformats.org/officeDocument/2006/relationships/hyperlink" Target="https://www.bing.com/images/search?form=xlimg&amp;q=Bremerv%c3%b6rde" TargetMode="External"/><Relationship Id="rId579" Type="http://schemas.openxmlformats.org/officeDocument/2006/relationships/hyperlink" Target="https://www.bing.com/th?id=OSK.1c3d80936db8647f910a81a7db52cc7a&amp;qlt=95" TargetMode="External"/><Relationship Id="rId786" Type="http://schemas.openxmlformats.org/officeDocument/2006/relationships/hyperlink" Target="https://www.bing.com/images/search?form=xlimg&amp;q=Sangerhausen" TargetMode="External"/><Relationship Id="rId341" Type="http://schemas.openxmlformats.org/officeDocument/2006/relationships/hyperlink" Target="https://www.bing.com/th?id=OSK.75080308e6984c8837295a59ccfde1f2&amp;qlt=95" TargetMode="External"/><Relationship Id="rId439" Type="http://schemas.openxmlformats.org/officeDocument/2006/relationships/hyperlink" Target="https://www.bing.com/th?id=OSK.8cb60fff1fe1c6de544db333f5f8419b&amp;qlt=95" TargetMode="External"/><Relationship Id="rId646" Type="http://schemas.openxmlformats.org/officeDocument/2006/relationships/hyperlink" Target="https://www.bing.com/images/search?form=xlimg&amp;q=Neukirchen-Vluyn" TargetMode="External"/><Relationship Id="rId201" Type="http://schemas.openxmlformats.org/officeDocument/2006/relationships/hyperlink" Target="https://www.bing.com/th?id=OSK.e45dd2e2a2ec647031d0e73476ccb2c2&amp;qlt=95" TargetMode="External"/><Relationship Id="rId285" Type="http://schemas.openxmlformats.org/officeDocument/2006/relationships/hyperlink" Target="https://www.bing.com/th?id=OSK.0838e4777fbb0c3a2ad59f0792ea8959&amp;qlt=95" TargetMode="External"/><Relationship Id="rId506" Type="http://schemas.openxmlformats.org/officeDocument/2006/relationships/hyperlink" Target="https://www.bing.com/images/search?form=xlimg&amp;q=Lippstadt" TargetMode="External"/><Relationship Id="rId853" Type="http://schemas.openxmlformats.org/officeDocument/2006/relationships/hyperlink" Target="https://www.bing.com/th?id=OSK.46a5bd52d034535e04c6ed1f8f0036c1&amp;qlt=95" TargetMode="External"/><Relationship Id="rId492" Type="http://schemas.openxmlformats.org/officeDocument/2006/relationships/hyperlink" Target="https://www.bing.com/images/search?form=xlimg&amp;q=K%c3%b6nigs%20Wusterhausen" TargetMode="External"/><Relationship Id="rId713" Type="http://schemas.openxmlformats.org/officeDocument/2006/relationships/hyperlink" Target="https://www.bing.com/th?id=OSK.61d7ab0a1987907fefe43d102b927f57&amp;qlt=95" TargetMode="External"/><Relationship Id="rId797" Type="http://schemas.openxmlformats.org/officeDocument/2006/relationships/hyperlink" Target="https://www.bing.com/th?id=OSK.946905a9596e9bd6074493aae6e29b4c&amp;qlt=95" TargetMode="External"/><Relationship Id="rId920" Type="http://schemas.openxmlformats.org/officeDocument/2006/relationships/hyperlink" Target="https://www.bing.com/images/search?form=xlimg&amp;q=Werne" TargetMode="External"/><Relationship Id="rId145" Type="http://schemas.openxmlformats.org/officeDocument/2006/relationships/hyperlink" Target="https://www.bing.com/th?id=OSK.dc40d511c227e350238fa861419c169c&amp;qlt=95" TargetMode="External"/><Relationship Id="rId352" Type="http://schemas.openxmlformats.org/officeDocument/2006/relationships/hyperlink" Target="https://www.bing.com/images/search?form=xlimg&amp;q=Grevenbroich" TargetMode="External"/><Relationship Id="rId212" Type="http://schemas.openxmlformats.org/officeDocument/2006/relationships/hyperlink" Target="https://www.bing.com/images/search?form=xlimg&amp;q=D%c3%bclmen" TargetMode="External"/><Relationship Id="rId657" Type="http://schemas.openxmlformats.org/officeDocument/2006/relationships/hyperlink" Target="https://www.bing.com/th?id=OSK.1cff4be221ef01c0275559e0429dee8b&amp;qlt=95" TargetMode="External"/><Relationship Id="rId864" Type="http://schemas.openxmlformats.org/officeDocument/2006/relationships/hyperlink" Target="https://www.bing.com/images/search?form=xlimg&amp;q=Trier" TargetMode="External"/><Relationship Id="rId296" Type="http://schemas.openxmlformats.org/officeDocument/2006/relationships/hyperlink" Target="https://www.bing.com/images/search?form=xlimg&amp;q=Freital" TargetMode="External"/><Relationship Id="rId517" Type="http://schemas.openxmlformats.org/officeDocument/2006/relationships/hyperlink" Target="https://www.bing.com/th?id=OSK.4dbba64a10bc4dace94b4f1b48452166&amp;qlt=95" TargetMode="External"/><Relationship Id="rId724" Type="http://schemas.openxmlformats.org/officeDocument/2006/relationships/hyperlink" Target="https://www.bing.com/images/search?form=xlimg&amp;q=Plauen" TargetMode="External"/><Relationship Id="rId931" Type="http://schemas.openxmlformats.org/officeDocument/2006/relationships/hyperlink" Target="https://www.bing.com/th?id=OSK.a013832b7a6cede3e262ab3c13ed174a&amp;qlt=95" TargetMode="External"/><Relationship Id="rId60" Type="http://schemas.openxmlformats.org/officeDocument/2006/relationships/hyperlink" Target="https://www.bing.com/images/search?form=xlimg&amp;q=Bad%20T%c3%b6lz" TargetMode="External"/><Relationship Id="rId156" Type="http://schemas.openxmlformats.org/officeDocument/2006/relationships/hyperlink" Target="https://www.bing.com/images/search?form=xlimg&amp;q=Clausthal-Zellerfeld" TargetMode="External"/><Relationship Id="rId363" Type="http://schemas.openxmlformats.org/officeDocument/2006/relationships/hyperlink" Target="https://www.bing.com/th?id=OSK.8120da13f68c2deb0858f2c0341c3193&amp;qlt=95" TargetMode="External"/><Relationship Id="rId570" Type="http://schemas.openxmlformats.org/officeDocument/2006/relationships/hyperlink" Target="https://www.bing.com/images/search?form=xlimg&amp;q=L%c3%bcbeck" TargetMode="External"/><Relationship Id="rId223" Type="http://schemas.openxmlformats.org/officeDocument/2006/relationships/hyperlink" Target="https://www.bing.com/th?id=OSK.a4549e90b603944cd2b0516489622c05&amp;qlt=95" TargetMode="External"/><Relationship Id="rId430" Type="http://schemas.openxmlformats.org/officeDocument/2006/relationships/hyperlink" Target="https://www.bing.com/images/search?form=xlimg&amp;q=Homberg%20(Efze)" TargetMode="External"/><Relationship Id="rId668" Type="http://schemas.openxmlformats.org/officeDocument/2006/relationships/hyperlink" Target="https://www.bing.com/images/search?form=xlimg&amp;q=Norderney" TargetMode="External"/><Relationship Id="rId875" Type="http://schemas.openxmlformats.org/officeDocument/2006/relationships/hyperlink" Target="https://www.bing.com/th?id=OSK.619ffad003e759476612553c45090969&amp;qlt=95" TargetMode="External"/><Relationship Id="rId18" Type="http://schemas.openxmlformats.org/officeDocument/2006/relationships/hyperlink" Target="https://www.bing.com/images/search?form=xlimg&amp;q=Annaberg-Buchholz" TargetMode="External"/><Relationship Id="rId528" Type="http://schemas.openxmlformats.org/officeDocument/2006/relationships/hyperlink" Target="https://www.bing.com/images/search?form=xlimg&amp;q=Schweinfurt%20(district)" TargetMode="External"/><Relationship Id="rId735" Type="http://schemas.openxmlformats.org/officeDocument/2006/relationships/hyperlink" Target="https://www.bing.com/th?id=OSK.e81FzXaM2_1AaL63Ep7Y-OFhxmVTvhIb3vX686ERe3s&amp;qlt=95" TargetMode="External"/><Relationship Id="rId942" Type="http://schemas.openxmlformats.org/officeDocument/2006/relationships/hyperlink" Target="https://www.bing.com/images/search?form=xlimg&amp;q=Wittenberge" TargetMode="External"/><Relationship Id="rId167" Type="http://schemas.openxmlformats.org/officeDocument/2006/relationships/hyperlink" Target="https://www.bing.com/th?id=OSK.90a3f90a3d9a57a0d234b144773affa4&amp;qlt=95" TargetMode="External"/><Relationship Id="rId374" Type="http://schemas.openxmlformats.org/officeDocument/2006/relationships/hyperlink" Target="https://www.bing.com/images/search?form=xlimg&amp;q=Hamburg" TargetMode="External"/><Relationship Id="rId581" Type="http://schemas.openxmlformats.org/officeDocument/2006/relationships/hyperlink" Target="https://www.bing.com/th?id=OSK.dccf1d53a0551c6a93d348c80cbbee23&amp;qlt=95" TargetMode="External"/><Relationship Id="rId71" Type="http://schemas.openxmlformats.org/officeDocument/2006/relationships/hyperlink" Target="https://www.bing.com/th?id=OSK.db0fad5ebcdd2ea772686d5ab7e22bd9&amp;qlt=95" TargetMode="External"/><Relationship Id="rId234" Type="http://schemas.openxmlformats.org/officeDocument/2006/relationships/hyperlink" Target="https://www.bing.com/images/search?form=xlimg&amp;q=Elmshorn" TargetMode="External"/><Relationship Id="rId679" Type="http://schemas.openxmlformats.org/officeDocument/2006/relationships/hyperlink" Target="https://www.bing.com/th?id=OSK.3d88a8161b3c78bd3b499ffc1fc25ebb&amp;qlt=95" TargetMode="External"/><Relationship Id="rId802" Type="http://schemas.openxmlformats.org/officeDocument/2006/relationships/hyperlink" Target="https://www.bing.com/images/search?form=xlimg&amp;q=Schwarzenberg,%20Saxony" TargetMode="External"/><Relationship Id="rId886" Type="http://schemas.openxmlformats.org/officeDocument/2006/relationships/hyperlink" Target="https://www.bing.com/images/search?form=xlimg&amp;q=Waiblingen" TargetMode="External"/><Relationship Id="rId2" Type="http://schemas.openxmlformats.org/officeDocument/2006/relationships/hyperlink" Target="https://www.bing.com/images/search?form=xlimg&amp;q=Aachen" TargetMode="External"/><Relationship Id="rId29" Type="http://schemas.openxmlformats.org/officeDocument/2006/relationships/hyperlink" Target="https://www.bing.com/th?id=OSK.bb5bdd1a5b957db3b584e6ad3c568c19&amp;qlt=95" TargetMode="External"/><Relationship Id="rId441" Type="http://schemas.openxmlformats.org/officeDocument/2006/relationships/hyperlink" Target="https://www.bing.com/th?id=OSK.b09bc490b9c2380c3674436e33e53880&amp;qlt=95" TargetMode="External"/><Relationship Id="rId539" Type="http://schemas.openxmlformats.org/officeDocument/2006/relationships/hyperlink" Target="https://www.bing.com/th?id=OSK.3d98963283717e59630548068a8e91f7&amp;qlt=95" TargetMode="External"/><Relationship Id="rId746" Type="http://schemas.openxmlformats.org/officeDocument/2006/relationships/hyperlink" Target="https://www.bing.com/images/search?form=xlimg&amp;q=Ratingen" TargetMode="External"/><Relationship Id="rId178" Type="http://schemas.openxmlformats.org/officeDocument/2006/relationships/hyperlink" Target="https://www.bing.com/images/search?form=xlimg&amp;q=Datteln" TargetMode="External"/><Relationship Id="rId301" Type="http://schemas.openxmlformats.org/officeDocument/2006/relationships/hyperlink" Target="https://www.bing.com/th?id=OSK.21217648a736f1ee25ea4798059391ee&amp;qlt=95" TargetMode="External"/><Relationship Id="rId953" Type="http://schemas.openxmlformats.org/officeDocument/2006/relationships/hyperlink" Target="https://www.bing.com/th?id=OSK.179ad14272ed3490349efe16f537ce7d&amp;qlt=95" TargetMode="External"/><Relationship Id="rId82" Type="http://schemas.openxmlformats.org/officeDocument/2006/relationships/hyperlink" Target="https://www.bing.com/images/search?form=xlimg&amp;q=Bergen%20auf%20R%c3%bcgen" TargetMode="External"/><Relationship Id="rId385" Type="http://schemas.openxmlformats.org/officeDocument/2006/relationships/hyperlink" Target="https://www.bing.com/th?id=OSK.f3ef8661972cc4de6edafad49fb86864&amp;qlt=95" TargetMode="External"/><Relationship Id="rId592" Type="http://schemas.openxmlformats.org/officeDocument/2006/relationships/hyperlink" Target="https://www.bing.com/images/search?form=xlimg&amp;q=Mannheim" TargetMode="External"/><Relationship Id="rId606" Type="http://schemas.openxmlformats.org/officeDocument/2006/relationships/hyperlink" Target="https://www.bing.com/images/search?form=xlimg&amp;q=Meissen" TargetMode="External"/><Relationship Id="rId813" Type="http://schemas.openxmlformats.org/officeDocument/2006/relationships/hyperlink" Target="https://www.bing.com/th?id=OSK.nK3QhGq4kJzueKV05-Ei0htFmwSoaEnyTpA8jEkmUs4&amp;qlt=95" TargetMode="External"/><Relationship Id="rId245" Type="http://schemas.openxmlformats.org/officeDocument/2006/relationships/hyperlink" Target="https://www.bing.com/th?id=OSK.242d87cdf19a6ba8b3450489b4ed4e7b&amp;qlt=95" TargetMode="External"/><Relationship Id="rId452" Type="http://schemas.openxmlformats.org/officeDocument/2006/relationships/hyperlink" Target="https://www.bing.com/images/search?form=xlimg&amp;q=Itzehoe" TargetMode="External"/><Relationship Id="rId897" Type="http://schemas.openxmlformats.org/officeDocument/2006/relationships/hyperlink" Target="https://www.bing.com/th?id=OSK.df5585c797582d62333f7da43976f48e&amp;qlt=95" TargetMode="External"/><Relationship Id="rId105" Type="http://schemas.openxmlformats.org/officeDocument/2006/relationships/hyperlink" Target="https://www.bing.com/th?id=OSK.4ea851f68808b0ddfa056397585996a2&amp;qlt=95" TargetMode="External"/><Relationship Id="rId312" Type="http://schemas.openxmlformats.org/officeDocument/2006/relationships/hyperlink" Target="https://www.bing.com/images/search?form=xlimg&amp;q=Geesthacht" TargetMode="External"/><Relationship Id="rId757" Type="http://schemas.openxmlformats.org/officeDocument/2006/relationships/hyperlink" Target="https://www.bing.com/th?id=OSK.8ce4b855ed2131ee1aef96657e2c5d45&amp;qlt=95" TargetMode="External"/><Relationship Id="rId964" Type="http://schemas.openxmlformats.org/officeDocument/2006/relationships/hyperlink" Target="https://www.bing.com/images/search?form=xlimg&amp;q=Zerbst" TargetMode="External"/><Relationship Id="rId93" Type="http://schemas.openxmlformats.org/officeDocument/2006/relationships/hyperlink" Target="https://www.bing.com/th?id=OSK.9d50f86d8a8df6104bf4781f8f14d875&amp;qlt=95" TargetMode="External"/><Relationship Id="rId189" Type="http://schemas.openxmlformats.org/officeDocument/2006/relationships/hyperlink" Target="https://www.bing.com/th?id=OSK.6be45f43fe76b369c9f86892f94dd1e6&amp;qlt=95" TargetMode="External"/><Relationship Id="rId396" Type="http://schemas.openxmlformats.org/officeDocument/2006/relationships/hyperlink" Target="https://www.bing.com/images/search?form=xlimg&amp;q=Heiligenhaus" TargetMode="External"/><Relationship Id="rId617" Type="http://schemas.openxmlformats.org/officeDocument/2006/relationships/hyperlink" Target="https://www.bing.com/th?id=OSK.8f246c3e2557037b5552da0ed6ec51a7&amp;qlt=95" TargetMode="External"/><Relationship Id="rId824" Type="http://schemas.openxmlformats.org/officeDocument/2006/relationships/hyperlink" Target="https://www.bing.com/images/search?form=xlimg&amp;q=Solingen" TargetMode="External"/><Relationship Id="rId256" Type="http://schemas.openxmlformats.org/officeDocument/2006/relationships/hyperlink" Target="https://www.bing.com/images/search?form=xlimg&amp;q=Esslingen%20am%20Neckar" TargetMode="External"/><Relationship Id="rId463" Type="http://schemas.openxmlformats.org/officeDocument/2006/relationships/hyperlink" Target="https://www.bing.com/th?id=OSK.3e4b811b5a5da7750ebaf2eabe35df52&amp;qlt=95" TargetMode="External"/><Relationship Id="rId670" Type="http://schemas.openxmlformats.org/officeDocument/2006/relationships/hyperlink" Target="https://www.bing.com/images/search?form=xlimg&amp;q=Nordhorn" TargetMode="External"/><Relationship Id="rId116" Type="http://schemas.openxmlformats.org/officeDocument/2006/relationships/hyperlink" Target="https://www.bing.com/images/search?form=xlimg&amp;q=Bonn" TargetMode="External"/><Relationship Id="rId323" Type="http://schemas.openxmlformats.org/officeDocument/2006/relationships/hyperlink" Target="https://www.bing.com/th?id=OSK.96d9832f58c44d8f9df0849f66c4df70&amp;qlt=95" TargetMode="External"/><Relationship Id="rId530" Type="http://schemas.openxmlformats.org/officeDocument/2006/relationships/hyperlink" Target="https://www.bing.com/images/search?form=xlimg&amp;q=Landshut" TargetMode="External"/><Relationship Id="rId768" Type="http://schemas.openxmlformats.org/officeDocument/2006/relationships/hyperlink" Target="https://www.bing.com/images/search?form=xlimg&amp;q=Riesa" TargetMode="External"/><Relationship Id="rId20" Type="http://schemas.openxmlformats.org/officeDocument/2006/relationships/hyperlink" Target="https://www.bing.com/images/search?form=xlimg&amp;q=Ansbach" TargetMode="External"/><Relationship Id="rId628" Type="http://schemas.openxmlformats.org/officeDocument/2006/relationships/hyperlink" Target="https://www.bing.com/images/search?form=xlimg&amp;q=M%c3%b6nchengladbach" TargetMode="External"/><Relationship Id="rId835" Type="http://schemas.openxmlformats.org/officeDocument/2006/relationships/hyperlink" Target="https://www.bing.com/th?id=OSK.d7c024251dbd10eb40f1eb89e1d4f185&amp;qlt=95" TargetMode="External"/><Relationship Id="rId267" Type="http://schemas.openxmlformats.org/officeDocument/2006/relationships/hyperlink" Target="https://www.bing.com/th?id=OSK.ca40e0d30951ef5728591967fd7d5ec4&amp;qlt=95" TargetMode="External"/><Relationship Id="rId474" Type="http://schemas.openxmlformats.org/officeDocument/2006/relationships/hyperlink" Target="https://www.bing.com/images/search?form=xlimg&amp;q=Kempten" TargetMode="External"/><Relationship Id="rId127" Type="http://schemas.openxmlformats.org/officeDocument/2006/relationships/hyperlink" Target="https://www.bing.com/th?id=OSK.GB7fSsV-oDHHi88fUcNmr12yjTG5VYtuDlKCrQlWqBM&amp;qlt=95" TargetMode="External"/><Relationship Id="rId681" Type="http://schemas.openxmlformats.org/officeDocument/2006/relationships/hyperlink" Target="https://www.bing.com/th?id=OSK.0b086e75f441efa542e0a93900588650&amp;qlt=95" TargetMode="External"/><Relationship Id="rId779" Type="http://schemas.openxmlformats.org/officeDocument/2006/relationships/hyperlink" Target="https://www.bing.com/th?id=OSK.9788caa1c219b604f599a443fdaf8ca5&amp;qlt=95" TargetMode="External"/><Relationship Id="rId902" Type="http://schemas.openxmlformats.org/officeDocument/2006/relationships/hyperlink" Target="https://www.bing.com/images/search?form=xlimg&amp;q=Weilburg" TargetMode="External"/><Relationship Id="rId31" Type="http://schemas.openxmlformats.org/officeDocument/2006/relationships/hyperlink" Target="https://www.bing.com/th?id=OSK.294fe6d27656e5342e03cd431b0badac&amp;qlt=95" TargetMode="External"/><Relationship Id="rId334" Type="http://schemas.openxmlformats.org/officeDocument/2006/relationships/hyperlink" Target="https://www.bing.com/images/search?form=xlimg&amp;q=G%c3%b6ppingen" TargetMode="External"/><Relationship Id="rId541" Type="http://schemas.openxmlformats.org/officeDocument/2006/relationships/hyperlink" Target="https://www.bing.com/th?id=OSK.717e6db0664d3c92c33ed9243b9a8c8c&amp;qlt=95" TargetMode="External"/><Relationship Id="rId639" Type="http://schemas.openxmlformats.org/officeDocument/2006/relationships/hyperlink" Target="https://www.bing.com/th?id=OSK.a6d9f84c573fb45f8ab3fa335338824f&amp;qlt=95" TargetMode="External"/><Relationship Id="rId180" Type="http://schemas.openxmlformats.org/officeDocument/2006/relationships/hyperlink" Target="https://www.bing.com/images/search?form=xlimg&amp;q=Delitzsch" TargetMode="External"/><Relationship Id="rId278" Type="http://schemas.openxmlformats.org/officeDocument/2006/relationships/hyperlink" Target="https://www.bing.com/images/search?form=xlimg&amp;q=Forchheim" TargetMode="External"/><Relationship Id="rId401" Type="http://schemas.openxmlformats.org/officeDocument/2006/relationships/hyperlink" Target="https://www.bing.com/th?id=OSK.40ed065da79ae99a56412bf1f30e33b2&amp;qlt=95" TargetMode="External"/><Relationship Id="rId846" Type="http://schemas.openxmlformats.org/officeDocument/2006/relationships/hyperlink" Target="https://www.bing.com/images/search?form=xlimg&amp;q=Stendal" TargetMode="External"/><Relationship Id="rId485" Type="http://schemas.openxmlformats.org/officeDocument/2006/relationships/hyperlink" Target="https://www.bing.com/th?id=OSK.3a23dedaa369e1f3946a31ae08cfd1ff&amp;qlt=95" TargetMode="External"/><Relationship Id="rId692" Type="http://schemas.openxmlformats.org/officeDocument/2006/relationships/hyperlink" Target="https://www.bing.com/images/search?form=xlimg&amp;q=Offenbach%20am%20Main" TargetMode="External"/><Relationship Id="rId706" Type="http://schemas.openxmlformats.org/officeDocument/2006/relationships/hyperlink" Target="https://www.bing.com/images/search?form=xlimg&amp;q=Paderborn" TargetMode="External"/><Relationship Id="rId913" Type="http://schemas.openxmlformats.org/officeDocument/2006/relationships/hyperlink" Target="https://www.bing.com/th?id=OSK.cc8d7c52e850823b3b7a2e63704be942&amp;qlt=95" TargetMode="External"/><Relationship Id="rId42" Type="http://schemas.openxmlformats.org/officeDocument/2006/relationships/hyperlink" Target="https://www.bing.com/images/search?form=xlimg&amp;q=Bad%20Ems" TargetMode="External"/><Relationship Id="rId138" Type="http://schemas.openxmlformats.org/officeDocument/2006/relationships/hyperlink" Target="https://www.bing.com/images/search?form=xlimg&amp;q=Brockel" TargetMode="External"/><Relationship Id="rId345" Type="http://schemas.openxmlformats.org/officeDocument/2006/relationships/hyperlink" Target="https://www.bing.com/th?id=OSK.2c5012fac5d7ec23d6e9735b6e732afb&amp;qlt=95" TargetMode="External"/><Relationship Id="rId552" Type="http://schemas.openxmlformats.org/officeDocument/2006/relationships/hyperlink" Target="https://www.bing.com/images/search?form=xlimg&amp;q=Leonberg" TargetMode="External"/><Relationship Id="rId191" Type="http://schemas.openxmlformats.org/officeDocument/2006/relationships/hyperlink" Target="https://www.bing.com/th?id=OSK.0ee096a05d238852c46ec8d99a4fd450&amp;qlt=95" TargetMode="External"/><Relationship Id="rId205" Type="http://schemas.openxmlformats.org/officeDocument/2006/relationships/hyperlink" Target="https://www.bing.com/th?id=OSK.cd42b94700c92b5e4c3617a5a1f9b2e2&amp;qlt=95" TargetMode="External"/><Relationship Id="rId412" Type="http://schemas.openxmlformats.org/officeDocument/2006/relationships/hyperlink" Target="https://www.bing.com/images/search?form=xlimg&amp;q=Hettstedt" TargetMode="External"/><Relationship Id="rId857" Type="http://schemas.openxmlformats.org/officeDocument/2006/relationships/hyperlink" Target="https://www.bing.com/th?id=OSK.b177bd44ca10e76732256f4a96edfc8a&amp;qlt=95" TargetMode="External"/><Relationship Id="rId289" Type="http://schemas.openxmlformats.org/officeDocument/2006/relationships/hyperlink" Target="https://www.bing.com/th?id=OSK.7a78286628fa9f96c6b9eea3c966f499&amp;qlt=95" TargetMode="External"/><Relationship Id="rId496" Type="http://schemas.openxmlformats.org/officeDocument/2006/relationships/hyperlink" Target="https://www.bing.com/images/search?form=xlimg&amp;q=Konstanz" TargetMode="External"/><Relationship Id="rId717" Type="http://schemas.openxmlformats.org/officeDocument/2006/relationships/hyperlink" Target="https://www.bing.com/th?id=OSK.43901daa378e238a2808522c355acafc&amp;qlt=95" TargetMode="External"/><Relationship Id="rId924" Type="http://schemas.openxmlformats.org/officeDocument/2006/relationships/hyperlink" Target="https://www.bing.com/images/search?form=xlimg&amp;q=Wertheim%20am%20Main" TargetMode="External"/><Relationship Id="rId53" Type="http://schemas.openxmlformats.org/officeDocument/2006/relationships/hyperlink" Target="https://www.bing.com/th?id=OSK.7291a1b09c00caca2fa43ab899153b1e&amp;qlt=95" TargetMode="External"/><Relationship Id="rId149" Type="http://schemas.openxmlformats.org/officeDocument/2006/relationships/hyperlink" Target="https://www.bing.com/th?id=OSK.d37d9beeee6f5cacb7cc8215755ed88c&amp;qlt=95" TargetMode="External"/><Relationship Id="rId356" Type="http://schemas.openxmlformats.org/officeDocument/2006/relationships/hyperlink" Target="https://www.bing.com/images/search?form=xlimg&amp;q=Gro%c3%9fenhain" TargetMode="External"/><Relationship Id="rId563" Type="http://schemas.openxmlformats.org/officeDocument/2006/relationships/hyperlink" Target="https://www.bing.com/th?id=OSK.7dcba6add8afb9add8ae3eb514736d93&amp;qlt=95" TargetMode="External"/><Relationship Id="rId770" Type="http://schemas.openxmlformats.org/officeDocument/2006/relationships/hyperlink" Target="https://www.bing.com/images/search?form=xlimg&amp;q=Rosenheim" TargetMode="External"/><Relationship Id="rId216" Type="http://schemas.openxmlformats.org/officeDocument/2006/relationships/hyperlink" Target="https://www.bing.com/images/search?form=xlimg&amp;q=D%c3%bcsseldorf" TargetMode="External"/><Relationship Id="rId423" Type="http://schemas.openxmlformats.org/officeDocument/2006/relationships/hyperlink" Target="https://www.bing.com/th?id=OSK.7714f068d8ef5b26d77fb99116c80f92&amp;qlt=95" TargetMode="External"/><Relationship Id="rId868" Type="http://schemas.openxmlformats.org/officeDocument/2006/relationships/hyperlink" Target="https://www.bing.com/images/search?form=xlimg&amp;q=Tuttlingen" TargetMode="External"/><Relationship Id="rId630" Type="http://schemas.openxmlformats.org/officeDocument/2006/relationships/hyperlink" Target="https://www.bing.com/images/search?form=xlimg&amp;q=Monheim%20am%20Rhein" TargetMode="External"/><Relationship Id="rId728" Type="http://schemas.openxmlformats.org/officeDocument/2006/relationships/hyperlink" Target="https://www.bing.com/images/search?form=xlimg&amp;q=Pommelsbrunn" TargetMode="External"/><Relationship Id="rId935" Type="http://schemas.openxmlformats.org/officeDocument/2006/relationships/hyperlink" Target="https://www.bing.com/th?id=OSK.6ff391933ee999656e10241033eb9376&amp;qlt=95" TargetMode="External"/><Relationship Id="rId64" Type="http://schemas.openxmlformats.org/officeDocument/2006/relationships/hyperlink" Target="https://www.bing.com/images/search?form=xlimg&amp;q=Baden-Baden" TargetMode="External"/><Relationship Id="rId367" Type="http://schemas.openxmlformats.org/officeDocument/2006/relationships/hyperlink" Target="https://www.bing.com/th?id=OSK.e7541ac537330c24a2dafc72216603ad&amp;qlt=95" TargetMode="External"/><Relationship Id="rId574" Type="http://schemas.openxmlformats.org/officeDocument/2006/relationships/hyperlink" Target="https://www.bing.com/images/search?form=xlimg&amp;q=L%c3%bcdenscheid" TargetMode="External"/><Relationship Id="rId227" Type="http://schemas.openxmlformats.org/officeDocument/2006/relationships/hyperlink" Target="https://www.bing.com/th?id=OSK.iTEREBy1m9zdWKAREOjJR-T74keq6VS6lfelysvtkHA&amp;qlt=95" TargetMode="External"/><Relationship Id="rId781" Type="http://schemas.openxmlformats.org/officeDocument/2006/relationships/hyperlink" Target="https://www.bing.com/th?id=OSK.d586cca02380aee179906962fa77ab15&amp;qlt=95" TargetMode="External"/><Relationship Id="rId879" Type="http://schemas.openxmlformats.org/officeDocument/2006/relationships/hyperlink" Target="https://www.bing.com/th?id=OSK.da7157bfa9b001d91857acc46932658c&amp;qlt=95" TargetMode="External"/><Relationship Id="rId434" Type="http://schemas.openxmlformats.org/officeDocument/2006/relationships/hyperlink" Target="https://www.bing.com/images/search?form=xlimg&amp;q=Hoyerswerda" TargetMode="External"/><Relationship Id="rId641" Type="http://schemas.openxmlformats.org/officeDocument/2006/relationships/hyperlink" Target="https://www.bing.com/th?id=OSK.5d6cf05be3873b5d032fc242a492982d&amp;qlt=95" TargetMode="External"/><Relationship Id="rId739" Type="http://schemas.openxmlformats.org/officeDocument/2006/relationships/hyperlink" Target="https://www.bing.com/th?id=OSK.b36559f1a5bc9e79b6b8efb41f051b8b&amp;qlt=95" TargetMode="External"/><Relationship Id="rId280" Type="http://schemas.openxmlformats.org/officeDocument/2006/relationships/hyperlink" Target="https://www.bing.com/images/search?form=xlimg&amp;q=Forst%20(Lausitz)" TargetMode="External"/><Relationship Id="rId501" Type="http://schemas.openxmlformats.org/officeDocument/2006/relationships/hyperlink" Target="https://www.bing.com/th?id=OSK.ddf441fd12015460d72af04fdb43bf3c&amp;qlt=95" TargetMode="External"/><Relationship Id="rId946" Type="http://schemas.openxmlformats.org/officeDocument/2006/relationships/hyperlink" Target="https://www.bing.com/images/search?form=xlimg&amp;q=Wolfenb%c3%bcttel" TargetMode="External"/><Relationship Id="rId75" Type="http://schemas.openxmlformats.org/officeDocument/2006/relationships/hyperlink" Target="https://www.bing.com/th?id=OSK.159243590d7f145b8b16126abc11788a&amp;qlt=95" TargetMode="External"/><Relationship Id="rId140" Type="http://schemas.openxmlformats.org/officeDocument/2006/relationships/hyperlink" Target="https://www.bing.com/images/search?form=xlimg&amp;q=Bruchsal" TargetMode="External"/><Relationship Id="rId378" Type="http://schemas.openxmlformats.org/officeDocument/2006/relationships/hyperlink" Target="https://www.bing.com/images/search?form=xlimg&amp;q=Hamm" TargetMode="External"/><Relationship Id="rId585" Type="http://schemas.openxmlformats.org/officeDocument/2006/relationships/hyperlink" Target="https://www.bing.com/th?id=OSK.a64cd56a50e9dd78e84920f53ab91255&amp;qlt=95" TargetMode="External"/><Relationship Id="rId792" Type="http://schemas.openxmlformats.org/officeDocument/2006/relationships/hyperlink" Target="https://www.bing.com/images/search?form=xlimg&amp;q=Sch%c3%b6nebeck" TargetMode="External"/><Relationship Id="rId806" Type="http://schemas.openxmlformats.org/officeDocument/2006/relationships/hyperlink" Target="https://www.bing.com/images/search?form=xlimg&amp;q=Schwelm" TargetMode="External"/><Relationship Id="rId6" Type="http://schemas.openxmlformats.org/officeDocument/2006/relationships/hyperlink" Target="https://www.bing.com/images/search?form=xlimg&amp;q=Alba%20Iulia" TargetMode="External"/><Relationship Id="rId238" Type="http://schemas.openxmlformats.org/officeDocument/2006/relationships/hyperlink" Target="https://www.bing.com/images/search?form=xlimg&amp;q=Emden" TargetMode="External"/><Relationship Id="rId445" Type="http://schemas.openxmlformats.org/officeDocument/2006/relationships/hyperlink" Target="https://www.bing.com/th?id=OSK.898c706c21cf5c81bf574f0a58090eba&amp;qlt=95" TargetMode="External"/><Relationship Id="rId652" Type="http://schemas.openxmlformats.org/officeDocument/2006/relationships/hyperlink" Target="https://www.bing.com/images/search?form=xlimg&amp;q=Neuruppin" TargetMode="External"/><Relationship Id="rId291" Type="http://schemas.openxmlformats.org/officeDocument/2006/relationships/hyperlink" Target="https://www.bing.com/th?id=OSK.jhiO3n1rdV-ulok-m48k19vDUdErq_1s9atOvoyR3w8&amp;qlt=95" TargetMode="External"/><Relationship Id="rId305" Type="http://schemas.openxmlformats.org/officeDocument/2006/relationships/hyperlink" Target="https://www.bing.com/th?id=OSK.bf8da2751227e151d5ae6905b429dbff&amp;qlt=95" TargetMode="External"/><Relationship Id="rId512" Type="http://schemas.openxmlformats.org/officeDocument/2006/relationships/hyperlink" Target="https://www.bing.com/images/search?form=xlimg&amp;q=K%c3%bcnzelsau" TargetMode="External"/><Relationship Id="rId957" Type="http://schemas.openxmlformats.org/officeDocument/2006/relationships/hyperlink" Target="https://www.bing.com/th?id=OSK.72bb59d513b8f389792db7065b19ad90&amp;qlt=95" TargetMode="External"/><Relationship Id="rId86" Type="http://schemas.openxmlformats.org/officeDocument/2006/relationships/hyperlink" Target="https://www.bing.com/images/search?form=xlimg&amp;q=Berlin" TargetMode="External"/><Relationship Id="rId151" Type="http://schemas.openxmlformats.org/officeDocument/2006/relationships/hyperlink" Target="https://www.bing.com/th?id=OSK.6f609c0f3d9d4c3fee4aa95ffa674398&amp;qlt=95" TargetMode="External"/><Relationship Id="rId389" Type="http://schemas.openxmlformats.org/officeDocument/2006/relationships/hyperlink" Target="https://www.bing.com/th?id=OSK.0fbf9ec30b5746b054411f33c0d35cf7&amp;qlt=95" TargetMode="External"/><Relationship Id="rId596" Type="http://schemas.openxmlformats.org/officeDocument/2006/relationships/hyperlink" Target="https://www.bing.com/images/search?form=xlimg&amp;q=Markkleeberg" TargetMode="External"/><Relationship Id="rId817" Type="http://schemas.openxmlformats.org/officeDocument/2006/relationships/hyperlink" Target="https://www.bing.com/th?id=OSK.cb64c0e0594a6ae24fdbcd638c6c3e67&amp;qlt=95" TargetMode="External"/><Relationship Id="rId249" Type="http://schemas.openxmlformats.org/officeDocument/2006/relationships/hyperlink" Target="https://www.bing.com/th?id=OSK.c22c8f55591f42f5073e64055274cebc&amp;qlt=95" TargetMode="External"/><Relationship Id="rId456" Type="http://schemas.openxmlformats.org/officeDocument/2006/relationships/hyperlink" Target="https://www.bing.com/images/search?form=xlimg&amp;q=Kahl%20am%20Main" TargetMode="External"/><Relationship Id="rId663" Type="http://schemas.openxmlformats.org/officeDocument/2006/relationships/hyperlink" Target="https://www.bing.com/th?id=OSK.12f24020972fc642dbd0bf0c369a6353&amp;qlt=95" TargetMode="External"/><Relationship Id="rId870" Type="http://schemas.openxmlformats.org/officeDocument/2006/relationships/hyperlink" Target="https://www.bing.com/images/search?form=xlimg&amp;q=%c3%9cbach-Palenberg" TargetMode="External"/><Relationship Id="rId13" Type="http://schemas.openxmlformats.org/officeDocument/2006/relationships/hyperlink" Target="https://www.bing.com/th?id=OSK.89cf1724955c4c45db12869f240aee8d&amp;qlt=95" TargetMode="External"/><Relationship Id="rId109" Type="http://schemas.openxmlformats.org/officeDocument/2006/relationships/hyperlink" Target="https://www.bing.com/th?id=OSK.2dea53c5974bc1f97e2779e152037081&amp;qlt=95" TargetMode="External"/><Relationship Id="rId316" Type="http://schemas.openxmlformats.org/officeDocument/2006/relationships/hyperlink" Target="https://www.bing.com/images/search?form=xlimg&amp;q=Gelsenkirchen" TargetMode="External"/><Relationship Id="rId523" Type="http://schemas.openxmlformats.org/officeDocument/2006/relationships/hyperlink" Target="https://www.bing.com/th?id=OSK.e4d669aac1373c07a8b5d9877063f8f5&amp;qlt=95" TargetMode="External"/><Relationship Id="rId968" Type="http://schemas.openxmlformats.org/officeDocument/2006/relationships/hyperlink" Target="https://www.bing.com/images/search?form=xlimg&amp;q=Zweibr%c3%bccken" TargetMode="External"/><Relationship Id="rId97" Type="http://schemas.openxmlformats.org/officeDocument/2006/relationships/hyperlink" Target="https://www.bing.com/th?id=OSK.a1b560d65568b4f431bdb4a8e08d5d4b&amp;qlt=95" TargetMode="External"/><Relationship Id="rId730" Type="http://schemas.openxmlformats.org/officeDocument/2006/relationships/hyperlink" Target="https://www.bing.com/images/search?form=xlimg&amp;q=Potsdam" TargetMode="External"/><Relationship Id="rId828" Type="http://schemas.openxmlformats.org/officeDocument/2006/relationships/hyperlink" Target="https://www.bing.com/images/search?form=xlimg&amp;q=S%c3%b6mmerda" TargetMode="External"/><Relationship Id="rId162" Type="http://schemas.openxmlformats.org/officeDocument/2006/relationships/hyperlink" Target="https://www.bing.com/images/search?form=xlimg&amp;q=Coswig,%20Saxony" TargetMode="External"/><Relationship Id="rId467" Type="http://schemas.openxmlformats.org/officeDocument/2006/relationships/hyperlink" Target="https://www.bing.com/th?id=OSK.67a4d52cebff13d23967245783c4846f&amp;qlt=95" TargetMode="External"/><Relationship Id="rId674" Type="http://schemas.openxmlformats.org/officeDocument/2006/relationships/hyperlink" Target="https://www.bing.com/images/search?form=xlimg&amp;q=Nuremberg" TargetMode="External"/><Relationship Id="rId881" Type="http://schemas.openxmlformats.org/officeDocument/2006/relationships/hyperlink" Target="https://www.bing.com/th?id=OSK.217f6b7933a63061dbdc236f1ae0b96a&amp;qlt=95" TargetMode="External"/><Relationship Id="rId24" Type="http://schemas.openxmlformats.org/officeDocument/2006/relationships/hyperlink" Target="https://www.bing.com/images/search?form=xlimg&amp;q=Arnsberg" TargetMode="External"/><Relationship Id="rId327" Type="http://schemas.openxmlformats.org/officeDocument/2006/relationships/hyperlink" Target="https://www.bing.com/th?id=OSK.67a67d547fb079378d296df09a9a178c&amp;qlt=95" TargetMode="External"/><Relationship Id="rId534" Type="http://schemas.openxmlformats.org/officeDocument/2006/relationships/hyperlink" Target="https://www.bing.com/images/search?form=xlimg&amp;q=Langenfeld,%20Rhineland" TargetMode="External"/><Relationship Id="rId741" Type="http://schemas.openxmlformats.org/officeDocument/2006/relationships/hyperlink" Target="https://www.bing.com/th?id=OSK.7e71946b88da4962f3fb837b828bb3cd&amp;qlt=95" TargetMode="External"/><Relationship Id="rId839" Type="http://schemas.openxmlformats.org/officeDocument/2006/relationships/hyperlink" Target="https://www.bing.com/th?id=OSK.1a091ec8dbf780c287f5b86157f61878&amp;qlt=95" TargetMode="External"/><Relationship Id="rId173" Type="http://schemas.openxmlformats.org/officeDocument/2006/relationships/hyperlink" Target="https://www.bing.com/th?id=OSK.bb69f9467047ed543b513c3675ba7508&amp;qlt=95" TargetMode="External"/><Relationship Id="rId380" Type="http://schemas.openxmlformats.org/officeDocument/2006/relationships/hyperlink" Target="https://www.bing.com/images/search?form=xlimg&amp;q=Hanau" TargetMode="External"/><Relationship Id="rId601" Type="http://schemas.openxmlformats.org/officeDocument/2006/relationships/hyperlink" Target="https://www.bing.com/th?id=OSK.3565b55bfc8a0c6c5a5ed8a84d1862c7&amp;qlt=95" TargetMode="External"/><Relationship Id="rId240" Type="http://schemas.openxmlformats.org/officeDocument/2006/relationships/hyperlink" Target="https://www.bing.com/images/search?form=xlimg&amp;q=Emsdetten" TargetMode="External"/><Relationship Id="rId478" Type="http://schemas.openxmlformats.org/officeDocument/2006/relationships/hyperlink" Target="https://www.bing.com/images/search?form=xlimg&amp;q=Kirchberg%20am%20Walde" TargetMode="External"/><Relationship Id="rId685" Type="http://schemas.openxmlformats.org/officeDocument/2006/relationships/hyperlink" Target="https://www.bing.com/th?id=OSK.31a6227128aa787b0077b84229ad33aa&amp;qlt=95" TargetMode="External"/><Relationship Id="rId892" Type="http://schemas.openxmlformats.org/officeDocument/2006/relationships/hyperlink" Target="https://www.bing.com/images/search?form=xlimg&amp;q=Waren%20(M%c3%bcritz)" TargetMode="External"/><Relationship Id="rId906" Type="http://schemas.openxmlformats.org/officeDocument/2006/relationships/hyperlink" Target="https://www.bing.com/images/search?form=xlimg&amp;q=Weinheim" TargetMode="External"/><Relationship Id="rId35" Type="http://schemas.openxmlformats.org/officeDocument/2006/relationships/hyperlink" Target="https://www.bing.com/th?id=OSK.e25f8f8275c4179c9da3c4e51bbeef36&amp;qlt=95" TargetMode="External"/><Relationship Id="rId100" Type="http://schemas.openxmlformats.org/officeDocument/2006/relationships/hyperlink" Target="https://www.bing.com/images/search?form=xlimg&amp;q=Bingen%20am%20Rhein" TargetMode="External"/><Relationship Id="rId338" Type="http://schemas.openxmlformats.org/officeDocument/2006/relationships/hyperlink" Target="https://www.bing.com/images/search?form=xlimg&amp;q=Goslar" TargetMode="External"/><Relationship Id="rId545" Type="http://schemas.openxmlformats.org/officeDocument/2006/relationships/hyperlink" Target="https://www.bing.com/th?id=OSK.16e26b41d1853c559ef778860e30652b&amp;qlt=95" TargetMode="External"/><Relationship Id="rId752" Type="http://schemas.openxmlformats.org/officeDocument/2006/relationships/hyperlink" Target="https://www.bing.com/images/search?form=xlimg&amp;q=Saarbr%c3%bccken%20(district)" TargetMode="External"/><Relationship Id="rId184" Type="http://schemas.openxmlformats.org/officeDocument/2006/relationships/hyperlink" Target="https://www.bing.com/images/search?form=xlimg&amp;q=Dessau" TargetMode="External"/><Relationship Id="rId391" Type="http://schemas.openxmlformats.org/officeDocument/2006/relationships/hyperlink" Target="https://www.bing.com/th?id=OSK.4cf11e686b939244c87798d46065e2a6&amp;qlt=95" TargetMode="External"/><Relationship Id="rId405" Type="http://schemas.openxmlformats.org/officeDocument/2006/relationships/hyperlink" Target="https://www.bing.com/th?id=OSK.2862712282c6796ea1fe6b6cc07fb2d5&amp;qlt=95" TargetMode="External"/><Relationship Id="rId612" Type="http://schemas.openxmlformats.org/officeDocument/2006/relationships/hyperlink" Target="https://www.bing.com/images/search?form=xlimg&amp;q=Mengen,%20Germany" TargetMode="External"/><Relationship Id="rId251" Type="http://schemas.openxmlformats.org/officeDocument/2006/relationships/hyperlink" Target="https://www.bing.com/th?id=OSK.56a3e26593000b184a4f69a7b2a58d2e&amp;qlt=95" TargetMode="External"/><Relationship Id="rId489" Type="http://schemas.openxmlformats.org/officeDocument/2006/relationships/hyperlink" Target="https://www.bing.com/th?id=OSK.f216e39a1ab706a076fdacd971b2132d&amp;qlt=95" TargetMode="External"/><Relationship Id="rId696" Type="http://schemas.openxmlformats.org/officeDocument/2006/relationships/hyperlink" Target="https://www.bing.com/images/search?form=xlimg&amp;q=Oldenburg%20(city)" TargetMode="External"/><Relationship Id="rId917" Type="http://schemas.openxmlformats.org/officeDocument/2006/relationships/hyperlink" Target="https://www.bing.com/th?id=OSK.8e858bb51bb530e1b6a49d1d2a9e6876&amp;qlt=95" TargetMode="External"/><Relationship Id="rId46" Type="http://schemas.openxmlformats.org/officeDocument/2006/relationships/hyperlink" Target="https://www.bing.com/images/search?form=xlimg&amp;q=Bad%20Herrenalb" TargetMode="External"/><Relationship Id="rId349" Type="http://schemas.openxmlformats.org/officeDocument/2006/relationships/hyperlink" Target="https://www.bing.com/th?id=OSK.6514901475e5be13c683de39f3b38bd0&amp;qlt=95" TargetMode="External"/><Relationship Id="rId556" Type="http://schemas.openxmlformats.org/officeDocument/2006/relationships/hyperlink" Target="https://www.bing.com/images/search?form=xlimg&amp;q=Limbach-Oberfrohna" TargetMode="External"/><Relationship Id="rId763" Type="http://schemas.openxmlformats.org/officeDocument/2006/relationships/hyperlink" Target="https://www.bing.com/th?id=OSK.8eb14cb3e839bbf9c49c99f851d97458&amp;qlt=95" TargetMode="External"/><Relationship Id="rId111" Type="http://schemas.openxmlformats.org/officeDocument/2006/relationships/hyperlink" Target="https://www.bing.com/th?id=OSK.cd774a7333f5294006f7cd03e22c9d75&amp;qlt=95" TargetMode="External"/><Relationship Id="rId195" Type="http://schemas.openxmlformats.org/officeDocument/2006/relationships/hyperlink" Target="https://www.bing.com/th?id=OSK.733bb15d6b32770c4ccac13b30cc65c0&amp;qlt=95" TargetMode="External"/><Relationship Id="rId209" Type="http://schemas.openxmlformats.org/officeDocument/2006/relationships/hyperlink" Target="https://www.bing.com/th?id=OSK.f0ee18d9e5f09975061d6e578f013808&amp;qlt=95" TargetMode="External"/><Relationship Id="rId416" Type="http://schemas.openxmlformats.org/officeDocument/2006/relationships/hyperlink" Target="https://www.bing.com/images/search?form=xlimg&amp;q=Hildesheim" TargetMode="External"/><Relationship Id="rId970" Type="http://schemas.openxmlformats.org/officeDocument/2006/relationships/hyperlink" Target="https://www.bing.com/images/search?form=xlimg&amp;q=Zwickau" TargetMode="External"/><Relationship Id="rId623" Type="http://schemas.openxmlformats.org/officeDocument/2006/relationships/hyperlink" Target="https://www.bing.com/th?id=OSK.2b3b1d127885694b401c7c0bc61335b2&amp;qlt=95" TargetMode="External"/><Relationship Id="rId830" Type="http://schemas.openxmlformats.org/officeDocument/2006/relationships/hyperlink" Target="https://www.bing.com/images/search?form=xlimg&amp;q=Sondershausen" TargetMode="External"/><Relationship Id="rId928" Type="http://schemas.openxmlformats.org/officeDocument/2006/relationships/hyperlink" Target="https://www.bing.com/images/search?form=xlimg&amp;q=Wesseling" TargetMode="External"/><Relationship Id="rId57" Type="http://schemas.openxmlformats.org/officeDocument/2006/relationships/hyperlink" Target="https://www.bing.com/th?id=OSK.c8e67c80076e5c0d1078865582101069&amp;qlt=95" TargetMode="External"/><Relationship Id="rId262" Type="http://schemas.openxmlformats.org/officeDocument/2006/relationships/hyperlink" Target="https://www.bing.com/images/search?form=xlimg&amp;q=Eutin" TargetMode="External"/><Relationship Id="rId567" Type="http://schemas.openxmlformats.org/officeDocument/2006/relationships/hyperlink" Target="https://www.bing.com/th?id=OSK.8e6f969239a3db65c0077c408991ba33&amp;qlt=95" TargetMode="External"/><Relationship Id="rId122" Type="http://schemas.openxmlformats.org/officeDocument/2006/relationships/hyperlink" Target="https://www.bing.com/images/search?form=xlimg&amp;q=Borna,%20Leipzig" TargetMode="External"/><Relationship Id="rId774" Type="http://schemas.openxmlformats.org/officeDocument/2006/relationships/hyperlink" Target="https://www.bing.com/images/search?form=xlimg&amp;q=Rudolstadt" TargetMode="External"/><Relationship Id="rId427" Type="http://schemas.openxmlformats.org/officeDocument/2006/relationships/hyperlink" Target="https://www.bing.com/th?id=OSK.b41b46874a77f23a1b321e06ffb2ded0&amp;qlt=95" TargetMode="External"/><Relationship Id="rId634" Type="http://schemas.openxmlformats.org/officeDocument/2006/relationships/hyperlink" Target="https://www.bing.com/images/search?form=xlimg&amp;q=M%c3%bchlheim%20an%20der%20Donau" TargetMode="External"/><Relationship Id="rId841" Type="http://schemas.openxmlformats.org/officeDocument/2006/relationships/hyperlink" Target="https://www.bing.com/th?id=OSK.e219530e56ce010572cf84ffd05ac2f9&amp;qlt=95" TargetMode="External"/><Relationship Id="rId273" Type="http://schemas.openxmlformats.org/officeDocument/2006/relationships/hyperlink" Target="https://www.bing.com/th?id=OSK.k64brK1FTu1-ZW2OYgMvkfhHiXZ6WTf8UDA30h5Ja68&amp;qlt=95" TargetMode="External"/><Relationship Id="rId480" Type="http://schemas.openxmlformats.org/officeDocument/2006/relationships/hyperlink" Target="https://www.bing.com/images/search?form=xlimg&amp;q=Kirchheim%20unter%20Teck" TargetMode="External"/><Relationship Id="rId701" Type="http://schemas.openxmlformats.org/officeDocument/2006/relationships/hyperlink" Target="https://www.bing.com/th?id=OSK.kJPUefYuf08_GpIUNRIlCBME3OREtl8hLafMQYC4L-I&amp;qlt=95" TargetMode="External"/><Relationship Id="rId939" Type="http://schemas.openxmlformats.org/officeDocument/2006/relationships/hyperlink" Target="https://www.bing.com/th?id=OSK.46c207352a8b01c8932ba6c56568702a&amp;qlt=95" TargetMode="External"/><Relationship Id="rId68" Type="http://schemas.openxmlformats.org/officeDocument/2006/relationships/hyperlink" Target="https://www.bing.com/images/search?form=xlimg&amp;q=Bamberg" TargetMode="External"/><Relationship Id="rId133" Type="http://schemas.openxmlformats.org/officeDocument/2006/relationships/hyperlink" Target="https://www.bing.com/th?id=OSK.59f813c708acc86b2b7272c42f9e4abe&amp;qlt=95" TargetMode="External"/><Relationship Id="rId340" Type="http://schemas.openxmlformats.org/officeDocument/2006/relationships/hyperlink" Target="https://www.bing.com/images/search?form=xlimg&amp;q=G%c3%b6%c3%9fweinstein" TargetMode="External"/><Relationship Id="rId578" Type="http://schemas.openxmlformats.org/officeDocument/2006/relationships/hyperlink" Target="https://www.bing.com/images/search?form=xlimg&amp;q=Ludwigsfelde" TargetMode="External"/><Relationship Id="rId785" Type="http://schemas.openxmlformats.org/officeDocument/2006/relationships/hyperlink" Target="https://www.bing.com/th?id=OSK.dfb0c7695c1120e764e4237061b9935c&amp;qlt=95" TargetMode="External"/><Relationship Id="rId200" Type="http://schemas.openxmlformats.org/officeDocument/2006/relationships/hyperlink" Target="https://www.bing.com/images/search?form=xlimg&amp;q=Dresden" TargetMode="External"/><Relationship Id="rId438" Type="http://schemas.openxmlformats.org/officeDocument/2006/relationships/hyperlink" Target="https://www.bing.com/images/search?form=xlimg&amp;q=H%c3%bcrth" TargetMode="External"/><Relationship Id="rId645" Type="http://schemas.openxmlformats.org/officeDocument/2006/relationships/hyperlink" Target="https://www.bing.com/th?id=OSK._Dr1LrblfH3JpXYBbKrj1jkMFiVswr0HGyNryQWBU48&amp;qlt=95" TargetMode="External"/><Relationship Id="rId852" Type="http://schemas.openxmlformats.org/officeDocument/2006/relationships/hyperlink" Target="https://www.bing.com/images/search?form=xlimg&amp;q=Straubing" TargetMode="External"/><Relationship Id="rId284" Type="http://schemas.openxmlformats.org/officeDocument/2006/relationships/hyperlink" Target="https://www.bing.com/images/search?form=xlimg&amp;q=Frankfurt%20(Oder)" TargetMode="External"/><Relationship Id="rId491" Type="http://schemas.openxmlformats.org/officeDocument/2006/relationships/hyperlink" Target="https://www.bing.com/th?id=OSK.0df62045144a6b3f5ba15cec10774c31&amp;qlt=95" TargetMode="External"/><Relationship Id="rId505" Type="http://schemas.openxmlformats.org/officeDocument/2006/relationships/hyperlink" Target="https://www.bing.com/th?id=OSK.03ffe7260b99e5a0a556bd0b81495cae&amp;qlt=95" TargetMode="External"/><Relationship Id="rId712" Type="http://schemas.openxmlformats.org/officeDocument/2006/relationships/hyperlink" Target="https://www.bing.com/images/search?form=xlimg&amp;q=Passau" TargetMode="External"/><Relationship Id="rId79" Type="http://schemas.openxmlformats.org/officeDocument/2006/relationships/hyperlink" Target="https://www.bing.com/th?id=OSK.4d2961f9bc764f70249efe885e12334f&amp;qlt=95" TargetMode="External"/><Relationship Id="rId144" Type="http://schemas.openxmlformats.org/officeDocument/2006/relationships/hyperlink" Target="https://www.bing.com/images/search?form=xlimg&amp;q=Buchen" TargetMode="External"/><Relationship Id="rId589" Type="http://schemas.openxmlformats.org/officeDocument/2006/relationships/hyperlink" Target="https://www.bing.com/th?id=OSK.jjQtaDslfAObM5SUzfpt14yrqTHYnFJu2WUdcBgE7IE&amp;qlt=95" TargetMode="External"/><Relationship Id="rId796" Type="http://schemas.openxmlformats.org/officeDocument/2006/relationships/hyperlink" Target="https://www.bing.com/images/search?form=xlimg&amp;q=Schorndorf" TargetMode="External"/><Relationship Id="rId351" Type="http://schemas.openxmlformats.org/officeDocument/2006/relationships/hyperlink" Target="https://www.bing.com/th?id=OSK.bfcae03104ea870a2c21b2be2b63d134&amp;qlt=95" TargetMode="External"/><Relationship Id="rId449" Type="http://schemas.openxmlformats.org/officeDocument/2006/relationships/hyperlink" Target="https://www.bing.com/th?id=OSK.d57d91e7427b02654e3216c5c6f0ed56&amp;qlt=95" TargetMode="External"/><Relationship Id="rId656" Type="http://schemas.openxmlformats.org/officeDocument/2006/relationships/hyperlink" Target="https://www.bing.com/images/search?form=xlimg&amp;q=Neustadt%20an%20der%20Weinstra%c3%9fe" TargetMode="External"/><Relationship Id="rId863" Type="http://schemas.openxmlformats.org/officeDocument/2006/relationships/hyperlink" Target="https://www.bing.com/th?id=OSK.36e484b2aadee87a2d2c5208ed4d85a4&amp;qlt=95" TargetMode="External"/><Relationship Id="rId211" Type="http://schemas.openxmlformats.org/officeDocument/2006/relationships/hyperlink" Target="https://www.bing.com/th?id=OSK.FUq5yAczB03JhqEGPLPtUuXwD0o7vCxONZFeb3Rm_xU&amp;qlt=95" TargetMode="External"/><Relationship Id="rId295" Type="http://schemas.openxmlformats.org/officeDocument/2006/relationships/hyperlink" Target="https://www.bing.com/th?id=OSK.eeb7737cb97dbc282330e2655bc79472&amp;qlt=95" TargetMode="External"/><Relationship Id="rId309" Type="http://schemas.openxmlformats.org/officeDocument/2006/relationships/hyperlink" Target="https://www.bing.com/th?id=OSK.428809f1f36c1c00d14807272ae12cfe&amp;qlt=95" TargetMode="External"/><Relationship Id="rId516" Type="http://schemas.openxmlformats.org/officeDocument/2006/relationships/hyperlink" Target="https://www.bing.com/images/search?form=xlimg&amp;q=Lampertheim" TargetMode="External"/><Relationship Id="rId723" Type="http://schemas.openxmlformats.org/officeDocument/2006/relationships/hyperlink" Target="https://www.bing.com/th?id=OSK.6a961f9e4ff375d01f2112f4c6147af4&amp;qlt=95" TargetMode="External"/><Relationship Id="rId930" Type="http://schemas.openxmlformats.org/officeDocument/2006/relationships/hyperlink" Target="https://www.bing.com/images/search?form=xlimg&amp;q=Wiesbaden" TargetMode="External"/><Relationship Id="rId155" Type="http://schemas.openxmlformats.org/officeDocument/2006/relationships/hyperlink" Target="https://www.bing.com/th?id=OSK.d2c3e605c84fda6ccbaeade9c8f705eb&amp;qlt=95" TargetMode="External"/><Relationship Id="rId362" Type="http://schemas.openxmlformats.org/officeDocument/2006/relationships/hyperlink" Target="https://www.bing.com/images/search?form=xlimg&amp;q=Gummersbach" TargetMode="External"/><Relationship Id="rId222" Type="http://schemas.openxmlformats.org/officeDocument/2006/relationships/hyperlink" Target="https://www.bing.com/images/search?form=xlimg&amp;q=Eckernf%c3%b6rde" TargetMode="External"/><Relationship Id="rId667" Type="http://schemas.openxmlformats.org/officeDocument/2006/relationships/hyperlink" Target="https://www.bing.com/th?id=OSK.ba1c6dedc28e02fe8c52a2914ec5d9f8&amp;qlt=95" TargetMode="External"/><Relationship Id="rId874" Type="http://schemas.openxmlformats.org/officeDocument/2006/relationships/hyperlink" Target="https://www.bing.com/images/search?form=xlimg&amp;q=Ulm" TargetMode="External"/><Relationship Id="rId17" Type="http://schemas.openxmlformats.org/officeDocument/2006/relationships/hyperlink" Target="https://www.bing.com/th?id=OSK.836feb5e37ef9abc9f0f8e425da0cc0b&amp;qlt=95" TargetMode="External"/><Relationship Id="rId527" Type="http://schemas.openxmlformats.org/officeDocument/2006/relationships/hyperlink" Target="https://www.bing.com/th?id=OSK.5d134e6a73ddd983a1ed51716c24298e&amp;qlt=95" TargetMode="External"/><Relationship Id="rId734" Type="http://schemas.openxmlformats.org/officeDocument/2006/relationships/hyperlink" Target="https://www.bing.com/images/search?form=xlimg&amp;q=Quedlinburg" TargetMode="External"/><Relationship Id="rId941" Type="http://schemas.openxmlformats.org/officeDocument/2006/relationships/hyperlink" Target="https://www.bing.com/th?id=OSK.5c5a7a33415a416fdaae0fb4c9ffc3e9&amp;qlt=95" TargetMode="External"/><Relationship Id="rId70" Type="http://schemas.openxmlformats.org/officeDocument/2006/relationships/hyperlink" Target="https://www.bing.com/images/search?form=xlimg&amp;q=Bautzen" TargetMode="External"/><Relationship Id="rId166" Type="http://schemas.openxmlformats.org/officeDocument/2006/relationships/hyperlink" Target="https://www.bing.com/images/search?form=xlimg&amp;q=Crailsheim" TargetMode="External"/><Relationship Id="rId373" Type="http://schemas.openxmlformats.org/officeDocument/2006/relationships/hyperlink" Target="https://www.bing.com/th?id=OSK.4d3d6a309dd136998adb581c307a1d3a&amp;qlt=95" TargetMode="External"/><Relationship Id="rId580" Type="http://schemas.openxmlformats.org/officeDocument/2006/relationships/hyperlink" Target="https://www.bing.com/images/search?form=xlimg&amp;q=Ludwigshafen" TargetMode="External"/><Relationship Id="rId801" Type="http://schemas.openxmlformats.org/officeDocument/2006/relationships/hyperlink" Target="https://www.bing.com/th?id=OSK.4c139950130f1296799a1aa7a51472f7&amp;qlt=95" TargetMode="External"/><Relationship Id="rId1" Type="http://schemas.openxmlformats.org/officeDocument/2006/relationships/hyperlink" Target="https://www.bing.com/th?id=OSK.d7LjIQGIilab1ijJdTdscP_ZRhsu8MI17ZH7Oo4i2w4&amp;qlt=95" TargetMode="External"/><Relationship Id="rId233" Type="http://schemas.openxmlformats.org/officeDocument/2006/relationships/hyperlink" Target="https://www.bing.com/th?id=OSK.f944b6d8c6e1a229f5207a64d7754897&amp;qlt=95" TargetMode="External"/><Relationship Id="rId440" Type="http://schemas.openxmlformats.org/officeDocument/2006/relationships/hyperlink" Target="https://www.bing.com/images/search?form=xlimg&amp;q=Husum" TargetMode="External"/><Relationship Id="rId678" Type="http://schemas.openxmlformats.org/officeDocument/2006/relationships/hyperlink" Target="https://www.bing.com/images/search?form=xlimg&amp;q=Oberaudorf" TargetMode="External"/><Relationship Id="rId885" Type="http://schemas.openxmlformats.org/officeDocument/2006/relationships/hyperlink" Target="https://www.bing.com/th?id=OSK.c577f9aff132eadf8df8b8b1b7c89d84&amp;qlt=95" TargetMode="External"/><Relationship Id="rId28" Type="http://schemas.openxmlformats.org/officeDocument/2006/relationships/hyperlink" Target="https://www.bing.com/images/search?form=xlimg&amp;q=Aschaffenburg" TargetMode="External"/><Relationship Id="rId300" Type="http://schemas.openxmlformats.org/officeDocument/2006/relationships/hyperlink" Target="https://www.bing.com/images/search?form=xlimg&amp;q=Friedrichshafen" TargetMode="External"/><Relationship Id="rId538" Type="http://schemas.openxmlformats.org/officeDocument/2006/relationships/hyperlink" Target="https://www.bing.com/images/search?form=xlimg&amp;q=Langeoog" TargetMode="External"/><Relationship Id="rId745" Type="http://schemas.openxmlformats.org/officeDocument/2006/relationships/hyperlink" Target="https://www.bing.com/th?id=OSK.0bdd0ef96eb7c0ce3d66a0dcb04aed0b&amp;qlt=95" TargetMode="External"/><Relationship Id="rId952" Type="http://schemas.openxmlformats.org/officeDocument/2006/relationships/hyperlink" Target="https://www.bing.com/images/search?form=xlimg&amp;q=W%c3%bclfrath" TargetMode="External"/><Relationship Id="rId81" Type="http://schemas.openxmlformats.org/officeDocument/2006/relationships/hyperlink" Target="https://www.bing.com/th?id=OSK.110fbbf53edf8301bc07e570e0a2b48f&amp;qlt=95" TargetMode="External"/><Relationship Id="rId177" Type="http://schemas.openxmlformats.org/officeDocument/2006/relationships/hyperlink" Target="https://www.bing.com/th?id=OSK.c61b3842e0759358fdd02b07b1d9cb3a&amp;qlt=95" TargetMode="External"/><Relationship Id="rId384" Type="http://schemas.openxmlformats.org/officeDocument/2006/relationships/hyperlink" Target="https://www.bing.com/images/search?form=xlimg&amp;q=Hattingen" TargetMode="External"/><Relationship Id="rId591" Type="http://schemas.openxmlformats.org/officeDocument/2006/relationships/hyperlink" Target="https://www.bing.com/th?id=OSK.90286732d269f41a6a7b5dab1579824a&amp;qlt=95" TargetMode="External"/><Relationship Id="rId605" Type="http://schemas.openxmlformats.org/officeDocument/2006/relationships/hyperlink" Target="https://www.bing.com/th?id=OSK.aqEivpbcqQ-vBzPPt4ww3Wf6EZkNlh7CQKcU4-i6gjE&amp;qlt=95" TargetMode="External"/><Relationship Id="rId812" Type="http://schemas.openxmlformats.org/officeDocument/2006/relationships/hyperlink" Target="https://www.bing.com/images/search?form=xlimg&amp;q=Senftenberg" TargetMode="External"/><Relationship Id="rId244" Type="http://schemas.openxmlformats.org/officeDocument/2006/relationships/hyperlink" Target="https://www.bing.com/images/search?form=xlimg&amp;q=Ennepetal" TargetMode="External"/><Relationship Id="rId689" Type="http://schemas.openxmlformats.org/officeDocument/2006/relationships/hyperlink" Target="https://www.bing.com/th?id=OSK.e5b38455e0495e5ca0d59ef9575413ad&amp;qlt=95" TargetMode="External"/><Relationship Id="rId896" Type="http://schemas.openxmlformats.org/officeDocument/2006/relationships/hyperlink" Target="https://www.bing.com/images/search?form=xlimg&amp;q=Wattenscheid" TargetMode="External"/><Relationship Id="rId39" Type="http://schemas.openxmlformats.org/officeDocument/2006/relationships/hyperlink" Target="https://www.bing.com/th?id=OSK.c6698cce4f4f4280f3a7af78350a19a1&amp;qlt=95" TargetMode="External"/><Relationship Id="rId451" Type="http://schemas.openxmlformats.org/officeDocument/2006/relationships/hyperlink" Target="https://www.bing.com/th?id=OSK.3a7742b4c0b4a1eac570c90ffb674f9f&amp;qlt=95" TargetMode="External"/><Relationship Id="rId549" Type="http://schemas.openxmlformats.org/officeDocument/2006/relationships/hyperlink" Target="https://www.bing.com/th?id=OSK.50891110fd865a26d9c86c361574c4c5&amp;qlt=95" TargetMode="External"/><Relationship Id="rId756" Type="http://schemas.openxmlformats.org/officeDocument/2006/relationships/hyperlink" Target="https://www.bing.com/images/search?form=xlimg&amp;q=Reichenbach%20im%20Vogtland" TargetMode="External"/><Relationship Id="rId104" Type="http://schemas.openxmlformats.org/officeDocument/2006/relationships/hyperlink" Target="https://www.bing.com/images/search?form=xlimg&amp;q=Bitterfeld" TargetMode="External"/><Relationship Id="rId188" Type="http://schemas.openxmlformats.org/officeDocument/2006/relationships/hyperlink" Target="https://www.bing.com/images/search?form=xlimg&amp;q=Dillenburg" TargetMode="External"/><Relationship Id="rId311" Type="http://schemas.openxmlformats.org/officeDocument/2006/relationships/hyperlink" Target="https://www.bing.com/th?id=OSK.98b52a2c383141c3555df63da28daa44&amp;qlt=95" TargetMode="External"/><Relationship Id="rId395" Type="http://schemas.openxmlformats.org/officeDocument/2006/relationships/hyperlink" Target="https://www.bing.com/th?id=OSK.58bd8423d6017fd013f2e14364c1551f&amp;qlt=95" TargetMode="External"/><Relationship Id="rId409" Type="http://schemas.openxmlformats.org/officeDocument/2006/relationships/hyperlink" Target="https://www.bing.com/th?id=OSK.356c51700c67d1985230f60d630db42b&amp;qlt=95" TargetMode="External"/><Relationship Id="rId963" Type="http://schemas.openxmlformats.org/officeDocument/2006/relationships/hyperlink" Target="https://www.bing.com/th?id=OSK.5e58baeea61e85fa4569cc2e0820917d&amp;qlt=95" TargetMode="External"/><Relationship Id="rId92" Type="http://schemas.openxmlformats.org/officeDocument/2006/relationships/hyperlink" Target="https://www.bing.com/images/search?form=xlimg&amp;q=Bernkastel-Kues" TargetMode="External"/><Relationship Id="rId616" Type="http://schemas.openxmlformats.org/officeDocument/2006/relationships/hyperlink" Target="https://www.bing.com/images/search?form=xlimg&amp;q=Metten" TargetMode="External"/><Relationship Id="rId823" Type="http://schemas.openxmlformats.org/officeDocument/2006/relationships/hyperlink" Target="https://www.bing.com/th?id=OSK.85b3e2fd7c979e343ff60a91cc13bbe4&amp;qlt=95" TargetMode="External"/><Relationship Id="rId255" Type="http://schemas.openxmlformats.org/officeDocument/2006/relationships/hyperlink" Target="https://www.bing.com/th?id=OSK.e722ac20a295daf0e5cfbdfef6f3fa33&amp;qlt=95" TargetMode="External"/><Relationship Id="rId297" Type="http://schemas.openxmlformats.org/officeDocument/2006/relationships/hyperlink" Target="https://www.bing.com/th?id=OSK.90cacf9a57ede9b97360fe84b0d2d4ba&amp;qlt=95" TargetMode="External"/><Relationship Id="rId462" Type="http://schemas.openxmlformats.org/officeDocument/2006/relationships/hyperlink" Target="https://www.bing.com/images/search?form=xlimg&amp;q=Kamenz" TargetMode="External"/><Relationship Id="rId518" Type="http://schemas.openxmlformats.org/officeDocument/2006/relationships/hyperlink" Target="https://www.bing.com/images/search?form=xlimg&amp;q=Landau" TargetMode="External"/><Relationship Id="rId725" Type="http://schemas.openxmlformats.org/officeDocument/2006/relationships/hyperlink" Target="https://www.bing.com/th?id=OSK.8c3f74a7fb5c941dda158f4af7772230&amp;qlt=95" TargetMode="External"/><Relationship Id="rId932" Type="http://schemas.openxmlformats.org/officeDocument/2006/relationships/hyperlink" Target="https://www.bing.com/images/search?form=xlimg&amp;q=Wilhelmshaven" TargetMode="External"/><Relationship Id="rId115" Type="http://schemas.openxmlformats.org/officeDocument/2006/relationships/hyperlink" Target="https://www.bing.com/th?id=OSK.5b7203027319b89e3926c938b44fda1d&amp;qlt=95" TargetMode="External"/><Relationship Id="rId157" Type="http://schemas.openxmlformats.org/officeDocument/2006/relationships/hyperlink" Target="https://www.bing.com/th?id=OSK.32cb133426f8ec7452a54b7e3f7605fd&amp;qlt=95" TargetMode="External"/><Relationship Id="rId322" Type="http://schemas.openxmlformats.org/officeDocument/2006/relationships/hyperlink" Target="https://www.bing.com/images/search?form=xlimg&amp;q=Giessen" TargetMode="External"/><Relationship Id="rId364" Type="http://schemas.openxmlformats.org/officeDocument/2006/relationships/hyperlink" Target="https://www.bing.com/images/search?form=xlimg&amp;q=G%c3%bctersloh" TargetMode="External"/><Relationship Id="rId767" Type="http://schemas.openxmlformats.org/officeDocument/2006/relationships/hyperlink" Target="https://www.bing.com/th?id=OSK.1d2cd879691bf33ca285533c623c83d6&amp;qlt=95" TargetMode="External"/><Relationship Id="rId61" Type="http://schemas.openxmlformats.org/officeDocument/2006/relationships/hyperlink" Target="https://www.bing.com/th?id=OSK.13e4cc40e37aae154a66cab1bf88e046&amp;qlt=95" TargetMode="External"/><Relationship Id="rId199" Type="http://schemas.openxmlformats.org/officeDocument/2006/relationships/hyperlink" Target="https://www.bing.com/th?id=OSK.o1iaZ-HXZoUiWBuh9y-AMcc6qKlJ1egWPbaNAdHUlxk&amp;qlt=95" TargetMode="External"/><Relationship Id="rId571" Type="http://schemas.openxmlformats.org/officeDocument/2006/relationships/hyperlink" Target="https://www.bing.com/th?id=OSK.2d7da259794fdc44b4c139d773ddf656&amp;qlt=95" TargetMode="External"/><Relationship Id="rId627" Type="http://schemas.openxmlformats.org/officeDocument/2006/relationships/hyperlink" Target="https://www.bing.com/th?id=OSK.fed57a6b5e58d8ca34f3fc0889012c18&amp;qlt=95" TargetMode="External"/><Relationship Id="rId669" Type="http://schemas.openxmlformats.org/officeDocument/2006/relationships/hyperlink" Target="https://www.bing.com/th?id=OSK.4f7eea6dbafc0ab4938ae25cb05093d9&amp;qlt=95" TargetMode="External"/><Relationship Id="rId834" Type="http://schemas.openxmlformats.org/officeDocument/2006/relationships/hyperlink" Target="https://www.bing.com/images/search?form=xlimg&amp;q=Speyer" TargetMode="External"/><Relationship Id="rId876" Type="http://schemas.openxmlformats.org/officeDocument/2006/relationships/hyperlink" Target="https://www.bing.com/images/search?form=xlimg&amp;q=Unna" TargetMode="External"/><Relationship Id="rId19" Type="http://schemas.openxmlformats.org/officeDocument/2006/relationships/hyperlink" Target="https://www.bing.com/th?id=OSK.de33c4709b302522b9ee6968e267a386&amp;qlt=95" TargetMode="External"/><Relationship Id="rId224" Type="http://schemas.openxmlformats.org/officeDocument/2006/relationships/hyperlink" Target="https://www.bing.com/images/search?form=xlimg&amp;q=Eilenburg" TargetMode="External"/><Relationship Id="rId266" Type="http://schemas.openxmlformats.org/officeDocument/2006/relationships/hyperlink" Target="https://www.bing.com/images/search?form=xlimg&amp;q=Feldberg,%20Baden-W%c3%bcrttemberg" TargetMode="External"/><Relationship Id="rId431" Type="http://schemas.openxmlformats.org/officeDocument/2006/relationships/hyperlink" Target="https://www.bing.com/th?id=OSK.8db1fdf1c9e7f913ecf88f0528641962&amp;qlt=95" TargetMode="External"/><Relationship Id="rId473" Type="http://schemas.openxmlformats.org/officeDocument/2006/relationships/hyperlink" Target="https://www.bing.com/th?id=OSK.77890f9ff744400a643509409856d4d7&amp;qlt=95" TargetMode="External"/><Relationship Id="rId529" Type="http://schemas.openxmlformats.org/officeDocument/2006/relationships/hyperlink" Target="https://www.bing.com/th?id=OSK.72f6a3a656d73884ab36010451f177bc&amp;qlt=95" TargetMode="External"/><Relationship Id="rId680" Type="http://schemas.openxmlformats.org/officeDocument/2006/relationships/hyperlink" Target="https://www.bing.com/images/search?form=xlimg&amp;q=Oberhausen" TargetMode="External"/><Relationship Id="rId736" Type="http://schemas.openxmlformats.org/officeDocument/2006/relationships/hyperlink" Target="https://www.bing.com/images/search?form=xlimg&amp;q=Quickborn" TargetMode="External"/><Relationship Id="rId901" Type="http://schemas.openxmlformats.org/officeDocument/2006/relationships/hyperlink" Target="https://www.bing.com/th?id=OSK.7e7f961d6e9a2242f325f5ca8e4e663d&amp;qlt=95" TargetMode="External"/><Relationship Id="rId30" Type="http://schemas.openxmlformats.org/officeDocument/2006/relationships/hyperlink" Target="https://www.bing.com/images/search?form=xlimg&amp;q=Aschersleben" TargetMode="External"/><Relationship Id="rId126" Type="http://schemas.openxmlformats.org/officeDocument/2006/relationships/hyperlink" Target="https://www.bing.com/images/search?form=xlimg&amp;q=Brandenburg%20an%20der%20Havel" TargetMode="External"/><Relationship Id="rId168" Type="http://schemas.openxmlformats.org/officeDocument/2006/relationships/hyperlink" Target="https://www.bing.com/images/search?form=xlimg&amp;q=Schw%c3%a4bisch%20Hall%20(district)" TargetMode="External"/><Relationship Id="rId333" Type="http://schemas.openxmlformats.org/officeDocument/2006/relationships/hyperlink" Target="https://www.bing.com/th?id=OSK.9105fb5722a6029e3cd529efc7655087&amp;qlt=95" TargetMode="External"/><Relationship Id="rId540" Type="http://schemas.openxmlformats.org/officeDocument/2006/relationships/hyperlink" Target="https://www.bing.com/images/search?form=xlimg&amp;q=Lauchhammer" TargetMode="External"/><Relationship Id="rId778" Type="http://schemas.openxmlformats.org/officeDocument/2006/relationships/hyperlink" Target="https://www.bing.com/images/search?form=xlimg&amp;q=Saalfeld" TargetMode="External"/><Relationship Id="rId943" Type="http://schemas.openxmlformats.org/officeDocument/2006/relationships/hyperlink" Target="https://www.bing.com/th?id=OSK.16ed87af11884d088c6bde2c82513898&amp;qlt=95" TargetMode="External"/><Relationship Id="rId72" Type="http://schemas.openxmlformats.org/officeDocument/2006/relationships/hyperlink" Target="https://www.bing.com/images/search?form=xlimg&amp;q=Bayreuth" TargetMode="External"/><Relationship Id="rId375" Type="http://schemas.openxmlformats.org/officeDocument/2006/relationships/hyperlink" Target="https://www.bing.com/th?id=OSK.eea576f8031660aa96adbf0c7bd33de4&amp;qlt=95" TargetMode="External"/><Relationship Id="rId582" Type="http://schemas.openxmlformats.org/officeDocument/2006/relationships/hyperlink" Target="https://www.bing.com/images/search?form=xlimg&amp;q=L%c3%bcneburg" TargetMode="External"/><Relationship Id="rId638" Type="http://schemas.openxmlformats.org/officeDocument/2006/relationships/hyperlink" Target="https://www.bing.com/images/search?form=xlimg&amp;q=M%c3%bcnsingen,%20Germany" TargetMode="External"/><Relationship Id="rId803" Type="http://schemas.openxmlformats.org/officeDocument/2006/relationships/hyperlink" Target="https://www.bing.com/th?id=OSK.e704833be1f17790919949f34cab85d0&amp;qlt=95" TargetMode="External"/><Relationship Id="rId845" Type="http://schemas.openxmlformats.org/officeDocument/2006/relationships/hyperlink" Target="https://www.bing.com/th?id=OSK.yyXDEaE3hQ6_pywAqyEKJqL9Kbv_22G4mdeK82ILsPc&amp;qlt=95" TargetMode="External"/><Relationship Id="rId3" Type="http://schemas.openxmlformats.org/officeDocument/2006/relationships/hyperlink" Target="https://www.bing.com/th?id=OSK.288a06b31897df7c236b34ceb3f8660a&amp;qlt=95" TargetMode="External"/><Relationship Id="rId235" Type="http://schemas.openxmlformats.org/officeDocument/2006/relationships/hyperlink" Target="https://www.bing.com/th?id=OSK.25c8b3c30551194e550af1b1203a2d52&amp;qlt=95" TargetMode="External"/><Relationship Id="rId277" Type="http://schemas.openxmlformats.org/officeDocument/2006/relationships/hyperlink" Target="https://www.bing.com/th?id=OSK.14f2d4ff4938c674365b65ca9e79c5d5&amp;qlt=95" TargetMode="External"/><Relationship Id="rId400" Type="http://schemas.openxmlformats.org/officeDocument/2006/relationships/hyperlink" Target="https://www.bing.com/images/search?form=xlimg&amp;q=Hemer" TargetMode="External"/><Relationship Id="rId442" Type="http://schemas.openxmlformats.org/officeDocument/2006/relationships/hyperlink" Target="https://www.bing.com/images/search?form=xlimg&amp;q=Ibbenb%c3%bcren" TargetMode="External"/><Relationship Id="rId484" Type="http://schemas.openxmlformats.org/officeDocument/2006/relationships/hyperlink" Target="https://www.bing.com/images/search?form=xlimg&amp;q=Koblenz" TargetMode="External"/><Relationship Id="rId705" Type="http://schemas.openxmlformats.org/officeDocument/2006/relationships/hyperlink" Target="https://www.bing.com/th?id=OSK.a4be311c4eb3b5bc283293cbdf2bb8ab&amp;qlt=95" TargetMode="External"/><Relationship Id="rId887" Type="http://schemas.openxmlformats.org/officeDocument/2006/relationships/hyperlink" Target="https://www.bing.com/th?id=OSK.082b983256c57bc0f08fe037d6d7f1a2&amp;qlt=95" TargetMode="External"/><Relationship Id="rId137" Type="http://schemas.openxmlformats.org/officeDocument/2006/relationships/hyperlink" Target="https://www.bing.com/th?id=OSK.1099cf20cbad4fcb9ef3281d484246c9&amp;qlt=95" TargetMode="External"/><Relationship Id="rId302" Type="http://schemas.openxmlformats.org/officeDocument/2006/relationships/hyperlink" Target="https://www.bing.com/images/search?form=xlimg&amp;q=Fulda" TargetMode="External"/><Relationship Id="rId344" Type="http://schemas.openxmlformats.org/officeDocument/2006/relationships/hyperlink" Target="https://www.bing.com/images/search?form=xlimg&amp;q=G%c3%b6ttingen" TargetMode="External"/><Relationship Id="rId691" Type="http://schemas.openxmlformats.org/officeDocument/2006/relationships/hyperlink" Target="https://www.bing.com/th?id=OSK.8dae05b3760e116a509bf2affeafe6e9&amp;qlt=95" TargetMode="External"/><Relationship Id="rId747" Type="http://schemas.openxmlformats.org/officeDocument/2006/relationships/hyperlink" Target="https://www.bing.com/th?id=OSK.81aa604fea80cd32f3799f300d2a46a7&amp;qlt=95" TargetMode="External"/><Relationship Id="rId789" Type="http://schemas.openxmlformats.org/officeDocument/2006/relationships/hyperlink" Target="https://www.bing.com/th?id=OSK.6e95d1a59af4862677f41f8a6723b40c&amp;qlt=95" TargetMode="External"/><Relationship Id="rId912" Type="http://schemas.openxmlformats.org/officeDocument/2006/relationships/hyperlink" Target="https://www.bing.com/images/search?form=xlimg&amp;q=Wendelstein,%20Bavaria" TargetMode="External"/><Relationship Id="rId954" Type="http://schemas.openxmlformats.org/officeDocument/2006/relationships/hyperlink" Target="https://www.bing.com/images/search?form=xlimg&amp;q=Wuppertal" TargetMode="External"/><Relationship Id="rId41" Type="http://schemas.openxmlformats.org/officeDocument/2006/relationships/hyperlink" Target="https://www.bing.com/th?id=OSK.3a4eb145356253f540b7ec4af7f0a931&amp;qlt=95" TargetMode="External"/><Relationship Id="rId83" Type="http://schemas.openxmlformats.org/officeDocument/2006/relationships/hyperlink" Target="https://www.bing.com/th?id=OSK.f6628b1d37e47defe515129f024dd90e&amp;qlt=95" TargetMode="External"/><Relationship Id="rId179" Type="http://schemas.openxmlformats.org/officeDocument/2006/relationships/hyperlink" Target="https://www.bing.com/th?id=OSK.1d06e9ac843843b18b93634701655d57&amp;qlt=95" TargetMode="External"/><Relationship Id="rId386" Type="http://schemas.openxmlformats.org/officeDocument/2006/relationships/hyperlink" Target="https://www.bing.com/images/search?form=xlimg&amp;q=Heide" TargetMode="External"/><Relationship Id="rId551" Type="http://schemas.openxmlformats.org/officeDocument/2006/relationships/hyperlink" Target="https://www.bing.com/th?id=OSK.8c2cb8bc8e5610b84aed337e5c89a1b9&amp;qlt=95" TargetMode="External"/><Relationship Id="rId593" Type="http://schemas.openxmlformats.org/officeDocument/2006/relationships/hyperlink" Target="https://www.bing.com/th?id=OSK.f583238d26f0c16a00ef126db4ee83d4&amp;qlt=95" TargetMode="External"/><Relationship Id="rId607" Type="http://schemas.openxmlformats.org/officeDocument/2006/relationships/hyperlink" Target="https://www.bing.com/th?id=OSK.bd9a58c269dbd515bf617e222aa02e59&amp;qlt=95" TargetMode="External"/><Relationship Id="rId649" Type="http://schemas.openxmlformats.org/officeDocument/2006/relationships/hyperlink" Target="https://www.bing.com/th?id=OSK.d6c784f6362182d6c3340a3a642ca4cf&amp;qlt=95" TargetMode="External"/><Relationship Id="rId814" Type="http://schemas.openxmlformats.org/officeDocument/2006/relationships/hyperlink" Target="https://www.bing.com/images/search?form=xlimg&amp;q=Siegburg" TargetMode="External"/><Relationship Id="rId856" Type="http://schemas.openxmlformats.org/officeDocument/2006/relationships/hyperlink" Target="https://www.bing.com/images/search?form=xlimg&amp;q=Stuttgart" TargetMode="External"/><Relationship Id="rId190" Type="http://schemas.openxmlformats.org/officeDocument/2006/relationships/hyperlink" Target="https://www.bing.com/images/search?form=xlimg&amp;q=Dillingen%20an%20der%20Donau" TargetMode="External"/><Relationship Id="rId204" Type="http://schemas.openxmlformats.org/officeDocument/2006/relationships/hyperlink" Target="https://www.bing.com/images/search?form=xlimg&amp;q=Dudweiler" TargetMode="External"/><Relationship Id="rId246" Type="http://schemas.openxmlformats.org/officeDocument/2006/relationships/hyperlink" Target="https://www.bing.com/images/search?form=xlimg&amp;q=Erfurt" TargetMode="External"/><Relationship Id="rId288" Type="http://schemas.openxmlformats.org/officeDocument/2006/relationships/hyperlink" Target="https://www.bing.com/images/search?form=xlimg&amp;q=Frechen" TargetMode="External"/><Relationship Id="rId411" Type="http://schemas.openxmlformats.org/officeDocument/2006/relationships/hyperlink" Target="https://www.bing.com/th?id=OSK.7ee71e9ef5d4ee766d995ad8ae2e67ae&amp;qlt=95" TargetMode="External"/><Relationship Id="rId453" Type="http://schemas.openxmlformats.org/officeDocument/2006/relationships/hyperlink" Target="https://www.bing.com/th?id=OSK.ffc97e11e3b043d664baa1e2dfff01e1&amp;qlt=95" TargetMode="External"/><Relationship Id="rId509" Type="http://schemas.openxmlformats.org/officeDocument/2006/relationships/hyperlink" Target="https://www.bing.com/th?id=OSK.ehXbLlbvG3thEpKAqbanSlTOILqV_GWcIkvitfOGyVc&amp;qlt=95" TargetMode="External"/><Relationship Id="rId660" Type="http://schemas.openxmlformats.org/officeDocument/2006/relationships/hyperlink" Target="https://www.bing.com/images/search?form=xlimg&amp;q=Neu-Ulm" TargetMode="External"/><Relationship Id="rId898" Type="http://schemas.openxmlformats.org/officeDocument/2006/relationships/hyperlink" Target="https://www.bing.com/images/search?form=xlimg&amp;q=Wedel" TargetMode="External"/><Relationship Id="rId106" Type="http://schemas.openxmlformats.org/officeDocument/2006/relationships/hyperlink" Target="https://www.bing.com/images/search?form=xlimg&amp;q=Blankenburg%20(Harz)" TargetMode="External"/><Relationship Id="rId313" Type="http://schemas.openxmlformats.org/officeDocument/2006/relationships/hyperlink" Target="https://www.bing.com/th?id=OSK.ce12a0d9170ccb15bd84b39c7ac41dd6&amp;qlt=95" TargetMode="External"/><Relationship Id="rId495" Type="http://schemas.openxmlformats.org/officeDocument/2006/relationships/hyperlink" Target="https://www.bing.com/th?id=OSK.3d33cd8e1b11220fadf6f1c9742b8af7&amp;qlt=95" TargetMode="External"/><Relationship Id="rId716" Type="http://schemas.openxmlformats.org/officeDocument/2006/relationships/hyperlink" Target="https://www.bing.com/images/search?form=xlimg&amp;q=Pforzheim" TargetMode="External"/><Relationship Id="rId758" Type="http://schemas.openxmlformats.org/officeDocument/2006/relationships/hyperlink" Target="https://www.bing.com/images/search?form=xlimg&amp;q=Remscheid" TargetMode="External"/><Relationship Id="rId923" Type="http://schemas.openxmlformats.org/officeDocument/2006/relationships/hyperlink" Target="https://www.bing.com/th?id=OSK.0a74ab25a48080bc3827a60497ccdf0b&amp;qlt=95" TargetMode="External"/><Relationship Id="rId965" Type="http://schemas.openxmlformats.org/officeDocument/2006/relationships/hyperlink" Target="https://www.bing.com/th?id=OSK.439df3b64085cff321e7a150d8c30a18&amp;qlt=95" TargetMode="External"/><Relationship Id="rId10" Type="http://schemas.openxmlformats.org/officeDocument/2006/relationships/hyperlink" Target="https://www.bing.com/images/search?form=xlimg&amp;q=Alzey" TargetMode="External"/><Relationship Id="rId52" Type="http://schemas.openxmlformats.org/officeDocument/2006/relationships/hyperlink" Target="https://www.bing.com/images/search?form=xlimg&amp;q=Bad%20Kohlgrub" TargetMode="External"/><Relationship Id="rId94" Type="http://schemas.openxmlformats.org/officeDocument/2006/relationships/hyperlink" Target="https://www.bing.com/images/search?form=xlimg&amp;q=Berus" TargetMode="External"/><Relationship Id="rId148" Type="http://schemas.openxmlformats.org/officeDocument/2006/relationships/hyperlink" Target="https://www.bing.com/images/search?form=xlimg&amp;q=Burghaslach" TargetMode="External"/><Relationship Id="rId355" Type="http://schemas.openxmlformats.org/officeDocument/2006/relationships/hyperlink" Target="https://www.bing.com/th?id=OSK.dbe01665d29eecfdf733d9cd1379452a&amp;qlt=95" TargetMode="External"/><Relationship Id="rId397" Type="http://schemas.openxmlformats.org/officeDocument/2006/relationships/hyperlink" Target="https://www.bing.com/th?id=OSK.927d54bdb86a36ac8eed005fa01beacf&amp;qlt=95" TargetMode="External"/><Relationship Id="rId520" Type="http://schemas.openxmlformats.org/officeDocument/2006/relationships/hyperlink" Target="https://www.bing.com/images/search?form=xlimg&amp;q=Biberach%20(district)" TargetMode="External"/><Relationship Id="rId562" Type="http://schemas.openxmlformats.org/officeDocument/2006/relationships/hyperlink" Target="https://www.bing.com/images/search?form=xlimg&amp;q=L%c3%b6bau" TargetMode="External"/><Relationship Id="rId618" Type="http://schemas.openxmlformats.org/officeDocument/2006/relationships/hyperlink" Target="https://www.bing.com/images/search?form=xlimg&amp;q=Mettmann" TargetMode="External"/><Relationship Id="rId825" Type="http://schemas.openxmlformats.org/officeDocument/2006/relationships/hyperlink" Target="https://www.bing.com/th?id=OSK.b403307fc93aa88fbde0c2352979b37d&amp;qlt=95" TargetMode="External"/><Relationship Id="rId215" Type="http://schemas.openxmlformats.org/officeDocument/2006/relationships/hyperlink" Target="https://www.bing.com/th?id=OSK.67b4ce01d5304b0629b2c81e3089d369&amp;qlt=95" TargetMode="External"/><Relationship Id="rId257" Type="http://schemas.openxmlformats.org/officeDocument/2006/relationships/hyperlink" Target="https://www.bing.com/th?id=OSK.cc3823f13b154bf5571c6734bffbec3f&amp;qlt=95" TargetMode="External"/><Relationship Id="rId422" Type="http://schemas.openxmlformats.org/officeDocument/2006/relationships/hyperlink" Target="https://www.bing.com/images/search?form=xlimg&amp;q=Hofheim,%20Hesse" TargetMode="External"/><Relationship Id="rId464" Type="http://schemas.openxmlformats.org/officeDocument/2006/relationships/hyperlink" Target="https://www.bing.com/images/search?form=xlimg&amp;q=Kamp-Lintfort" TargetMode="External"/><Relationship Id="rId867" Type="http://schemas.openxmlformats.org/officeDocument/2006/relationships/hyperlink" Target="https://www.bing.com/th?id=OSK.e408c40198d2814fc88fefb950b1702f&amp;qlt=95" TargetMode="External"/><Relationship Id="rId299" Type="http://schemas.openxmlformats.org/officeDocument/2006/relationships/hyperlink" Target="https://www.bing.com/th?id=OSK.0085c11a0d5d009716f82adfd5b73148&amp;qlt=95" TargetMode="External"/><Relationship Id="rId727" Type="http://schemas.openxmlformats.org/officeDocument/2006/relationships/hyperlink" Target="https://www.bing.com/th?id=OSK.693e1b7ac80d8ecaaee41bd4d478468c&amp;qlt=95" TargetMode="External"/><Relationship Id="rId934" Type="http://schemas.openxmlformats.org/officeDocument/2006/relationships/hyperlink" Target="https://www.bing.com/images/search?form=xlimg&amp;q=Willingen" TargetMode="External"/><Relationship Id="rId63" Type="http://schemas.openxmlformats.org/officeDocument/2006/relationships/hyperlink" Target="https://www.bing.com/th?id=OSK.5cbbe3894154329e255fb437c977914c&amp;qlt=95" TargetMode="External"/><Relationship Id="rId159" Type="http://schemas.openxmlformats.org/officeDocument/2006/relationships/hyperlink" Target="https://www.bing.com/th?id=OSK.7571cb9fe01b9e3fb2ff77277ea120ad&amp;qlt=95" TargetMode="External"/><Relationship Id="rId366" Type="http://schemas.openxmlformats.org/officeDocument/2006/relationships/hyperlink" Target="https://www.bing.com/images/search?form=xlimg&amp;q=Hagen" TargetMode="External"/><Relationship Id="rId573" Type="http://schemas.openxmlformats.org/officeDocument/2006/relationships/hyperlink" Target="https://www.bing.com/th?id=OSK.170097239703f3e4448db878f8d7407b&amp;qlt=95" TargetMode="External"/><Relationship Id="rId780" Type="http://schemas.openxmlformats.org/officeDocument/2006/relationships/hyperlink" Target="https://www.bing.com/images/search?form=xlimg&amp;q=Saarlouis" TargetMode="External"/><Relationship Id="rId226" Type="http://schemas.openxmlformats.org/officeDocument/2006/relationships/hyperlink" Target="https://www.bing.com/images/search?form=xlimg&amp;q=Einbeck" TargetMode="External"/><Relationship Id="rId433" Type="http://schemas.openxmlformats.org/officeDocument/2006/relationships/hyperlink" Target="https://www.bing.com/th?id=OSK.c293ac83370eacaaeef9b7c29e3f3261&amp;qlt=95" TargetMode="External"/><Relationship Id="rId878" Type="http://schemas.openxmlformats.org/officeDocument/2006/relationships/hyperlink" Target="https://www.bing.com/images/search?form=xlimg&amp;q=Velbert" TargetMode="External"/><Relationship Id="rId640" Type="http://schemas.openxmlformats.org/officeDocument/2006/relationships/hyperlink" Target="https://www.bing.com/images/search?form=xlimg&amp;q=M%c3%bcnster" TargetMode="External"/><Relationship Id="rId738" Type="http://schemas.openxmlformats.org/officeDocument/2006/relationships/hyperlink" Target="https://www.bing.com/images/search?form=xlimg&amp;q=Radebeul" TargetMode="External"/><Relationship Id="rId945" Type="http://schemas.openxmlformats.org/officeDocument/2006/relationships/hyperlink" Target="https://www.bing.com/th?id=OSK.edcd602cf4ea109fd6b1e768b108da55&amp;qlt=95" TargetMode="External"/><Relationship Id="rId74" Type="http://schemas.openxmlformats.org/officeDocument/2006/relationships/hyperlink" Target="https://www.bing.com/images/search?form=xlimg&amp;q=Beckum,%20Germany" TargetMode="External"/><Relationship Id="rId377" Type="http://schemas.openxmlformats.org/officeDocument/2006/relationships/hyperlink" Target="https://www.bing.com/th?id=OSK.ed38ee515fa2c582f793a10b73455ab0&amp;qlt=95" TargetMode="External"/><Relationship Id="rId500" Type="http://schemas.openxmlformats.org/officeDocument/2006/relationships/hyperlink" Target="https://www.bing.com/images/search?form=xlimg&amp;q=K%c3%b6then" TargetMode="External"/><Relationship Id="rId584" Type="http://schemas.openxmlformats.org/officeDocument/2006/relationships/hyperlink" Target="https://www.bing.com/images/search?form=xlimg&amp;q=L%c3%bcnen" TargetMode="External"/><Relationship Id="rId805" Type="http://schemas.openxmlformats.org/officeDocument/2006/relationships/hyperlink" Target="https://www.bing.com/th?id=OSK.f096345684d691d1656969b826892e9f&amp;qlt=95" TargetMode="External"/><Relationship Id="rId5" Type="http://schemas.openxmlformats.org/officeDocument/2006/relationships/hyperlink" Target="https://www.bing.com/th?id=OSK.CHIyKiny6J3ZAckhziVgXbA2FG2qO_H-ZAlkCeb41Gk&amp;qlt=95" TargetMode="External"/><Relationship Id="rId237" Type="http://schemas.openxmlformats.org/officeDocument/2006/relationships/hyperlink" Target="https://www.bing.com/th?id=OSK.846fcc44009a235e40e29ac4c3562032&amp;qlt=95" TargetMode="External"/><Relationship Id="rId791" Type="http://schemas.openxmlformats.org/officeDocument/2006/relationships/hyperlink" Target="https://www.bing.com/th?id=OSK.eedf37b0b95b889b97166c0c284c829a&amp;qlt=95" TargetMode="External"/><Relationship Id="rId889" Type="http://schemas.openxmlformats.org/officeDocument/2006/relationships/hyperlink" Target="https://www.bing.com/th?id=OSK.63836ad877beafc891b7a9f4d30e7552&amp;qlt=95" TargetMode="External"/><Relationship Id="rId444" Type="http://schemas.openxmlformats.org/officeDocument/2006/relationships/hyperlink" Target="https://www.bing.com/images/search?form=xlimg&amp;q=Idar-Oberstein" TargetMode="External"/><Relationship Id="rId651" Type="http://schemas.openxmlformats.org/officeDocument/2006/relationships/hyperlink" Target="https://www.bing.com/th?id=OSK.7f3d7e3351ce4cc69c3ca3f6fe9bdc3f&amp;qlt=95" TargetMode="External"/><Relationship Id="rId749" Type="http://schemas.openxmlformats.org/officeDocument/2006/relationships/hyperlink" Target="https://www.bing.com/th?id=OSK.ad715ea82eaab41a555a7db8094d084b&amp;qlt=95" TargetMode="External"/><Relationship Id="rId290" Type="http://schemas.openxmlformats.org/officeDocument/2006/relationships/hyperlink" Target="https://www.bing.com/images/search?form=xlimg&amp;q=Freiberg" TargetMode="External"/><Relationship Id="rId304" Type="http://schemas.openxmlformats.org/officeDocument/2006/relationships/hyperlink" Target="https://www.bing.com/images/search?form=xlimg&amp;q=F%c3%bcrstenfeldbruck" TargetMode="External"/><Relationship Id="rId388" Type="http://schemas.openxmlformats.org/officeDocument/2006/relationships/hyperlink" Target="https://www.bing.com/images/search?form=xlimg&amp;q=Heidelberg" TargetMode="External"/><Relationship Id="rId511" Type="http://schemas.openxmlformats.org/officeDocument/2006/relationships/hyperlink" Target="https://www.bing.com/th?id=OSK.79ee92c404084a0b52d38f614b5d1d27&amp;qlt=95" TargetMode="External"/><Relationship Id="rId609" Type="http://schemas.openxmlformats.org/officeDocument/2006/relationships/hyperlink" Target="https://www.bing.com/th?id=OSK.5c308a7cd11fac3e0c39de9cb720e903&amp;qlt=95" TargetMode="External"/><Relationship Id="rId956" Type="http://schemas.openxmlformats.org/officeDocument/2006/relationships/hyperlink" Target="https://www.bing.com/images/search?form=xlimg&amp;q=W%c3%bcrselen" TargetMode="External"/><Relationship Id="rId85" Type="http://schemas.openxmlformats.org/officeDocument/2006/relationships/hyperlink" Target="https://www.bing.com/th?id=OSK.a1512a61cf778ac466208259f8dc24f5&amp;qlt=95" TargetMode="External"/><Relationship Id="rId150" Type="http://schemas.openxmlformats.org/officeDocument/2006/relationships/hyperlink" Target="https://www.bing.com/images/search?form=xlimg&amp;q=Castrop-Rauxel" TargetMode="External"/><Relationship Id="rId595" Type="http://schemas.openxmlformats.org/officeDocument/2006/relationships/hyperlink" Target="https://www.bing.com/th?id=OSK.a4cd2e20f5807c1bd68d1f5dd6a405d4&amp;qlt=95" TargetMode="External"/><Relationship Id="rId816" Type="http://schemas.openxmlformats.org/officeDocument/2006/relationships/hyperlink" Target="https://www.bing.com/images/search?form=xlimg&amp;q=Siegen" TargetMode="External"/><Relationship Id="rId248" Type="http://schemas.openxmlformats.org/officeDocument/2006/relationships/hyperlink" Target="https://www.bing.com/images/search?form=xlimg&amp;q=Erlangen" TargetMode="External"/><Relationship Id="rId455" Type="http://schemas.openxmlformats.org/officeDocument/2006/relationships/hyperlink" Target="https://www.bing.com/th?id=OSK.507e0e76e351db900acb4a9ac9680f57&amp;qlt=95" TargetMode="External"/><Relationship Id="rId662" Type="http://schemas.openxmlformats.org/officeDocument/2006/relationships/hyperlink" Target="https://www.bing.com/images/search?form=xlimg&amp;q=Neuwied" TargetMode="External"/><Relationship Id="rId12" Type="http://schemas.openxmlformats.org/officeDocument/2006/relationships/hyperlink" Target="https://www.bing.com/images/search?form=xlimg&amp;q=Amberg" TargetMode="External"/><Relationship Id="rId108" Type="http://schemas.openxmlformats.org/officeDocument/2006/relationships/hyperlink" Target="https://www.bing.com/images/search?form=xlimg&amp;q=Blankenrath" TargetMode="External"/><Relationship Id="rId315" Type="http://schemas.openxmlformats.org/officeDocument/2006/relationships/hyperlink" Target="https://www.bing.com/th?id=OSK.c9c992eb155b85dc4c39d7ac7a70f28b&amp;qlt=95" TargetMode="External"/><Relationship Id="rId522" Type="http://schemas.openxmlformats.org/officeDocument/2006/relationships/hyperlink" Target="https://www.bing.com/images/search?form=xlimg&amp;q=G%c3%bcstrow%20(district)" TargetMode="External"/><Relationship Id="rId967" Type="http://schemas.openxmlformats.org/officeDocument/2006/relationships/hyperlink" Target="https://www.bing.com/th?id=OSK.957888eb94c57f20b1e3d6a2ad17c185&amp;qlt=95" TargetMode="External"/><Relationship Id="rId96" Type="http://schemas.openxmlformats.org/officeDocument/2006/relationships/hyperlink" Target="https://www.bing.com/images/search?form=xlimg&amp;q=Biedenkopf" TargetMode="External"/><Relationship Id="rId161" Type="http://schemas.openxmlformats.org/officeDocument/2006/relationships/hyperlink" Target="https://www.bing.com/th?id=OSK.0c8da4ebd9a308913783f2b90562e50e&amp;qlt=95" TargetMode="External"/><Relationship Id="rId399" Type="http://schemas.openxmlformats.org/officeDocument/2006/relationships/hyperlink" Target="https://www.bing.com/th?id=OSK.3f75c76f15e778d77befb173a1083878&amp;qlt=95" TargetMode="External"/><Relationship Id="rId827" Type="http://schemas.openxmlformats.org/officeDocument/2006/relationships/hyperlink" Target="https://www.bing.com/th?id=OSK.ede0b6009b24a66d99c8356875b7c452&amp;qlt=95" TargetMode="External"/><Relationship Id="rId259" Type="http://schemas.openxmlformats.org/officeDocument/2006/relationships/hyperlink" Target="https://www.bing.com/th?id=OSK.7f30013d54a856d66b9e664476057428&amp;qlt=95" TargetMode="External"/><Relationship Id="rId466" Type="http://schemas.openxmlformats.org/officeDocument/2006/relationships/hyperlink" Target="https://www.bing.com/images/search?form=xlimg&amp;q=Karlshuld" TargetMode="External"/><Relationship Id="rId673" Type="http://schemas.openxmlformats.org/officeDocument/2006/relationships/hyperlink" Target="https://www.bing.com/th?id=OSK.cfb881e6534fbd1bbe22c7fe9e5ad2e6&amp;qlt=95" TargetMode="External"/><Relationship Id="rId880" Type="http://schemas.openxmlformats.org/officeDocument/2006/relationships/hyperlink" Target="https://www.bing.com/images/search?form=xlimg&amp;q=Viernheim" TargetMode="External"/><Relationship Id="rId23" Type="http://schemas.openxmlformats.org/officeDocument/2006/relationships/hyperlink" Target="https://www.bing.com/th?id=OSK.500d73a62759db94a41378d02492656e&amp;qlt=95" TargetMode="External"/><Relationship Id="rId119" Type="http://schemas.openxmlformats.org/officeDocument/2006/relationships/hyperlink" Target="https://www.bing.com/th?id=OSK.85baa32dab80b735cec65db67ead9cba&amp;qlt=95" TargetMode="External"/><Relationship Id="rId326" Type="http://schemas.openxmlformats.org/officeDocument/2006/relationships/hyperlink" Target="https://www.bing.com/images/search?form=xlimg&amp;q=Gilserberg" TargetMode="External"/><Relationship Id="rId533" Type="http://schemas.openxmlformats.org/officeDocument/2006/relationships/hyperlink" Target="https://www.bing.com/th?id=OSK.b75ad9e4917d43a4c0bcb89e52d0a432&amp;qlt=95" TargetMode="External"/><Relationship Id="rId740" Type="http://schemas.openxmlformats.org/officeDocument/2006/relationships/hyperlink" Target="https://www.bing.com/images/search?form=xlimg&amp;q=Radevormwald" TargetMode="External"/><Relationship Id="rId838" Type="http://schemas.openxmlformats.org/officeDocument/2006/relationships/hyperlink" Target="https://www.bing.com/images/search?form=xlimg&amp;q=Sankt%20Blasien" TargetMode="External"/><Relationship Id="rId172" Type="http://schemas.openxmlformats.org/officeDocument/2006/relationships/hyperlink" Target="https://www.bing.com/images/search?form=xlimg&amp;q=Cuxhaven" TargetMode="External"/><Relationship Id="rId477" Type="http://schemas.openxmlformats.org/officeDocument/2006/relationships/hyperlink" Target="https://www.bing.com/th?id=OSK.157c21cc56cb6a764d5236def51f8bb0&amp;qlt=95" TargetMode="External"/><Relationship Id="rId600" Type="http://schemas.openxmlformats.org/officeDocument/2006/relationships/hyperlink" Target="https://www.bing.com/images/search?form=xlimg&amp;q=Meerane" TargetMode="External"/><Relationship Id="rId684" Type="http://schemas.openxmlformats.org/officeDocument/2006/relationships/hyperlink" Target="https://www.bing.com/images/search?form=xlimg&amp;q=Oberursel%20(Taunus)" TargetMode="External"/><Relationship Id="rId337" Type="http://schemas.openxmlformats.org/officeDocument/2006/relationships/hyperlink" Target="https://www.bing.com/th?id=OSK.b81e1f3d4342ed458fefd84b9c9525cb&amp;qlt=95" TargetMode="External"/><Relationship Id="rId891" Type="http://schemas.openxmlformats.org/officeDocument/2006/relationships/hyperlink" Target="https://www.bing.com/th?id=OSK.d1718bdd3e9ff62f16c8264284650f3a&amp;qlt=95" TargetMode="External"/><Relationship Id="rId905" Type="http://schemas.openxmlformats.org/officeDocument/2006/relationships/hyperlink" Target="https://www.bing.com/th?id=OSK.194816c97281b4f095915539bde357e7&amp;qlt=95" TargetMode="External"/><Relationship Id="rId34" Type="http://schemas.openxmlformats.org/officeDocument/2006/relationships/hyperlink" Target="https://www.bing.com/images/search?form=xlimg&amp;q=Augsburg" TargetMode="External"/><Relationship Id="rId544" Type="http://schemas.openxmlformats.org/officeDocument/2006/relationships/hyperlink" Target="https://www.bing.com/images/search?form=xlimg&amp;q=Lehrte" TargetMode="External"/><Relationship Id="rId751" Type="http://schemas.openxmlformats.org/officeDocument/2006/relationships/hyperlink" Target="https://www.bing.com/th?id=OSK.a71c78371355a1a59cb17ac945235ed8&amp;qlt=95" TargetMode="External"/><Relationship Id="rId849" Type="http://schemas.openxmlformats.org/officeDocument/2006/relationships/hyperlink" Target="https://www.bing.com/th?id=OSK.10755629c09a12e326610018f8a7f0e8&amp;qlt=95" TargetMode="External"/><Relationship Id="rId183" Type="http://schemas.openxmlformats.org/officeDocument/2006/relationships/hyperlink" Target="https://www.bing.com/th?id=OSK.9F9moOCgyOibn5PXo8_e-IDPl9IytNGWdxuFDn815fU&amp;qlt=95" TargetMode="External"/><Relationship Id="rId390" Type="http://schemas.openxmlformats.org/officeDocument/2006/relationships/hyperlink" Target="https://www.bing.com/images/search?form=xlimg&amp;q=Heidenau" TargetMode="External"/><Relationship Id="rId404" Type="http://schemas.openxmlformats.org/officeDocument/2006/relationships/hyperlink" Target="https://www.bing.com/images/search?form=xlimg&amp;q=Herford" TargetMode="External"/><Relationship Id="rId611" Type="http://schemas.openxmlformats.org/officeDocument/2006/relationships/hyperlink" Target="https://www.bing.com/th?id=OSK.49f45f7a8caed2ae44b0b7bb8697fb1e&amp;qlt=95" TargetMode="External"/><Relationship Id="rId250" Type="http://schemas.openxmlformats.org/officeDocument/2006/relationships/hyperlink" Target="https://www.bing.com/images/search?form=xlimg&amp;q=Eschwege" TargetMode="External"/><Relationship Id="rId488" Type="http://schemas.openxmlformats.org/officeDocument/2006/relationships/hyperlink" Target="https://www.bing.com/images/search?form=xlimg&amp;q=Porz" TargetMode="External"/><Relationship Id="rId695" Type="http://schemas.openxmlformats.org/officeDocument/2006/relationships/hyperlink" Target="https://www.bing.com/th?id=OSK.1afc3018d8ff761d7a3e4477457bd85a&amp;qlt=95" TargetMode="External"/><Relationship Id="rId709" Type="http://schemas.openxmlformats.org/officeDocument/2006/relationships/hyperlink" Target="https://www.bing.com/th?id=OSK.d902fee16ac08cae354911698dad3026&amp;qlt=95" TargetMode="External"/><Relationship Id="rId916" Type="http://schemas.openxmlformats.org/officeDocument/2006/relationships/hyperlink" Target="https://www.bing.com/images/search?form=xlimg&amp;q=Werdohl" TargetMode="External"/><Relationship Id="rId45" Type="http://schemas.openxmlformats.org/officeDocument/2006/relationships/hyperlink" Target="https://www.bing.com/th?id=OSK.ad55ede42b18fbc4e67f58b58b0f5014&amp;qlt=95" TargetMode="External"/><Relationship Id="rId110" Type="http://schemas.openxmlformats.org/officeDocument/2006/relationships/hyperlink" Target="https://www.bing.com/images/search?form=xlimg&amp;q=B%c3%b6blingen" TargetMode="External"/><Relationship Id="rId348" Type="http://schemas.openxmlformats.org/officeDocument/2006/relationships/hyperlink" Target="https://www.bing.com/images/search?form=xlimg&amp;q=Greiz" TargetMode="External"/><Relationship Id="rId555" Type="http://schemas.openxmlformats.org/officeDocument/2006/relationships/hyperlink" Target="https://www.bing.com/th?id=OSK.d1f6acc9a42777ac36a52f3fd39cfd3f&amp;qlt=95" TargetMode="External"/><Relationship Id="rId762" Type="http://schemas.openxmlformats.org/officeDocument/2006/relationships/hyperlink" Target="https://www.bing.com/images/search?form=xlimg&amp;q=Rheine" TargetMode="External"/><Relationship Id="rId194" Type="http://schemas.openxmlformats.org/officeDocument/2006/relationships/hyperlink" Target="https://www.bing.com/images/search?form=xlimg&amp;q=D%c3%b6beln" TargetMode="External"/><Relationship Id="rId208" Type="http://schemas.openxmlformats.org/officeDocument/2006/relationships/hyperlink" Target="https://www.bing.com/images/search?form=xlimg&amp;q=D%c3%bclken" TargetMode="External"/><Relationship Id="rId415" Type="http://schemas.openxmlformats.org/officeDocument/2006/relationships/hyperlink" Target="https://www.bing.com/th?id=OSK.dd3f817f81e72dc61037540066b56897&amp;qlt=95" TargetMode="External"/><Relationship Id="rId622" Type="http://schemas.openxmlformats.org/officeDocument/2006/relationships/hyperlink" Target="https://www.bing.com/images/search?form=xlimg&amp;q=Mittenwald" TargetMode="External"/><Relationship Id="rId261" Type="http://schemas.openxmlformats.org/officeDocument/2006/relationships/hyperlink" Target="https://www.bing.com/th?id=OSK.bbf4cdcce4b82bf5895c71e3d7cf6325&amp;qlt=95" TargetMode="External"/><Relationship Id="rId499" Type="http://schemas.openxmlformats.org/officeDocument/2006/relationships/hyperlink" Target="https://www.bing.com/th?id=OSK.3effd47e760d4d98600f0bfac298bbfe&amp;qlt=95" TargetMode="External"/><Relationship Id="rId927" Type="http://schemas.openxmlformats.org/officeDocument/2006/relationships/hyperlink" Target="https://www.bing.com/th?id=OSK.180484a046cfb8ed23c8cf354623e7a1&amp;qlt=95" TargetMode="External"/><Relationship Id="rId56" Type="http://schemas.openxmlformats.org/officeDocument/2006/relationships/hyperlink" Target="https://www.bing.com/images/search?form=xlimg&amp;q=Bad%20Salzungen" TargetMode="External"/><Relationship Id="rId359" Type="http://schemas.openxmlformats.org/officeDocument/2006/relationships/hyperlink" Target="https://www.bing.com/th?id=OSK.c8ce5bc7d13586f0c553f89c178007d5&amp;qlt=95" TargetMode="External"/><Relationship Id="rId566" Type="http://schemas.openxmlformats.org/officeDocument/2006/relationships/hyperlink" Target="https://www.bing.com/images/search?form=xlimg&amp;q=L%c3%b6rrach" TargetMode="External"/><Relationship Id="rId773" Type="http://schemas.openxmlformats.org/officeDocument/2006/relationships/hyperlink" Target="https://www.bing.com/th?id=OSK.7f1d38e8ef281a56de5978d89fe64f3f&amp;qlt=95" TargetMode="External"/><Relationship Id="rId121" Type="http://schemas.openxmlformats.org/officeDocument/2006/relationships/hyperlink" Target="https://www.bing.com/th?id=OSK.MyDHPQpxq8V3f7QB_oDByZFqP-_daAHFyNYk_2CYMlU&amp;qlt=95" TargetMode="External"/><Relationship Id="rId219" Type="http://schemas.openxmlformats.org/officeDocument/2006/relationships/hyperlink" Target="https://www.bing.com/th?id=OSK.ec8490cb75bbeefe0c8c81bc92575614&amp;qlt=95" TargetMode="External"/><Relationship Id="rId426" Type="http://schemas.openxmlformats.org/officeDocument/2006/relationships/hyperlink" Target="https://www.bing.com/images/search?form=xlimg&amp;q=Hohenpei%c3%9fenberg" TargetMode="External"/><Relationship Id="rId633" Type="http://schemas.openxmlformats.org/officeDocument/2006/relationships/hyperlink" Target="https://www.bing.com/th?id=OSK.bc8dc5ba7041e90d7a362391917b2594&amp;qlt=95" TargetMode="External"/><Relationship Id="rId840" Type="http://schemas.openxmlformats.org/officeDocument/2006/relationships/hyperlink" Target="https://www.bing.com/images/search?form=xlimg&amp;q=Sankt%20Ingbert" TargetMode="External"/><Relationship Id="rId938" Type="http://schemas.openxmlformats.org/officeDocument/2006/relationships/hyperlink" Target="https://www.bing.com/images/search?form=xlimg&amp;q=Wismar" TargetMode="External"/><Relationship Id="rId67" Type="http://schemas.openxmlformats.org/officeDocument/2006/relationships/hyperlink" Target="https://www.bing.com/th?id=OSK.5fd89bb46049a6d7922c0df1eac4579e&amp;qlt=95" TargetMode="External"/><Relationship Id="rId272" Type="http://schemas.openxmlformats.org/officeDocument/2006/relationships/hyperlink" Target="https://www.bing.com/images/search?form=xlimg&amp;q=Fichtelberg,%20Bavaria" TargetMode="External"/><Relationship Id="rId577" Type="http://schemas.openxmlformats.org/officeDocument/2006/relationships/hyperlink" Target="https://www.bing.com/th?id=OSK.2c12ee1b1ef2056ab779c3dc0439a595&amp;qlt=95" TargetMode="External"/><Relationship Id="rId700" Type="http://schemas.openxmlformats.org/officeDocument/2006/relationships/hyperlink" Target="https://www.bing.com/images/search?form=xlimg&amp;q=Oschatz" TargetMode="External"/><Relationship Id="rId132" Type="http://schemas.openxmlformats.org/officeDocument/2006/relationships/hyperlink" Target="https://www.bing.com/images/search?form=xlimg&amp;q=Bremerhaven" TargetMode="External"/><Relationship Id="rId784" Type="http://schemas.openxmlformats.org/officeDocument/2006/relationships/hyperlink" Target="https://www.bing.com/images/search?form=xlimg&amp;q=Salzwedel" TargetMode="External"/><Relationship Id="rId437" Type="http://schemas.openxmlformats.org/officeDocument/2006/relationships/hyperlink" Target="https://www.bing.com/th?id=OSK.bf588aa75e5d186a421d2fdc5703472c&amp;qlt=95" TargetMode="External"/><Relationship Id="rId644" Type="http://schemas.openxmlformats.org/officeDocument/2006/relationships/hyperlink" Target="https://www.bing.com/images/search?form=xlimg&amp;q=Neu-Isenburg" TargetMode="External"/><Relationship Id="rId851" Type="http://schemas.openxmlformats.org/officeDocument/2006/relationships/hyperlink" Target="https://www.bing.com/th?id=OSK.dd37800855784f11e84df0fe1f2a8c0e&amp;qlt=95" TargetMode="External"/><Relationship Id="rId283" Type="http://schemas.openxmlformats.org/officeDocument/2006/relationships/hyperlink" Target="https://www.bing.com/th?id=OSK.32778e9e855f66b59f7576fb5db1c6b6&amp;qlt=95" TargetMode="External"/><Relationship Id="rId490" Type="http://schemas.openxmlformats.org/officeDocument/2006/relationships/hyperlink" Target="https://www.bing.com/images/search?form=xlimg&amp;q=Rodenkirchen" TargetMode="External"/><Relationship Id="rId504" Type="http://schemas.openxmlformats.org/officeDocument/2006/relationships/hyperlink" Target="https://www.bing.com/images/search?form=xlimg&amp;q=Soest%20(district)" TargetMode="External"/><Relationship Id="rId711" Type="http://schemas.openxmlformats.org/officeDocument/2006/relationships/hyperlink" Target="https://www.bing.com/th?id=OSK.cea7dc9c24dd500612cdcd1917c3c50e&amp;qlt=95" TargetMode="External"/><Relationship Id="rId949" Type="http://schemas.openxmlformats.org/officeDocument/2006/relationships/hyperlink" Target="https://www.bing.com/th?id=OSK.e4a8dd5d63287594f5666fc5b293345a&amp;qlt=95" TargetMode="External"/><Relationship Id="rId78" Type="http://schemas.openxmlformats.org/officeDocument/2006/relationships/hyperlink" Target="https://www.bing.com/images/search?form=xlimg&amp;q=Bensheim" TargetMode="External"/><Relationship Id="rId143" Type="http://schemas.openxmlformats.org/officeDocument/2006/relationships/hyperlink" Target="https://www.bing.com/th?id=OSK.9e021bd026566adfb0995e327919cc68&amp;qlt=95" TargetMode="External"/><Relationship Id="rId350" Type="http://schemas.openxmlformats.org/officeDocument/2006/relationships/hyperlink" Target="https://www.bing.com/images/search?form=xlimg&amp;q=Greven" TargetMode="External"/><Relationship Id="rId588" Type="http://schemas.openxmlformats.org/officeDocument/2006/relationships/hyperlink" Target="https://www.bing.com/images/search?form=xlimg&amp;q=Magdeburg" TargetMode="External"/><Relationship Id="rId795" Type="http://schemas.openxmlformats.org/officeDocument/2006/relationships/hyperlink" Target="https://www.bing.com/th?id=OSK.8f24e2d555e90c3fb3963c3a618fee0a&amp;qlt=95" TargetMode="External"/><Relationship Id="rId809" Type="http://schemas.openxmlformats.org/officeDocument/2006/relationships/hyperlink" Target="https://www.bing.com/th?id=OSK.8K-DGc1Anz7Juvc7kw1h9ljaa9tGMdnVnLH-OZ9lcs0&amp;qlt=95" TargetMode="External"/><Relationship Id="rId9" Type="http://schemas.openxmlformats.org/officeDocument/2006/relationships/hyperlink" Target="https://www.bing.com/th?id=OSK.72fbe0e53b9c614705ec18e4837f8510&amp;qlt=95" TargetMode="External"/><Relationship Id="rId210" Type="http://schemas.openxmlformats.org/officeDocument/2006/relationships/hyperlink" Target="https://www.bing.com/images/search?form=xlimg&amp;q=Viersen" TargetMode="External"/><Relationship Id="rId448" Type="http://schemas.openxmlformats.org/officeDocument/2006/relationships/hyperlink" Target="https://www.bing.com/images/search?form=xlimg&amp;q=Ingolstadt" TargetMode="External"/><Relationship Id="rId655" Type="http://schemas.openxmlformats.org/officeDocument/2006/relationships/hyperlink" Target="https://www.bing.com/th?id=OSK.f17da2575c4c20908a537a701c2041a9&amp;qlt=95" TargetMode="External"/><Relationship Id="rId862" Type="http://schemas.openxmlformats.org/officeDocument/2006/relationships/hyperlink" Target="https://www.bing.com/images/search?form=xlimg&amp;q=Torgau" TargetMode="External"/><Relationship Id="rId294" Type="http://schemas.openxmlformats.org/officeDocument/2006/relationships/hyperlink" Target="https://www.bing.com/images/search?form=xlimg&amp;q=Freising" TargetMode="External"/><Relationship Id="rId308" Type="http://schemas.openxmlformats.org/officeDocument/2006/relationships/hyperlink" Target="https://www.bing.com/images/search?form=xlimg&amp;q=F%c3%bcrth" TargetMode="External"/><Relationship Id="rId515" Type="http://schemas.openxmlformats.org/officeDocument/2006/relationships/hyperlink" Target="https://www.bing.com/th?id=OSK.ac2855690115e3c3d454887a4670366c&amp;qlt=95" TargetMode="External"/><Relationship Id="rId722" Type="http://schemas.openxmlformats.org/officeDocument/2006/relationships/hyperlink" Target="https://www.bing.com/images/search?form=xlimg&amp;q=Pirna" TargetMode="External"/><Relationship Id="rId89" Type="http://schemas.openxmlformats.org/officeDocument/2006/relationships/hyperlink" Target="https://www.bing.com/th?id=OSK.da96e035ef58b1dfbf2fa9da0cd7b07d&amp;qlt=95" TargetMode="External"/><Relationship Id="rId154" Type="http://schemas.openxmlformats.org/officeDocument/2006/relationships/hyperlink" Target="https://www.bing.com/images/search?form=xlimg&amp;q=Chemnitz" TargetMode="External"/><Relationship Id="rId361" Type="http://schemas.openxmlformats.org/officeDocument/2006/relationships/hyperlink" Target="https://www.bing.com/th?id=OSK.8caf6b7f8c189ca204a815d87fb87758&amp;qlt=95" TargetMode="External"/><Relationship Id="rId599" Type="http://schemas.openxmlformats.org/officeDocument/2006/relationships/hyperlink" Target="https://www.bing.com/th?id=OSK.9d20b19229253ad3d220efad5d8656b8&amp;qlt=95" TargetMode="External"/><Relationship Id="rId459" Type="http://schemas.openxmlformats.org/officeDocument/2006/relationships/hyperlink" Target="https://www.bing.com/th?id=OSK.87eba247bd310fac49b0ce0157bcc101&amp;qlt=95" TargetMode="External"/><Relationship Id="rId666" Type="http://schemas.openxmlformats.org/officeDocument/2006/relationships/hyperlink" Target="https://www.bing.com/images/search?form=xlimg&amp;q=Nordenham" TargetMode="External"/><Relationship Id="rId873" Type="http://schemas.openxmlformats.org/officeDocument/2006/relationships/hyperlink" Target="https://www.bing.com/th?id=OSK.A69nHExdC5HuIyDqriz1QjTad85460eRkdEiCcowQf4&amp;qlt=95" TargetMode="External"/><Relationship Id="rId16" Type="http://schemas.openxmlformats.org/officeDocument/2006/relationships/hyperlink" Target="https://www.bing.com/images/search?form=xlimg&amp;q=Anklam" TargetMode="External"/><Relationship Id="rId221" Type="http://schemas.openxmlformats.org/officeDocument/2006/relationships/hyperlink" Target="https://www.bing.com/th?id=OSK.d12148626f40584aaba8ea3ac29ddd47&amp;qlt=95" TargetMode="External"/><Relationship Id="rId319" Type="http://schemas.openxmlformats.org/officeDocument/2006/relationships/hyperlink" Target="https://www.bing.com/th?id=OSK.AiyBDQCTnE7QaaE1O22XexT3rNwU08NLDi1hWvx-P5I&amp;qlt=95" TargetMode="External"/><Relationship Id="rId526" Type="http://schemas.openxmlformats.org/officeDocument/2006/relationships/hyperlink" Target="https://www.bing.com/images/search?form=xlimg&amp;q=Reutlingen%20(district)" TargetMode="External"/><Relationship Id="rId733" Type="http://schemas.openxmlformats.org/officeDocument/2006/relationships/hyperlink" Target="https://www.bing.com/th?id=OSK.18d38bb9d3bd29f19226ee9f821fc1cd&amp;qlt=95" TargetMode="External"/><Relationship Id="rId940" Type="http://schemas.openxmlformats.org/officeDocument/2006/relationships/hyperlink" Target="https://www.bing.com/images/search?form=xlimg&amp;q=Witten" TargetMode="External"/><Relationship Id="rId165" Type="http://schemas.openxmlformats.org/officeDocument/2006/relationships/hyperlink" Target="https://www.bing.com/th?id=OSK.e780009bc4b41b1695f1151e25ba33d8&amp;qlt=95" TargetMode="External"/><Relationship Id="rId372" Type="http://schemas.openxmlformats.org/officeDocument/2006/relationships/hyperlink" Target="https://www.bing.com/images/search?form=xlimg&amp;q=Halle%20(Saale)" TargetMode="External"/><Relationship Id="rId677" Type="http://schemas.openxmlformats.org/officeDocument/2006/relationships/hyperlink" Target="https://www.bing.com/th?id=OSK.22dac5521bf5e48876d6ebd2a50dceed&amp;qlt=95" TargetMode="External"/><Relationship Id="rId800" Type="http://schemas.openxmlformats.org/officeDocument/2006/relationships/hyperlink" Target="https://www.bing.com/images/search?form=xlimg&amp;q=Schwabach" TargetMode="External"/><Relationship Id="rId232" Type="http://schemas.openxmlformats.org/officeDocument/2006/relationships/hyperlink" Target="https://www.bing.com/images/search?form=xlimg&amp;q=Ellwangen" TargetMode="External"/><Relationship Id="rId884" Type="http://schemas.openxmlformats.org/officeDocument/2006/relationships/hyperlink" Target="https://www.bing.com/images/search?form=xlimg&amp;q=Voerde" TargetMode="External"/><Relationship Id="rId27" Type="http://schemas.openxmlformats.org/officeDocument/2006/relationships/hyperlink" Target="https://www.bing.com/th?id=OSK.26bc206e61055c35c3592c683e2290a9&amp;qlt=95" TargetMode="External"/><Relationship Id="rId537" Type="http://schemas.openxmlformats.org/officeDocument/2006/relationships/hyperlink" Target="https://www.bing.com/th?id=OSK.ulY9Lu6CTJ4eMoH2GXcgLaodAOFhRgTUVt62PQqwOFk&amp;qlt=95" TargetMode="External"/><Relationship Id="rId744" Type="http://schemas.openxmlformats.org/officeDocument/2006/relationships/hyperlink" Target="https://www.bing.com/images/search?form=xlimg&amp;q=Rathenow" TargetMode="External"/><Relationship Id="rId951" Type="http://schemas.openxmlformats.org/officeDocument/2006/relationships/hyperlink" Target="https://www.bing.com/th?id=OSK.6ac1efcca493950b6decd3adb36d4451&amp;qlt=95" TargetMode="External"/><Relationship Id="rId80" Type="http://schemas.openxmlformats.org/officeDocument/2006/relationships/hyperlink" Target="https://www.bing.com/images/search?form=xlimg&amp;q=Berchtesgaden" TargetMode="External"/><Relationship Id="rId176" Type="http://schemas.openxmlformats.org/officeDocument/2006/relationships/hyperlink" Target="https://www.bing.com/images/search?form=xlimg&amp;q=Darmstadt" TargetMode="External"/><Relationship Id="rId383" Type="http://schemas.openxmlformats.org/officeDocument/2006/relationships/hyperlink" Target="https://www.bing.com/th?id=OSK.8f3f74cf6a70705ebd2156e8ad67729c&amp;qlt=95" TargetMode="External"/><Relationship Id="rId590" Type="http://schemas.openxmlformats.org/officeDocument/2006/relationships/hyperlink" Target="https://www.bing.com/images/search?form=xlimg&amp;q=Mainz" TargetMode="External"/><Relationship Id="rId604" Type="http://schemas.openxmlformats.org/officeDocument/2006/relationships/hyperlink" Target="https://www.bing.com/images/search?form=xlimg&amp;q=Meiningen" TargetMode="External"/><Relationship Id="rId811" Type="http://schemas.openxmlformats.org/officeDocument/2006/relationships/hyperlink" Target="https://www.bing.com/th?id=OSK.zkYoH2w1nmIsg3dI1ZDjw12ei5lgt7OhSRKIRd6tYng&amp;qlt=95" TargetMode="External"/><Relationship Id="rId243" Type="http://schemas.openxmlformats.org/officeDocument/2006/relationships/hyperlink" Target="https://www.bing.com/th?id=OSK.a1b629530e9e3ca0ca2b00e4b00c2f44&amp;qlt=95" TargetMode="External"/><Relationship Id="rId450" Type="http://schemas.openxmlformats.org/officeDocument/2006/relationships/hyperlink" Target="https://www.bing.com/images/search?form=xlimg&amp;q=Iserlohn" TargetMode="External"/><Relationship Id="rId688" Type="http://schemas.openxmlformats.org/officeDocument/2006/relationships/hyperlink" Target="https://www.bing.com/images/search?form=xlimg&amp;q=Oberwiesenthal" TargetMode="External"/><Relationship Id="rId895" Type="http://schemas.openxmlformats.org/officeDocument/2006/relationships/hyperlink" Target="https://www.bing.com/th?id=OSK.7bbb93745512f2c9c800232d102f6583&amp;qlt=95" TargetMode="External"/><Relationship Id="rId909" Type="http://schemas.openxmlformats.org/officeDocument/2006/relationships/hyperlink" Target="https://www.bing.com/th?id=OSK.d48e7b408f61c603c72d6fdd11ed1dcf&amp;qlt=95" TargetMode="External"/><Relationship Id="rId38" Type="http://schemas.openxmlformats.org/officeDocument/2006/relationships/hyperlink" Target="https://www.bing.com/images/search?form=xlimg&amp;q=Backnang" TargetMode="External"/><Relationship Id="rId103" Type="http://schemas.openxmlformats.org/officeDocument/2006/relationships/hyperlink" Target="https://www.bing.com/th?id=OSK.072bb607b6d80684410313c0b948f679&amp;qlt=95" TargetMode="External"/><Relationship Id="rId310" Type="http://schemas.openxmlformats.org/officeDocument/2006/relationships/hyperlink" Target="https://www.bing.com/images/search?form=xlimg&amp;q=Garmisch-Partenkirchen" TargetMode="External"/><Relationship Id="rId548" Type="http://schemas.openxmlformats.org/officeDocument/2006/relationships/hyperlink" Target="https://www.bing.com/images/search?form=xlimg&amp;q=Lemgo" TargetMode="External"/><Relationship Id="rId755" Type="http://schemas.openxmlformats.org/officeDocument/2006/relationships/hyperlink" Target="https://www.bing.com/th?id=OSK.iMPlX515Tkcv2QZIpyzRWg8oPSD4N-W5eEE8Q_DiTlA&amp;qlt=95" TargetMode="External"/><Relationship Id="rId962" Type="http://schemas.openxmlformats.org/officeDocument/2006/relationships/hyperlink" Target="https://www.bing.com/images/search?form=xlimg&amp;q=Zeitz" TargetMode="External"/><Relationship Id="rId91" Type="http://schemas.openxmlformats.org/officeDocument/2006/relationships/hyperlink" Target="https://www.bing.com/th?id=OSK.pHp-jw9w9QliudH-MLbjPyrLHWN_nlXV0RiCVoeC4Bk&amp;qlt=95" TargetMode="External"/><Relationship Id="rId187" Type="http://schemas.openxmlformats.org/officeDocument/2006/relationships/hyperlink" Target="https://www.bing.com/th?id=OSK.3fa5e1034f170815be77b284573cf88c&amp;qlt=95" TargetMode="External"/><Relationship Id="rId394" Type="http://schemas.openxmlformats.org/officeDocument/2006/relationships/hyperlink" Target="https://www.bing.com/images/search?form=xlimg&amp;q=Heilbronn" TargetMode="External"/><Relationship Id="rId408" Type="http://schemas.openxmlformats.org/officeDocument/2006/relationships/hyperlink" Target="https://www.bing.com/images/search?form=xlimg&amp;q=Herne,%20North%20Rhine-Westphalia" TargetMode="External"/><Relationship Id="rId615" Type="http://schemas.openxmlformats.org/officeDocument/2006/relationships/hyperlink" Target="https://www.bing.com/th?id=OSK.1b1b8cb27d21d67340da93ee56c8d859&amp;qlt=95" TargetMode="External"/><Relationship Id="rId822" Type="http://schemas.openxmlformats.org/officeDocument/2006/relationships/hyperlink" Target="https://www.bing.com/images/search?form=xlimg&amp;q=Singen" TargetMode="External"/><Relationship Id="rId254" Type="http://schemas.openxmlformats.org/officeDocument/2006/relationships/hyperlink" Target="https://www.bing.com/images/search?form=xlimg&amp;q=Essen" TargetMode="External"/><Relationship Id="rId699" Type="http://schemas.openxmlformats.org/officeDocument/2006/relationships/hyperlink" Target="https://www.bing.com/th?id=OSK.3916a634f9bd568e47f231ab4ffbaa34&amp;qlt=95" TargetMode="External"/><Relationship Id="rId49" Type="http://schemas.openxmlformats.org/officeDocument/2006/relationships/hyperlink" Target="https://www.bing.com/th?id=OSK.8327f4b65301f43e3570450016a47bfb&amp;qlt=95" TargetMode="External"/><Relationship Id="rId114" Type="http://schemas.openxmlformats.org/officeDocument/2006/relationships/hyperlink" Target="https://www.bing.com/images/search?form=xlimg&amp;q=Bochum" TargetMode="External"/><Relationship Id="rId461" Type="http://schemas.openxmlformats.org/officeDocument/2006/relationships/hyperlink" Target="https://www.bing.com/th?id=OSK.755c3815a184a1f0fdc4e5125408fde3&amp;qlt=95" TargetMode="External"/><Relationship Id="rId559" Type="http://schemas.openxmlformats.org/officeDocument/2006/relationships/hyperlink" Target="https://www.bing.com/th?id=OSK.1TbPdB32gTA9zrfRF1QPVhq5mHppu3hviAgLjysrFF4&amp;qlt=95" TargetMode="External"/><Relationship Id="rId766" Type="http://schemas.openxmlformats.org/officeDocument/2006/relationships/hyperlink" Target="https://www.bing.com/images/search?form=xlimg&amp;q=Rheydt" TargetMode="External"/><Relationship Id="rId198" Type="http://schemas.openxmlformats.org/officeDocument/2006/relationships/hyperlink" Target="https://www.bing.com/images/search?form=xlimg&amp;q=Dortmund" TargetMode="External"/><Relationship Id="rId321" Type="http://schemas.openxmlformats.org/officeDocument/2006/relationships/hyperlink" Target="https://www.bing.com/th?id=OSK.7381198e6a74e9a6436a37dd95ee4948&amp;qlt=95" TargetMode="External"/><Relationship Id="rId419" Type="http://schemas.openxmlformats.org/officeDocument/2006/relationships/hyperlink" Target="https://www.bing.com/th?id=OSK.232e1b8c8f0cc26229430218639c00c0&amp;qlt=95" TargetMode="External"/><Relationship Id="rId626" Type="http://schemas.openxmlformats.org/officeDocument/2006/relationships/hyperlink" Target="https://www.bing.com/images/search?form=xlimg&amp;q=Moers" TargetMode="External"/><Relationship Id="rId833" Type="http://schemas.openxmlformats.org/officeDocument/2006/relationships/hyperlink" Target="https://www.bing.com/th?id=OSK.17c419554bf3e1cec4189eae53513d0b&amp;qlt=95" TargetMode="External"/><Relationship Id="rId265" Type="http://schemas.openxmlformats.org/officeDocument/2006/relationships/hyperlink" Target="https://www.bing.com/th?id=OSK.917520b72fa0ab3c3110d52f994f11e7&amp;qlt=95" TargetMode="External"/><Relationship Id="rId472" Type="http://schemas.openxmlformats.org/officeDocument/2006/relationships/hyperlink" Target="https://www.bing.com/images/search?form=xlimg&amp;q=Kaufbeuren" TargetMode="External"/><Relationship Id="rId900" Type="http://schemas.openxmlformats.org/officeDocument/2006/relationships/hyperlink" Target="https://www.bing.com/images/search?form=xlimg&amp;q=Weiden%20in%20der%20Oberpfalz" TargetMode="External"/><Relationship Id="rId125" Type="http://schemas.openxmlformats.org/officeDocument/2006/relationships/hyperlink" Target="https://www.bing.com/th?id=OSK.37c28276eddc59eaa8ca5d2ea21aa294&amp;qlt=95" TargetMode="External"/><Relationship Id="rId332" Type="http://schemas.openxmlformats.org/officeDocument/2006/relationships/hyperlink" Target="https://www.bing.com/images/search?form=xlimg&amp;q=Gl%c3%bcckstadt" TargetMode="External"/><Relationship Id="rId777" Type="http://schemas.openxmlformats.org/officeDocument/2006/relationships/hyperlink" Target="https://www.bing.com/th?id=OSK.bdc91d5a7855de708fcd63dd62102e54&amp;qlt=95" TargetMode="External"/><Relationship Id="rId637" Type="http://schemas.openxmlformats.org/officeDocument/2006/relationships/hyperlink" Target="https://www.bing.com/th?id=OSK.3263130308071bce74645af669da0a51&amp;qlt=95" TargetMode="External"/><Relationship Id="rId844" Type="http://schemas.openxmlformats.org/officeDocument/2006/relationships/hyperlink" Target="https://www.bing.com/images/search?form=xlimg&amp;q=Sta%c3%9ffurt" TargetMode="External"/><Relationship Id="rId276" Type="http://schemas.openxmlformats.org/officeDocument/2006/relationships/hyperlink" Target="https://www.bing.com/images/search?form=xlimg&amp;q=Flensburg" TargetMode="External"/><Relationship Id="rId483" Type="http://schemas.openxmlformats.org/officeDocument/2006/relationships/hyperlink" Target="https://www.bing.com/th?id=OSK.82f7b489778cd1e84b594bc4ae5e2d92&amp;qlt=95" TargetMode="External"/><Relationship Id="rId690" Type="http://schemas.openxmlformats.org/officeDocument/2006/relationships/hyperlink" Target="https://www.bing.com/images/search?form=xlimg&amp;q=Oer-Erkenschwick" TargetMode="External"/><Relationship Id="rId704" Type="http://schemas.openxmlformats.org/officeDocument/2006/relationships/hyperlink" Target="https://www.bing.com/images/search?form=xlimg&amp;q=Oy-Mittelberg" TargetMode="External"/><Relationship Id="rId911" Type="http://schemas.openxmlformats.org/officeDocument/2006/relationships/hyperlink" Target="https://www.bing.com/th?id=OSK.a06124623d1878d264ff418ac1aaca8f&amp;qlt=95" TargetMode="External"/><Relationship Id="rId40" Type="http://schemas.openxmlformats.org/officeDocument/2006/relationships/hyperlink" Target="https://www.bing.com/images/search?form=xlimg&amp;q=Bad%20Bergzabern" TargetMode="External"/><Relationship Id="rId136" Type="http://schemas.openxmlformats.org/officeDocument/2006/relationships/hyperlink" Target="https://www.bing.com/images/search?form=xlimg&amp;q=Brilon" TargetMode="External"/><Relationship Id="rId343" Type="http://schemas.openxmlformats.org/officeDocument/2006/relationships/hyperlink" Target="https://www.bing.com/th?id=OSK.b4cbb120d15b694cf0e4b8337e645412&amp;qlt=95" TargetMode="External"/><Relationship Id="rId550" Type="http://schemas.openxmlformats.org/officeDocument/2006/relationships/hyperlink" Target="https://www.bing.com/images/search?form=xlimg&amp;q=Lengerich,%20Westphalia" TargetMode="External"/><Relationship Id="rId788" Type="http://schemas.openxmlformats.org/officeDocument/2006/relationships/hyperlink" Target="https://www.bing.com/images/search?form=xlimg&amp;q=Schneeberg,%20Saxony" TargetMode="External"/><Relationship Id="rId203" Type="http://schemas.openxmlformats.org/officeDocument/2006/relationships/hyperlink" Target="https://www.bing.com/th?id=OSK.3032720bc75847ef852dcb048f398fcb&amp;qlt=95" TargetMode="External"/><Relationship Id="rId648" Type="http://schemas.openxmlformats.org/officeDocument/2006/relationships/hyperlink" Target="https://www.bing.com/images/search?form=xlimg&amp;q=Neum%c3%bcnster" TargetMode="External"/><Relationship Id="rId855" Type="http://schemas.openxmlformats.org/officeDocument/2006/relationships/hyperlink" Target="https://www.bing.com/th?id=OSK.47be4f47b88dd31ae4b77caf2e91f3c7&amp;qlt=95" TargetMode="External"/><Relationship Id="rId287" Type="http://schemas.openxmlformats.org/officeDocument/2006/relationships/hyperlink" Target="https://www.bing.com/th?id=OSK.321ca456a7ae22a296b645a3621fde9e&amp;qlt=95" TargetMode="External"/><Relationship Id="rId410" Type="http://schemas.openxmlformats.org/officeDocument/2006/relationships/hyperlink" Target="https://www.bing.com/images/search?form=xlimg&amp;q=Herten" TargetMode="External"/><Relationship Id="rId494" Type="http://schemas.openxmlformats.org/officeDocument/2006/relationships/hyperlink" Target="https://www.bing.com/images/search?form=xlimg&amp;q=K%c3%b6nigstein%20im%20Taunus" TargetMode="External"/><Relationship Id="rId508" Type="http://schemas.openxmlformats.org/officeDocument/2006/relationships/hyperlink" Target="https://www.bing.com/images/search?form=xlimg&amp;q=Kronach" TargetMode="External"/><Relationship Id="rId715" Type="http://schemas.openxmlformats.org/officeDocument/2006/relationships/hyperlink" Target="https://www.bing.com/th?id=OSK.cea7ace544a4056deab088eb54e9814c&amp;qlt=95" TargetMode="External"/><Relationship Id="rId922" Type="http://schemas.openxmlformats.org/officeDocument/2006/relationships/hyperlink" Target="https://www.bing.com/images/search?form=xlimg&amp;q=Wernigerode" TargetMode="External"/><Relationship Id="rId147" Type="http://schemas.openxmlformats.org/officeDocument/2006/relationships/hyperlink" Target="https://www.bing.com/th?id=OSK.f1505cdd130dfaa4952105ce7c0de6d9&amp;qlt=95" TargetMode="External"/><Relationship Id="rId354" Type="http://schemas.openxmlformats.org/officeDocument/2006/relationships/hyperlink" Target="https://www.bing.com/images/search?form=xlimg&amp;q=Gronau,%20North%20Rhine-Westphalia" TargetMode="External"/><Relationship Id="rId799" Type="http://schemas.openxmlformats.org/officeDocument/2006/relationships/hyperlink" Target="https://www.bing.com/th?id=OSK.ea9535fa1321ebf8eb6d8cb6d688acbd&amp;qlt=95" TargetMode="External"/><Relationship Id="rId51" Type="http://schemas.openxmlformats.org/officeDocument/2006/relationships/hyperlink" Target="https://www.bing.com/th?id=OSK.332ecf3e73e641b136854c189e4ea269&amp;qlt=95" TargetMode="External"/><Relationship Id="rId561" Type="http://schemas.openxmlformats.org/officeDocument/2006/relationships/hyperlink" Target="https://www.bing.com/th?id=OSK.4fe3e84f58e8381ca1000ff23b56f42b&amp;qlt=95" TargetMode="External"/><Relationship Id="rId659" Type="http://schemas.openxmlformats.org/officeDocument/2006/relationships/hyperlink" Target="https://www.bing.com/th?id=OSK.5a10baef4079119e02cbc51d4a3be9e2&amp;qlt=95" TargetMode="External"/><Relationship Id="rId866" Type="http://schemas.openxmlformats.org/officeDocument/2006/relationships/hyperlink" Target="https://www.bing.com/images/search?form=xlimg&amp;q=T%c3%bcbingen" TargetMode="External"/><Relationship Id="rId214" Type="http://schemas.openxmlformats.org/officeDocument/2006/relationships/hyperlink" Target="https://www.bing.com/images/search?form=xlimg&amp;q=D%c3%bcren" TargetMode="External"/><Relationship Id="rId298" Type="http://schemas.openxmlformats.org/officeDocument/2006/relationships/hyperlink" Target="https://www.bing.com/images/search?form=xlimg&amp;q=Freudenstadt" TargetMode="External"/><Relationship Id="rId421" Type="http://schemas.openxmlformats.org/officeDocument/2006/relationships/hyperlink" Target="https://www.bing.com/th?id=OSK.aa8a229ecc78c20b0578cc70a25bbd3f&amp;qlt=95" TargetMode="External"/><Relationship Id="rId519" Type="http://schemas.openxmlformats.org/officeDocument/2006/relationships/hyperlink" Target="https://www.bing.com/th?id=OSK.f6c1a995f7084dd9705a01552e21de1b&amp;qlt=95" TargetMode="External"/><Relationship Id="rId158" Type="http://schemas.openxmlformats.org/officeDocument/2006/relationships/hyperlink" Target="https://www.bing.com/images/search?form=xlimg&amp;q=Coburg" TargetMode="External"/><Relationship Id="rId726" Type="http://schemas.openxmlformats.org/officeDocument/2006/relationships/hyperlink" Target="https://www.bing.com/images/search?form=xlimg&amp;q=Plettenberg" TargetMode="External"/><Relationship Id="rId933" Type="http://schemas.openxmlformats.org/officeDocument/2006/relationships/hyperlink" Target="https://www.bing.com/th?id=OSK.624bd942dfe683d6187599a76c98dd16&amp;qlt=95" TargetMode="External"/><Relationship Id="rId62" Type="http://schemas.openxmlformats.org/officeDocument/2006/relationships/hyperlink" Target="https://www.bing.com/images/search?form=xlimg&amp;q=Bad%20Wildbad" TargetMode="External"/><Relationship Id="rId365" Type="http://schemas.openxmlformats.org/officeDocument/2006/relationships/hyperlink" Target="https://www.bing.com/th?id=OSK.a1fc6f6c57110bbb96ab732f4232fe6a&amp;qlt=95" TargetMode="External"/><Relationship Id="rId572" Type="http://schemas.openxmlformats.org/officeDocument/2006/relationships/hyperlink" Target="https://www.bing.com/images/search?form=xlimg&amp;q=Luckenwalde" TargetMode="External"/><Relationship Id="rId225" Type="http://schemas.openxmlformats.org/officeDocument/2006/relationships/hyperlink" Target="https://www.bing.com/th?id=OSK.9cf15e518c0b6ebedbd58f13b9ca5e4b&amp;qlt=95" TargetMode="External"/><Relationship Id="rId432" Type="http://schemas.openxmlformats.org/officeDocument/2006/relationships/hyperlink" Target="https://www.bing.com/images/search?form=xlimg&amp;q=Homburg,%20Saarland" TargetMode="External"/><Relationship Id="rId877" Type="http://schemas.openxmlformats.org/officeDocument/2006/relationships/hyperlink" Target="https://www.bing.com/th?id=OSK.df72acd4a7174842d637e906a46ed230&amp;qlt=95" TargetMode="External"/><Relationship Id="rId737" Type="http://schemas.openxmlformats.org/officeDocument/2006/relationships/hyperlink" Target="https://www.bing.com/th?id=OSK.7aeb3196955e746cdbd4c980b3feb48a&amp;qlt=95" TargetMode="External"/><Relationship Id="rId944" Type="http://schemas.openxmlformats.org/officeDocument/2006/relationships/hyperlink" Target="https://www.bing.com/images/search?form=xlimg&amp;q=Witzenhausen" TargetMode="External"/><Relationship Id="rId73" Type="http://schemas.openxmlformats.org/officeDocument/2006/relationships/hyperlink" Target="https://www.bing.com/th?id=OSK.77bc65a9c87f8e20c599e1a34a5af468&amp;qlt=95" TargetMode="External"/><Relationship Id="rId169" Type="http://schemas.openxmlformats.org/officeDocument/2006/relationships/hyperlink" Target="https://www.bing.com/th?id=OSK.5e077be8e4369a45c389550605a7d515&amp;qlt=95" TargetMode="External"/><Relationship Id="rId376" Type="http://schemas.openxmlformats.org/officeDocument/2006/relationships/hyperlink" Target="https://www.bing.com/images/search?form=xlimg&amp;q=Hamelin" TargetMode="External"/><Relationship Id="rId583" Type="http://schemas.openxmlformats.org/officeDocument/2006/relationships/hyperlink" Target="https://www.bing.com/th?id=OSK.2c0c021ed4a54e0e667e9783dabe81c1&amp;qlt=95" TargetMode="External"/><Relationship Id="rId790" Type="http://schemas.openxmlformats.org/officeDocument/2006/relationships/hyperlink" Target="https://www.bing.com/images/search?form=xlimg&amp;q=Sch%c3%b6mberg,%20Zollernalbkreis" TargetMode="External"/><Relationship Id="rId804" Type="http://schemas.openxmlformats.org/officeDocument/2006/relationships/hyperlink" Target="https://www.bing.com/images/search?form=xlimg&amp;q=Schwedt" TargetMode="External"/><Relationship Id="rId4" Type="http://schemas.openxmlformats.org/officeDocument/2006/relationships/hyperlink" Target="https://www.bing.com/images/search?form=xlimg&amp;q=Ahlen" TargetMode="External"/><Relationship Id="rId236" Type="http://schemas.openxmlformats.org/officeDocument/2006/relationships/hyperlink" Target="https://www.bing.com/images/search?form=xlimg&amp;q=Elsdorf" TargetMode="External"/><Relationship Id="rId443" Type="http://schemas.openxmlformats.org/officeDocument/2006/relationships/hyperlink" Target="https://www.bing.com/th?id=OSK.c553ea18759c000d3a0410edd68328bd&amp;qlt=95" TargetMode="External"/><Relationship Id="rId650" Type="http://schemas.openxmlformats.org/officeDocument/2006/relationships/hyperlink" Target="https://www.bing.com/images/search?form=xlimg&amp;q=Neunkirchen,%20Saarland" TargetMode="External"/><Relationship Id="rId888" Type="http://schemas.openxmlformats.org/officeDocument/2006/relationships/hyperlink" Target="https://www.bing.com/images/search?form=xlimg&amp;q=Waldeck,%20Hesse" TargetMode="External"/><Relationship Id="rId303" Type="http://schemas.openxmlformats.org/officeDocument/2006/relationships/hyperlink" Target="https://www.bing.com/th?id=OSK.edxi8WxfXnqL1tjyBZHEYKr25f945cnHR8eEpEYsTBw&amp;qlt=95" TargetMode="External"/><Relationship Id="rId748" Type="http://schemas.openxmlformats.org/officeDocument/2006/relationships/hyperlink" Target="https://www.bing.com/images/search?form=xlimg&amp;q=Ravensburg" TargetMode="External"/><Relationship Id="rId955" Type="http://schemas.openxmlformats.org/officeDocument/2006/relationships/hyperlink" Target="https://www.bing.com/th?id=OSK.466fe5552845e751d57d5c2f34056c8b&amp;qlt=95" TargetMode="External"/><Relationship Id="rId84" Type="http://schemas.openxmlformats.org/officeDocument/2006/relationships/hyperlink" Target="https://www.bing.com/images/search?form=xlimg&amp;q=Bergisch%20Gladbach" TargetMode="External"/><Relationship Id="rId387" Type="http://schemas.openxmlformats.org/officeDocument/2006/relationships/hyperlink" Target="https://www.bing.com/th?id=OSK.0742109fa427a2e68f1dc07a887f4043&amp;qlt=95" TargetMode="External"/><Relationship Id="rId510" Type="http://schemas.openxmlformats.org/officeDocument/2006/relationships/hyperlink" Target="https://www.bing.com/images/search?form=xlimg&amp;q=Kulmbach" TargetMode="External"/><Relationship Id="rId594" Type="http://schemas.openxmlformats.org/officeDocument/2006/relationships/hyperlink" Target="https://www.bing.com/images/search?form=xlimg&amp;q=Marburg" TargetMode="External"/><Relationship Id="rId608" Type="http://schemas.openxmlformats.org/officeDocument/2006/relationships/hyperlink" Target="https://www.bing.com/images/search?form=xlimg&amp;q=Memmingen" TargetMode="External"/><Relationship Id="rId815" Type="http://schemas.openxmlformats.org/officeDocument/2006/relationships/hyperlink" Target="https://www.bing.com/th?id=OSK.19a0fc197d2a0297885ed4747ea28509&amp;qlt=95" TargetMode="External"/><Relationship Id="rId247" Type="http://schemas.openxmlformats.org/officeDocument/2006/relationships/hyperlink" Target="https://www.bing.com/th?id=OSK.2033e9c30180e4a5f474c28dce9332a1&amp;qlt=95" TargetMode="External"/><Relationship Id="rId899" Type="http://schemas.openxmlformats.org/officeDocument/2006/relationships/hyperlink" Target="https://www.bing.com/th?id=OSK.7bad36fd1ca1b232a63e114241fb2785&amp;qlt=95" TargetMode="External"/><Relationship Id="rId107" Type="http://schemas.openxmlformats.org/officeDocument/2006/relationships/hyperlink" Target="https://www.bing.com/th?id=OSK.f04035e92cd2c2f9f1a78dd79e235dc8&amp;qlt=95" TargetMode="External"/><Relationship Id="rId454" Type="http://schemas.openxmlformats.org/officeDocument/2006/relationships/hyperlink" Target="https://www.bing.com/images/search?form=xlimg&amp;q=Jena" TargetMode="External"/><Relationship Id="rId661" Type="http://schemas.openxmlformats.org/officeDocument/2006/relationships/hyperlink" Target="https://www.bing.com/th?id=OSK.cc7a433d495c177b0786d106bc29ef15&amp;qlt=95" TargetMode="External"/><Relationship Id="rId759" Type="http://schemas.openxmlformats.org/officeDocument/2006/relationships/hyperlink" Target="https://www.bing.com/th?id=OSK.ef599bfad9dbe03f89f9776643d2398f&amp;qlt=95" TargetMode="External"/><Relationship Id="rId966" Type="http://schemas.openxmlformats.org/officeDocument/2006/relationships/hyperlink" Target="https://www.bing.com/images/search?form=xlimg&amp;q=Zittau" TargetMode="External"/><Relationship Id="rId11" Type="http://schemas.openxmlformats.org/officeDocument/2006/relationships/hyperlink" Target="https://www.bing.com/th?id=OSK.0efc8913a46626c8776809aa40c63485&amp;qlt=95" TargetMode="External"/><Relationship Id="rId314" Type="http://schemas.openxmlformats.org/officeDocument/2006/relationships/hyperlink" Target="https://www.bing.com/images/search?form=xlimg&amp;q=Geislingen%20an%20der%20Steige" TargetMode="External"/><Relationship Id="rId398" Type="http://schemas.openxmlformats.org/officeDocument/2006/relationships/hyperlink" Target="https://www.bing.com/images/search?form=xlimg&amp;q=Helmstedt" TargetMode="External"/><Relationship Id="rId521" Type="http://schemas.openxmlformats.org/officeDocument/2006/relationships/hyperlink" Target="https://www.bing.com/th?id=OSK.75baa078e59b23228e373a3a6fd0596b&amp;qlt=95" TargetMode="External"/><Relationship Id="rId619" Type="http://schemas.openxmlformats.org/officeDocument/2006/relationships/hyperlink" Target="https://www.bing.com/th?id=OSK.86660b3ed05caa6d64d3fbf65dc97873&amp;qlt=95" TargetMode="External"/><Relationship Id="rId95" Type="http://schemas.openxmlformats.org/officeDocument/2006/relationships/hyperlink" Target="https://www.bing.com/th?id=OSK.f6dc328832e578db06e129675df29285&amp;qlt=95" TargetMode="External"/><Relationship Id="rId160" Type="http://schemas.openxmlformats.org/officeDocument/2006/relationships/hyperlink" Target="https://www.bing.com/images/search?form=xlimg&amp;q=Coesfeld" TargetMode="External"/><Relationship Id="rId826" Type="http://schemas.openxmlformats.org/officeDocument/2006/relationships/hyperlink" Target="https://www.bing.com/images/search?form=xlimg&amp;q=Soltau" TargetMode="External"/><Relationship Id="rId258" Type="http://schemas.openxmlformats.org/officeDocument/2006/relationships/hyperlink" Target="https://www.bing.com/images/search?form=xlimg&amp;q=Ettlingen" TargetMode="External"/><Relationship Id="rId465" Type="http://schemas.openxmlformats.org/officeDocument/2006/relationships/hyperlink" Target="https://www.bing.com/th?id=OSK.d2342cd85c814a3882d919e16b465d59&amp;qlt=95" TargetMode="External"/><Relationship Id="rId672" Type="http://schemas.openxmlformats.org/officeDocument/2006/relationships/hyperlink" Target="https://www.bing.com/images/search?form=xlimg&amp;q=N%c3%b6rdlingen" TargetMode="External"/><Relationship Id="rId22" Type="http://schemas.openxmlformats.org/officeDocument/2006/relationships/hyperlink" Target="https://www.bing.com/images/search?form=xlimg&amp;q=Apolda" TargetMode="External"/><Relationship Id="rId118" Type="http://schemas.openxmlformats.org/officeDocument/2006/relationships/hyperlink" Target="https://www.bing.com/images/search?form=xlimg&amp;q=Borkum" TargetMode="External"/><Relationship Id="rId325" Type="http://schemas.openxmlformats.org/officeDocument/2006/relationships/hyperlink" Target="https://www.bing.com/th?id=OSK.4032391d819befa8ed179f7eb7ebbfcb&amp;qlt=95" TargetMode="External"/><Relationship Id="rId532" Type="http://schemas.openxmlformats.org/officeDocument/2006/relationships/hyperlink" Target="https://www.bing.com/images/search?form=xlimg&amp;q=Langen,%20Hesse" TargetMode="External"/><Relationship Id="rId171" Type="http://schemas.openxmlformats.org/officeDocument/2006/relationships/hyperlink" Target="https://www.bing.com/th?id=OSK.b31d3c4c00dc97c5a83d6162a9d4e84c&amp;qlt=95" TargetMode="External"/><Relationship Id="rId837" Type="http://schemas.openxmlformats.org/officeDocument/2006/relationships/hyperlink" Target="https://www.bing.com/th?id=OSK.e3fb0c44762017b708153620b26bb1a3&amp;qlt=95" TargetMode="External"/><Relationship Id="rId269" Type="http://schemas.openxmlformats.org/officeDocument/2006/relationships/hyperlink" Target="https://www.bing.com/th?id=OSK.21c7665a3f17573363dbe971855d44ec&amp;qlt=95" TargetMode="External"/><Relationship Id="rId476" Type="http://schemas.openxmlformats.org/officeDocument/2006/relationships/hyperlink" Target="https://www.bing.com/images/search?form=xlimg&amp;q=Kiel" TargetMode="External"/><Relationship Id="rId683" Type="http://schemas.openxmlformats.org/officeDocument/2006/relationships/hyperlink" Target="https://www.bing.com/th?id=OSK.bf6de8b730c3a137e5f0dd54922c0eb4&amp;qlt=95" TargetMode="External"/><Relationship Id="rId890" Type="http://schemas.openxmlformats.org/officeDocument/2006/relationships/hyperlink" Target="https://www.bing.com/images/search?form=xlimg&amp;q=Waltrop" TargetMode="External"/><Relationship Id="rId904" Type="http://schemas.openxmlformats.org/officeDocument/2006/relationships/hyperlink" Target="https://www.bing.com/images/search?form=xlimg&amp;q=Weimar" TargetMode="External"/><Relationship Id="rId33" Type="http://schemas.openxmlformats.org/officeDocument/2006/relationships/hyperlink" Target="https://www.bing.com/th?id=OSK.3046800021af42bb8b3b2dda26dcfc98&amp;qlt=95" TargetMode="External"/><Relationship Id="rId129" Type="http://schemas.openxmlformats.org/officeDocument/2006/relationships/hyperlink" Target="https://www.bing.com/th?id=OSK.969f3a867c1e8d3efb34ba60228410eb&amp;qlt=95" TargetMode="External"/><Relationship Id="rId336" Type="http://schemas.openxmlformats.org/officeDocument/2006/relationships/hyperlink" Target="https://www.bing.com/images/search?form=xlimg&amp;q=G%c3%b6rlitz" TargetMode="External"/><Relationship Id="rId543" Type="http://schemas.openxmlformats.org/officeDocument/2006/relationships/hyperlink" Target="https://www.bing.com/th?id=OSK.13a583a93b349209ce92bd9f88b3db42&amp;qlt=95" TargetMode="External"/><Relationship Id="rId182" Type="http://schemas.openxmlformats.org/officeDocument/2006/relationships/hyperlink" Target="https://www.bing.com/images/search?form=xlimg&amp;q=Delmenhorst" TargetMode="External"/><Relationship Id="rId403" Type="http://schemas.openxmlformats.org/officeDocument/2006/relationships/hyperlink" Target="https://www.bing.com/th?id=OSK.f72bda5da3bda5b9ef07eb24e83ffc0b&amp;qlt=95" TargetMode="External"/><Relationship Id="rId750" Type="http://schemas.openxmlformats.org/officeDocument/2006/relationships/hyperlink" Target="https://www.bing.com/images/search?form=xlimg&amp;q=Recklinghausen" TargetMode="External"/><Relationship Id="rId848" Type="http://schemas.openxmlformats.org/officeDocument/2006/relationships/hyperlink" Target="https://www.bing.com/images/search?form=xlimg&amp;q=Stolberg%20(Rhineland)" TargetMode="External"/><Relationship Id="rId487" Type="http://schemas.openxmlformats.org/officeDocument/2006/relationships/hyperlink" Target="https://www.bing.com/th?id=OSK.4431d3dbb775c68ea48e6a8137ef20ab&amp;qlt=95" TargetMode="External"/><Relationship Id="rId610" Type="http://schemas.openxmlformats.org/officeDocument/2006/relationships/hyperlink" Target="https://www.bing.com/images/search?form=xlimg&amp;q=Menden" TargetMode="External"/><Relationship Id="rId694" Type="http://schemas.openxmlformats.org/officeDocument/2006/relationships/hyperlink" Target="https://www.bing.com/images/search?form=xlimg&amp;q=%c3%96hringen" TargetMode="External"/><Relationship Id="rId708" Type="http://schemas.openxmlformats.org/officeDocument/2006/relationships/hyperlink" Target="https://www.bing.com/images/search?form=xlimg&amp;q=Parchim" TargetMode="External"/><Relationship Id="rId915" Type="http://schemas.openxmlformats.org/officeDocument/2006/relationships/hyperlink" Target="https://www.bing.com/th?id=OSK.c7b707f99d8b9b6dd1a84f7a2f3808f7&amp;qlt=95" TargetMode="External"/><Relationship Id="rId347" Type="http://schemas.openxmlformats.org/officeDocument/2006/relationships/hyperlink" Target="https://www.bing.com/th?id=OSK.335adf065c19e8cb0da4569156eb5736&amp;qlt=95" TargetMode="External"/><Relationship Id="rId44" Type="http://schemas.openxmlformats.org/officeDocument/2006/relationships/hyperlink" Target="https://www.bing.com/images/search?form=xlimg&amp;q=Bad%20Harzburg" TargetMode="External"/><Relationship Id="rId554" Type="http://schemas.openxmlformats.org/officeDocument/2006/relationships/hyperlink" Target="https://www.bing.com/images/search?form=xlimg&amp;q=Leverkusen" TargetMode="External"/><Relationship Id="rId761" Type="http://schemas.openxmlformats.org/officeDocument/2006/relationships/hyperlink" Target="https://www.bing.com/th?id=OSK.5d1ac25f1ee7fa0c3cfcd833468a279a&amp;qlt=95" TargetMode="External"/><Relationship Id="rId859" Type="http://schemas.openxmlformats.org/officeDocument/2006/relationships/hyperlink" Target="https://www.bing.com/th?id=OSK.e9a7def44b5c9a8fe19b930f2c5b5d8c&amp;qlt=95" TargetMode="External"/><Relationship Id="rId193" Type="http://schemas.openxmlformats.org/officeDocument/2006/relationships/hyperlink" Target="https://www.bing.com/th?id=OSK.12768d5a4afb4b060ddd8165ac54ff4b&amp;qlt=95" TargetMode="External"/><Relationship Id="rId207" Type="http://schemas.openxmlformats.org/officeDocument/2006/relationships/hyperlink" Target="https://www.bing.com/th?id=OSK.7641999dca40ce18bf87b7a3b4472c32&amp;qlt=95" TargetMode="External"/><Relationship Id="rId414" Type="http://schemas.openxmlformats.org/officeDocument/2006/relationships/hyperlink" Target="https://www.bing.com/images/search?form=xlimg&amp;q=Hilden" TargetMode="External"/><Relationship Id="rId498" Type="http://schemas.openxmlformats.org/officeDocument/2006/relationships/hyperlink" Target="https://www.bing.com/images/search?form=xlimg&amp;q=Kornwestheim" TargetMode="External"/><Relationship Id="rId621" Type="http://schemas.openxmlformats.org/officeDocument/2006/relationships/hyperlink" Target="https://www.bing.com/th?id=OSK.1fdd67ff449adc2a8bd6376ad56ec9a5&amp;qlt=95" TargetMode="External"/><Relationship Id="rId260" Type="http://schemas.openxmlformats.org/officeDocument/2006/relationships/hyperlink" Target="https://www.bing.com/images/search?form=xlimg&amp;q=Euskirchen" TargetMode="External"/><Relationship Id="rId719" Type="http://schemas.openxmlformats.org/officeDocument/2006/relationships/hyperlink" Target="https://www.bing.com/th?id=OSK.e6d02ea026e8a6df0931c49bd5a7b958&amp;qlt=95" TargetMode="External"/><Relationship Id="rId926" Type="http://schemas.openxmlformats.org/officeDocument/2006/relationships/hyperlink" Target="https://www.bing.com/images/search?form=xlimg&amp;q=Wesel" TargetMode="External"/><Relationship Id="rId55" Type="http://schemas.openxmlformats.org/officeDocument/2006/relationships/hyperlink" Target="https://www.bing.com/th?id=OSK.7bb1030e553581c7364c8e8bfa6bc78a&amp;qlt=95" TargetMode="External"/><Relationship Id="rId120" Type="http://schemas.openxmlformats.org/officeDocument/2006/relationships/hyperlink" Target="https://www.bing.com/images/search?form=xlimg&amp;q=Leer%20(district)" TargetMode="External"/><Relationship Id="rId358" Type="http://schemas.openxmlformats.org/officeDocument/2006/relationships/hyperlink" Target="https://www.bing.com/images/search?form=xlimg&amp;q=Gschwend,%20Baden-W%c3%bcrttemberg" TargetMode="External"/><Relationship Id="rId565" Type="http://schemas.openxmlformats.org/officeDocument/2006/relationships/hyperlink" Target="https://www.bing.com/th?id=OSK.b9f5bcd47eb5177527e6e243b6fac7f2&amp;qlt=95" TargetMode="External"/><Relationship Id="rId772" Type="http://schemas.openxmlformats.org/officeDocument/2006/relationships/hyperlink" Target="https://www.bing.com/images/search?form=xlimg&amp;q=Rostock" TargetMode="External"/><Relationship Id="rId218" Type="http://schemas.openxmlformats.org/officeDocument/2006/relationships/hyperlink" Target="https://www.bing.com/images/search?form=xlimg&amp;q=Eberswalde" TargetMode="External"/><Relationship Id="rId425" Type="http://schemas.openxmlformats.org/officeDocument/2006/relationships/hyperlink" Target="https://www.bing.com/th?id=OSK.5a0624f01ba72422f8b6f0fdbaf169d4&amp;qlt=95" TargetMode="External"/><Relationship Id="rId632" Type="http://schemas.openxmlformats.org/officeDocument/2006/relationships/hyperlink" Target="https://www.bing.com/images/search?form=xlimg&amp;q=M%c3%bchlhausen" TargetMode="External"/><Relationship Id="rId271" Type="http://schemas.openxmlformats.org/officeDocument/2006/relationships/hyperlink" Target="https://www.bing.com/th?id=OSK.62fb54f6ec99af646d1e375afca2adc8&amp;qlt=95" TargetMode="External"/><Relationship Id="rId937" Type="http://schemas.openxmlformats.org/officeDocument/2006/relationships/hyperlink" Target="https://www.bing.com/th?id=OSK.541e2b5a6b84cf5ea77d7edfc1e10de6&amp;qlt=95" TargetMode="External"/><Relationship Id="rId66" Type="http://schemas.openxmlformats.org/officeDocument/2006/relationships/hyperlink" Target="https://www.bing.com/images/search?form=xlimg&amp;q=Badenweiler" TargetMode="External"/><Relationship Id="rId131" Type="http://schemas.openxmlformats.org/officeDocument/2006/relationships/hyperlink" Target="https://www.bing.com/th?id=OSK.29cf851c6733beeb70948cff4edbf337&amp;qlt=95" TargetMode="External"/><Relationship Id="rId369" Type="http://schemas.openxmlformats.org/officeDocument/2006/relationships/hyperlink" Target="https://www.bing.com/th?id=OSK.a678281064a47dccdfa3e5213b252bac&amp;qlt=95" TargetMode="External"/><Relationship Id="rId576" Type="http://schemas.openxmlformats.org/officeDocument/2006/relationships/hyperlink" Target="https://www.bing.com/images/search?form=xlimg&amp;q=Ludwigsburg" TargetMode="External"/><Relationship Id="rId783" Type="http://schemas.openxmlformats.org/officeDocument/2006/relationships/hyperlink" Target="https://www.bing.com/th?id=OSK.da5d81b42e4038089b660c05a15ab5cf&amp;qlt=95" TargetMode="External"/><Relationship Id="rId229" Type="http://schemas.openxmlformats.org/officeDocument/2006/relationships/hyperlink" Target="https://www.bing.com/th?id=OSK.b020811954451e2f1c4099fe331d883a&amp;qlt=95" TargetMode="External"/><Relationship Id="rId436" Type="http://schemas.openxmlformats.org/officeDocument/2006/relationships/hyperlink" Target="https://www.bing.com/images/search?form=xlimg&amp;q=H%c3%bcckelhoven" TargetMode="External"/><Relationship Id="rId643" Type="http://schemas.openxmlformats.org/officeDocument/2006/relationships/hyperlink" Target="https://www.bing.com/th?id=OSK.8b98353af6cf9029fa5a79faf7dcf86f&amp;qlt=95" TargetMode="External"/><Relationship Id="rId850" Type="http://schemas.openxmlformats.org/officeDocument/2006/relationships/hyperlink" Target="https://www.bing.com/images/search?form=xlimg&amp;q=Stralsund" TargetMode="External"/><Relationship Id="rId948" Type="http://schemas.openxmlformats.org/officeDocument/2006/relationships/hyperlink" Target="https://www.bing.com/images/search?form=xlimg&amp;q=Wolfsburg" TargetMode="External"/><Relationship Id="rId77" Type="http://schemas.openxmlformats.org/officeDocument/2006/relationships/hyperlink" Target="https://www.bing.com/th?id=OSK.ba5f554f691730a8af3548e49ad4cbb2&amp;qlt=95" TargetMode="External"/><Relationship Id="rId282" Type="http://schemas.openxmlformats.org/officeDocument/2006/relationships/hyperlink" Target="https://www.bing.com/images/search?form=xlimg&amp;q=Frankenthal" TargetMode="External"/><Relationship Id="rId503" Type="http://schemas.openxmlformats.org/officeDocument/2006/relationships/hyperlink" Target="https://www.bing.com/th?id=OSK.6efbec2505da34bdfafdad699d584a58&amp;qlt=95" TargetMode="External"/><Relationship Id="rId587" Type="http://schemas.openxmlformats.org/officeDocument/2006/relationships/hyperlink" Target="https://www.bing.com/th?id=OSK.26VqM9BtDQFJulYNaKIBITlNVKQ3P0z7yAJbmA038WI&amp;qlt=95" TargetMode="External"/><Relationship Id="rId710" Type="http://schemas.openxmlformats.org/officeDocument/2006/relationships/hyperlink" Target="https://www.bing.com/images/search?form=xlimg&amp;q=Parsberg" TargetMode="External"/><Relationship Id="rId808" Type="http://schemas.openxmlformats.org/officeDocument/2006/relationships/hyperlink" Target="https://www.bing.com/images/search?form=xlimg&amp;q=Schwerte" TargetMode="External"/><Relationship Id="rId8" Type="http://schemas.openxmlformats.org/officeDocument/2006/relationships/hyperlink" Target="https://www.bing.com/images/search?form=xlimg&amp;q=Altena,%20Drenthe" TargetMode="External"/><Relationship Id="rId142" Type="http://schemas.openxmlformats.org/officeDocument/2006/relationships/hyperlink" Target="https://www.bing.com/images/search?form=xlimg&amp;q=Br%c3%bchl%20(Rhineland)" TargetMode="External"/><Relationship Id="rId447" Type="http://schemas.openxmlformats.org/officeDocument/2006/relationships/hyperlink" Target="https://www.bing.com/th?id=OSK.46441ffb51c225f0dc981bf1a0e62045&amp;qlt=95" TargetMode="External"/><Relationship Id="rId794" Type="http://schemas.openxmlformats.org/officeDocument/2006/relationships/hyperlink" Target="https://www.bing.com/images/search?form=xlimg&amp;q=Schopfloch" TargetMode="External"/><Relationship Id="rId654" Type="http://schemas.openxmlformats.org/officeDocument/2006/relationships/hyperlink" Target="https://www.bing.com/images/search?form=xlimg&amp;q=Neuss" TargetMode="External"/><Relationship Id="rId861" Type="http://schemas.openxmlformats.org/officeDocument/2006/relationships/hyperlink" Target="https://www.bing.com/th?id=OSK.64c96ab185d2b9214604e93bdfb3a162&amp;qlt=95" TargetMode="External"/><Relationship Id="rId959" Type="http://schemas.openxmlformats.org/officeDocument/2006/relationships/hyperlink" Target="https://www.bing.com/th?id=OSK.007ff35e65818bc80c16fa6b3505014a&amp;qlt=95" TargetMode="External"/><Relationship Id="rId293" Type="http://schemas.openxmlformats.org/officeDocument/2006/relationships/hyperlink" Target="https://www.bing.com/th?id=OSK.8ca7e8f61dc4b96ad67ff16e0ae02308&amp;qlt=95" TargetMode="External"/><Relationship Id="rId307" Type="http://schemas.openxmlformats.org/officeDocument/2006/relationships/hyperlink" Target="https://www.bing.com/th?id=OSK.cec39c6e1d67c931ab6d7e0c3b2e09e8&amp;qlt=95" TargetMode="External"/><Relationship Id="rId514" Type="http://schemas.openxmlformats.org/officeDocument/2006/relationships/hyperlink" Target="https://www.bing.com/images/search?form=xlimg&amp;q=Lahr" TargetMode="External"/><Relationship Id="rId721" Type="http://schemas.openxmlformats.org/officeDocument/2006/relationships/hyperlink" Target="https://www.bing.com/th?id=OSK.ba4b36f0df257242eb71118e053aafcb&amp;qlt=95" TargetMode="External"/><Relationship Id="rId88" Type="http://schemas.openxmlformats.org/officeDocument/2006/relationships/hyperlink" Target="https://www.bing.com/images/search?form=xlimg&amp;q=Bernau%20bei%20Berlin" TargetMode="External"/><Relationship Id="rId153" Type="http://schemas.openxmlformats.org/officeDocument/2006/relationships/hyperlink" Target="https://www.bing.com/th?id=OSK.0c55785c148fcc1b9f2c38e6b755e7ea&amp;qlt=95" TargetMode="External"/><Relationship Id="rId360" Type="http://schemas.openxmlformats.org/officeDocument/2006/relationships/hyperlink" Target="https://www.bing.com/images/search?form=xlimg&amp;q=Guben" TargetMode="External"/><Relationship Id="rId598" Type="http://schemas.openxmlformats.org/officeDocument/2006/relationships/hyperlink" Target="https://www.bing.com/images/search?form=xlimg&amp;q=Marl,%20North%20Rhine-Westphalia" TargetMode="External"/><Relationship Id="rId819" Type="http://schemas.openxmlformats.org/officeDocument/2006/relationships/hyperlink" Target="https://www.bing.com/th?id=OSK.aad165ec2e675b9c644a784de6ad9c85&amp;qlt=95" TargetMode="External"/><Relationship Id="rId220" Type="http://schemas.openxmlformats.org/officeDocument/2006/relationships/hyperlink" Target="https://www.bing.com/images/search?form=xlimg&amp;q=Ebingen" TargetMode="External"/><Relationship Id="rId458" Type="http://schemas.openxmlformats.org/officeDocument/2006/relationships/hyperlink" Target="https://www.bing.com/images/search?form=xlimg&amp;q=Kaiserslautern" TargetMode="External"/><Relationship Id="rId665" Type="http://schemas.openxmlformats.org/officeDocument/2006/relationships/hyperlink" Target="https://www.bing.com/th?id=OSK.9f849d29d3bfa43c202e8832b3a09cdd&amp;qlt=95" TargetMode="External"/><Relationship Id="rId872" Type="http://schemas.openxmlformats.org/officeDocument/2006/relationships/hyperlink" Target="https://www.bing.com/images/search?form=xlimg&amp;q=Uelzen" TargetMode="External"/><Relationship Id="rId15" Type="http://schemas.openxmlformats.org/officeDocument/2006/relationships/hyperlink" Target="https://www.bing.com/th?id=OSK.175cea35e557e0ae3c36ffed7a70f4dd&amp;qlt=95" TargetMode="External"/><Relationship Id="rId318" Type="http://schemas.openxmlformats.org/officeDocument/2006/relationships/hyperlink" Target="https://www.bing.com/images/search?form=xlimg&amp;q=Gera" TargetMode="External"/><Relationship Id="rId525" Type="http://schemas.openxmlformats.org/officeDocument/2006/relationships/hyperlink" Target="https://www.bing.com/th?id=OSK.9a07a0e51ae9f2ce920a997a712520e2&amp;qlt=95" TargetMode="External"/><Relationship Id="rId732" Type="http://schemas.openxmlformats.org/officeDocument/2006/relationships/hyperlink" Target="https://www.bing.com/images/search?form=xlimg&amp;q=Prenzlau" TargetMode="External"/><Relationship Id="rId99" Type="http://schemas.openxmlformats.org/officeDocument/2006/relationships/hyperlink" Target="https://www.bing.com/th?id=OSK.7cdcb5414fc0bb8f508efd1f07fa1222&amp;qlt=95" TargetMode="External"/><Relationship Id="rId164" Type="http://schemas.openxmlformats.org/officeDocument/2006/relationships/hyperlink" Target="https://www.bing.com/images/search?form=xlimg&amp;q=Cottbus" TargetMode="External"/><Relationship Id="rId371" Type="http://schemas.openxmlformats.org/officeDocument/2006/relationships/hyperlink" Target="https://www.bing.com/th?id=OSK.5693464482e0a500f66f6fd4cc1375fb&amp;qlt=95" TargetMode="External"/><Relationship Id="rId469" Type="http://schemas.openxmlformats.org/officeDocument/2006/relationships/hyperlink" Target="https://www.bing.com/th?id=OSK.8272320623074953b9a5f4b09fb284d3&amp;qlt=95" TargetMode="External"/><Relationship Id="rId676" Type="http://schemas.openxmlformats.org/officeDocument/2006/relationships/hyperlink" Target="https://www.bing.com/images/search?form=xlimg&amp;q=N%c3%bcrtingen" TargetMode="External"/><Relationship Id="rId883" Type="http://schemas.openxmlformats.org/officeDocument/2006/relationships/hyperlink" Target="https://www.bing.com/th?id=OSK.9eb50c346abc1d0314d82fd348efd38d&amp;qlt=95" TargetMode="External"/><Relationship Id="rId26" Type="http://schemas.openxmlformats.org/officeDocument/2006/relationships/hyperlink" Target="https://www.bing.com/images/search?form=xlimg&amp;q=Arnstadt" TargetMode="External"/><Relationship Id="rId231" Type="http://schemas.openxmlformats.org/officeDocument/2006/relationships/hyperlink" Target="https://www.bing.com/th?id=OSK.cd6f17857c4acc1bfead00734364ca96&amp;qlt=95" TargetMode="External"/><Relationship Id="rId329" Type="http://schemas.openxmlformats.org/officeDocument/2006/relationships/hyperlink" Target="https://www.bing.com/th?id=OSK.c11a3783feff7a343543935fd3d3312d&amp;qlt=95" TargetMode="External"/><Relationship Id="rId536" Type="http://schemas.openxmlformats.org/officeDocument/2006/relationships/hyperlink" Target="https://www.bing.com/images/search?form=xlimg&amp;q=Langenhagen" TargetMode="External"/><Relationship Id="rId175" Type="http://schemas.openxmlformats.org/officeDocument/2006/relationships/hyperlink" Target="https://www.bing.com/th?id=OSK.b0910abab56e631910a6e5a243908a5d&amp;qlt=95" TargetMode="External"/><Relationship Id="rId743" Type="http://schemas.openxmlformats.org/officeDocument/2006/relationships/hyperlink" Target="https://www.bing.com/th?id=OSK.0925c6c420e17e5fe40220ec3958d000&amp;qlt=95" TargetMode="External"/><Relationship Id="rId950" Type="http://schemas.openxmlformats.org/officeDocument/2006/relationships/hyperlink" Target="https://www.bing.com/images/search?form=xlimg&amp;q=Worms,%20Germany" TargetMode="External"/><Relationship Id="rId382" Type="http://schemas.openxmlformats.org/officeDocument/2006/relationships/hyperlink" Target="https://www.bing.com/images/search?form=xlimg&amp;q=Hanover" TargetMode="External"/><Relationship Id="rId603" Type="http://schemas.openxmlformats.org/officeDocument/2006/relationships/hyperlink" Target="https://www.bing.com/th?id=OSK.3c1d2d087fa0cfc31f42a4dfe0efb73a&amp;qlt=95" TargetMode="External"/><Relationship Id="rId687" Type="http://schemas.openxmlformats.org/officeDocument/2006/relationships/hyperlink" Target="https://www.bing.com/th?id=OSK.f3f2dc06cd8766fe691281c9ba98ac51&amp;qlt=95" TargetMode="External"/><Relationship Id="rId810" Type="http://schemas.openxmlformats.org/officeDocument/2006/relationships/hyperlink" Target="https://www.bing.com/images/search?form=xlimg&amp;q=Selb" TargetMode="External"/><Relationship Id="rId908" Type="http://schemas.openxmlformats.org/officeDocument/2006/relationships/hyperlink" Target="https://www.bing.com/images/search?form=xlimg&amp;q=Wei%c3%9fenfels" TargetMode="External"/><Relationship Id="rId242" Type="http://schemas.openxmlformats.org/officeDocument/2006/relationships/hyperlink" Target="https://www.bing.com/images/search?form=xlimg&amp;q=Engelskirchen" TargetMode="External"/><Relationship Id="rId894" Type="http://schemas.openxmlformats.org/officeDocument/2006/relationships/hyperlink" Target="https://www.bing.com/images/search?form=xlimg&amp;q=Wasserburg%20am%20Inn" TargetMode="External"/><Relationship Id="rId37" Type="http://schemas.openxmlformats.org/officeDocument/2006/relationships/hyperlink" Target="https://www.bing.com/th?id=OSK.a503413ed4c106c232ae561daa5031c7&amp;qlt=95" TargetMode="External"/><Relationship Id="rId102" Type="http://schemas.openxmlformats.org/officeDocument/2006/relationships/hyperlink" Target="https://www.bing.com/images/search?form=xlimg&amp;q=Birkenfeld" TargetMode="External"/><Relationship Id="rId547" Type="http://schemas.openxmlformats.org/officeDocument/2006/relationships/hyperlink" Target="https://www.bing.com/th?id=OSK.46d0638904268564a2f8ea0d5a99ba13&amp;qlt=95" TargetMode="External"/><Relationship Id="rId754" Type="http://schemas.openxmlformats.org/officeDocument/2006/relationships/hyperlink" Target="https://www.bing.com/images/search?form=xlimg&amp;q=V%c3%b6lklingen" TargetMode="External"/><Relationship Id="rId961" Type="http://schemas.openxmlformats.org/officeDocument/2006/relationships/hyperlink" Target="https://www.bing.com/th?id=OSK.a60a2ea6a1e8f98b36d7237f0c644e33&amp;qlt=95" TargetMode="External"/><Relationship Id="rId90" Type="http://schemas.openxmlformats.org/officeDocument/2006/relationships/hyperlink" Target="https://www.bing.com/images/search?form=xlimg&amp;q=Bernburg" TargetMode="External"/><Relationship Id="rId186" Type="http://schemas.openxmlformats.org/officeDocument/2006/relationships/hyperlink" Target="https://www.bing.com/images/search?form=xlimg&amp;q=Detmold" TargetMode="External"/><Relationship Id="rId393" Type="http://schemas.openxmlformats.org/officeDocument/2006/relationships/hyperlink" Target="https://www.bing.com/th?id=OSK.3438ed973867ed3bf02cdac158350a6e&amp;qlt=95" TargetMode="External"/><Relationship Id="rId407" Type="http://schemas.openxmlformats.org/officeDocument/2006/relationships/hyperlink" Target="https://www.bing.com/th?id=OSK.ec94b37bda39c03943852059ec38ecb7&amp;qlt=95" TargetMode="External"/><Relationship Id="rId614" Type="http://schemas.openxmlformats.org/officeDocument/2006/relationships/hyperlink" Target="https://www.bing.com/images/search?form=xlimg&amp;q=Merklingen" TargetMode="External"/><Relationship Id="rId821" Type="http://schemas.openxmlformats.org/officeDocument/2006/relationships/hyperlink" Target="https://www.bing.com/th?id=OSK.1f3b332dc31e57ed08cdc9b95d5c6c8a&amp;qlt=95" TargetMode="External"/><Relationship Id="rId253" Type="http://schemas.openxmlformats.org/officeDocument/2006/relationships/hyperlink" Target="https://www.bing.com/th?id=OSK.yj7iZjHx6NH205J2ex9DT7t5muTe8Bm4HffXbd4xmEE&amp;qlt=95" TargetMode="External"/><Relationship Id="rId460" Type="http://schemas.openxmlformats.org/officeDocument/2006/relationships/hyperlink" Target="https://www.bing.com/images/search?form=xlimg&amp;q=Kamen" TargetMode="External"/><Relationship Id="rId698" Type="http://schemas.openxmlformats.org/officeDocument/2006/relationships/hyperlink" Target="https://www.bing.com/images/search?form=xlimg&amp;q=Oranienburg" TargetMode="External"/><Relationship Id="rId919" Type="http://schemas.openxmlformats.org/officeDocument/2006/relationships/hyperlink" Target="https://www.bing.com/th?id=OSK.64034161b2267295c060dc4a6ee63d78&amp;qlt=95" TargetMode="External"/><Relationship Id="rId48" Type="http://schemas.openxmlformats.org/officeDocument/2006/relationships/hyperlink" Target="https://www.bing.com/images/search?form=xlimg&amp;q=Bad%20Hersfeld" TargetMode="External"/><Relationship Id="rId113" Type="http://schemas.openxmlformats.org/officeDocument/2006/relationships/hyperlink" Target="https://www.bing.com/th?id=OSK.595bcb538fe7f92c955ac54b1e052d96&amp;qlt=95" TargetMode="External"/><Relationship Id="rId320" Type="http://schemas.openxmlformats.org/officeDocument/2006/relationships/hyperlink" Target="https://www.bing.com/images/search?form=xlimg&amp;q=Gevelsberg" TargetMode="External"/><Relationship Id="rId558" Type="http://schemas.openxmlformats.org/officeDocument/2006/relationships/hyperlink" Target="https://www.bing.com/images/search?form=xlimg&amp;q=Lindau" TargetMode="External"/><Relationship Id="rId765" Type="http://schemas.openxmlformats.org/officeDocument/2006/relationships/hyperlink" Target="https://www.bing.com/th?id=OSK.18e29e8bd8474d50556039b5fc305e9e&amp;qlt=95" TargetMode="External"/><Relationship Id="rId197" Type="http://schemas.openxmlformats.org/officeDocument/2006/relationships/hyperlink" Target="https://www.bing.com/th?id=OSK.90d8a18fecc3223b023d70af6c535567&amp;qlt=95" TargetMode="External"/><Relationship Id="rId418" Type="http://schemas.openxmlformats.org/officeDocument/2006/relationships/hyperlink" Target="https://www.bing.com/images/search?form=xlimg&amp;q=H%c3%b6chenschwand" TargetMode="External"/><Relationship Id="rId625" Type="http://schemas.openxmlformats.org/officeDocument/2006/relationships/hyperlink" Target="https://www.bing.com/th?id=OSK.f91f76592e80ad771e8c39b7c9e2bbe8&amp;qlt=95" TargetMode="External"/><Relationship Id="rId832" Type="http://schemas.openxmlformats.org/officeDocument/2006/relationships/hyperlink" Target="https://www.bing.com/images/search?form=xlimg&amp;q=Sonneberg" TargetMode="External"/><Relationship Id="rId264" Type="http://schemas.openxmlformats.org/officeDocument/2006/relationships/hyperlink" Target="https://www.bing.com/images/search?form=xlimg&amp;q=Falkensee" TargetMode="External"/><Relationship Id="rId471" Type="http://schemas.openxmlformats.org/officeDocument/2006/relationships/hyperlink" Target="https://www.bing.com/th?id=OSK.7331714297354e68f7461754b5f019e8&amp;qlt=95" TargetMode="External"/><Relationship Id="rId59" Type="http://schemas.openxmlformats.org/officeDocument/2006/relationships/hyperlink" Target="https://www.bing.com/th?id=OSK.f7a65a95c011371368174354cc14f100&amp;qlt=95" TargetMode="External"/><Relationship Id="rId124" Type="http://schemas.openxmlformats.org/officeDocument/2006/relationships/hyperlink" Target="https://www.bing.com/images/search?form=xlimg&amp;q=Bottrop" TargetMode="External"/><Relationship Id="rId569" Type="http://schemas.openxmlformats.org/officeDocument/2006/relationships/hyperlink" Target="https://www.bing.com/th?id=OSK.d1eb81b3e77dba2190f5b0c4ce3df572&amp;qlt=95" TargetMode="External"/><Relationship Id="rId776" Type="http://schemas.openxmlformats.org/officeDocument/2006/relationships/hyperlink" Target="https://www.bing.com/images/search?form=xlimg&amp;q=R%c3%bcsselsheim%20am%20Main" TargetMode="External"/><Relationship Id="rId331" Type="http://schemas.openxmlformats.org/officeDocument/2006/relationships/hyperlink" Target="https://www.bing.com/th?id=OSK.506d57f2b14c2b50265a53723735f49e&amp;qlt=95" TargetMode="External"/><Relationship Id="rId429" Type="http://schemas.openxmlformats.org/officeDocument/2006/relationships/hyperlink" Target="https://www.bing.com/th?id=OSK.1f4c606183c1fcc142d3ff22beceae41&amp;qlt=95" TargetMode="External"/><Relationship Id="rId636" Type="http://schemas.openxmlformats.org/officeDocument/2006/relationships/hyperlink" Target="https://www.bing.com/images/search?form=xlimg&amp;q=Munich" TargetMode="External"/><Relationship Id="rId843" Type="http://schemas.openxmlformats.org/officeDocument/2006/relationships/hyperlink" Target="https://www.bing.com/th?id=OSK.877dc0a34a177eb96b74860306f6850c&amp;qlt=95" TargetMode="External"/><Relationship Id="rId275" Type="http://schemas.openxmlformats.org/officeDocument/2006/relationships/hyperlink" Target="https://www.bing.com/th?id=OSK.43f07f2cbc9b9637705580d87862016c&amp;qlt=95" TargetMode="External"/><Relationship Id="rId482" Type="http://schemas.openxmlformats.org/officeDocument/2006/relationships/hyperlink" Target="https://www.bing.com/images/search?form=xlimg&amp;q=Kleve" TargetMode="External"/><Relationship Id="rId703" Type="http://schemas.openxmlformats.org/officeDocument/2006/relationships/hyperlink" Target="https://www.bing.com/th?id=OSK.8a583e8bbc1589d717e95fccc34d5a1f&amp;qlt=95" TargetMode="External"/><Relationship Id="rId910" Type="http://schemas.openxmlformats.org/officeDocument/2006/relationships/hyperlink" Target="https://www.bing.com/images/search?form=xlimg&amp;q=Wei%c3%9fwasser" TargetMode="External"/><Relationship Id="rId135" Type="http://schemas.openxmlformats.org/officeDocument/2006/relationships/hyperlink" Target="https://www.bing.com/th?id=OSK.4b2c9f8aef90ba621a2a6dfcc4a169fd&amp;qlt=95" TargetMode="External"/><Relationship Id="rId342" Type="http://schemas.openxmlformats.org/officeDocument/2006/relationships/hyperlink" Target="https://www.bing.com/images/search?form=xlimg&amp;q=Gotha" TargetMode="External"/><Relationship Id="rId787" Type="http://schemas.openxmlformats.org/officeDocument/2006/relationships/hyperlink" Target="https://www.bing.com/th?id=OSK.a55518a81f49cfd73265f467350c2b87&amp;qlt=95" TargetMode="External"/><Relationship Id="rId202" Type="http://schemas.openxmlformats.org/officeDocument/2006/relationships/hyperlink" Target="https://www.bing.com/images/search?form=xlimg&amp;q=Drze%c5%84sko,%20S%c5%82awno%20County" TargetMode="External"/><Relationship Id="rId647" Type="http://schemas.openxmlformats.org/officeDocument/2006/relationships/hyperlink" Target="https://www.bing.com/th?id=OSK.30eb6bc4c1132d303d3dd171fccaaa34&amp;qlt=95" TargetMode="External"/><Relationship Id="rId854" Type="http://schemas.openxmlformats.org/officeDocument/2006/relationships/hyperlink" Target="https://www.bing.com/images/search?form=xlimg&amp;q=Strausberg" TargetMode="External"/><Relationship Id="rId286" Type="http://schemas.openxmlformats.org/officeDocument/2006/relationships/hyperlink" Target="https://www.bing.com/images/search?form=xlimg&amp;q=Frankfurt" TargetMode="External"/><Relationship Id="rId493" Type="http://schemas.openxmlformats.org/officeDocument/2006/relationships/hyperlink" Target="https://www.bing.com/th?id=OSK.5fb0d86efedda2d338d51abd9c939292&amp;qlt=95" TargetMode="External"/><Relationship Id="rId507" Type="http://schemas.openxmlformats.org/officeDocument/2006/relationships/hyperlink" Target="https://www.bing.com/th?id=OSK.54f445152cc676c224b892b12cc99159&amp;qlt=95" TargetMode="External"/><Relationship Id="rId714" Type="http://schemas.openxmlformats.org/officeDocument/2006/relationships/hyperlink" Target="https://www.bing.com/images/search?form=xlimg&amp;q=Peine" TargetMode="External"/><Relationship Id="rId921" Type="http://schemas.openxmlformats.org/officeDocument/2006/relationships/hyperlink" Target="https://www.bing.com/th?id=OSK.panivmPOK6CouM9eWyAB8KWZwRDXpSANQkVfc5ed9EY&amp;qlt=95" TargetMode="External"/><Relationship Id="rId50" Type="http://schemas.openxmlformats.org/officeDocument/2006/relationships/hyperlink" Target="https://www.bing.com/images/search?form=xlimg&amp;q=Bad%20Kissingen" TargetMode="External"/><Relationship Id="rId146" Type="http://schemas.openxmlformats.org/officeDocument/2006/relationships/hyperlink" Target="https://www.bing.com/images/search?form=xlimg&amp;q=Burg%20bei%20Magdeburg" TargetMode="External"/><Relationship Id="rId353" Type="http://schemas.openxmlformats.org/officeDocument/2006/relationships/hyperlink" Target="https://www.bing.com/th?id=OSK.a533b0ebe087e98f4c8bb7f9c466b9bf&amp;qlt=95" TargetMode="External"/><Relationship Id="rId560" Type="http://schemas.openxmlformats.org/officeDocument/2006/relationships/hyperlink" Target="https://www.bing.com/images/search?form=xlimg&amp;q=Lingen,%20Germany" TargetMode="External"/><Relationship Id="rId798" Type="http://schemas.openxmlformats.org/officeDocument/2006/relationships/hyperlink" Target="https://www.bing.com/images/search?form=xlimg&amp;q=Schotten" TargetMode="External"/><Relationship Id="rId213" Type="http://schemas.openxmlformats.org/officeDocument/2006/relationships/hyperlink" Target="https://www.bing.com/th?id=OSK.fbae92603af2e905277802ee78f2f25f&amp;qlt=95" TargetMode="External"/><Relationship Id="rId420" Type="http://schemas.openxmlformats.org/officeDocument/2006/relationships/hyperlink" Target="https://www.bing.com/images/search?form=xlimg&amp;q=Hof,%20Bavaria" TargetMode="External"/><Relationship Id="rId658" Type="http://schemas.openxmlformats.org/officeDocument/2006/relationships/hyperlink" Target="https://www.bing.com/images/search?form=xlimg&amp;q=Neustrelitz" TargetMode="External"/><Relationship Id="rId865" Type="http://schemas.openxmlformats.org/officeDocument/2006/relationships/hyperlink" Target="https://www.bing.com/th?id=OSK.d2a63d9678f3e3255668f8e170dcd3f1&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rd>
    <address r:id="rId659"/>
    <moreImagesAddress r:id="rId660"/>
  </webImageSrd>
  <webImageSrd>
    <address r:id="rId661"/>
    <moreImagesAddress r:id="rId662"/>
  </webImageSrd>
  <webImageSrd>
    <address r:id="rId663"/>
    <moreImagesAddress r:id="rId664"/>
  </webImageSrd>
  <webImageSrd>
    <address r:id="rId665"/>
    <moreImagesAddress r:id="rId666"/>
  </webImageSrd>
  <webImageSrd>
    <address r:id="rId667"/>
    <moreImagesAddress r:id="rId668"/>
  </webImageSrd>
  <webImageSrd>
    <address r:id="rId669"/>
    <moreImagesAddress r:id="rId670"/>
  </webImageSrd>
  <webImageSrd>
    <address r:id="rId671"/>
    <moreImagesAddress r:id="rId672"/>
  </webImageSrd>
  <webImageSrd>
    <address r:id="rId673"/>
    <moreImagesAddress r:id="rId674"/>
  </webImageSrd>
  <webImageSrd>
    <address r:id="rId675"/>
    <moreImagesAddress r:id="rId676"/>
  </webImageSrd>
  <webImageSrd>
    <address r:id="rId677"/>
    <moreImagesAddress r:id="rId678"/>
  </webImageSrd>
  <webImageSrd>
    <address r:id="rId679"/>
    <moreImagesAddress r:id="rId680"/>
  </webImageSrd>
  <webImageSrd>
    <address r:id="rId681"/>
    <moreImagesAddress r:id="rId682"/>
  </webImageSrd>
  <webImageSrd>
    <address r:id="rId683"/>
    <moreImagesAddress r:id="rId684"/>
  </webImageSrd>
  <webImageSrd>
    <address r:id="rId685"/>
    <moreImagesAddress r:id="rId686"/>
  </webImageSrd>
  <webImageSrd>
    <address r:id="rId687"/>
    <moreImagesAddress r:id="rId688"/>
  </webImageSrd>
  <webImageSrd>
    <address r:id="rId689"/>
    <moreImagesAddress r:id="rId690"/>
  </webImageSrd>
  <webImageSrd>
    <address r:id="rId691"/>
    <moreImagesAddress r:id="rId692"/>
  </webImageSrd>
  <webImageSrd>
    <address r:id="rId693"/>
    <moreImagesAddress r:id="rId694"/>
  </webImageSrd>
  <webImageSrd>
    <address r:id="rId695"/>
    <moreImagesAddress r:id="rId696"/>
  </webImageSrd>
  <webImageSrd>
    <address r:id="rId697"/>
    <moreImagesAddress r:id="rId698"/>
  </webImageSrd>
  <webImageSrd>
    <address r:id="rId699"/>
    <moreImagesAddress r:id="rId700"/>
  </webImageSrd>
  <webImageSrd>
    <address r:id="rId701"/>
    <moreImagesAddress r:id="rId702"/>
  </webImageSrd>
  <webImageSrd>
    <address r:id="rId703"/>
    <moreImagesAddress r:id="rId704"/>
  </webImageSrd>
  <webImageSrd>
    <address r:id="rId705"/>
    <moreImagesAddress r:id="rId706"/>
  </webImageSrd>
  <webImageSrd>
    <address r:id="rId707"/>
    <moreImagesAddress r:id="rId708"/>
  </webImageSrd>
  <webImageSrd>
    <address r:id="rId709"/>
    <moreImagesAddress r:id="rId710"/>
  </webImageSrd>
  <webImageSrd>
    <address r:id="rId711"/>
    <moreImagesAddress r:id="rId712"/>
  </webImageSrd>
  <webImageSrd>
    <address r:id="rId713"/>
    <moreImagesAddress r:id="rId714"/>
  </webImageSrd>
  <webImageSrd>
    <address r:id="rId715"/>
    <moreImagesAddress r:id="rId716"/>
  </webImageSrd>
  <webImageSrd>
    <address r:id="rId717"/>
    <moreImagesAddress r:id="rId718"/>
  </webImageSrd>
  <webImageSrd>
    <address r:id="rId719"/>
    <moreImagesAddress r:id="rId720"/>
  </webImageSrd>
  <webImageSrd>
    <address r:id="rId721"/>
    <moreImagesAddress r:id="rId722"/>
  </webImageSrd>
  <webImageSrd>
    <address r:id="rId723"/>
    <moreImagesAddress r:id="rId724"/>
  </webImageSrd>
  <webImageSrd>
    <address r:id="rId725"/>
    <moreImagesAddress r:id="rId726"/>
  </webImageSrd>
  <webImageSrd>
    <address r:id="rId727"/>
    <moreImagesAddress r:id="rId728"/>
  </webImageSrd>
  <webImageSrd>
    <address r:id="rId729"/>
    <moreImagesAddress r:id="rId730"/>
  </webImageSrd>
  <webImageSrd>
    <address r:id="rId731"/>
    <moreImagesAddress r:id="rId732"/>
  </webImageSrd>
  <webImageSrd>
    <address r:id="rId733"/>
    <moreImagesAddress r:id="rId734"/>
  </webImageSrd>
  <webImageSrd>
    <address r:id="rId735"/>
    <moreImagesAddress r:id="rId736"/>
  </webImageSrd>
  <webImageSrd>
    <address r:id="rId737"/>
    <moreImagesAddress r:id="rId738"/>
  </webImageSrd>
  <webImageSrd>
    <address r:id="rId739"/>
    <moreImagesAddress r:id="rId740"/>
  </webImageSrd>
  <webImageSrd>
    <address r:id="rId741"/>
    <moreImagesAddress r:id="rId742"/>
  </webImageSrd>
  <webImageSrd>
    <address r:id="rId743"/>
    <moreImagesAddress r:id="rId744"/>
  </webImageSrd>
  <webImageSrd>
    <address r:id="rId745"/>
    <moreImagesAddress r:id="rId746"/>
  </webImageSrd>
  <webImageSrd>
    <address r:id="rId747"/>
    <moreImagesAddress r:id="rId748"/>
  </webImageSrd>
  <webImageSrd>
    <address r:id="rId749"/>
    <moreImagesAddress r:id="rId750"/>
  </webImageSrd>
  <webImageSrd>
    <address r:id="rId751"/>
    <moreImagesAddress r:id="rId752"/>
  </webImageSrd>
  <webImageSrd>
    <address r:id="rId753"/>
    <moreImagesAddress r:id="rId754"/>
  </webImageSrd>
  <webImageSrd>
    <address r:id="rId755"/>
    <moreImagesAddress r:id="rId756"/>
  </webImageSrd>
  <webImageSrd>
    <address r:id="rId757"/>
    <moreImagesAddress r:id="rId758"/>
  </webImageSrd>
  <webImageSrd>
    <address r:id="rId759"/>
    <moreImagesAddress r:id="rId760"/>
  </webImageSrd>
  <webImageSrd>
    <address r:id="rId761"/>
    <moreImagesAddress r:id="rId762"/>
  </webImageSrd>
  <webImageSrd>
    <address r:id="rId763"/>
    <moreImagesAddress r:id="rId764"/>
  </webImageSrd>
  <webImageSrd>
    <address r:id="rId765"/>
    <moreImagesAddress r:id="rId766"/>
  </webImageSrd>
  <webImageSrd>
    <address r:id="rId767"/>
    <moreImagesAddress r:id="rId768"/>
  </webImageSrd>
  <webImageSrd>
    <address r:id="rId769"/>
    <moreImagesAddress r:id="rId770"/>
  </webImageSrd>
  <webImageSrd>
    <address r:id="rId771"/>
    <moreImagesAddress r:id="rId772"/>
  </webImageSrd>
  <webImageSrd>
    <address r:id="rId773"/>
    <moreImagesAddress r:id="rId774"/>
  </webImageSrd>
  <webImageSrd>
    <address r:id="rId775"/>
    <moreImagesAddress r:id="rId776"/>
  </webImageSrd>
  <webImageSrd>
    <address r:id="rId777"/>
    <moreImagesAddress r:id="rId778"/>
  </webImageSrd>
  <webImageSrd>
    <address r:id="rId779"/>
    <moreImagesAddress r:id="rId780"/>
  </webImageSrd>
  <webImageSrd>
    <address r:id="rId781"/>
    <moreImagesAddress r:id="rId782"/>
  </webImageSrd>
  <webImageSrd>
    <address r:id="rId783"/>
    <moreImagesAddress r:id="rId784"/>
  </webImageSrd>
  <webImageSrd>
    <address r:id="rId785"/>
    <moreImagesAddress r:id="rId786"/>
  </webImageSrd>
  <webImageSrd>
    <address r:id="rId787"/>
    <moreImagesAddress r:id="rId788"/>
  </webImageSrd>
  <webImageSrd>
    <address r:id="rId789"/>
    <moreImagesAddress r:id="rId790"/>
  </webImageSrd>
  <webImageSrd>
    <address r:id="rId791"/>
    <moreImagesAddress r:id="rId792"/>
  </webImageSrd>
  <webImageSrd>
    <address r:id="rId793"/>
    <moreImagesAddress r:id="rId794"/>
  </webImageSrd>
  <webImageSrd>
    <address r:id="rId795"/>
    <moreImagesAddress r:id="rId796"/>
  </webImageSrd>
  <webImageSrd>
    <address r:id="rId797"/>
    <moreImagesAddress r:id="rId798"/>
  </webImageSrd>
  <webImageSrd>
    <address r:id="rId799"/>
    <moreImagesAddress r:id="rId800"/>
  </webImageSrd>
  <webImageSrd>
    <address r:id="rId801"/>
    <moreImagesAddress r:id="rId802"/>
  </webImageSrd>
  <webImageSrd>
    <address r:id="rId803"/>
    <moreImagesAddress r:id="rId804"/>
  </webImageSrd>
  <webImageSrd>
    <address r:id="rId805"/>
    <moreImagesAddress r:id="rId806"/>
  </webImageSrd>
  <webImageSrd>
    <address r:id="rId807"/>
    <moreImagesAddress r:id="rId808"/>
  </webImageSrd>
  <webImageSrd>
    <address r:id="rId809"/>
    <moreImagesAddress r:id="rId810"/>
  </webImageSrd>
  <webImageSrd>
    <address r:id="rId811"/>
    <moreImagesAddress r:id="rId812"/>
  </webImageSrd>
  <webImageSrd>
    <address r:id="rId813"/>
    <moreImagesAddress r:id="rId814"/>
  </webImageSrd>
  <webImageSrd>
    <address r:id="rId815"/>
    <moreImagesAddress r:id="rId816"/>
  </webImageSrd>
  <webImageSrd>
    <address r:id="rId817"/>
    <moreImagesAddress r:id="rId818"/>
  </webImageSrd>
  <webImageSrd>
    <address r:id="rId819"/>
    <moreImagesAddress r:id="rId820"/>
  </webImageSrd>
  <webImageSrd>
    <address r:id="rId821"/>
    <moreImagesAddress r:id="rId822"/>
  </webImageSrd>
  <webImageSrd>
    <address r:id="rId823"/>
    <moreImagesAddress r:id="rId824"/>
  </webImageSrd>
  <webImageSrd>
    <address r:id="rId825"/>
    <moreImagesAddress r:id="rId826"/>
  </webImageSrd>
  <webImageSrd>
    <address r:id="rId827"/>
    <moreImagesAddress r:id="rId828"/>
  </webImageSrd>
  <webImageSrd>
    <address r:id="rId829"/>
    <moreImagesAddress r:id="rId830"/>
  </webImageSrd>
  <webImageSrd>
    <address r:id="rId831"/>
    <moreImagesAddress r:id="rId832"/>
  </webImageSrd>
  <webImageSrd>
    <address r:id="rId833"/>
    <moreImagesAddress r:id="rId834"/>
  </webImageSrd>
  <webImageSrd>
    <address r:id="rId835"/>
    <moreImagesAddress r:id="rId836"/>
  </webImageSrd>
  <webImageSrd>
    <address r:id="rId837"/>
    <moreImagesAddress r:id="rId838"/>
  </webImageSrd>
  <webImageSrd>
    <address r:id="rId839"/>
    <moreImagesAddress r:id="rId840"/>
  </webImageSrd>
  <webImageSrd>
    <address r:id="rId841"/>
    <moreImagesAddress r:id="rId842"/>
  </webImageSrd>
  <webImageSrd>
    <address r:id="rId843"/>
    <moreImagesAddress r:id="rId844"/>
  </webImageSrd>
  <webImageSrd>
    <address r:id="rId845"/>
    <moreImagesAddress r:id="rId846"/>
  </webImageSrd>
  <webImageSrd>
    <address r:id="rId847"/>
    <moreImagesAddress r:id="rId848"/>
  </webImageSrd>
  <webImageSrd>
    <address r:id="rId849"/>
    <moreImagesAddress r:id="rId850"/>
  </webImageSrd>
  <webImageSrd>
    <address r:id="rId851"/>
    <moreImagesAddress r:id="rId852"/>
  </webImageSrd>
  <webImageSrd>
    <address r:id="rId853"/>
    <moreImagesAddress r:id="rId854"/>
  </webImageSrd>
  <webImageSrd>
    <address r:id="rId855"/>
    <moreImagesAddress r:id="rId856"/>
  </webImageSrd>
  <webImageSrd>
    <address r:id="rId857"/>
    <moreImagesAddress r:id="rId858"/>
  </webImageSrd>
  <webImageSrd>
    <address r:id="rId859"/>
    <moreImagesAddress r:id="rId860"/>
  </webImageSrd>
  <webImageSrd>
    <address r:id="rId861"/>
    <moreImagesAddress r:id="rId862"/>
  </webImageSrd>
  <webImageSrd>
    <address r:id="rId863"/>
    <moreImagesAddress r:id="rId864"/>
  </webImageSrd>
  <webImageSrd>
    <address r:id="rId865"/>
    <moreImagesAddress r:id="rId866"/>
  </webImageSrd>
  <webImageSrd>
    <address r:id="rId867"/>
    <moreImagesAddress r:id="rId868"/>
  </webImageSrd>
  <webImageSrd>
    <address r:id="rId869"/>
    <moreImagesAddress r:id="rId870"/>
  </webImageSrd>
  <webImageSrd>
    <address r:id="rId871"/>
    <moreImagesAddress r:id="rId872"/>
  </webImageSrd>
  <webImageSrd>
    <address r:id="rId873"/>
    <moreImagesAddress r:id="rId874"/>
  </webImageSrd>
  <webImageSrd>
    <address r:id="rId875"/>
    <moreImagesAddress r:id="rId876"/>
  </webImageSrd>
  <webImageSrd>
    <address r:id="rId877"/>
    <moreImagesAddress r:id="rId878"/>
  </webImageSrd>
  <webImageSrd>
    <address r:id="rId879"/>
    <moreImagesAddress r:id="rId880"/>
  </webImageSrd>
  <webImageSrd>
    <address r:id="rId881"/>
    <moreImagesAddress r:id="rId882"/>
  </webImageSrd>
  <webImageSrd>
    <address r:id="rId883"/>
    <moreImagesAddress r:id="rId884"/>
  </webImageSrd>
  <webImageSrd>
    <address r:id="rId885"/>
    <moreImagesAddress r:id="rId886"/>
  </webImageSrd>
  <webImageSrd>
    <address r:id="rId887"/>
    <moreImagesAddress r:id="rId888"/>
  </webImageSrd>
  <webImageSrd>
    <address r:id="rId889"/>
    <moreImagesAddress r:id="rId890"/>
  </webImageSrd>
  <webImageSrd>
    <address r:id="rId891"/>
    <moreImagesAddress r:id="rId892"/>
  </webImageSrd>
  <webImageSrd>
    <address r:id="rId893"/>
    <moreImagesAddress r:id="rId894"/>
  </webImageSrd>
  <webImageSrd>
    <address r:id="rId895"/>
    <moreImagesAddress r:id="rId896"/>
  </webImageSrd>
  <webImageSrd>
    <address r:id="rId897"/>
    <moreImagesAddress r:id="rId898"/>
  </webImageSrd>
  <webImageSrd>
    <address r:id="rId899"/>
    <moreImagesAddress r:id="rId900"/>
  </webImageSrd>
  <webImageSrd>
    <address r:id="rId901"/>
    <moreImagesAddress r:id="rId902"/>
  </webImageSrd>
  <webImageSrd>
    <address r:id="rId903"/>
    <moreImagesAddress r:id="rId904"/>
  </webImageSrd>
  <webImageSrd>
    <address r:id="rId905"/>
    <moreImagesAddress r:id="rId906"/>
  </webImageSrd>
  <webImageSrd>
    <address r:id="rId907"/>
    <moreImagesAddress r:id="rId908"/>
  </webImageSrd>
  <webImageSrd>
    <address r:id="rId909"/>
    <moreImagesAddress r:id="rId910"/>
  </webImageSrd>
  <webImageSrd>
    <address r:id="rId911"/>
    <moreImagesAddress r:id="rId912"/>
  </webImageSrd>
  <webImageSrd>
    <address r:id="rId913"/>
    <moreImagesAddress r:id="rId914"/>
  </webImageSrd>
  <webImageSrd>
    <address r:id="rId915"/>
    <moreImagesAddress r:id="rId916"/>
  </webImageSrd>
  <webImageSrd>
    <address r:id="rId917"/>
    <moreImagesAddress r:id="rId918"/>
  </webImageSrd>
  <webImageSrd>
    <address r:id="rId919"/>
    <moreImagesAddress r:id="rId920"/>
  </webImageSrd>
  <webImageSrd>
    <address r:id="rId921"/>
    <moreImagesAddress r:id="rId922"/>
  </webImageSrd>
  <webImageSrd>
    <address r:id="rId923"/>
    <moreImagesAddress r:id="rId924"/>
  </webImageSrd>
  <webImageSrd>
    <address r:id="rId925"/>
    <moreImagesAddress r:id="rId926"/>
  </webImageSrd>
  <webImageSrd>
    <address r:id="rId927"/>
    <moreImagesAddress r:id="rId928"/>
  </webImageSrd>
  <webImageSrd>
    <address r:id="rId929"/>
    <moreImagesAddress r:id="rId930"/>
  </webImageSrd>
  <webImageSrd>
    <address r:id="rId931"/>
    <moreImagesAddress r:id="rId932"/>
  </webImageSrd>
  <webImageSrd>
    <address r:id="rId933"/>
    <moreImagesAddress r:id="rId934"/>
  </webImageSrd>
  <webImageSrd>
    <address r:id="rId935"/>
    <moreImagesAddress r:id="rId936"/>
  </webImageSrd>
  <webImageSrd>
    <address r:id="rId937"/>
    <moreImagesAddress r:id="rId938"/>
  </webImageSrd>
  <webImageSrd>
    <address r:id="rId939"/>
    <moreImagesAddress r:id="rId940"/>
  </webImageSrd>
  <webImageSrd>
    <address r:id="rId941"/>
    <moreImagesAddress r:id="rId942"/>
  </webImageSrd>
  <webImageSrd>
    <address r:id="rId943"/>
    <moreImagesAddress r:id="rId944"/>
  </webImageSrd>
  <webImageSrd>
    <address r:id="rId945"/>
    <moreImagesAddress r:id="rId946"/>
  </webImageSrd>
  <webImageSrd>
    <address r:id="rId947"/>
    <moreImagesAddress r:id="rId948"/>
  </webImageSrd>
  <webImageSrd>
    <address r:id="rId949"/>
    <moreImagesAddress r:id="rId950"/>
  </webImageSrd>
  <webImageSrd>
    <address r:id="rId951"/>
    <moreImagesAddress r:id="rId952"/>
  </webImageSrd>
  <webImageSrd>
    <address r:id="rId953"/>
    <moreImagesAddress r:id="rId954"/>
  </webImageSrd>
  <webImageSrd>
    <address r:id="rId955"/>
    <moreImagesAddress r:id="rId956"/>
  </webImageSrd>
  <webImageSrd>
    <address r:id="rId957"/>
    <moreImagesAddress r:id="rId958"/>
  </webImageSrd>
  <webImageSrd>
    <address r:id="rId959"/>
    <moreImagesAddress r:id="rId960"/>
  </webImageSrd>
  <webImageSrd>
    <address r:id="rId961"/>
    <moreImagesAddress r:id="rId962"/>
  </webImageSrd>
  <webImageSrd>
    <address r:id="rId963"/>
    <moreImagesAddress r:id="rId964"/>
  </webImageSrd>
  <webImageSrd>
    <address r:id="rId965"/>
    <moreImagesAddress r:id="rId966"/>
  </webImageSrd>
  <webImageSrd>
    <address r:id="rId967"/>
    <moreImagesAddress r:id="rId968"/>
  </webImageSrd>
  <webImageSrd>
    <address r:id="rId969"/>
    <moreImagesAddress r:id="rId970"/>
  </webImageSrd>
</webImagesSrd>
</file>

<file path=xl/richData/rdarray.xml><?xml version="1.0" encoding="utf-8"?>
<arrayData xmlns="http://schemas.microsoft.com/office/spreadsheetml/2017/richdata2" count="464">
  <a r="1">
    <v t="r">1</v>
  </a>
  <a r="1">
    <v t="s">Daylight saving time</v>
  </a>
  <a r="1">
    <v t="r">15</v>
  </a>
  <a r="1">
    <v t="r">28</v>
  </a>
  <a r="1">
    <v t="s">Eastern European Time</v>
  </a>
  <a r="1">
    <v t="r">52</v>
  </a>
  <a r="1">
    <v t="s">Central European Summer Time</v>
  </a>
  <a r="1">
    <v t="r">65</v>
  </a>
  <a r="1">
    <v t="r">75</v>
  </a>
  <a r="1">
    <v t="r">86</v>
  </a>
  <a r="1">
    <v t="r">98</v>
  </a>
  <a r="1">
    <v t="r">110</v>
  </a>
  <a r="1">
    <v t="r">120</v>
  </a>
  <a r="1">
    <v t="r">131</v>
  </a>
  <a r="1">
    <v t="r">142</v>
  </a>
  <a r="1">
    <v t="r">153</v>
  </a>
  <a r="1">
    <v t="r">163</v>
  </a>
  <a r="1">
    <v t="r">174</v>
  </a>
  <a r="1">
    <v t="r">185</v>
  </a>
  <a r="1">
    <v t="r">195</v>
  </a>
  <a r="1">
    <v t="r">206</v>
  </a>
  <a r="1">
    <v t="r">217</v>
  </a>
  <a r="1">
    <v t="r">228</v>
  </a>
  <a r="1">
    <v t="r">239</v>
  </a>
  <a r="1">
    <v t="r">251</v>
  </a>
  <a r="1">
    <v t="r">262</v>
  </a>
  <a r="1">
    <v t="r">273</v>
  </a>
  <a r="1">
    <v t="r">284</v>
  </a>
  <a r="1">
    <v t="r">295</v>
  </a>
  <a r="1">
    <v t="r">307</v>
  </a>
  <a r="1">
    <v t="r">318</v>
  </a>
  <a r="1">
    <v t="r">330</v>
  </a>
  <a r="1">
    <v t="r">341</v>
  </a>
  <a r="1">
    <v t="r">351</v>
  </a>
  <a r="1">
    <v t="r">362</v>
  </a>
  <a r="1">
    <v t="r">373</v>
  </a>
  <a r="1">
    <v t="r">383</v>
  </a>
  <a r="1">
    <v t="r">394</v>
  </a>
  <a r="1">
    <v t="r">404</v>
  </a>
  <a r="1">
    <v t="r">424</v>
  </a>
  <a r="1">
    <v t="r">435</v>
  </a>
  <a r="1">
    <v t="r">446</v>
  </a>
  <a r="1">
    <v t="r">457</v>
  </a>
  <a r="1">
    <v t="r">468</v>
  </a>
  <a r="1">
    <v t="s">German language</v>
  </a>
  <a r="1">
    <v t="r">480</v>
  </a>
  <a r="1">
    <v t="r">492</v>
  </a>
  <a r="1">
    <v t="r">502</v>
  </a>
  <a r="1">
    <v t="r">523</v>
  </a>
  <a r="1">
    <v t="r">534</v>
  </a>
  <a r="1">
    <v t="r">544</v>
  </a>
  <a r="1">
    <v t="r">555</v>
  </a>
  <a r="1">
    <v t="r">576</v>
  </a>
  <a r="1">
    <v t="r">587</v>
  </a>
  <a r="1">
    <v t="r">598</v>
  </a>
  <a r="1">
    <v t="r">610</v>
  </a>
  <a r="1">
    <v t="r">621</v>
  </a>
  <a r="1">
    <v t="r">631</v>
  </a>
  <a r="1">
    <v t="r">641</v>
  </a>
  <a r="1">
    <v t="r">658</v>
  </a>
  <a r="1">
    <v t="r">669</v>
  </a>
  <a r="1">
    <v t="r">679</v>
  </a>
  <a r="1">
    <v t="r">689</v>
  </a>
  <a r="1">
    <v t="r">699</v>
  </a>
  <a r="1">
    <v t="s">Central European Time</v>
  </a>
  <a r="1">
    <v t="r">711</v>
  </a>
  <a r="1">
    <v t="r">721</v>
  </a>
  <a r="1">
    <v t="r">732</v>
  </a>
  <a r="1">
    <v t="r">742</v>
  </a>
  <a r="1">
    <v t="r">752</v>
  </a>
  <a r="1">
    <v t="r">763</v>
  </a>
  <a r="1">
    <v t="r">773</v>
  </a>
  <a r="1">
    <v t="r">784</v>
  </a>
  <a r="1">
    <v t="r">795</v>
  </a>
  <a r="1">
    <v t="r">806</v>
  </a>
  <a r="1">
    <v t="r">817</v>
  </a>
  <a r="1">
    <v t="r">828</v>
  </a>
  <a r="1">
    <v t="r">837</v>
  </a>
  <a r="1">
    <v t="r">847</v>
  </a>
  <a r="1">
    <v t="r">857</v>
  </a>
  <a r="1">
    <v t="r">868</v>
  </a>
  <a r="1">
    <v t="r">879</v>
  </a>
  <a r="1">
    <v t="r">889</v>
  </a>
  <a r="1">
    <v t="r">905</v>
  </a>
  <a r="1">
    <v t="r">916</v>
  </a>
  <a r="1">
    <v t="r">927</v>
  </a>
  <a r="1">
    <v t="r">938</v>
  </a>
  <a r="1">
    <v t="r">949</v>
  </a>
  <a r="1">
    <v t="r">959</v>
  </a>
  <a r="1">
    <v t="r">970</v>
  </a>
  <a r="1">
    <v t="r">988</v>
  </a>
  <a r="1">
    <v t="r">999</v>
  </a>
  <a r="1">
    <v t="r">1010</v>
  </a>
  <a r="1">
    <v t="r">1021</v>
  </a>
  <a r="1">
    <v t="r">1033</v>
  </a>
  <a r="1">
    <v t="r">1044</v>
  </a>
  <a r="1">
    <v t="r">1054</v>
  </a>
  <a r="1">
    <v t="r">1064</v>
  </a>
  <a r="1">
    <v t="r">1089</v>
  </a>
  <a r="1">
    <v t="r">1108</v>
  </a>
  <a r="1">
    <v t="r">1118</v>
  </a>
  <a r="1">
    <v t="r">1128</v>
  </a>
  <a r="1">
    <v t="r">1139</v>
  </a>
  <a r="1">
    <v t="r">1149</v>
  </a>
  <a r="1">
    <v t="r">1168</v>
  </a>
  <a r="1">
    <v t="r">1179</v>
  </a>
  <a r="1">
    <v t="r">1189</v>
  </a>
  <a r="1">
    <v t="r">1200</v>
  </a>
  <a r="1">
    <v t="r">1209</v>
  </a>
  <a r="1">
    <v t="r">1220</v>
  </a>
  <a r="1">
    <v t="r">1231</v>
  </a>
  <a r="1">
    <v t="r">1242</v>
  </a>
  <a r="1">
    <v t="r">1252</v>
  </a>
  <a r="1">
    <v t="r">1262</v>
  </a>
  <a r="1">
    <v t="r">1273</v>
  </a>
  <a r="1">
    <v t="r">1284</v>
  </a>
  <a r="1">
    <v t="r">1294</v>
  </a>
  <a r="1">
    <v t="r">1304</v>
  </a>
  <a r="1">
    <v t="r">1314</v>
  </a>
  <a r="1">
    <v t="r">1325</v>
  </a>
  <a r="1">
    <v t="r">1335</v>
  </a>
  <a r="1">
    <v t="r">1346</v>
  </a>
  <a r="1">
    <v t="r">1357</v>
  </a>
  <a r="1">
    <v t="r">1367</v>
  </a>
  <a r="1">
    <v t="r">1378</v>
  </a>
  <a r="1">
    <v t="r">1389</v>
  </a>
  <a r="1">
    <v t="r">1399</v>
  </a>
  <a r="1">
    <v t="r">1414</v>
  </a>
  <a r="1">
    <v t="r">1424</v>
  </a>
  <a r="1">
    <v t="r">1435</v>
  </a>
  <a r="1">
    <v t="r">1446</v>
  </a>
  <a r="1">
    <v t="r">1455</v>
  </a>
  <a r="1">
    <v t="r">1466</v>
  </a>
  <a r="1">
    <v t="r">1477</v>
  </a>
  <a r="1">
    <v t="r">1487</v>
  </a>
  <a r="1">
    <v t="r">1497</v>
  </a>
  <a r="1">
    <v t="r">1507</v>
  </a>
  <a r="1">
    <v t="r">1517</v>
  </a>
  <a r="1">
    <v t="r">1527</v>
  </a>
  <a r="1">
    <v t="r">1537</v>
  </a>
  <a r="1">
    <v t="r">1548</v>
  </a>
  <a r="1">
    <v t="r">1559</v>
  </a>
  <a r="1">
    <v t="r">1570</v>
  </a>
  <a r="1">
    <v t="r">1581</v>
  </a>
  <a r="1">
    <v t="r">1592</v>
  </a>
  <a r="1">
    <v t="r">1603</v>
  </a>
  <a r="1">
    <v t="r">1613</v>
  </a>
  <a r="1">
    <v t="r">1623</v>
  </a>
  <a r="1">
    <v t="r">1633</v>
  </a>
  <a r="1">
    <v t="r">1644</v>
  </a>
  <a r="1">
    <v t="r">1655</v>
  </a>
  <a r="1">
    <v t="r">1665</v>
  </a>
  <a r="1">
    <v t="r">1675</v>
  </a>
  <a r="1">
    <v t="r">1685</v>
  </a>
  <a r="1">
    <v t="r">1696</v>
  </a>
  <a r="1">
    <v t="r">1706</v>
  </a>
  <a r="1">
    <v t="r">1717</v>
  </a>
  <a r="1">
    <v t="r">1727</v>
  </a>
  <a r="1">
    <v t="r">1737</v>
  </a>
  <a r="1">
    <v t="r">1748</v>
  </a>
  <a r="1">
    <v t="r">1758</v>
  </a>
  <a r="1">
    <v t="r">1769</v>
  </a>
  <a r="1">
    <v t="r">1779</v>
  </a>
  <a r="1">
    <v t="r">1789</v>
  </a>
  <a r="1">
    <v t="r">1800</v>
  </a>
  <a r="1">
    <v t="r">1810</v>
  </a>
  <a r="1">
    <v t="r">1820</v>
  </a>
  <a r="1">
    <v t="r">1831</v>
  </a>
  <a r="1">
    <v t="r">1841</v>
  </a>
  <a r="1">
    <v t="r">1851</v>
  </a>
  <a r="1">
    <v t="r">1861</v>
  </a>
  <a r="1">
    <v t="r">1871</v>
  </a>
  <a r="1">
    <v t="r">1881</v>
  </a>
  <a r="1">
    <v t="r">1891</v>
  </a>
  <a r="1">
    <v t="r">1901</v>
  </a>
  <a r="1">
    <v t="r">1912</v>
  </a>
  <a r="1">
    <v t="r">1922</v>
  </a>
  <a r="1">
    <v t="r">1932</v>
  </a>
  <a r="1">
    <v t="r">1942</v>
  </a>
  <a r="2">
    <v t="r">1952</v>
    <v t="r">1953</v>
  </a>
  <a r="1">
    <v t="r">1964</v>
  </a>
  <a r="1">
    <v t="r">1975</v>
  </a>
  <a r="1">
    <v t="r">1985</v>
  </a>
  <a r="1">
    <v t="r">1996</v>
  </a>
  <a r="1">
    <v t="r">2007</v>
  </a>
  <a r="1">
    <v t="r">2017</v>
  </a>
  <a r="1">
    <v t="r">2028</v>
  </a>
  <a r="1">
    <v t="r">2038</v>
  </a>
  <a r="1">
    <v t="r">2047</v>
  </a>
  <a r="1">
    <v t="r">2058</v>
  </a>
  <a r="1">
    <v t="r">2068</v>
  </a>
  <a r="1">
    <v t="r">2079</v>
  </a>
  <a r="1">
    <v t="r">2090</v>
  </a>
  <a r="1">
    <v t="r">2101</v>
  </a>
  <a r="1">
    <v t="r">2112</v>
  </a>
  <a r="1">
    <v t="r">2123</v>
  </a>
  <a r="1">
    <v t="r">2133</v>
  </a>
  <a r="1">
    <v t="r">2143</v>
  </a>
  <a r="1">
    <v t="r">2153</v>
  </a>
  <a r="1">
    <v t="r">2164</v>
  </a>
  <a r="1">
    <v t="r">2174</v>
  </a>
  <a r="1">
    <v t="r">2185</v>
  </a>
  <a r="1">
    <v t="r">2196</v>
  </a>
  <a r="1">
    <v t="r">2206</v>
  </a>
  <a r="1">
    <v t="r">2224</v>
  </a>
  <a r="1">
    <v t="r">2235</v>
  </a>
  <a r="1">
    <v t="r">2246</v>
  </a>
  <a r="1">
    <v t="r">2256</v>
  </a>
  <a r="1">
    <v t="r">2268</v>
  </a>
  <a r="1">
    <v t="r">2278</v>
  </a>
  <a r="1">
    <v t="r">2289</v>
  </a>
  <a r="1">
    <v t="r">2299</v>
  </a>
  <a r="1">
    <v t="r">2310</v>
  </a>
  <a r="1">
    <v t="r">2320</v>
  </a>
  <a r="1">
    <v t="r">2330</v>
  </a>
  <a r="1">
    <v t="r">2340</v>
  </a>
  <a r="1">
    <v t="r">2350</v>
  </a>
  <a r="1">
    <v t="r">2359</v>
  </a>
  <a r="1">
    <v t="r">2369</v>
  </a>
  <a r="1">
    <v t="r">2379</v>
  </a>
  <a r="1">
    <v t="r">2390</v>
  </a>
  <a r="1">
    <v t="r">2400</v>
  </a>
  <a r="1">
    <v t="r">2411</v>
  </a>
  <a r="1">
    <v t="r">2421</v>
  </a>
  <a r="1">
    <v t="r">2431</v>
  </a>
  <a r="1">
    <v t="r">2442</v>
  </a>
  <a r="1">
    <v t="r">2451</v>
  </a>
  <a r="1">
    <v t="r">2461</v>
  </a>
  <a r="1">
    <v t="r">2471</v>
  </a>
  <a r="1">
    <v t="r">2481</v>
  </a>
  <a r="1">
    <v t="r">2491</v>
  </a>
  <a r="1">
    <v t="r">2504</v>
  </a>
  <a r="1">
    <v t="r">2514</v>
  </a>
  <a r="1">
    <v t="r">2525</v>
  </a>
  <a r="1">
    <v t="r">2535</v>
  </a>
  <a r="1">
    <v t="r">2562</v>
  </a>
  <a r="1">
    <v t="r">2573</v>
  </a>
  <a r="1">
    <v t="r">2584</v>
  </a>
  <a r="1">
    <v t="r">2594</v>
  </a>
  <a r="1">
    <v t="r">2605</v>
  </a>
  <a r="1">
    <v t="r">2616</v>
  </a>
  <a r="1">
    <v t="r">2631</v>
  </a>
  <a r="1">
    <v t="r">2641</v>
  </a>
  <a r="1">
    <v t="r">2652</v>
  </a>
  <a r="1">
    <v t="r">2663</v>
  </a>
  <a r="1">
    <v t="r">2674</v>
  </a>
  <a r="1">
    <v t="r">2685</v>
  </a>
  <a r="1">
    <v t="r">2695</v>
  </a>
  <a r="1">
    <v t="r">2741</v>
  </a>
  <a r="1">
    <v t="r">2751</v>
  </a>
  <a r="1">
    <v t="r">2762</v>
  </a>
  <a r="1">
    <v t="r">2771</v>
  </a>
  <a r="1">
    <v t="r">2781</v>
  </a>
  <a r="1">
    <v t="r">2792</v>
  </a>
  <a r="1">
    <v t="r">2803</v>
  </a>
  <a r="1">
    <v t="r">2814</v>
  </a>
  <a r="1">
    <v t="r">2824</v>
  </a>
  <a r="1">
    <v t="r">2834</v>
  </a>
  <a r="1">
    <v t="r">2844</v>
  </a>
  <a r="1">
    <v t="r">2854</v>
  </a>
  <a r="1">
    <v t="r">2864</v>
  </a>
  <a r="1">
    <v t="r">2874</v>
  </a>
  <a r="1">
    <v t="r">2884</v>
  </a>
  <a r="1">
    <v t="r">2895</v>
  </a>
  <a r="1">
    <v t="r">2906</v>
  </a>
  <a r="1">
    <v t="r">2916</v>
  </a>
  <a r="1">
    <v t="r">2927</v>
  </a>
  <a r="1">
    <v t="r">2937</v>
  </a>
  <a r="1">
    <v t="r">2947</v>
  </a>
  <a r="1">
    <v t="r">2957</v>
  </a>
  <a r="1">
    <v t="r">2968</v>
  </a>
  <a r="1">
    <v t="r">2978</v>
  </a>
  <a r="1">
    <v t="r">2988</v>
  </a>
  <a r="1">
    <v t="r">2998</v>
  </a>
  <a r="1">
    <v t="r">3008</v>
  </a>
  <a r="1">
    <v t="r">3019</v>
  </a>
  <a r="1">
    <v t="r">3029</v>
  </a>
  <a r="1">
    <v t="r">3038</v>
  </a>
  <a r="1">
    <v t="r">3048</v>
  </a>
  <a r="1">
    <v t="r">3058</v>
  </a>
  <a r="1">
    <v t="r">3068</v>
  </a>
  <a r="1">
    <v t="r">3077</v>
  </a>
  <a r="1">
    <v t="r">3087</v>
  </a>
  <a r="1">
    <v t="r">3096</v>
  </a>
  <a r="1">
    <v t="r">3106</v>
  </a>
  <a r="1">
    <v t="r">3116</v>
  </a>
  <a r="1">
    <v t="r">3127</v>
  </a>
  <a r="1">
    <v t="r">3137</v>
  </a>
  <a r="1">
    <v t="r">3147</v>
  </a>
  <a r="1">
    <v t="r">3157</v>
  </a>
  <a r="1">
    <v t="r">3168</v>
  </a>
  <a r="1">
    <v t="r">3179</v>
  </a>
  <a r="1">
    <v t="r">3189</v>
  </a>
  <a r="1">
    <v t="r">3199</v>
  </a>
  <a r="1">
    <v t="r">3210</v>
  </a>
  <a r="1">
    <v t="r">3220</v>
  </a>
  <a r="1">
    <v t="r">3230</v>
  </a>
  <a r="1">
    <v t="r">3240</v>
  </a>
  <a r="1">
    <v t="r">3250</v>
  </a>
  <a r="1">
    <v t="r">3259</v>
  </a>
  <a r="1">
    <v t="r">3270</v>
  </a>
  <a r="1">
    <v t="r">3280</v>
  </a>
  <a r="1">
    <v t="r">3290</v>
  </a>
  <a r="1">
    <v t="r">3301</v>
  </a>
  <a r="1">
    <v t="r">3311</v>
  </a>
  <a r="1">
    <v t="r">3322</v>
  </a>
  <a r="1">
    <v t="r">3332</v>
  </a>
  <a r="1">
    <v t="r">3342</v>
  </a>
  <a r="1">
    <v t="r">3352</v>
  </a>
  <a r="1">
    <v t="r">3363</v>
  </a>
  <a r="1">
    <v t="r">3374</v>
  </a>
  <a r="1">
    <v t="r">3384</v>
  </a>
  <a r="1">
    <v t="r">3394</v>
  </a>
  <a r="1">
    <v t="r">3404</v>
  </a>
  <a r="1">
    <v t="r">3415</v>
  </a>
  <a r="1">
    <v t="r">3426</v>
  </a>
  <a r="1">
    <v t="r">3436</v>
  </a>
  <a r="1">
    <v t="r">3447</v>
  </a>
  <a r="1">
    <v t="r">3458</v>
  </a>
  <a r="1">
    <v t="r">3468</v>
  </a>
  <a r="1">
    <v t="r">3479</v>
  </a>
  <a r="1">
    <v t="r">3489</v>
  </a>
  <a r="1">
    <v t="r">3499</v>
  </a>
  <a r="1">
    <v t="r">3510</v>
  </a>
  <a r="1">
    <v t="r">3520</v>
  </a>
  <a r="1">
    <v t="r">3531</v>
  </a>
  <a r="1">
    <v t="r">3541</v>
  </a>
  <a r="1">
    <v t="r">3552</v>
  </a>
  <a r="1">
    <v t="r">3561</v>
  </a>
  <a r="1">
    <v t="r">3571</v>
  </a>
  <a r="1">
    <v t="r">3579</v>
  </a>
  <a r="1">
    <v t="r">3589</v>
  </a>
  <a r="1">
    <v t="r">3599</v>
  </a>
  <a r="1">
    <v t="r">3609</v>
  </a>
  <a r="1">
    <v t="r">3619</v>
  </a>
  <a r="1">
    <v t="r">3629</v>
  </a>
  <a r="1">
    <v t="r">3639</v>
  </a>
  <a r="1">
    <v t="r">3650</v>
  </a>
  <a r="1">
    <v t="r">3661</v>
  </a>
  <a r="1">
    <v t="r">3672</v>
  </a>
  <a r="1">
    <v t="r">3682</v>
  </a>
  <a r="1">
    <v t="r">3693</v>
  </a>
  <a r="1">
    <v t="r">3703</v>
  </a>
  <a r="1">
    <v t="r">3713</v>
  </a>
  <a r="1">
    <v t="r">3722</v>
  </a>
  <a r="1">
    <v t="r">3732</v>
  </a>
  <a r="1">
    <v t="r">3742</v>
  </a>
  <a r="1">
    <v t="r">3752</v>
  </a>
  <a r="1">
    <v t="r">3763</v>
  </a>
  <a r="1">
    <v t="r">3773</v>
  </a>
  <a r="1">
    <v t="r">3784</v>
  </a>
  <a r="1">
    <v t="r">3794</v>
  </a>
  <a r="1">
    <v t="r">3804</v>
  </a>
  <a r="1">
    <v t="r">3814</v>
  </a>
  <a r="1">
    <v t="r">3823</v>
  </a>
  <a r="1">
    <v t="r">3834</v>
  </a>
  <a r="1">
    <v t="r">3844</v>
  </a>
  <a r="1">
    <v t="r">3854</v>
  </a>
  <a r="1">
    <v t="r">3864</v>
  </a>
  <a r="1">
    <v t="r">3879</v>
  </a>
  <a r="1">
    <v t="r">3889</v>
  </a>
  <a r="1">
    <v t="r">3899</v>
  </a>
  <a r="1">
    <v t="r">3909</v>
  </a>
  <a r="1">
    <v t="r">3919</v>
  </a>
  <a r="1">
    <v t="r">3929</v>
  </a>
  <a r="1">
    <v t="r">3946</v>
  </a>
  <a r="1">
    <v t="r">3956</v>
  </a>
  <a r="1">
    <v t="r">3965</v>
  </a>
  <a r="1">
    <v t="r">3974</v>
  </a>
  <a r="1">
    <v t="r">3985</v>
  </a>
  <a r="1">
    <v t="r">3996</v>
  </a>
  <a r="1">
    <v t="r">4006</v>
  </a>
  <a r="1">
    <v t="r">4016</v>
  </a>
  <a r="1">
    <v t="r">4026</v>
  </a>
  <a r="1">
    <v t="r">4037</v>
  </a>
  <a r="1">
    <v t="r">4046</v>
  </a>
  <a r="1">
    <v t="r">4063</v>
  </a>
  <a r="1">
    <v t="r">4072</v>
  </a>
  <a r="1">
    <v t="r">4082</v>
  </a>
  <a r="1">
    <v t="r">4092</v>
  </a>
  <a r="1">
    <v t="r">4103</v>
  </a>
  <a r="1">
    <v t="r">4113</v>
  </a>
  <a r="1">
    <v t="r">4123</v>
  </a>
  <a r="1">
    <v t="r">4133</v>
  </a>
  <a r="1">
    <v t="r">4143</v>
  </a>
  <a r="1">
    <v t="r">4153</v>
  </a>
  <a r="1">
    <v t="r">4164</v>
  </a>
  <a r="1">
    <v t="r">4173</v>
  </a>
  <a r="1">
    <v t="r">4184</v>
  </a>
  <a r="1">
    <v t="r">4194</v>
  </a>
  <a r="1">
    <v t="r">4204</v>
  </a>
  <a r="1">
    <v t="r">4214</v>
  </a>
  <a r="1">
    <v t="r">4224</v>
  </a>
  <a r="1">
    <v t="r">4234</v>
  </a>
  <a r="1">
    <v t="r">4245</v>
  </a>
  <a r="1">
    <v t="r">4256</v>
  </a>
  <a r="1">
    <v t="r">4267</v>
  </a>
  <a r="1">
    <v t="r">4278</v>
  </a>
  <a r="1">
    <v t="r">4288</v>
  </a>
  <a r="1">
    <v t="r">4298</v>
  </a>
  <a r="1">
    <v t="r">4308</v>
  </a>
  <a r="1">
    <v t="r">4316</v>
  </a>
  <a r="1">
    <v t="r">4327</v>
  </a>
  <a r="1">
    <v t="r">4337</v>
  </a>
  <a r="1">
    <v t="r">4347</v>
  </a>
  <a r="1">
    <v t="r">4357</v>
  </a>
  <a r="1">
    <v t="r">4367</v>
  </a>
  <a r="1">
    <v t="r">4377</v>
  </a>
  <a r="1">
    <v t="r">4388</v>
  </a>
  <a r="1">
    <v t="r">4398</v>
  </a>
  <a r="1">
    <v t="r">4408</v>
  </a>
  <a r="1">
    <v t="r">4417</v>
  </a>
  <a r="1">
    <v t="r">4427</v>
  </a>
  <a r="1">
    <v t="r">4437</v>
  </a>
  <a r="1">
    <v t="r">4455</v>
  </a>
  <a r="1">
    <v t="r">4465</v>
  </a>
  <a r="1">
    <v t="r">4476</v>
  </a>
  <a r="1">
    <v t="r">4486</v>
  </a>
  <a r="1">
    <v t="r">4496</v>
  </a>
  <a r="1">
    <v t="r">4506</v>
  </a>
  <a r="1">
    <v t="r">4516</v>
  </a>
  <a r="1">
    <v t="r">4526</v>
  </a>
  <a r="1">
    <v t="r">4535</v>
  </a>
  <a r="1">
    <v t="r">4545</v>
  </a>
  <a r="1">
    <v t="r">4554</v>
  </a>
  <a r="1">
    <v t="r">4564</v>
  </a>
  <a r="1">
    <v t="r">4574</v>
  </a>
  <a r="1">
    <v t="r">4590</v>
  </a>
  <a r="1">
    <v t="r">4600</v>
  </a>
  <a r="1">
    <v t="r">4610</v>
  </a>
  <a r="1">
    <v t="r">4621</v>
  </a>
  <a r="1">
    <v t="r">4631</v>
  </a>
  <a r="1">
    <v t="r">4642</v>
  </a>
  <a r="1">
    <v t="r">4652</v>
  </a>
  <a r="1">
    <v t="r">4661</v>
  </a>
  <a r="1">
    <v t="r">4672</v>
  </a>
  <a r="1">
    <v t="r">4681</v>
  </a>
  <a r="1">
    <v t="r">4691</v>
  </a>
  <a r="1">
    <v t="r">4701</v>
  </a>
  <a r="1">
    <v t="r">4710</v>
  </a>
  <a r="1">
    <v t="r">4720</v>
  </a>
  <a r="1">
    <v t="r">4730</v>
  </a>
  <a r="1">
    <v t="r">4740</v>
  </a>
  <a r="1">
    <v t="r">4750</v>
  </a>
  <a r="1">
    <v t="r">4760</v>
  </a>
  <a r="1">
    <v t="r">4770</v>
  </a>
  <a r="1">
    <v t="r">4780</v>
  </a>
  <a r="1">
    <v t="r">4791</v>
  </a>
  <a r="1">
    <v t="r">4802</v>
  </a>
  <a r="1">
    <v t="r">4812</v>
  </a>
  <a r="1">
    <v t="r">4823</v>
  </a>
  <a r="1">
    <v t="r">4840</v>
  </a>
  <a r="1">
    <v t="r">4851</v>
  </a>
  <a r="1">
    <v t="r">4861</v>
  </a>
  <a r="1">
    <v t="r">4871</v>
  </a>
  <a r="1">
    <v t="r">4881</v>
  </a>
  <a r="1">
    <v t="r">4889</v>
  </a>
  <a r="1">
    <v t="r">4899</v>
  </a>
  <a r="1">
    <v t="r">4909</v>
  </a>
  <a r="1">
    <v t="r">4919</v>
  </a>
  <a r="1">
    <v t="r">4929</v>
  </a>
  <a r="1">
    <v t="r">4939</v>
  </a>
  <a r="1">
    <v t="r">4949</v>
  </a>
  <a r="1">
    <v t="r">4958</v>
  </a>
</arrayData>
</file>

<file path=xl/richData/rdrichvalue.xml><?xml version="1.0" encoding="utf-8"?>
<rvData xmlns="http://schemas.microsoft.com/office/spreadsheetml/2017/richdata" count="4967">
  <rv s="0">
    <v>536870912</v>
    <v>Aachen</v>
    <v>16de4305-8baf-f805-9ecd-21ac102c5e56</v>
    <v>de-DE</v>
    <v>Map</v>
  </rv>
  <rv s="0">
    <v>805306368</v>
    <v>Sibylle Keupen (Mayor)</v>
    <v>b4aa5d31-c0f8-08ea-a3d9-ea2da5fac80f</v>
    <v>de-DE</v>
    <v>Generic</v>
  </rv>
  <rv s="1">
    <v>0</v>
  </rv>
  <rv s="2">
    <fb>249070</fb>
    <v>9</v>
  </rv>
  <rv s="3">
    <v>0</v>
    <v>7</v>
    <v>0</v>
    <v>7</v>
    <v>0</v>
    <v>Image of Aachen</v>
  </rv>
  <rv s="2">
    <fb>50.776206999999999</fb>
    <v>10</v>
  </rv>
  <rv s="2">
    <fb>160.85</fb>
    <v>9</v>
  </rv>
  <rv s="0">
    <v>536870912</v>
    <v>Middle Francia</v>
    <v>087a6959-9bdb-541b-df89-e7f48d38dc9a</v>
    <v>de-DE</v>
    <v>Map</v>
  </rv>
  <rv s="2">
    <fb>6.0837880000000002</fb>
    <v>10</v>
  </rv>
  <rv s="4">
    <v>https://www.bing.com/search?q=aachen&amp;form=skydnc</v>
    <v>Learn more on Bing</v>
  </rv>
  <rv s="0">
    <v>536870912</v>
    <v>Cologne Government Region</v>
    <v>c6b48b35-1e1d-4388-a732-a57c2973dbb9</v>
    <v>de-DE</v>
    <v>Map</v>
  </rv>
  <rv s="0">
    <v>536870912</v>
    <v>Aachen cities region</v>
    <v>ffc10bf5-2b9a-c55b-c6a2-3ed405c92606</v>
    <v>de-DE</v>
    <v>Map</v>
  </rv>
  <rv s="1">
    <v>1</v>
  </rv>
  <rv s="5">
    <v>#VALUE!</v>
    <v>de-DE</v>
    <v>16de4305-8baf-f805-9ecd-21ac102c5e56</v>
    <v>536870912</v>
    <v>1</v>
    <v>1</v>
    <v>2</v>
    <v>3</v>
    <v>Aachen</v>
    <v>5</v>
    <v>6</v>
    <v>Map</v>
    <v>7</v>
    <v>8</v>
    <v>2</v>
    <v>Aachen is the 13th-largest city in North Rhine-Westphalia and the 27th-largest city of Germany, with around 252,000 inhabitants. Aachen is located at the northern foothills of the High Fens and the Eifel Mountains. It sits on the Wurm River, a ...</v>
    <v>3</v>
    <v>4</v>
    <v>5</v>
    <v>6</v>
    <v>7</v>
    <v>8</v>
    <v>9</v>
    <v>Aachen</v>
    <v>Aachen</v>
    <v>mdp/vdpid/7011359114190127105</v>
    <v>10</v>
    <v>11</v>
    <v>12</v>
  </rv>
  <rv s="0">
    <v>536870912</v>
    <v>Ahlen</v>
    <v>472e5419-e64a-bcea-1eed-cdc24a8f13c4</v>
    <v>de-DE</v>
    <v>Map</v>
  </rv>
  <rv s="0">
    <v>805306368</v>
    <v>Alexander Berger (Mayor)</v>
    <v>eda3f46e-702d-63a5-e041-b4d2587bc19c</v>
    <v>de-DE</v>
    <v>Generic</v>
  </rv>
  <rv s="1">
    <v>2</v>
  </rv>
  <rv s="2">
    <fb>53348</fb>
    <v>9</v>
  </rv>
  <rv s="3">
    <v>1</v>
    <v>7</v>
    <v>11</v>
    <v>7</v>
    <v>0</v>
    <v>Image of Ahlen</v>
  </rv>
  <rv s="2">
    <fb>51.763333333333001</fb>
    <v>10</v>
  </rv>
  <rv s="2">
    <fb>123.13</fb>
    <v>9</v>
  </rv>
  <rv s="0">
    <v>536870912</v>
    <v>Germany</v>
    <v>75c62d8e-1449-4e4d-b188-d9e88f878dd9</v>
    <v>de-DE</v>
    <v>Map</v>
  </rv>
  <rv s="2">
    <fb>7.8911111111111003</fb>
    <v>10</v>
  </rv>
  <rv s="4">
    <v>https://www.bing.com/search?q=ahlen+warendorf&amp;form=skydnc</v>
    <v>Learn more on Bing</v>
  </rv>
  <rv s="0">
    <v>536870912</v>
    <v>Münster Government Region</v>
    <v>b4220e40-3ca7-48bd-96c3-81cd24c664d9</v>
    <v>de-DE</v>
    <v>Map</v>
  </rv>
  <rv s="0">
    <v>536870912</v>
    <v>Warendorf District</v>
    <v>79b29d08-9681-4a7d-ff08-539efc1f5783</v>
    <v>de-DE</v>
    <v>Map</v>
  </rv>
  <rv s="6">
    <v>#VALUE!</v>
    <v>de-DE</v>
    <v>472e5419-e64a-bcea-1eed-cdc24a8f13c4</v>
    <v>536870912</v>
    <v>1</v>
    <v>12</v>
    <v>2</v>
    <v>13</v>
    <v>Ahlen</v>
    <v>5</v>
    <v>6</v>
    <v>Map</v>
    <v>7</v>
    <v>14</v>
    <v>16</v>
    <v>Ahlen is a town in North Rhine-Westphalia, Germany, 30 km southeast of Münster. Ahlen is part of the District of Warendorf and is economically the most important town in that district. Ahlen is part of the larger Münster region, and of the ...</v>
    <v>17</v>
    <v>18</v>
    <v>19</v>
    <v>20</v>
    <v>21</v>
    <v>22</v>
    <v>23</v>
    <v>Ahlen</v>
    <v>Ahlen</v>
    <v>mdp/vdpid/7011443184819503105</v>
    <v>24</v>
    <v>25</v>
  </rv>
  <rv s="0">
    <v>536870912</v>
    <v>Alba Iulia</v>
    <v>5e1b9e0d-d067-dcc1-5522-ada621dd9f72</v>
    <v>de-DE</v>
    <v>Map</v>
  </rv>
  <rv s="0">
    <v>805306368</v>
    <v>Gabriel Pleșa (Mayor)</v>
    <v>f8702fe5-8c58-1f0f-49d6-e9c25b5d2e15</v>
    <v>de-DE</v>
    <v>Generic</v>
  </rv>
  <rv s="1">
    <v>3</v>
  </rv>
  <rv s="2">
    <fb>64227</fb>
    <v>9</v>
  </rv>
  <rv s="3">
    <v>2</v>
    <v>7</v>
    <v>15</v>
    <v>7</v>
    <v>0</v>
    <v>Image of Alba Iulia</v>
  </rv>
  <rv s="2">
    <fb>46.076388888888999</fb>
    <v>10</v>
  </rv>
  <rv s="2">
    <fb>103.65</fb>
    <v>9</v>
  </rv>
  <rv s="0">
    <v>536870912</v>
    <v>Romania</v>
    <v>0cc489d5-ff53-84f1-4fcc-76525efef33a</v>
    <v>de-DE</v>
    <v>Map</v>
  </rv>
  <rv s="2">
    <fb>23.572777777778001</fb>
    <v>10</v>
  </rv>
  <rv s="4">
    <v>https://www.bing.com/search?q=alba+iulia+romania&amp;form=skydnc</v>
    <v>Learn more on Bing</v>
  </rv>
  <rv s="0">
    <v>536870912</v>
    <v>Alba County</v>
    <v>c21726c8-9ad7-eaa6-44f2-a2dae7e40e2c</v>
    <v>de-DE</v>
    <v>Map</v>
  </rv>
  <rv s="1">
    <v>4</v>
  </rv>
  <rv s="7">
    <v>#VALUE!</v>
    <v>de-DE</v>
    <v>5e1b9e0d-d067-dcc1-5522-ada621dd9f72</v>
    <v>536870912</v>
    <v>1</v>
    <v>16</v>
    <v>17</v>
    <v>18</v>
    <v>Alba Iulia</v>
    <v>5</v>
    <v>6</v>
    <v>Map</v>
    <v>7</v>
    <v>8</v>
    <v>29</v>
    <v>Alba Iulia is a city that serves as the seat of Alba County in the west-central part of Romania. Located on the river Mureș in the historical region of Transylvania, it has a population of 63,536. During ancient times, the site was the location ...</v>
    <v>30</v>
    <v>31</v>
    <v>32</v>
    <v>33</v>
    <v>34</v>
    <v>35</v>
    <v>36</v>
    <v>Alba Iulia</v>
    <v>Alba Iulia</v>
    <v>mdp/vdpid/7049584487709016065</v>
    <v>37</v>
    <v>38</v>
  </rv>
  <rv s="0">
    <v>536870912</v>
    <v>Altena, Drenthe</v>
    <v>9396b44f-ee29-9ac3-eb47-d52f5a1dd6ca</v>
    <v>de-DE</v>
    <v>Map</v>
  </rv>
  <rv s="2">
    <fb>320</fb>
    <v>9</v>
  </rv>
  <rv s="3">
    <v>3</v>
    <v>7</v>
    <v>19</v>
    <v>7</v>
    <v>0</v>
    <v>Image of Altena, Drenthe</v>
  </rv>
  <rv s="2">
    <fb>53.132221999999999</fb>
    <v>10</v>
  </rv>
  <rv s="2">
    <fb>0.19</fb>
    <v>9</v>
  </rv>
  <rv s="0">
    <v>536870912</v>
    <v>Netherlands</v>
    <v>bf5c1a4b-df0b-09dc-dce0-e3fb0c898dd3</v>
    <v>de-DE</v>
    <v>Map</v>
  </rv>
  <rv s="2">
    <fb>6.4741669999999996</fb>
    <v>10</v>
  </rv>
  <rv s="4">
    <v>https://www.bing.com/search?q=altena%2c+drenthe&amp;form=skydnc</v>
    <v>Learn more on Bing</v>
  </rv>
  <rv s="0">
    <v>536870912</v>
    <v>Drenthe</v>
    <v>598e815b-602f-15c5-256e-a36860ffc830</v>
    <v>de-DE</v>
    <v>Map</v>
  </rv>
  <rv s="0">
    <v>536870912</v>
    <v>Noordenveld</v>
    <v>a46606dc-6e74-5895-5630-32a0cec970af</v>
    <v>de-DE</v>
    <v>Map</v>
  </rv>
  <rv s="8">
    <v>#VALUE!</v>
    <v>de-DE</v>
    <v>9396b44f-ee29-9ac3-eb47-d52f5a1dd6ca</v>
    <v>536870912</v>
    <v>1</v>
    <v>21</v>
    <v>2</v>
    <v>22</v>
    <v>Altena, Drenthe</v>
    <v>5</v>
    <v>6</v>
    <v>Map</v>
    <v>7</v>
    <v>8</v>
    <v>Altena is a village in the northeastern Netherlands. It is located in the municipality of Noordenveld, Drenthe, 2 km southwest of Peize.</v>
    <v>41</v>
    <v>42</v>
    <v>43</v>
    <v>44</v>
    <v>45</v>
    <v>46</v>
    <v>47</v>
    <v>Altena, Drenthe</v>
    <v>Altena, Drenthe</v>
    <v>mdp/vdpid/7011020178221694977</v>
    <v>48</v>
    <v>49</v>
  </rv>
  <rv s="0">
    <v>536870912</v>
    <v>Alzey</v>
    <v>2ea7c555-4ab5-ddee-1a45-1bf592c3d145</v>
    <v>de-DE</v>
    <v>Map</v>
  </rv>
  <rv s="0">
    <v>805306368</v>
    <v>Steffen Jung (Mayor)</v>
    <v>b0d0be2f-85d8-49fe-f785-6c8ae5d60845</v>
    <v>de-DE</v>
    <v>Generic</v>
  </rv>
  <rv s="1">
    <v>5</v>
  </rv>
  <rv s="2">
    <fb>19265</fb>
    <v>9</v>
  </rv>
  <rv s="3">
    <v>4</v>
    <v>7</v>
    <v>23</v>
    <v>7</v>
    <v>0</v>
    <v>Image of Alzey</v>
  </rv>
  <rv s="2">
    <fb>49.751666666666999</fb>
    <v>10</v>
  </rv>
  <rv s="2">
    <fb>35.22</fb>
    <v>9</v>
  </rv>
  <rv s="2">
    <fb>8.1161111111111008</fb>
    <v>10</v>
  </rv>
  <rv s="4">
    <v>https://www.bing.com/search?q=alzey+germany&amp;form=skydnc</v>
    <v>Learn more on Bing</v>
  </rv>
  <rv s="0">
    <v>536870912</v>
    <v>Rhineland-Palatinate</v>
    <v>b2634da1-26f3-4709-d63d-9f9489a33d9c</v>
    <v>de-DE</v>
    <v>Map</v>
  </rv>
  <rv s="0">
    <v>536870912</v>
    <v>Alzey-Worms</v>
    <v>bc9e8bbb-3728-b4bb-db4e-d13d598d900b</v>
    <v>de-DE</v>
    <v>Map</v>
  </rv>
  <rv s="1">
    <v>6</v>
  </rv>
  <rv s="5">
    <v>#VALUE!</v>
    <v>de-DE</v>
    <v>2ea7c555-4ab5-ddee-1a45-1bf592c3d145</v>
    <v>536870912</v>
    <v>1</v>
    <v>24</v>
    <v>2</v>
    <v>3</v>
    <v>Alzey</v>
    <v>5</v>
    <v>6</v>
    <v>Map</v>
    <v>7</v>
    <v>14</v>
    <v>53</v>
    <v>Alzey is a Verband-free town – one belonging to no Verbandsgemeinde – in the Alzey-Worms district in Rhineland-Palatinate, Germany. It is the fifth-largest town in Rhenish Hesse, after Mainz, Worms, Ingelheim am Rhein and Bingen.</v>
    <v>54</v>
    <v>55</v>
    <v>56</v>
    <v>57</v>
    <v>21</v>
    <v>58</v>
    <v>59</v>
    <v>Alzey</v>
    <v>Alzey</v>
    <v>mdp/vdpid/7014613104373792769</v>
    <v>60</v>
    <v>61</v>
    <v>62</v>
  </rv>
  <rv s="0">
    <v>536870912</v>
    <v>Amberg</v>
    <v>4f05fdfc-c455-5c85-9504-d31048ffd7a9</v>
    <v>de-DE</v>
    <v>Map</v>
  </rv>
  <rv s="0">
    <v>805306368</v>
    <v>Michael Cerny (Mayor)</v>
    <v>1e8c6ea6-c9dd-bccd-7282-f70518df81a1</v>
    <v>de-DE</v>
    <v>Generic</v>
  </rv>
  <rv s="1">
    <v>7</v>
  </rv>
  <rv s="2">
    <fb>42534</fb>
    <v>9</v>
  </rv>
  <rv s="3">
    <v>5</v>
    <v>7</v>
    <v>25</v>
    <v>7</v>
    <v>0</v>
    <v>Image of Amberg</v>
  </rv>
  <rv s="2">
    <fb>49.444444444444002</fb>
    <v>10</v>
  </rv>
  <rv s="2">
    <fb>5007</fb>
    <v>9</v>
  </rv>
  <rv s="2">
    <fb>11.848333333333001</fb>
    <v>10</v>
  </rv>
  <rv s="4">
    <v>https://www.bing.com/search?q=amberg&amp;form=skydnc</v>
    <v>Learn more on Bing</v>
  </rv>
  <rv s="9">
    <v>#VALUE!</v>
    <v>de-DE</v>
    <v>4f05fdfc-c455-5c85-9504-d31048ffd7a9</v>
    <v>536870912</v>
    <v>1</v>
    <v>26</v>
    <v>27</v>
    <v>28</v>
    <v>Amberg</v>
    <v>5</v>
    <v>6</v>
    <v>Map</v>
    <v>7</v>
    <v>14</v>
    <v>66</v>
    <v>Amberg is a town in Bavaria, Germany. It is located in the Upper Palatinate, roughly halfway between Regensburg and Bayreuth. In 2020, over 42,000 people lived in the town.</v>
    <v>67</v>
    <v>68</v>
    <v>69</v>
    <v>70</v>
    <v>21</v>
    <v>71</v>
    <v>72</v>
    <v>Amberg</v>
    <v>Amberg</v>
    <v>mdp/vdpid/7021212591955378177</v>
  </rv>
  <rv s="0">
    <v>536870912</v>
    <v>Andernach</v>
    <v>653ded82-cddf-20bc-2be6-fdeff2ca22b8</v>
    <v>de-DE</v>
    <v>Map</v>
  </rv>
  <rv s="0">
    <v>805306368</v>
    <v>Christian Greiner (Mayor)</v>
    <v>af4a74cf-0c67-dfe4-de01-133fb6dee12e</v>
    <v>de-DE</v>
    <v>Generic</v>
  </rv>
  <rv s="1">
    <v>8</v>
  </rv>
  <rv s="2">
    <fb>30277</fb>
    <v>9</v>
  </rv>
  <rv s="3">
    <v>6</v>
    <v>7</v>
    <v>29</v>
    <v>7</v>
    <v>0</v>
    <v>Image of Andernach</v>
  </rv>
  <rv s="2">
    <fb>50.439722222222002</fb>
    <v>10</v>
  </rv>
  <rv s="2">
    <fb>53.34</fb>
    <v>9</v>
  </rv>
  <rv s="2">
    <fb>7.4016666666667001</fb>
    <v>10</v>
  </rv>
  <rv s="4">
    <v>https://www.bing.com/search?q=andernach+germany&amp;form=skydnc</v>
    <v>Learn more on Bing</v>
  </rv>
  <rv s="0">
    <v>536870912</v>
    <v>Mayen-Koblenz</v>
    <v>14ba551f-835f-d274-75ce-879bd5b300b1</v>
    <v>de-DE</v>
    <v>Map</v>
  </rv>
  <rv s="6">
    <v>#VALUE!</v>
    <v>de-DE</v>
    <v>653ded82-cddf-20bc-2be6-fdeff2ca22b8</v>
    <v>536870912</v>
    <v>1</v>
    <v>30</v>
    <v>2</v>
    <v>13</v>
    <v>Andernach</v>
    <v>5</v>
    <v>6</v>
    <v>Map</v>
    <v>7</v>
    <v>14</v>
    <v>76</v>
    <v>Andernach is a town in the district of Mayen-Koblenz, in Rhineland-Palatinate, Germany, of about 30,000 inhabitants. It is situated towards the end of the Neuwied basin on the left bank of the Rhine between the former tiny fishing village of ...</v>
    <v>77</v>
    <v>78</v>
    <v>79</v>
    <v>80</v>
    <v>21</v>
    <v>81</v>
    <v>82</v>
    <v>Andernach</v>
    <v>Andernach</v>
    <v>mdp/vdpid/7014510384023339009</v>
    <v>60</v>
    <v>83</v>
  </rv>
  <rv s="0">
    <v>536870912</v>
    <v>Anklam</v>
    <v>c18858c7-0330-39e2-ad96-a715d516acdb</v>
    <v>de-DE</v>
    <v>Map</v>
  </rv>
  <rv s="0">
    <v>805306368</v>
    <v>Michael Galander (Mayor)</v>
    <v>53f181e6-cf37-f2ee-8b6e-758589d53bc1</v>
    <v>de-DE</v>
    <v>Generic</v>
  </rv>
  <rv s="1">
    <v>9</v>
  </rv>
  <rv s="2">
    <fb>12312</fb>
    <v>9</v>
  </rv>
  <rv s="3">
    <v>7</v>
    <v>7</v>
    <v>31</v>
    <v>7</v>
    <v>0</v>
    <v>Image of Anklam</v>
  </rv>
  <rv s="2">
    <fb>53.85</fb>
    <v>10</v>
  </rv>
  <rv s="2">
    <fb>56.68</fb>
    <v>9</v>
  </rv>
  <rv s="2">
    <fb>13.6833333333333</fb>
    <v>10</v>
  </rv>
  <rv s="4">
    <v>https://www.bing.com/search?q=anklam+germany&amp;form=skydnc</v>
    <v>Learn more on Bing</v>
  </rv>
  <rv s="0">
    <v>536870912</v>
    <v>Mecklenburg-Vorpommern</v>
    <v>b0adc1b4-6fe2-3ad0-81e1-78c9ba53cedb</v>
    <v>de-DE</v>
    <v>Map</v>
  </rv>
  <rv s="0">
    <v>536870912</v>
    <v>Vorpommern-Greifswald District</v>
    <v>1456f76b-3927-ce69-d9af-6a23957e40e9</v>
    <v>de-DE</v>
    <v>Map</v>
  </rv>
  <rv s="6">
    <v>#VALUE!</v>
    <v>de-DE</v>
    <v>c18858c7-0330-39e2-ad96-a715d516acdb</v>
    <v>536870912</v>
    <v>1</v>
    <v>32</v>
    <v>2</v>
    <v>13</v>
    <v>Anklam</v>
    <v>5</v>
    <v>6</v>
    <v>Map</v>
    <v>7</v>
    <v>14</v>
    <v>87</v>
    <v>Anklam, formerly known as Tanglim and Wendenburg, is a town in the Western Pomerania region of Mecklenburg-Vorpommern in north-eastern Germany. It is situated on the banks of the Peene river, just 8 km from its mouth in the Kleines Haff, the ...</v>
    <v>88</v>
    <v>89</v>
    <v>90</v>
    <v>91</v>
    <v>21</v>
    <v>92</v>
    <v>93</v>
    <v>Anklam</v>
    <v>Anklam</v>
    <v>mdp/vdpid/7017150921578643457</v>
    <v>94</v>
    <v>95</v>
  </rv>
  <rv s="0">
    <v>536870912</v>
    <v>Annaberg-Buchholz</v>
    <v>7f57b66d-c453-3e32-94ba-7f5eb1a535e1</v>
    <v>de-DE</v>
    <v>Map</v>
  </rv>
  <rv s="0">
    <v>805306368</v>
    <v>Rolf Schmidt (Mayor)</v>
    <v>17592e4c-cf61-0373-3726-e5695f7db262</v>
    <v>de-DE</v>
    <v>Generic</v>
  </rv>
  <rv s="1">
    <v>10</v>
  </rv>
  <rv s="2">
    <fb>19382</fb>
    <v>9</v>
  </rv>
  <rv s="3">
    <v>8</v>
    <v>7</v>
    <v>33</v>
    <v>7</v>
    <v>0</v>
    <v>Image of Annaberg-Buchholz</v>
  </rv>
  <rv s="2">
    <fb>50.58</fb>
    <v>10</v>
  </rv>
  <rv s="2">
    <fb>28.15</fb>
    <v>9</v>
  </rv>
  <rv s="2">
    <fb>13.002222222222001</fb>
    <v>10</v>
  </rv>
  <rv s="4">
    <v>https://www.bing.com/search?q=annaberg-buchholz+germany&amp;form=skydnc</v>
    <v>Learn more on Bing</v>
  </rv>
  <rv s="0">
    <v>536870912</v>
    <v>Saxony</v>
    <v>db04ed86-d227-952f-dbae-2881e92d2d0a</v>
    <v>de-DE</v>
    <v>Map</v>
  </rv>
  <rv s="0">
    <v>536870912</v>
    <v>Erzgebirgskreis</v>
    <v>cdbb5636-620d-c725-8f37-93e736eac75e</v>
    <v>de-DE</v>
    <v>Map</v>
  </rv>
  <rv s="6">
    <v>#VALUE!</v>
    <v>de-DE</v>
    <v>7f57b66d-c453-3e32-94ba-7f5eb1a535e1</v>
    <v>536870912</v>
    <v>1</v>
    <v>34</v>
    <v>2</v>
    <v>13</v>
    <v>Annaberg-Buchholz</v>
    <v>5</v>
    <v>6</v>
    <v>Map</v>
    <v>7</v>
    <v>14</v>
    <v>99</v>
    <v>Annaberg-Buchholz is a town in Saxony, Germany. Lying in the Ore Mountains, it is the capital of the district of Erzgebirgskreis.</v>
    <v>100</v>
    <v>101</v>
    <v>102</v>
    <v>103</v>
    <v>21</v>
    <v>104</v>
    <v>105</v>
    <v>Annaberg-Buchholz</v>
    <v>Annaberg-Buchholz</v>
    <v>mdp/vdpid/7021261453801816065</v>
    <v>106</v>
    <v>107</v>
  </rv>
  <rv s="0">
    <v>536870912</v>
    <v>Ansbach</v>
    <v>6b601611-57f2-376c-b791-b69f91d4f677</v>
    <v>de-DE</v>
    <v>Map</v>
  </rv>
  <rv s="0">
    <v>805306368</v>
    <v>Thomas Deffner (Mayor)</v>
    <v>b7582864-bb0f-5b60-170d-cb851c0fd2af</v>
    <v>de-DE</v>
    <v>Generic</v>
  </rv>
  <rv s="1">
    <v>11</v>
  </rv>
  <rv s="2">
    <fb>42221</fb>
    <v>9</v>
  </rv>
  <rv s="3">
    <v>9</v>
    <v>7</v>
    <v>35</v>
    <v>7</v>
    <v>0</v>
    <v>Image of Ansbach</v>
  </rv>
  <rv s="2">
    <fb>49.3</fb>
    <v>10</v>
  </rv>
  <rv s="2">
    <fb>99.91</fb>
    <v>9</v>
  </rv>
  <rv s="2">
    <fb>10.5833333333333</fb>
    <v>10</v>
  </rv>
  <rv s="4">
    <v>https://www.bing.com/search?q=ansbach&amp;form=skydnc</v>
    <v>Learn more on Bing</v>
  </rv>
  <rv s="9">
    <v>#VALUE!</v>
    <v>de-DE</v>
    <v>6b601611-57f2-376c-b791-b69f91d4f677</v>
    <v>536870912</v>
    <v>1</v>
    <v>36</v>
    <v>27</v>
    <v>28</v>
    <v>Ansbach</v>
    <v>5</v>
    <v>6</v>
    <v>Map</v>
    <v>7</v>
    <v>14</v>
    <v>111</v>
    <v>Ansbach is a city in the German state of Bavaria. It is the capital of the administrative region of Middle Franconia. Ansbach is 40 kilometers southwest of Nuremberg and 140 kilometers north of Munich, on the river Fränkische Rezat, a tributary ...</v>
    <v>112</v>
    <v>113</v>
    <v>114</v>
    <v>115</v>
    <v>21</v>
    <v>116</v>
    <v>117</v>
    <v>Ansbach</v>
    <v>Ansbach</v>
    <v>mdp/vdpid/7015188027571961857</v>
  </rv>
  <rv s="0">
    <v>536870912</v>
    <v>Apolda</v>
    <v>db49b9dd-92fb-ecb0-f8a6-56a6206b50f6</v>
    <v>de-DE</v>
    <v>Map</v>
  </rv>
  <rv s="0">
    <v>805306368</v>
    <v>Rüdiger Eisenbrand (Mayor)</v>
    <v>beb6c2d9-b497-51a0-834f-1d1a7985dbcc</v>
    <v>de-DE</v>
    <v>Generic</v>
  </rv>
  <rv s="1">
    <v>12</v>
  </rv>
  <rv s="2">
    <fb>23072</fb>
    <v>9</v>
  </rv>
  <rv s="3">
    <v>10</v>
    <v>7</v>
    <v>37</v>
    <v>7</v>
    <v>0</v>
    <v>Image of Apolda</v>
  </rv>
  <rv s="2">
    <fb>51.024722222222003</fb>
    <v>10</v>
  </rv>
  <rv s="2">
    <fb>46.27</fb>
    <v>9</v>
  </rv>
  <rv s="2">
    <fb>11.513888888888999</fb>
    <v>10</v>
  </rv>
  <rv s="4">
    <v>https://www.bing.com/search?q=apolda+germany&amp;form=skydnc</v>
    <v>Learn more on Bing</v>
  </rv>
  <rv s="0">
    <v>536870912</v>
    <v>Weimarer Land</v>
    <v>a4cc7efa-4e7d-3fcf-2a38-ca83267cecbc</v>
    <v>de-DE</v>
    <v>Map</v>
  </rv>
  <rv s="10">
    <v>#VALUE!</v>
    <v>de-DE</v>
    <v>db49b9dd-92fb-ecb0-f8a6-56a6206b50f6</v>
    <v>536870912</v>
    <v>1</v>
    <v>38</v>
    <v>39</v>
    <v>40</v>
    <v>Apolda</v>
    <v>5</v>
    <v>6</v>
    <v>Map</v>
    <v>7</v>
    <v>14</v>
    <v>121</v>
    <v>Apolda is a town in central Thuringia, Germany, the capital of the Weimarer Land district. It is situated in the center of the triangle Weimar–Jena–Naumburg near the river Ilm, c. 15 kilometres east by north from Weimar. Apolda station lies on ...</v>
    <v>122</v>
    <v>123</v>
    <v>124</v>
    <v>125</v>
    <v>21</v>
    <v>126</v>
    <v>127</v>
    <v>Apolda</v>
    <v>Apolda</v>
    <v>mdp/vdpid/7018094096765943809</v>
    <v>128</v>
  </rv>
  <rv s="0">
    <v>536870912</v>
    <v>Arnsberg</v>
    <v>9cb33b5d-45d3-b654-2f66-eb613a2aefcf</v>
    <v>de-DE</v>
    <v>Map</v>
  </rv>
  <rv s="0">
    <v>805306368</v>
    <v>Ralf Paul Bittner (Mayor)</v>
    <v>e14d666d-970f-af04-97c1-1e4af9a8b0f4</v>
    <v>de-DE</v>
    <v>Generic</v>
  </rv>
  <rv s="1">
    <v>13</v>
  </rv>
  <rv s="2">
    <fb>74323</fb>
    <v>9</v>
  </rv>
  <rv s="3">
    <v>11</v>
    <v>7</v>
    <v>41</v>
    <v>7</v>
    <v>0</v>
    <v>Image of Arnsberg</v>
  </rv>
  <rv s="2">
    <fb>51.396666666667002</fb>
    <v>10</v>
  </rv>
  <rv s="2">
    <fb>193.72</fb>
    <v>9</v>
  </rv>
  <rv s="2">
    <fb>8.0644444444443995</fb>
    <v>10</v>
  </rv>
  <rv s="4">
    <v>https://www.bing.com/search?q=arnsberg&amp;form=skydnc</v>
    <v>Learn more on Bing</v>
  </rv>
  <rv s="0">
    <v>536870912</v>
    <v>Hochsauerlandkreis</v>
    <v>288d2e25-67b2-e4eb-04d5-5472b85a9cb7</v>
    <v>de-DE</v>
    <v>Map</v>
  </rv>
  <rv s="10">
    <v>#VALUE!</v>
    <v>de-DE</v>
    <v>9cb33b5d-45d3-b654-2f66-eb613a2aefcf</v>
    <v>536870912</v>
    <v>1</v>
    <v>42</v>
    <v>39</v>
    <v>40</v>
    <v>Arnsberg</v>
    <v>5</v>
    <v>6</v>
    <v>Map</v>
    <v>7</v>
    <v>14</v>
    <v>132</v>
    <v>Arnsberg is a town in the Hochsauerland county, in the German state of North Rhine-Westphalia. It is the location of the Regierungsbezirk Arnsberg administration and one of the three local administration offices of the Hochsauerlandkreis district.</v>
    <v>133</v>
    <v>134</v>
    <v>135</v>
    <v>136</v>
    <v>21</v>
    <v>137</v>
    <v>138</v>
    <v>Arnsberg</v>
    <v>Arnsberg</v>
    <v>mdp/vdpid/7011462122907369473</v>
    <v>139</v>
  </rv>
  <rv s="0">
    <v>536870912</v>
    <v>Arnstadt</v>
    <v>584427be-90ae-804d-c408-fbee289230f9</v>
    <v>de-DE</v>
    <v>Map</v>
  </rv>
  <rv s="0">
    <v>805306368</v>
    <v>Frank Spilling (Mayor)</v>
    <v>52fbc798-aff5-89b2-6cfb-ac1c3e6025e9</v>
    <v>de-DE</v>
    <v>Generic</v>
  </rv>
  <rv s="1">
    <v>14</v>
  </rv>
  <rv s="2">
    <fb>28124</fb>
    <v>9</v>
  </rv>
  <rv s="3">
    <v>12</v>
    <v>7</v>
    <v>43</v>
    <v>7</v>
    <v>0</v>
    <v>Image of Arnstadt</v>
  </rv>
  <rv s="2">
    <fb>50.834166666667002</fb>
    <v>10</v>
  </rv>
  <rv s="2">
    <fb>55.08</fb>
    <v>9</v>
  </rv>
  <rv s="2">
    <fb>10.946388888889</fb>
    <v>10</v>
  </rv>
  <rv s="4">
    <v>https://www.bing.com/search?q=arnstadt+germany&amp;form=skydnc</v>
    <v>Learn more on Bing</v>
  </rv>
  <rv s="0">
    <v>536870912</v>
    <v>Ilm-Kreis</v>
    <v>31f9e7ef-726f-e382-1153-03e3ebaf56d5</v>
    <v>de-DE</v>
    <v>Map</v>
  </rv>
  <rv s="10">
    <v>#VALUE!</v>
    <v>de-DE</v>
    <v>584427be-90ae-804d-c408-fbee289230f9</v>
    <v>536870912</v>
    <v>1</v>
    <v>44</v>
    <v>39</v>
    <v>40</v>
    <v>Arnstadt</v>
    <v>5</v>
    <v>6</v>
    <v>Map</v>
    <v>7</v>
    <v>14</v>
    <v>143</v>
    <v>Arnstadt is a town in Ilm-Kreis, Thuringia, Germany, on the river Gera about 20 kilometres south of Erfurt, the capital of Thuringia. Arnstadt is one of the oldest towns in Thuringia, and has a well-preserved historic centre with a partially ...</v>
    <v>144</v>
    <v>145</v>
    <v>146</v>
    <v>147</v>
    <v>21</v>
    <v>148</v>
    <v>149</v>
    <v>Arnstadt</v>
    <v>Arnstadt</v>
    <v>mdp/vdpid/7012097184438943745</v>
    <v>150</v>
  </rv>
  <rv s="0">
    <v>536870912</v>
    <v>Aschaffenburg</v>
    <v>13d197e5-53ce-390b-ae4f-329524268b53</v>
    <v>de-DE</v>
    <v>Map</v>
  </rv>
  <rv s="0">
    <v>805306368</v>
    <v>Jürgen Herzing (Mayor)</v>
    <v>14f36d8e-b4f1-5456-413a-0aa1ee5324e2</v>
    <v>de-DE</v>
    <v>Generic</v>
  </rv>
  <rv s="1">
    <v>15</v>
  </rv>
  <rv s="2">
    <fb>72444</fb>
    <v>9</v>
  </rv>
  <rv s="3">
    <v>13</v>
    <v>7</v>
    <v>45</v>
    <v>7</v>
    <v>0</v>
    <v>Image of Aschaffenburg</v>
  </rv>
  <rv s="2">
    <fb>49.975749999999998</fb>
    <v>10</v>
  </rv>
  <rv s="2">
    <fb>62.45</fb>
    <v>9</v>
  </rv>
  <rv s="2">
    <fb>9.1478000000000002</fb>
    <v>10</v>
  </rv>
  <rv s="4">
    <v>https://www.bing.com/search?q=aschaffenburg&amp;form=skydnc</v>
    <v>Learn more on Bing</v>
  </rv>
  <rv s="9">
    <v>#VALUE!</v>
    <v>de-DE</v>
    <v>13d197e5-53ce-390b-ae4f-329524268b53</v>
    <v>536870912</v>
    <v>1</v>
    <v>46</v>
    <v>27</v>
    <v>28</v>
    <v>Aschaffenburg</v>
    <v>5</v>
    <v>6</v>
    <v>Map</v>
    <v>7</v>
    <v>14</v>
    <v>154</v>
    <v>Aschaffenburg is a town in northwest Bavaria, Germany. The town of Aschaffenburg is not part of the district of Aschaffenburg, but is its administrative seat. Aschaffenburg belonged to the Archbishopric of Mainz for more than 800 years. The town ...</v>
    <v>155</v>
    <v>156</v>
    <v>157</v>
    <v>158</v>
    <v>21</v>
    <v>159</v>
    <v>160</v>
    <v>Aschaffenburg</v>
    <v>Aschaffenburg</v>
    <v>mdp/vdpid/7014978566295126017</v>
  </rv>
  <rv s="0">
    <v>536870912</v>
    <v>Aschersleben</v>
    <v>333b665a-7552-197a-86ce-9c5847173de1</v>
    <v>de-DE</v>
    <v>Map</v>
  </rv>
  <rv s="0">
    <v>805306368</v>
    <v>Steffen Amme (Mayor)</v>
    <v>e19a37fc-adf7-47f6-a493-dd1b89d3d36f</v>
    <v>de-DE</v>
    <v>Generic</v>
  </rv>
  <rv s="1">
    <v>16</v>
  </rv>
  <rv s="2">
    <fb>26604</fb>
    <v>9</v>
  </rv>
  <rv s="3">
    <v>14</v>
    <v>7</v>
    <v>47</v>
    <v>7</v>
    <v>0</v>
    <v>Image of Aschersleben</v>
  </rv>
  <rv s="2">
    <fb>51.75</fb>
    <v>10</v>
  </rv>
  <rv s="2">
    <fb>156.22999999999999</fb>
    <v>9</v>
  </rv>
  <rv s="2">
    <fb>11.466666666667001</fb>
    <v>10</v>
  </rv>
  <rv s="4">
    <v>https://www.bing.com/search?q=aschersleben+germany&amp;form=skydnc</v>
    <v>Learn more on Bing</v>
  </rv>
  <rv s="0">
    <v>536870912</v>
    <v>Salzlandkreis</v>
    <v>4809659e-1892-899c-828c-d4e0fabade37</v>
    <v>de-DE</v>
    <v>Map</v>
  </rv>
  <rv s="7">
    <v>#VALUE!</v>
    <v>de-DE</v>
    <v>333b665a-7552-197a-86ce-9c5847173de1</v>
    <v>536870912</v>
    <v>1</v>
    <v>48</v>
    <v>17</v>
    <v>18</v>
    <v>Aschersleben</v>
    <v>5</v>
    <v>6</v>
    <v>Map</v>
    <v>7</v>
    <v>14</v>
    <v>164</v>
    <v>Aschersleben is a town in the Salzlandkreis district, in Saxony-Anhalt, Germany. It is situated approximately 22 km east of Quedlinburg, and 45 km northwest of Halle.</v>
    <v>165</v>
    <v>166</v>
    <v>167</v>
    <v>168</v>
    <v>21</v>
    <v>169</v>
    <v>170</v>
    <v>Aschersleben</v>
    <v>Aschersleben</v>
    <v>mdp/vdpid/7018022602673225729</v>
    <v>171</v>
    <v>62</v>
  </rv>
  <rv s="0">
    <v>536870912</v>
    <v>Auerbach/Vogtl.</v>
    <v>3df93773-480d-32e9-a55d-659f439a97c7</v>
    <v>de-DE</v>
    <v>Map</v>
  </rv>
  <rv s="0">
    <v>805306368</v>
    <v>Jens Scharff (Mayor)</v>
    <v>205111c1-313b-be78-85ca-90770c9fb0e1</v>
    <v>de-DE</v>
    <v>Generic</v>
  </rv>
  <rv s="1">
    <v>17</v>
  </rv>
  <rv s="2">
    <fb>17759</fb>
    <v>9</v>
  </rv>
  <rv s="3">
    <v>15</v>
    <v>7</v>
    <v>49</v>
    <v>7</v>
    <v>0</v>
    <v>Image of Auerbach</v>
  </rv>
  <rv s="2">
    <fb>50.509444444444</fb>
    <v>10</v>
  </rv>
  <rv s="2">
    <fb>55.52</fb>
    <v>9</v>
  </rv>
  <rv s="2">
    <fb>12.4</fb>
    <v>10</v>
  </rv>
  <rv s="4">
    <v>https://www.bing.com/search?q=auerbach+germany&amp;form=skydnc</v>
    <v>Learn more on Bing</v>
  </rv>
  <rv s="0">
    <v>536870912</v>
    <v>Vogtlandkreis</v>
    <v>93b48b37-5e8a-815d-2f6f-d1ec6b0d85a3</v>
    <v>de-DE</v>
    <v>Map</v>
  </rv>
  <rv s="6">
    <v>#VALUE!</v>
    <v>de-DE</v>
    <v>3df93773-480d-32e9-a55d-659f439a97c7</v>
    <v>536870912</v>
    <v>1</v>
    <v>50</v>
    <v>2</v>
    <v>13</v>
    <v>Auerbach</v>
    <v>5</v>
    <v>6</v>
    <v>Map</v>
    <v>7</v>
    <v>14</v>
    <v>175</v>
    <v>Auerbach is a town in the Vogtlandkreis, Saxony, Germany. It is the regional centre of the eastern Vogtland. The economy is mainly based on textile manufacturing, food processing and machine industry. After Plauen and Reichenbach, Auerbach is ...</v>
    <v>176</v>
    <v>177</v>
    <v>178</v>
    <v>179</v>
    <v>21</v>
    <v>180</v>
    <v>181</v>
    <v>Auerbach</v>
    <v>Auerbach</v>
    <v>mdp/vdpid/7021157095760199681</v>
    <v>106</v>
    <v>182</v>
  </rv>
  <rv s="0">
    <v>536870912</v>
    <v>Augsburg</v>
    <v>2a63edd8-f92e-1fc1-1c00-1657c976c124</v>
    <v>de-DE</v>
    <v>Map</v>
  </rv>
  <rv s="0">
    <v>805306368</v>
    <v>Eva Weber (Mayor)</v>
    <v>464d23cd-6285-6080-31d7-638b76596540</v>
    <v>de-DE</v>
    <v>Generic</v>
  </rv>
  <rv s="1">
    <v>18</v>
  </rv>
  <rv s="2">
    <fb>301033</fb>
    <v>9</v>
  </rv>
  <rv s="3">
    <v>16</v>
    <v>7</v>
    <v>51</v>
    <v>7</v>
    <v>0</v>
    <v>Image of Augsburg</v>
  </rv>
  <rv s="2">
    <fb>48.368888888888897</fb>
    <v>10</v>
  </rv>
  <rv s="2">
    <fb>146.87</fb>
    <v>9</v>
  </rv>
  <rv s="2">
    <fb>10.897777777777801</fb>
    <v>10</v>
  </rv>
  <rv s="4">
    <v>https://www.bing.com/search?q=augsburg+germany&amp;form=skydnc</v>
    <v>Learn more on Bing</v>
  </rv>
  <rv s="9">
    <v>#VALUE!</v>
    <v>de-DE</v>
    <v>2a63edd8-f92e-1fc1-1c00-1657c976c124</v>
    <v>536870912</v>
    <v>1</v>
    <v>52</v>
    <v>27</v>
    <v>28</v>
    <v>Augsburg</v>
    <v>5</v>
    <v>6</v>
    <v>Map</v>
    <v>7</v>
    <v>14</v>
    <v>186</v>
    <v>Augsburg is a city in the Bavarian part of Swabia, Germany, around 50 kilometres west of the Bavarian capital Munich. It is a university town and the regional seat of the Regierungsbezirk Swabia with a well preserved Altstadt. Augsburg is an ...</v>
    <v>187</v>
    <v>188</v>
    <v>189</v>
    <v>190</v>
    <v>21</v>
    <v>191</v>
    <v>192</v>
    <v>Augsburg</v>
    <v>Augsburg</v>
    <v>mdp/vdpid/7015451188724236289</v>
  </rv>
  <rv s="0">
    <v>536870912</v>
    <v>Aulendorf</v>
    <v>ecbd57d8-52d6-6630-2f25-db456d97017a</v>
    <v>de-DE</v>
    <v>Map</v>
  </rv>
  <rv s="0">
    <v>805306368</v>
    <v>Matthias Burth (Mayor)</v>
    <v>d509f4ab-33a5-a471-ccef-99c0edefafa0</v>
    <v>de-DE</v>
    <v>Generic</v>
  </rv>
  <rv s="1">
    <v>19</v>
  </rv>
  <rv s="2">
    <fb>10338</fb>
    <v>9</v>
  </rv>
  <rv s="3">
    <v>17</v>
    <v>7</v>
    <v>53</v>
    <v>7</v>
    <v>0</v>
    <v>Image of Aulendorf</v>
  </rv>
  <rv s="2">
    <fb>47.954166669999999</fb>
    <v>10</v>
  </rv>
  <rv s="2">
    <fb>52.34</fb>
    <v>9</v>
  </rv>
  <rv s="2">
    <fb>9.6388888900000005</fb>
    <v>10</v>
  </rv>
  <rv s="4">
    <v>https://www.bing.com/search?q=aulendorf+germany&amp;form=skydnc</v>
    <v>Learn more on Bing</v>
  </rv>
  <rv s="0">
    <v>536870912</v>
    <v>Landkreis Ravensburg</v>
    <v>ca2fb887-50f2-070d-b0d4-faf3b70f11df</v>
    <v>de-DE</v>
    <v>Map</v>
  </rv>
  <rv s="10">
    <v>#VALUE!</v>
    <v>de-DE</v>
    <v>ecbd57d8-52d6-6630-2f25-db456d97017a</v>
    <v>536870912</v>
    <v>1</v>
    <v>54</v>
    <v>39</v>
    <v>40</v>
    <v>Aulendorf</v>
    <v>5</v>
    <v>6</v>
    <v>Map</v>
    <v>7</v>
    <v>14</v>
    <v>196</v>
    <v>Aulendorf is a town in the district of Ravensburg, in Baden-Württemberg, Germany. It is situated 20 kilometres southwest of Biberach an der Riß, and 19 kilometres north of Ravensburg. Aulendorf exists of the town itself along with the ...</v>
    <v>197</v>
    <v>198</v>
    <v>199</v>
    <v>200</v>
    <v>21</v>
    <v>201</v>
    <v>202</v>
    <v>Aulendorf</v>
    <v>Aulendorf</v>
    <v>mdp/vdpid/7015338176944275457</v>
    <v>203</v>
  </rv>
  <rv s="0">
    <v>536870912</v>
    <v>Backnang</v>
    <v>7aa5a5e8-55f0-c83c-0ece-99be104ce450</v>
    <v>de-DE</v>
    <v>Map</v>
  </rv>
  <rv s="0">
    <v>805306368</v>
    <v>Maximilian Friedrich (Mayor)</v>
    <v>c0b0e04f-65b0-b618-cbb4-915ea53e8693</v>
    <v>de-DE</v>
    <v>Generic</v>
  </rv>
  <rv s="1">
    <v>20</v>
  </rv>
  <rv s="2">
    <fb>37957</fb>
    <v>9</v>
  </rv>
  <rv s="3">
    <v>18</v>
    <v>7</v>
    <v>55</v>
    <v>7</v>
    <v>0</v>
    <v>Image of Backnang</v>
  </rv>
  <rv s="2">
    <fb>48.946388888888997</fb>
    <v>10</v>
  </rv>
  <rv s="2">
    <fb>39.4</fb>
    <v>9</v>
  </rv>
  <rv s="2">
    <fb>9.4305555555555998</fb>
    <v>10</v>
  </rv>
  <rv s="4">
    <v>https://www.bing.com/search?q=backnang+germany&amp;form=skydnc</v>
    <v>Learn more on Bing</v>
  </rv>
  <rv s="0">
    <v>536870912</v>
    <v>Rems-Murr</v>
    <v>aef584f4-9761-6c92-abbb-9455bc407de2</v>
    <v>de-DE</v>
    <v>Map</v>
  </rv>
  <rv s="11">
    <v>#VALUE!</v>
    <v>de-DE</v>
    <v>7aa5a5e8-55f0-c83c-0ece-99be104ce450</v>
    <v>536870912</v>
    <v>1</v>
    <v>56</v>
    <v>17</v>
    <v>57</v>
    <v>Backnang</v>
    <v>5</v>
    <v>6</v>
    <v>Map</v>
    <v>7</v>
    <v>14</v>
    <v>207</v>
    <v>Backnang is a town in Germany in the Bundesland of Baden-Württemberg, roughly 30 km northeast of Stuttgart. Its population has increased greatly over the past century, from 7,650 in 1900 to 35,761 in 2005.</v>
    <v>208</v>
    <v>209</v>
    <v>210</v>
    <v>211</v>
    <v>21</v>
    <v>212</v>
    <v>213</v>
    <v>Backnang</v>
    <v>Backnang</v>
    <v>mdp/vdpid/7015244709295554561</v>
    <v>214</v>
  </rv>
  <rv s="0">
    <v>536870912</v>
    <v>Bad Bergzabern</v>
    <v>04d99c5d-92bf-fbfb-c26f-62b44e836246</v>
    <v>de-DE</v>
    <v>Map</v>
  </rv>
  <rv s="0">
    <v>805306368</v>
    <v>Hermann Augspurger (Mayor)</v>
    <v>1aaddd33-5093-c16f-f217-fcb614aeddbd</v>
    <v>de-DE</v>
    <v>Generic</v>
  </rv>
  <rv s="1">
    <v>21</v>
  </rv>
  <rv s="2">
    <fb>8732</fb>
    <v>9</v>
  </rv>
  <rv s="3">
    <v>19</v>
    <v>7</v>
    <v>58</v>
    <v>7</v>
    <v>0</v>
    <v>Image of Bad Bergzabern</v>
  </rv>
  <rv s="2">
    <fb>49.102125000000001</fb>
    <v>10</v>
  </rv>
  <rv s="2">
    <fb>10.71</fb>
    <v>9</v>
  </rv>
  <rv s="2">
    <fb>7.9929638888888901</fb>
    <v>10</v>
  </rv>
  <rv s="4">
    <v>https://www.bing.com/search?q=bad+bergzabern&amp;form=skydnc</v>
    <v>Learn more on Bing</v>
  </rv>
  <rv s="0">
    <v>536870912</v>
    <v>Südliche Weinstraße</v>
    <v>03bd0571-e418-5e7c-4d98-c8c995daa74c</v>
    <v>de-DE</v>
    <v>Map</v>
  </rv>
  <rv s="11">
    <v>#VALUE!</v>
    <v>de-DE</v>
    <v>04d99c5d-92bf-fbfb-c26f-62b44e836246</v>
    <v>536870912</v>
    <v>1</v>
    <v>59</v>
    <v>17</v>
    <v>57</v>
    <v>Bad Bergzabern</v>
    <v>5</v>
    <v>6</v>
    <v>Map</v>
    <v>7</v>
    <v>14</v>
    <v>218</v>
    <v>Bad Bergzabern is a municipality in the Südliche Weinstraße district, on the German Wine Route in Rhineland-Palatinate, Germany. It is situated near the border with France, on the south-eastern edge of the Palatinate forest, approximately 15 ...</v>
    <v>219</v>
    <v>220</v>
    <v>221</v>
    <v>222</v>
    <v>21</v>
    <v>223</v>
    <v>224</v>
    <v>Bad Bergzabern</v>
    <v>Bad Bergzabern</v>
    <v>mdp/vdpid/7014817755136262145</v>
    <v>225</v>
  </rv>
  <rv s="0">
    <v>536870912</v>
    <v>Bad Ems</v>
    <v>29eccd3f-6e83-b18a-ce61-fdc6d2c0c645</v>
    <v>de-DE</v>
    <v>Map</v>
  </rv>
  <rv s="0">
    <v>805306368</v>
    <v>Oliver Krügel (Mayor)</v>
    <v>6c010967-d289-630a-e91e-90653972fbf1</v>
    <v>de-DE</v>
    <v>Generic</v>
  </rv>
  <rv s="1">
    <v>22</v>
  </rv>
  <rv s="2">
    <fb>9936</fb>
    <v>9</v>
  </rv>
  <rv s="3">
    <v>20</v>
    <v>7</v>
    <v>60</v>
    <v>7</v>
    <v>0</v>
    <v>Image of Bad Ems</v>
  </rv>
  <rv s="2">
    <fb>50.338055555555997</fb>
    <v>10</v>
  </rv>
  <rv s="2">
    <fb>15.41</fb>
    <v>9</v>
  </rv>
  <rv s="2">
    <fb>7.7105555555556</fb>
    <v>10</v>
  </rv>
  <rv s="4">
    <v>https://www.bing.com/search?q=bad+ems+germany&amp;form=skydnc</v>
    <v>Learn more on Bing</v>
  </rv>
  <rv s="0">
    <v>536870912</v>
    <v>Rhein-Lahn-Kreis</v>
    <v>1583256c-ef22-fedc-bb97-68dd5278225e</v>
    <v>de-DE</v>
    <v>Map</v>
  </rv>
  <rv s="11">
    <v>#VALUE!</v>
    <v>de-DE</v>
    <v>29eccd3f-6e83-b18a-ce61-fdc6d2c0c645</v>
    <v>536870912</v>
    <v>1</v>
    <v>61</v>
    <v>17</v>
    <v>57</v>
    <v>Bad Ems</v>
    <v>5</v>
    <v>6</v>
    <v>Map</v>
    <v>7</v>
    <v>14</v>
    <v>229</v>
    <v>Bad Ems is a town in Rhineland-Palatinate, Germany. It is the administrative seat of the Rhein-Lahn rural district and is well known as a spa on the river Lahn. Bad Ems was the seat of Bad Ems collective municipality, which has been merged into ...</v>
    <v>230</v>
    <v>231</v>
    <v>232</v>
    <v>233</v>
    <v>21</v>
    <v>234</v>
    <v>235</v>
    <v>Bad Ems</v>
    <v>Bad Ems</v>
    <v>mdp/vdpid/7014514463638290433</v>
    <v>236</v>
  </rv>
  <rv s="0">
    <v>536870912</v>
    <v>Bad Harzburg</v>
    <v>bc5560d0-4942-8645-3bca-ec24a57799fa</v>
    <v>de-DE</v>
    <v>Map</v>
  </rv>
  <rv s="0">
    <v>805306368</v>
    <v>Ralf Abrahms (Mayor)</v>
    <v>cc071a82-2a93-90fc-99ac-6d314a506c94</v>
    <v>de-DE</v>
    <v>Generic</v>
  </rv>
  <rv s="1">
    <v>23</v>
  </rv>
  <rv s="2">
    <fb>21738</fb>
    <v>9</v>
  </rv>
  <rv s="3">
    <v>21</v>
    <v>7</v>
    <v>62</v>
    <v>7</v>
    <v>0</v>
    <v>Image of Bad Harzburg</v>
  </rv>
  <rv s="2">
    <fb>51.882777777778003</fb>
    <v>10</v>
  </rv>
  <rv s="2">
    <fb>65.52</fb>
    <v>9</v>
  </rv>
  <rv s="2">
    <fb>10.561666666667</fb>
    <v>10</v>
  </rv>
  <rv s="4">
    <v>https://www.bing.com/search?q=bad+harzburg&amp;form=skydnc</v>
    <v>Learn more on Bing</v>
  </rv>
  <rv s="0">
    <v>536870912</v>
    <v>Lower Saxony</v>
    <v>c91589e2-9db8-e9f2-b60d-1000c3502bc2</v>
    <v>de-DE</v>
    <v>Map</v>
  </rv>
  <rv s="0">
    <v>536870912</v>
    <v>Goslar</v>
    <v>2aad3452-bad8-433f-b48e-1e14a432bc1c</v>
    <v>de-DE</v>
    <v>Map</v>
  </rv>
  <rv s="6">
    <v>#VALUE!</v>
    <v>de-DE</v>
    <v>bc5560d0-4942-8645-3bca-ec24a57799fa</v>
    <v>536870912</v>
    <v>1</v>
    <v>63</v>
    <v>2</v>
    <v>13</v>
    <v>Bad Harzburg</v>
    <v>5</v>
    <v>6</v>
    <v>Map</v>
    <v>7</v>
    <v>14</v>
    <v>240</v>
    <v>Bad Harzburg is a spa town in central Germany, in the Goslar district of Lower Saxony. It lies on the northern edge of the Harz mountains and is a recognised saltwater spa and climatic health resort.</v>
    <v>241</v>
    <v>242</v>
    <v>243</v>
    <v>244</v>
    <v>21</v>
    <v>245</v>
    <v>246</v>
    <v>Bad Harzburg</v>
    <v>Bad Harzburg</v>
    <v>mdp/vdpid/7011976789710864385</v>
    <v>247</v>
    <v>248</v>
  </rv>
  <rv s="0">
    <v>536870912</v>
    <v>Bad Herrenalb</v>
    <v>45419f9d-09d1-f392-e97a-c638bafae724</v>
    <v>de-DE</v>
    <v>Map</v>
  </rv>
  <rv s="0">
    <v>805306368</v>
    <v>Klaus Hoffmann (Mayor)</v>
    <v>b34ba66a-d897-d8c0-6cec-b716421d14ec</v>
    <v>de-DE</v>
    <v>Generic</v>
  </rv>
  <rv s="1">
    <v>24</v>
  </rv>
  <rv s="2">
    <fb>8212</fb>
    <v>9</v>
  </rv>
  <rv s="3">
    <v>22</v>
    <v>7</v>
    <v>64</v>
    <v>7</v>
    <v>0</v>
    <v>Image of Bad Herrenalb</v>
  </rv>
  <rv s="2">
    <fb>48.800555555556002</fb>
    <v>10</v>
  </rv>
  <rv s="2">
    <fb>33.03</fb>
    <v>9</v>
  </rv>
  <rv s="2">
    <fb>8.4408333333333001</fb>
    <v>10</v>
  </rv>
  <rv s="4">
    <v>https://www.bing.com/search?q=bad+herrenalb+germany&amp;form=skydnc</v>
    <v>Learn more on Bing</v>
  </rv>
  <rv s="0">
    <v>536870912</v>
    <v>Calw District</v>
    <v>d4ee1113-9a6f-7963-f6af-229a38b2fe8c</v>
    <v>de-DE</v>
    <v>Map</v>
  </rv>
  <rv s="11">
    <v>#VALUE!</v>
    <v>de-DE</v>
    <v>45419f9d-09d1-f392-e97a-c638bafae724</v>
    <v>536870912</v>
    <v>1</v>
    <v>65</v>
    <v>17</v>
    <v>57</v>
    <v>Bad Herrenalb</v>
    <v>5</v>
    <v>6</v>
    <v>Map</v>
    <v>7</v>
    <v>14</v>
    <v>252</v>
    <v>Bad Herrenalb is a municipality in the district of Calw, in Baden-Württemberg, Germany. It is situated in the northern Black Forest, 15 km east of Baden-Baden, and 22 km southwest of Pforzheim. The town is connected to the city of Karlsruhe by ...</v>
    <v>253</v>
    <v>254</v>
    <v>255</v>
    <v>256</v>
    <v>21</v>
    <v>257</v>
    <v>258</v>
    <v>Bad Herrenalb</v>
    <v>Bad Herrenalb</v>
    <v>mdp/vdpid/7015218905283035137</v>
    <v>259</v>
  </rv>
  <rv s="0">
    <v>536870912</v>
    <v>Bad Hersfeld</v>
    <v>30f4183f-f9b5-f756-5512-26aad1031a00</v>
    <v>de-DE</v>
    <v>Map</v>
  </rv>
  <rv s="0">
    <v>805306368</v>
    <v>Anke Hofmann (Mayor)</v>
    <v>f2e79d6b-4bf1-f7d1-0789-bbeba27634eb</v>
    <v>de-DE</v>
    <v>Generic</v>
  </rv>
  <rv s="1">
    <v>25</v>
  </rv>
  <rv s="2">
    <fb>30652</fb>
    <v>9</v>
  </rv>
  <rv s="3">
    <v>23</v>
    <v>7</v>
    <v>66</v>
    <v>7</v>
    <v>0</v>
    <v>Image of Bad Hersfeld</v>
  </rv>
  <rv s="2">
    <fb>50.868333333332998</fb>
    <v>10</v>
  </rv>
  <rv s="2">
    <fb>73.87</fb>
    <v>9</v>
  </rv>
  <rv s="2">
    <fb>9.7066666666667007</fb>
    <v>10</v>
  </rv>
  <rv s="4">
    <v>https://www.bing.com/search?q=bad+hersfeld+germany&amp;form=skydnc</v>
    <v>Learn more on Bing</v>
  </rv>
  <rv s="0">
    <v>536870912</v>
    <v>Hersfeld-Rotenburg</v>
    <v>d6447677-23dd-afe2-49b1-d99a4a42b626</v>
    <v>de-DE</v>
    <v>Map</v>
  </rv>
  <rv s="10">
    <v>#VALUE!</v>
    <v>de-DE</v>
    <v>30f4183f-f9b5-f756-5512-26aad1031a00</v>
    <v>536870912</v>
    <v>1</v>
    <v>67</v>
    <v>39</v>
    <v>40</v>
    <v>Bad Hersfeld</v>
    <v>5</v>
    <v>6</v>
    <v>Map</v>
    <v>7</v>
    <v>14</v>
    <v>263</v>
    <v>The festival and spa town of Bad Hersfeld is the district seat of the Hersfeld-Rotenburg district in northeastern Hesse, Germany, roughly 50 km southeast of Kassel. Bad Hersfeld is known countrywide above all for the Bad Hersfelder Festspiele, ...</v>
    <v>264</v>
    <v>265</v>
    <v>266</v>
    <v>267</v>
    <v>21</v>
    <v>268</v>
    <v>269</v>
    <v>Bad Hersfeld</v>
    <v>Bad Hersfeld</v>
    <v>mdp/vdpid/7011958543934816257</v>
    <v>270</v>
  </rv>
  <rv s="0">
    <v>536870912</v>
    <v>Bad Kissingen</v>
    <v>535418b9-48fd-3372-4a3b-fd5ec136d781</v>
    <v>de-DE</v>
    <v>Map</v>
  </rv>
  <rv s="0">
    <v>805306368</v>
    <v>Dirk Vogel (Mayor)</v>
    <v>b0b73b9a-5053-f72f-4e81-f087ddccb02b</v>
    <v>de-DE</v>
    <v>Generic</v>
  </rv>
  <rv s="1">
    <v>26</v>
  </rv>
  <rv s="2">
    <fb>23037</fb>
    <v>9</v>
  </rv>
  <rv s="3">
    <v>24</v>
    <v>7</v>
    <v>68</v>
    <v>7</v>
    <v>0</v>
    <v>Image of Bad Kissingen</v>
  </rv>
  <rv s="2">
    <fb>50.2</fb>
    <v>10</v>
  </rv>
  <rv s="2">
    <fb>69.92</fb>
    <v>9</v>
  </rv>
  <rv s="2">
    <fb>10.0666666666667</fb>
    <v>10</v>
  </rv>
  <rv s="4">
    <v>https://www.bing.com/search?q=bad+kissingen&amp;form=skydnc</v>
    <v>Learn more on Bing</v>
  </rv>
  <rv s="0">
    <v>536870912</v>
    <v>Bad Kissingen</v>
    <v>33353eb3-936d-ed12-e04f-24c9e982f24f</v>
    <v>de-DE</v>
    <v>Map</v>
  </rv>
  <rv s="10">
    <v>#VALUE!</v>
    <v>de-DE</v>
    <v>535418b9-48fd-3372-4a3b-fd5ec136d781</v>
    <v>536870912</v>
    <v>1</v>
    <v>69</v>
    <v>39</v>
    <v>40</v>
    <v>Bad Kissingen</v>
    <v>5</v>
    <v>6</v>
    <v>Map</v>
    <v>7</v>
    <v>14</v>
    <v>274</v>
    <v>Bad Kissingen is a German spa town in the Bavarian region of Lower Franconia and seat of the district Bad Kissingen. Situated to the south of the Rhön Mountains on the Franconian Saale river, it is one of the health resorts, which became famous ...</v>
    <v>275</v>
    <v>276</v>
    <v>277</v>
    <v>278</v>
    <v>21</v>
    <v>279</v>
    <v>280</v>
    <v>Bad Kissingen</v>
    <v>Bad Kissingen</v>
    <v>mdp/vdpid/7015080337206149121</v>
    <v>281</v>
  </rv>
  <rv s="0">
    <v>536870912</v>
    <v>Bad Kohlgrub</v>
    <v>c3ea8754-8549-770f-c062-fd9240a7ff7c</v>
    <v>de-DE</v>
    <v>Map</v>
  </rv>
  <rv s="0">
    <v>805306368</v>
    <v>Franz Degele (Mayor)</v>
    <v>6b02c90c-8789-8330-03ad-f71ebeb89144</v>
    <v>de-DE</v>
    <v>Generic</v>
  </rv>
  <rv s="1">
    <v>27</v>
  </rv>
  <rv s="2">
    <fb>2869</fb>
    <v>9</v>
  </rv>
  <rv s="3">
    <v>25</v>
    <v>7</v>
    <v>70</v>
    <v>7</v>
    <v>0</v>
    <v>Image of Bad Kohlgrub</v>
  </rv>
  <rv s="2">
    <fb>47.666666666666998</fb>
    <v>10</v>
  </rv>
  <rv s="2">
    <fb>32.56</fb>
    <v>9</v>
  </rv>
  <rv s="2">
    <fb>11.05</fb>
    <v>10</v>
  </rv>
  <rv s="4">
    <v>https://www.bing.com/search?q=bad+kohlgrub&amp;form=skydnc</v>
    <v>Learn more on Bing</v>
  </rv>
  <rv s="0">
    <v>536870912</v>
    <v>Garmisch-Partenkirchen</v>
    <v>2b836e81-e6e7-5ddd-8602-12fa9147eadc</v>
    <v>de-DE</v>
    <v>Map</v>
  </rv>
  <rv s="10">
    <v>#VALUE!</v>
    <v>de-DE</v>
    <v>c3ea8754-8549-770f-c062-fd9240a7ff7c</v>
    <v>536870912</v>
    <v>1</v>
    <v>71</v>
    <v>39</v>
    <v>40</v>
    <v>Bad Kohlgrub</v>
    <v>5</v>
    <v>6</v>
    <v>Map</v>
    <v>7</v>
    <v>14</v>
    <v>285</v>
    <v>Bad Kohlgrub is a German municipality in the district of Garmisch-Partenkirchen, in Bavaria. It lies 12 kilometres west of Murnau am Staffelsee and 8 kilometres north of Oberammergau, and is connected to both by the Ammergau Railway.</v>
    <v>286</v>
    <v>287</v>
    <v>288</v>
    <v>289</v>
    <v>21</v>
    <v>290</v>
    <v>291</v>
    <v>Bad Kohlgrub</v>
    <v>Bad Kohlgrub</v>
    <v>mdp/vdpid/7016232071106396161</v>
    <v>292</v>
  </rv>
  <rv s="0">
    <v>536870912</v>
    <v>Bad Nauheim</v>
    <v>8a98a47a-eec2-1b30-a32c-c022bd3f76c1</v>
    <v>de-DE</v>
    <v>Map</v>
  </rv>
  <rv s="0">
    <v>805306368</v>
    <v>Klaus Kreß (Mayor)</v>
    <v>bcf8a8fd-87ce-20f3-b9eb-d209f1f9e2f3</v>
    <v>de-DE</v>
    <v>Generic</v>
  </rv>
  <rv s="1">
    <v>28</v>
  </rv>
  <rv s="2">
    <fb>33445</fb>
    <v>9</v>
  </rv>
  <rv s="3">
    <v>26</v>
    <v>7</v>
    <v>72</v>
    <v>7</v>
    <v>0</v>
    <v>Image of Bad Nauheim</v>
  </rv>
  <rv s="2">
    <fb>50.366666666666703</fb>
    <v>10</v>
  </rv>
  <rv s="2">
    <fb>32.54</fb>
    <v>9</v>
  </rv>
  <rv s="2">
    <fb>8.75</fb>
    <v>10</v>
  </rv>
  <rv s="4">
    <v>https://www.bing.com/search?q=bad+nauheim&amp;form=skydnc</v>
    <v>Learn more on Bing</v>
  </rv>
  <rv s="0">
    <v>536870912</v>
    <v>Darmstadt Government Region</v>
    <v>89ce492c-f7e6-40e6-9b82-44d84e1d5b1e</v>
    <v>de-DE</v>
    <v>Map</v>
  </rv>
  <rv s="0">
    <v>536870912</v>
    <v>Wetteraukreis</v>
    <v>76852082-8248-324c-65e1-57a61cbd60eb</v>
    <v>de-DE</v>
    <v>Map</v>
  </rv>
  <rv s="6">
    <v>#VALUE!</v>
    <v>de-DE</v>
    <v>8a98a47a-eec2-1b30-a32c-c022bd3f76c1</v>
    <v>536870912</v>
    <v>1</v>
    <v>73</v>
    <v>2</v>
    <v>13</v>
    <v>Bad Nauheim</v>
    <v>5</v>
    <v>6</v>
    <v>Map</v>
    <v>7</v>
    <v>14</v>
    <v>296</v>
    <v>Bad Nauheim is a town in the Wetteraukreis district of Hesse state of Germany. As of 2020, Bad Nauheim has a population of 32,493. The town is approximately 35 kilometres north of Frankfurt am Main, on the east edge of the Taunus mountain range. ...</v>
    <v>297</v>
    <v>298</v>
    <v>299</v>
    <v>300</v>
    <v>21</v>
    <v>301</v>
    <v>302</v>
    <v>Bad Nauheim</v>
    <v>Bad Nauheim</v>
    <v>mdp/vdpid/7014927015362953217</v>
    <v>303</v>
    <v>304</v>
  </rv>
  <rv s="0">
    <v>536870912</v>
    <v>Bad Salzungen</v>
    <v>67c55509-9ef1-c2c6-fb6a-e3ee6f2725c9</v>
    <v>de-DE</v>
    <v>Map</v>
  </rv>
  <rv s="0">
    <v>805306368</v>
    <v>Klaus Bohl (Mayor)</v>
    <v>57f2751d-8e70-2844-69fb-7bf1c6f2ded0</v>
    <v>de-DE</v>
    <v>Generic</v>
  </rv>
  <rv s="1">
    <v>29</v>
  </rv>
  <rv s="2">
    <fb>23013</fb>
    <v>9</v>
  </rv>
  <rv s="3">
    <v>27</v>
    <v>7</v>
    <v>74</v>
    <v>7</v>
    <v>0</v>
    <v>Image of Bad Salzungen</v>
  </rv>
  <rv s="2">
    <fb>50.811666666667001</fb>
    <v>10</v>
  </rv>
  <rv s="2">
    <fb>98.5</fb>
    <v>9</v>
  </rv>
  <rv s="2">
    <fb>10.233333333333</fb>
    <v>10</v>
  </rv>
  <rv s="4">
    <v>https://www.bing.com/search?q=bad+salzungen+germany&amp;form=skydnc</v>
    <v>Learn more on Bing</v>
  </rv>
  <rv s="0">
    <v>536870912</v>
    <v>Wartburgkreis</v>
    <v>bf5db24c-d9a2-32c8-fd3e-d80b65af41f3</v>
    <v>de-DE</v>
    <v>Map</v>
  </rv>
  <rv s="10">
    <v>#VALUE!</v>
    <v>de-DE</v>
    <v>67c55509-9ef1-c2c6-fb6a-e3ee6f2725c9</v>
    <v>536870912</v>
    <v>1</v>
    <v>75</v>
    <v>39</v>
    <v>40</v>
    <v>Bad Salzungen</v>
    <v>5</v>
    <v>6</v>
    <v>Map</v>
    <v>7</v>
    <v>14</v>
    <v>308</v>
    <v>Bad Salzungen is a town in Thuringia, Germany. It is the capital of the Wartburgkreis district.</v>
    <v>309</v>
    <v>310</v>
    <v>311</v>
    <v>312</v>
    <v>21</v>
    <v>313</v>
    <v>314</v>
    <v>Bad Salzungen</v>
    <v>Bad Salzungen</v>
    <v>mdp/vdpid/7012062068501118977</v>
    <v>315</v>
  </rv>
  <rv s="0">
    <v>536870912</v>
    <v>Bad Segeberg</v>
    <v>55cb63a8-1970-9a39-5487-dff788087a23</v>
    <v>de-DE</v>
    <v>Map</v>
  </rv>
  <rv s="0">
    <v>805306368</v>
    <v>Dieter Schönfeld (Mayor)</v>
    <v>2f19a780-7149-0f6e-ff1b-f421404099c5</v>
    <v>de-DE</v>
    <v>Generic</v>
  </rv>
  <rv s="1">
    <v>30</v>
  </rv>
  <rv s="2">
    <fb>18221</fb>
    <v>9</v>
  </rv>
  <rv s="3">
    <v>28</v>
    <v>7</v>
    <v>76</v>
    <v>7</v>
    <v>0</v>
    <v>Image of Bad Segeberg</v>
  </rv>
  <rv s="2">
    <fb>53.936111111111103</fb>
    <v>10</v>
  </rv>
  <rv s="2">
    <fb>18.87</fb>
    <v>9</v>
  </rv>
  <rv s="2">
    <fb>10.3097222222222</fb>
    <v>10</v>
  </rv>
  <rv s="4">
    <v>https://www.bing.com/search?q=bad+segeberg+germany&amp;form=skydnc</v>
    <v>Learn more on Bing</v>
  </rv>
  <rv s="0">
    <v>536870912</v>
    <v>Schleswig-Holstein</v>
    <v>6dde426c-96c7-18bd-f4e1-b41b7575557a</v>
    <v>de-DE</v>
    <v>Map</v>
  </rv>
  <rv s="0">
    <v>536870912</v>
    <v>Segeberg</v>
    <v>fcaba0b8-0d65-0d35-f64b-2ad5b55ec69b</v>
    <v>de-DE</v>
    <v>Map</v>
  </rv>
  <rv s="6">
    <v>#VALUE!</v>
    <v>de-DE</v>
    <v>55cb63a8-1970-9a39-5487-dff788087a23</v>
    <v>536870912</v>
    <v>1</v>
    <v>77</v>
    <v>2</v>
    <v>13</v>
    <v>Bad Segeberg</v>
    <v>5</v>
    <v>6</v>
    <v>Map</v>
    <v>7</v>
    <v>14</v>
    <v>319</v>
    <v>Bad Segeberg is a German town of 16,000 inhabitants, located in the state of Schleswig-Holstein, capital of the district Segeberg. It is situated approximately 50 kilometers northeast of Hamburg, and 25 kilometers west of Lübeck.</v>
    <v>320</v>
    <v>321</v>
    <v>322</v>
    <v>323</v>
    <v>21</v>
    <v>324</v>
    <v>325</v>
    <v>Bad Segeberg</v>
    <v>Bad Segeberg</v>
    <v>mdp/vdpid/7010923845427134465</v>
    <v>326</v>
    <v>327</v>
  </rv>
  <rv s="0">
    <v>536870912</v>
    <v>Bad Tölz</v>
    <v>cd945f22-e8e7-1d68-7e27-5557c8a20767</v>
    <v>de-DE</v>
    <v>Map</v>
  </rv>
  <rv s="0">
    <v>805306368</v>
    <v>Ingo Mehner (Mayor)</v>
    <v>46244ab0-59cc-09c8-3811-1eacb9ca7f07</v>
    <v>de-DE</v>
    <v>Generic</v>
  </rv>
  <rv s="1">
    <v>31</v>
  </rv>
  <rv s="2">
    <fb>19186</fb>
    <v>9</v>
  </rv>
  <rv s="3">
    <v>29</v>
    <v>7</v>
    <v>78</v>
    <v>7</v>
    <v>0</v>
    <v>Image of Bad Tölz</v>
  </rv>
  <rv s="2">
    <fb>47.760277777778001</fb>
    <v>10</v>
  </rv>
  <rv s="2">
    <fb>30.8</fb>
    <v>9</v>
  </rv>
  <rv s="2">
    <fb>11.556666666667001</fb>
    <v>10</v>
  </rv>
  <rv s="4">
    <v>https://www.bing.com/search?q=bad+tolz&amp;form=skydnc</v>
    <v>Learn more on Bing</v>
  </rv>
  <rv s="0">
    <v>536870912</v>
    <v>Bad Tölz-Wolfratshausen</v>
    <v>35f6f0e4-1d1f-6360-45ae-55ee38d10f46</v>
    <v>de-DE</v>
    <v>Map</v>
  </rv>
  <rv s="10">
    <v>#VALUE!</v>
    <v>de-DE</v>
    <v>cd945f22-e8e7-1d68-7e27-5557c8a20767</v>
    <v>536870912</v>
    <v>1</v>
    <v>79</v>
    <v>39</v>
    <v>40</v>
    <v>Bad Tölz</v>
    <v>5</v>
    <v>6</v>
    <v>Map</v>
    <v>7</v>
    <v>14</v>
    <v>331</v>
    <v>Bad Tölz is a town in Bavaria, Germany and the administrative center of the Bad Tölz-Wolfratshausen district.</v>
    <v>332</v>
    <v>333</v>
    <v>334</v>
    <v>335</v>
    <v>21</v>
    <v>336</v>
    <v>337</v>
    <v>Bad Tölz</v>
    <v>Bad Tölz</v>
    <v>mdp/vdpid/7022240700490055681</v>
    <v>338</v>
  </rv>
  <rv s="0">
    <v>536870912</v>
    <v>Bad Wildbad</v>
    <v>0492ca24-eccf-5f4f-7fe8-83526a18f7d2</v>
    <v>de-DE</v>
    <v>Map</v>
  </rv>
  <rv s="0">
    <v>805306368</v>
    <v>Marco Gauger (Mayor)</v>
    <v>35be2151-a199-b2ad-c2a7-d7424a704a66</v>
    <v>de-DE</v>
    <v>Generic</v>
  </rv>
  <rv s="1">
    <v>32</v>
  </rv>
  <rv s="2">
    <fb>10495</fb>
    <v>9</v>
  </rv>
  <rv s="3">
    <v>30</v>
    <v>7</v>
    <v>80</v>
    <v>7</v>
    <v>0</v>
    <v>Image of Bad Wildbad</v>
  </rv>
  <rv s="2">
    <fb>48.750277777778003</fb>
    <v>10</v>
  </rv>
  <rv s="2">
    <fb>105.27</fb>
    <v>9</v>
  </rv>
  <rv s="2">
    <fb>8.5505555555556008</fb>
    <v>10</v>
  </rv>
  <rv s="4">
    <v>https://www.bing.com/search?q=bad+wildbad&amp;form=skydnc</v>
    <v>Learn more on Bing</v>
  </rv>
  <rv s="11">
    <v>#VALUE!</v>
    <v>de-DE</v>
    <v>0492ca24-eccf-5f4f-7fe8-83526a18f7d2</v>
    <v>536870912</v>
    <v>1</v>
    <v>81</v>
    <v>17</v>
    <v>57</v>
    <v>Bad Wildbad</v>
    <v>5</v>
    <v>6</v>
    <v>Map</v>
    <v>7</v>
    <v>14</v>
    <v>342</v>
    <v>Bad Wildbad is a town in Germany, in the state of Baden-Württemberg. It is located in the government district of Karlsruhe and in the district of Calw. Its coordinates are 48° 45' N, 8° 33' E. About 10,130 people live there. The current mayor is ...</v>
    <v>343</v>
    <v>344</v>
    <v>345</v>
    <v>346</v>
    <v>21</v>
    <v>347</v>
    <v>348</v>
    <v>Bad Wildbad</v>
    <v>Bad Wildbad</v>
    <v>mdp/vdpid/7015220145236738049</v>
    <v>259</v>
  </rv>
  <rv s="0">
    <v>536870912</v>
    <v>Baden-Baden</v>
    <v>40ab7476-4a34-3d92-7b2c-3a37bf85dc9b</v>
    <v>de-DE</v>
    <v>Map</v>
  </rv>
  <rv s="0">
    <v>805306368</v>
    <v>Dietmar Späth (Mayor)</v>
    <v>45010262-273e-0a2e-c68a-9051c471a02a</v>
    <v>de-DE</v>
    <v>Generic</v>
  </rv>
  <rv s="1">
    <v>33</v>
  </rv>
  <rv s="2">
    <fb>57025</fb>
    <v>9</v>
  </rv>
  <rv s="3">
    <v>31</v>
    <v>7</v>
    <v>82</v>
    <v>7</v>
    <v>0</v>
    <v>Image of Baden-Baden</v>
  </rv>
  <rv s="2">
    <fb>48.761944444443998</fb>
    <v>10</v>
  </rv>
  <rv s="2">
    <fb>140.19</fb>
    <v>9</v>
  </rv>
  <rv s="2">
    <fb>8.2408333333333008</fb>
    <v>10</v>
  </rv>
  <rv s="4">
    <v>https://www.bing.com/search?q=baden-baden&amp;form=skydnc</v>
    <v>Learn more on Bing</v>
  </rv>
  <rv s="0">
    <v>536870912</v>
    <v>Baden-Württemberg</v>
    <v>e4767d1d-15fd-a8bd-1fcd-f8214d3c189f</v>
    <v>de-DE</v>
    <v>Map</v>
  </rv>
  <rv s="11">
    <v>#VALUE!</v>
    <v>de-DE</v>
    <v>40ab7476-4a34-3d92-7b2c-3a37bf85dc9b</v>
    <v>536870912</v>
    <v>1</v>
    <v>83</v>
    <v>17</v>
    <v>57</v>
    <v>Baden-Baden</v>
    <v>5</v>
    <v>6</v>
    <v>Map</v>
    <v>7</v>
    <v>14</v>
    <v>352</v>
    <v>Baden-Baden is a spa town in the state of Baden-Württemberg, south-western Germany, at the north-western border of the Black Forest mountain range on the small river Oos, ten kilometres east of the Rhine, the border with France, and forty ...</v>
    <v>353</v>
    <v>354</v>
    <v>355</v>
    <v>356</v>
    <v>21</v>
    <v>357</v>
    <v>358</v>
    <v>Baden-Baden</v>
    <v>Baden-Baden</v>
    <v>mdp/vdpid/7014841165929250817</v>
    <v>359</v>
  </rv>
  <rv s="0">
    <v>536870912</v>
    <v>Badenweiler</v>
    <v>9d4dde52-ba8d-2a91-62d1-ebb118b1d343</v>
    <v>de-DE</v>
    <v>Map</v>
  </rv>
  <rv s="0">
    <v>805306368</v>
    <v>Vincenz Wissler (Mayor)</v>
    <v>17311b7e-5c5b-effa-9517-85e16494b21d</v>
    <v>de-DE</v>
    <v>Generic</v>
  </rv>
  <rv s="1">
    <v>34</v>
  </rv>
  <rv s="2">
    <fb>4574</fb>
    <v>9</v>
  </rv>
  <rv s="3">
    <v>32</v>
    <v>7</v>
    <v>84</v>
    <v>7</v>
    <v>0</v>
    <v>Image of Badenweiler</v>
  </rv>
  <rv s="2">
    <fb>47.801666666667003</fb>
    <v>10</v>
  </rv>
  <rv s="2">
    <fb>13.02</fb>
    <v>9</v>
  </rv>
  <rv s="2">
    <fb>7.6719444444444003</fb>
    <v>10</v>
  </rv>
  <rv s="4">
    <v>https://www.bing.com/search?q=badenweiler+germany&amp;form=skydnc</v>
    <v>Learn more on Bing</v>
  </rv>
  <rv s="0">
    <v>536870912</v>
    <v>Freiburg Government Region</v>
    <v>83363dc9-1cad-5661-be36-043de80b4f37</v>
    <v>de-DE</v>
    <v>Map</v>
  </rv>
  <rv s="11">
    <v>#VALUE!</v>
    <v>de-DE</v>
    <v>9d4dde52-ba8d-2a91-62d1-ebb118b1d343</v>
    <v>536870912</v>
    <v>1</v>
    <v>85</v>
    <v>17</v>
    <v>57</v>
    <v>Badenweiler</v>
    <v>5</v>
    <v>6</v>
    <v>Map</v>
    <v>7</v>
    <v>14</v>
    <v>363</v>
    <v>Badenweiler is a health resort and spa in the Breisgau-Hochschwarzwald district of Baden-Württemberg, Germany, historically in the Markgräflerland. It is 28 kilometers by road and rail from Basel, 10 kilometers from the French border, and 20 ...</v>
    <v>364</v>
    <v>365</v>
    <v>366</v>
    <v>367</v>
    <v>21</v>
    <v>368</v>
    <v>369</v>
    <v>Badenweiler</v>
    <v>Badenweiler</v>
    <v>mdp/vdpid/7015634631592509441</v>
    <v>370</v>
  </rv>
  <rv s="0">
    <v>536870912</v>
    <v>Bamberg</v>
    <v>026031ee-f3e5-bc22-ed59-575c60759159</v>
    <v>de-DE</v>
    <v>Map</v>
  </rv>
  <rv s="0">
    <v>805306368</v>
    <v>Andreas Starke (Mayor)</v>
    <v>86b7367a-84c7-9f6b-9f95-c35a910a4f4f</v>
    <v>de-DE</v>
    <v>Generic</v>
  </rv>
  <rv s="1">
    <v>35</v>
  </rv>
  <rv s="2">
    <fb>79935</fb>
    <v>9</v>
  </rv>
  <rv s="3">
    <v>33</v>
    <v>7</v>
    <v>86</v>
    <v>7</v>
    <v>0</v>
    <v>Image of Bamberg</v>
  </rv>
  <rv s="2">
    <fb>49.891666666667</fb>
    <v>10</v>
  </rv>
  <rv s="2">
    <fb>54.62</fb>
    <v>9</v>
  </rv>
  <rv s="2">
    <fb>10.891666666667</fb>
    <v>10</v>
  </rv>
  <rv s="4">
    <v>https://www.bing.com/search?q=bamberg&amp;form=skydnc</v>
    <v>Learn more on Bing</v>
  </rv>
  <rv s="9">
    <v>#VALUE!</v>
    <v>de-DE</v>
    <v>026031ee-f3e5-bc22-ed59-575c60759159</v>
    <v>536870912</v>
    <v>1</v>
    <v>87</v>
    <v>27</v>
    <v>28</v>
    <v>Bamberg</v>
    <v>5</v>
    <v>6</v>
    <v>Map</v>
    <v>7</v>
    <v>14</v>
    <v>374</v>
    <v>Bamberg is a town in Upper Franconia district in Bavaria, Germany, on the river Regnitz close to its confluence with the river Main. Bamberg had 79,000 inhabitants in 2022. The town dates back to the 9th century, when its name was derived from ...</v>
    <v>375</v>
    <v>376</v>
    <v>377</v>
    <v>378</v>
    <v>21</v>
    <v>379</v>
    <v>380</v>
    <v>Bamberg</v>
    <v>Bamberg</v>
    <v>mdp/vdpid/7015174966509305857</v>
  </rv>
  <rv s="0">
    <v>536870912</v>
    <v>Bautzen</v>
    <v>c71bbf8c-ebe2-9ae9-efcf-9509022c275f</v>
    <v>de-DE</v>
    <v>Map</v>
  </rv>
  <rv s="0">
    <v>805306368</v>
    <v>Karsten Vogt (Mayor)</v>
    <v>9290f8ed-6c1f-3d6d-d389-240e46e42a93</v>
    <v>de-DE</v>
    <v>Generic</v>
  </rv>
  <rv s="1">
    <v>36</v>
  </rv>
  <rv s="2">
    <fb>38140</fb>
    <v>9</v>
  </rv>
  <rv s="3">
    <v>34</v>
    <v>7</v>
    <v>88</v>
    <v>7</v>
    <v>0</v>
    <v>Image of Bautzen</v>
  </rv>
  <rv s="2">
    <fb>51.181388888889003</fb>
    <v>10</v>
  </rv>
  <rv s="2">
    <fb>66.67</fb>
    <v>9</v>
  </rv>
  <rv s="2">
    <fb>14.423888888889</fb>
    <v>10</v>
  </rv>
  <rv s="4">
    <v>https://www.bing.com/search?q=bautzen&amp;form=skydnc</v>
    <v>Learn more on Bing</v>
  </rv>
  <rv s="0">
    <v>536870912</v>
    <v>Bautzen District</v>
    <v>406345cc-5f02-566c-f879-091b31393dfd</v>
    <v>de-DE</v>
    <v>Map</v>
  </rv>
  <rv s="6">
    <v>#VALUE!</v>
    <v>de-DE</v>
    <v>c71bbf8c-ebe2-9ae9-efcf-9509022c275f</v>
    <v>536870912</v>
    <v>1</v>
    <v>89</v>
    <v>2</v>
    <v>13</v>
    <v>Bautzen</v>
    <v>5</v>
    <v>6</v>
    <v>Map</v>
    <v>7</v>
    <v>14</v>
    <v>384</v>
    <v>Bautzen or Budyšin, until 1868 Budissin in German, is a town in eastern Saxony, Germany, and the administrative centre of the district of Bautzen. It is located on the Spree river, is the eighth most populous town in Saxony, and is the seat of ...</v>
    <v>385</v>
    <v>386</v>
    <v>387</v>
    <v>388</v>
    <v>21</v>
    <v>389</v>
    <v>390</v>
    <v>Bautzen</v>
    <v>Bautzen</v>
    <v>mdp/vdpid/7018659151219785729</v>
    <v>106</v>
    <v>391</v>
  </rv>
  <rv s="0">
    <v>536870912</v>
    <v>Bayreuth</v>
    <v>87ec2eca-721b-1981-54b6-2cf653277435</v>
    <v>de-DE</v>
    <v>Map</v>
  </rv>
  <rv s="0">
    <v>805306368</v>
    <v>Thomas Ebersberger (Mayor)</v>
    <v>b3a0faeb-f5fc-f3ce-bdcb-39f5ffe23858</v>
    <v>de-DE</v>
    <v>Generic</v>
  </rv>
  <rv s="1">
    <v>37</v>
  </rv>
  <rv s="2">
    <fb>74506</fb>
    <v>9</v>
  </rv>
  <rv s="3">
    <v>35</v>
    <v>7</v>
    <v>90</v>
    <v>7</v>
    <v>0</v>
    <v>Image of Bayreuth</v>
  </rv>
  <rv s="2">
    <fb>49.948055555556003</fb>
    <v>10</v>
  </rv>
  <rv s="2">
    <fb>66.89</fb>
    <v>9</v>
  </rv>
  <rv s="2">
    <fb>11.578333333332999</fb>
    <v>10</v>
  </rv>
  <rv s="4">
    <v>https://www.bing.com/search?q=bayreuth&amp;form=skydnc</v>
    <v>Learn more on Bing</v>
  </rv>
  <rv s="9">
    <v>#VALUE!</v>
    <v>de-DE</v>
    <v>87ec2eca-721b-1981-54b6-2cf653277435</v>
    <v>536870912</v>
    <v>1</v>
    <v>91</v>
    <v>27</v>
    <v>28</v>
    <v>Bayreuth</v>
    <v>5</v>
    <v>6</v>
    <v>Map</v>
    <v>7</v>
    <v>14</v>
    <v>395</v>
    <v>Bayreuth is a town in northern Bavaria, Germany, on the Red Main river in a valley between the Franconian Jura and the Fichtel Mountains. The town's roots date back to 1194. In the 21st century, it is the capital of Upper Franconia and has a ...</v>
    <v>396</v>
    <v>397</v>
    <v>398</v>
    <v>399</v>
    <v>21</v>
    <v>400</v>
    <v>401</v>
    <v>Bayreuth</v>
    <v>Bayreuth</v>
    <v>mdp/vdpid/7021143935460311041</v>
  </rv>
  <rv s="0">
    <v>536870912</v>
    <v>Beckum</v>
    <v>db144076-e31e-0a9e-8218-f49ad3a06273</v>
    <v>de-DE</v>
    <v>Map</v>
  </rv>
  <rv s="0">
    <v>805306368</v>
    <v>Michael Gerdhenrich (Mayor)</v>
    <v>600b64f4-9deb-c307-a8d9-91645a3c3950</v>
    <v>de-DE</v>
    <v>Generic</v>
  </rv>
  <rv s="1">
    <v>38</v>
  </rv>
  <rv s="2">
    <fb>37333</fb>
    <v>9</v>
  </rv>
  <rv s="3">
    <v>36</v>
    <v>7</v>
    <v>92</v>
    <v>7</v>
    <v>0</v>
    <v>Image of Beckum, Germany</v>
  </rv>
  <rv s="2">
    <fb>51.755833333333001</fb>
    <v>10</v>
  </rv>
  <rv s="2">
    <fb>39</fb>
    <v>9</v>
  </rv>
  <rv s="2">
    <fb>8.0408333333332997</fb>
    <v>10</v>
  </rv>
  <rv s="4">
    <v>https://www.bing.com/search?q=beckum+germany&amp;form=skydnc</v>
    <v>Learn more on Bing</v>
  </rv>
  <rv s="0">
    <v>536870912</v>
    <v>North Rhine-Westphalia</v>
    <v>7192ac29-308b-9018-2da7-1d16b5afb233</v>
    <v>de-DE</v>
    <v>Map</v>
  </rv>
  <rv s="6">
    <v>#VALUE!</v>
    <v>de-DE</v>
    <v>db144076-e31e-0a9e-8218-f49ad3a06273</v>
    <v>536870912</v>
    <v>1</v>
    <v>93</v>
    <v>2</v>
    <v>13</v>
    <v>Beckum, Germany</v>
    <v>5</v>
    <v>6</v>
    <v>Map</v>
    <v>7</v>
    <v>14</v>
    <v>405</v>
    <v>Beckum is a town in the northern part of North Rhine-Westphalia, Germany. It is about 20 km north-east of Hamm and 35 km south-east of Münster. It gives its name to the nearby Beckum Hills.</v>
    <v>406</v>
    <v>407</v>
    <v>408</v>
    <v>409</v>
    <v>21</v>
    <v>410</v>
    <v>411</v>
    <v>Beckum, Germany</v>
    <v>Beckum, Germany</v>
    <v>mdp/vdpid/7011450569009135617</v>
    <v>412</v>
    <v>25</v>
  </rv>
  <rv s="0">
    <v>536870912</v>
    <v>Beerfelden</v>
    <v>c25884e5-09e6-e32f-6746-4431a6589ef3</v>
    <v>de-DE</v>
    <v>Map</v>
  </rv>
  <rv s="2">
    <fb>6399</fb>
    <v>9</v>
  </rv>
  <rv s="3">
    <v>37</v>
    <v>7</v>
    <v>94</v>
    <v>7</v>
    <v>0</v>
    <v>Image of Beerfelden</v>
  </rv>
  <rv s="2">
    <fb>49.567569444443997</fb>
    <v>10</v>
  </rv>
  <rv s="2">
    <fb>71.180000000000007</fb>
    <v>9</v>
  </rv>
  <rv s="2">
    <fb>8.9737500000000008</fb>
    <v>10</v>
  </rv>
  <rv s="4">
    <v>https://www.bing.com/search?q=beerfelden+germany&amp;form=skydnc</v>
    <v>Learn more on Bing</v>
  </rv>
  <rv s="0">
    <v>536870912</v>
    <v>Odenwald</v>
    <v>6f74eb19-57a3-d602-226b-5ff10e19f619</v>
    <v>de-DE</v>
    <v>Map</v>
  </rv>
  <rv s="12">
    <v>#VALUE!</v>
    <v>de-DE</v>
    <v>c25884e5-09e6-e32f-6746-4431a6589ef3</v>
    <v>536870912</v>
    <v>1</v>
    <v>95</v>
    <v>17</v>
    <v>96</v>
    <v>Beerfelden</v>
    <v>5</v>
    <v>6</v>
    <v>Map</v>
    <v>7</v>
    <v>97</v>
    <v>Beerfelden was a town in the Odenwald in the Odenwaldkreis in Hesse, Germany, 28 km northeast of Heidelberg. On 1 January 2018 Beerfelden, Hesseneck, Rothenberg and Sensbachtal merged to create the town Oberzent.</v>
    <v>415</v>
    <v>416</v>
    <v>417</v>
    <v>418</v>
    <v>21</v>
    <v>419</v>
    <v>420</v>
    <v>Beerfelden</v>
    <v>Beerfelden</v>
    <v>mdp/vdpid/7015006603287986177</v>
    <v>421</v>
  </rv>
  <rv s="0">
    <v>536870912</v>
    <v>Bensheim</v>
    <v>c17c2013-3e27-2e3c-01e2-0c12da6e50a3</v>
    <v>de-DE</v>
    <v>Map</v>
  </rv>
  <rv s="0">
    <v>805306368</v>
    <v>Christine Klein (Mayor)</v>
    <v>344c8410-4a6a-f15c-9eaf-6f2aea7b5b5a</v>
    <v>de-DE</v>
    <v>Generic</v>
  </rv>
  <rv s="1">
    <v>39</v>
  </rv>
  <rv s="2">
    <fb>42089</fb>
    <v>9</v>
  </rv>
  <rv s="3">
    <v>38</v>
    <v>7</v>
    <v>98</v>
    <v>7</v>
    <v>0</v>
    <v>Image of Bensheim</v>
  </rv>
  <rv s="2">
    <fb>49.681111111111001</fb>
    <v>10</v>
  </rv>
  <rv s="2">
    <fb>57.83</fb>
    <v>9</v>
  </rv>
  <rv s="2">
    <fb>8.6227777777778005</fb>
    <v>10</v>
  </rv>
  <rv s="4">
    <v>https://www.bing.com/search?q=bensheim&amp;form=skydnc</v>
    <v>Learn more on Bing</v>
  </rv>
  <rv s="0">
    <v>536870912</v>
    <v>Bergstraße</v>
    <v>3cae602b-72ca-e611-573e-95029c9cce4d</v>
    <v>de-DE</v>
    <v>Map</v>
  </rv>
  <rv s="6">
    <v>#VALUE!</v>
    <v>de-DE</v>
    <v>c17c2013-3e27-2e3c-01e2-0c12da6e50a3</v>
    <v>536870912</v>
    <v>1</v>
    <v>99</v>
    <v>2</v>
    <v>13</v>
    <v>Bensheim</v>
    <v>5</v>
    <v>6</v>
    <v>Map</v>
    <v>7</v>
    <v>14</v>
    <v>425</v>
    <v>Bensheim is a town in the Bergstraße district in southern Hessen, Germany. Bensheim lies on the Bergstraße and at the edge of the Odenwald mountains while at the same time having an open view over the Rhine plain. With about 40,000 inhabitants, ...</v>
    <v>426</v>
    <v>427</v>
    <v>428</v>
    <v>429</v>
    <v>21</v>
    <v>430</v>
    <v>431</v>
    <v>Bensheim</v>
    <v>Bensheim</v>
    <v>mdp/vdpid/7014997183837503489</v>
    <v>303</v>
    <v>432</v>
  </rv>
  <rv s="0">
    <v>536870912</v>
    <v>Berchtesgaden</v>
    <v>e2e492b2-a219-7864-980a-feded0ecc060</v>
    <v>de-DE</v>
    <v>Map</v>
  </rv>
  <rv s="0">
    <v>805306368</v>
    <v>Franz Rasp (Mayor)</v>
    <v>76294ff6-cfd6-effc-e029-594adaf2fa5e</v>
    <v>de-DE</v>
    <v>Generic</v>
  </rv>
  <rv s="1">
    <v>40</v>
  </rv>
  <rv s="2">
    <fb>7623</fb>
    <v>9</v>
  </rv>
  <rv s="3">
    <v>39</v>
    <v>7</v>
    <v>100</v>
    <v>7</v>
    <v>0</v>
    <v>Image of Berchtesgaden</v>
  </rv>
  <rv s="2">
    <fb>47.631388888888999</fb>
    <v>10</v>
  </rv>
  <rv s="2">
    <fb>35.630000000000003</fb>
    <v>9</v>
  </rv>
  <rv s="2">
    <fb>13.004166666667</fb>
    <v>10</v>
  </rv>
  <rv s="4">
    <v>https://www.bing.com/search?q=berchtesgaden&amp;form=skydnc</v>
    <v>Learn more on Bing</v>
  </rv>
  <rv s="0">
    <v>536870912</v>
    <v>Berchtesgadener Land</v>
    <v>92f40338-8856-27d7-829c-f59b8cff86bd</v>
    <v>de-DE</v>
    <v>Map</v>
  </rv>
  <rv s="10">
    <v>#VALUE!</v>
    <v>de-DE</v>
    <v>e2e492b2-a219-7864-980a-feded0ecc060</v>
    <v>536870912</v>
    <v>1</v>
    <v>101</v>
    <v>39</v>
    <v>40</v>
    <v>Berchtesgaden</v>
    <v>5</v>
    <v>6</v>
    <v>Map</v>
    <v>7</v>
    <v>14</v>
    <v>436</v>
    <v>Berchtesgaden is a municipality in the district Berchtesgadener Land, Bavaria, in southeastern Germany, near the border with Austria, 30 km south of Salzburg and 180 km southeast of Munich. It lies in the Berchtesgaden Alps. South of the town, ...</v>
    <v>437</v>
    <v>438</v>
    <v>439</v>
    <v>440</v>
    <v>21</v>
    <v>441</v>
    <v>442</v>
    <v>Berchtesgaden</v>
    <v>Berchtesgaden</v>
    <v>mdp/vdpid/7022391809804337153</v>
    <v>443</v>
  </rv>
  <rv s="0">
    <v>536870912</v>
    <v>Bergen auf Rügen</v>
    <v>ec3a78e6-0765-30bc-ba6e-8a46ec6aa250</v>
    <v>de-DE</v>
    <v>Map</v>
  </rv>
  <rv s="0">
    <v>805306368</v>
    <v>Andrea Köster (Mayor)</v>
    <v>f21c158c-cb82-8ec7-e412-a0c38c268eb1</v>
    <v>de-DE</v>
    <v>Generic</v>
  </rv>
  <rv s="1">
    <v>41</v>
  </rv>
  <rv s="2">
    <fb>13689</fb>
    <v>9</v>
  </rv>
  <rv s="3">
    <v>40</v>
    <v>7</v>
    <v>102</v>
    <v>7</v>
    <v>0</v>
    <v>Image of Bergen auf Rügen</v>
  </rv>
  <rv s="2">
    <fb>54.416666666666998</fb>
    <v>10</v>
  </rv>
  <rv s="2">
    <fb>51.49</fb>
    <v>9</v>
  </rv>
  <rv s="2">
    <fb>13.433333333333</fb>
    <v>10</v>
  </rv>
  <rv s="4">
    <v>https://www.bing.com/search?q=bergen+auf+r%c3%bcgen&amp;form=skydnc</v>
    <v>Learn more on Bing</v>
  </rv>
  <rv s="0">
    <v>536870912</v>
    <v>Vorpommern-Rügen District</v>
    <v>153013f9-3684-d386-3682-8948599cc60b</v>
    <v>de-DE</v>
    <v>Map</v>
  </rv>
  <rv s="6">
    <v>#VALUE!</v>
    <v>de-DE</v>
    <v>ec3a78e6-0765-30bc-ba6e-8a46ec6aa250</v>
    <v>536870912</v>
    <v>1</v>
    <v>103</v>
    <v>2</v>
    <v>13</v>
    <v>Bergen auf Rügen</v>
    <v>5</v>
    <v>6</v>
    <v>Map</v>
    <v>7</v>
    <v>14</v>
    <v>447</v>
    <v>Bergen auf Rügen is the capital of the former district of Rügen in the middle of the island of Rügen in Mecklenburg-Western Pomerania, Germany. Since 1 January 2005, Bergen has moreover been the administrative seat of the Amt of Bergen auf ...</v>
    <v>448</v>
    <v>449</v>
    <v>450</v>
    <v>451</v>
    <v>21</v>
    <v>452</v>
    <v>453</v>
    <v>Bergen auf Rügen</v>
    <v>Bergen auf Rügen</v>
    <v>mdp/vdpid/7017085711778054145</v>
    <v>94</v>
    <v>454</v>
  </rv>
  <rv s="0">
    <v>536870912</v>
    <v>Bergisch Gladbach</v>
    <v>2d863c85-4962-96dc-baf5-f03cce812983</v>
    <v>de-DE</v>
    <v>Map</v>
  </rv>
  <rv s="0">
    <v>805306368</v>
    <v>Frank Stein (Mayor)</v>
    <v>b347d00b-1afb-1a96-cc6f-e8f3ccaa90fc</v>
    <v>de-DE</v>
    <v>Generic</v>
  </rv>
  <rv s="1">
    <v>42</v>
  </rv>
  <rv s="2">
    <fb>112712</fb>
    <v>9</v>
  </rv>
  <rv s="3">
    <v>41</v>
    <v>7</v>
    <v>104</v>
    <v>7</v>
    <v>0</v>
    <v>Image of Bergisch Gladbach</v>
  </rv>
  <rv s="2">
    <fb>50.991666666667001</fb>
    <v>10</v>
  </rv>
  <rv s="2">
    <fb>83.09</fb>
    <v>9</v>
  </rv>
  <rv s="2">
    <fb>7.1366666666666996</fb>
    <v>10</v>
  </rv>
  <rv s="4">
    <v>https://www.bing.com/search?q=bergisch+gladbach&amp;form=skydnc</v>
    <v>Learn more on Bing</v>
  </rv>
  <rv s="0">
    <v>536870912</v>
    <v>Rhein-Berg District</v>
    <v>e8262fea-14b0-0ce4-f354-573104c22218</v>
    <v>de-DE</v>
    <v>Map</v>
  </rv>
  <rv s="6">
    <v>#VALUE!</v>
    <v>de-DE</v>
    <v>2d863c85-4962-96dc-baf5-f03cce812983</v>
    <v>536870912</v>
    <v>1</v>
    <v>105</v>
    <v>2</v>
    <v>13</v>
    <v>Bergisch Gladbach</v>
    <v>5</v>
    <v>6</v>
    <v>Map</v>
    <v>7</v>
    <v>14</v>
    <v>458</v>
    <v>Bergisch Gladbach is a city in the Cologne/Bonn Region of North Rhine-Westphalia, Germany, and capital of the Rheinisch-Bergischer Kreis.</v>
    <v>459</v>
    <v>460</v>
    <v>461</v>
    <v>462</v>
    <v>21</v>
    <v>463</v>
    <v>464</v>
    <v>Bergisch Gladbach</v>
    <v>Bergisch Gladbach</v>
    <v>mdp/vdpid/7011477023591759873</v>
    <v>10</v>
    <v>465</v>
  </rv>
  <rv s="0">
    <v>536870912</v>
    <v>Berlin</v>
    <v>42784943-7c23-7672-5527-06f89b965cdf</v>
    <v>de-DE</v>
    <v>Map</v>
  </rv>
  <rv s="0">
    <v>805306368</v>
    <v>Franziska Giffey (Mayor)</v>
    <v>0f36a115-cd69-74b0-1ad8-5ee6074d7916</v>
    <v>de-DE</v>
    <v>Generic</v>
  </rv>
  <rv s="1">
    <v>43</v>
  </rv>
  <rv s="2">
    <fb>3755251</fb>
    <v>9</v>
  </rv>
  <rv s="3">
    <v>42</v>
    <v>7</v>
    <v>106</v>
    <v>7</v>
    <v>0</v>
    <v>Image of Berlin</v>
  </rv>
  <rv s="2">
    <fb>891.12</fb>
    <v>9</v>
  </rv>
  <rv s="2">
    <fb>1794936</fb>
    <v>9</v>
  </rv>
  <rv s="4">
    <v>https://www.bing.com/search?q=berlin+germany&amp;form=skydnc</v>
    <v>Learn more on Bing</v>
  </rv>
  <rv s="1">
    <v>44</v>
  </rv>
  <rv s="2">
    <fb>1.83</fb>
    <v>113</v>
  </rv>
  <rv s="2">
    <fb>1868905</fb>
    <v>9</v>
  </rv>
  <rv s="13">
    <v>#VALUE!</v>
    <v>de-DE</v>
    <v>42784943-7c23-7672-5527-06f89b965cdf</v>
    <v>536870912</v>
    <v>1</v>
    <v>109</v>
    <v>110</v>
    <v>111</v>
    <v>Berlin</v>
    <v>5</v>
    <v>6</v>
    <v>Map</v>
    <v>7</v>
    <v>112</v>
    <v>DE-BE</v>
    <v>469</v>
    <v>Berlin is the capital and largest city of Germany by both area and by population. Its more than 3.85 million inhabitants make it the European Union's most populous city, according to population within city limits. Simultaneously, the city is one ...</v>
    <v>470</v>
    <v>471</v>
    <v>472</v>
    <v>473</v>
    <v>21</v>
    <v>474</v>
    <v>Berlin</v>
    <v>475</v>
    <v>476</v>
    <v>Berlin</v>
    <v>mdp/vdpid/7017957146650214401</v>
    <v>477</v>
  </rv>
  <rv s="0">
    <v>536870912</v>
    <v>Bernau bei Berlin</v>
    <v>0ac32e5e-8ade-b9f4-baa4-8c219a5faf10</v>
    <v>de-DE</v>
    <v>Map</v>
  </rv>
  <rv s="0">
    <v>805306368</v>
    <v>André Stahl (Mayor)</v>
    <v>2a99eb75-b996-4107-d56b-e91bc4c5bab5</v>
    <v>de-DE</v>
    <v>Generic</v>
  </rv>
  <rv s="1">
    <v>45</v>
  </rv>
  <rv s="2">
    <fb>43685</fb>
    <v>9</v>
  </rv>
  <rv s="3">
    <v>43</v>
    <v>7</v>
    <v>114</v>
    <v>7</v>
    <v>0</v>
    <v>Image of Bernau bei Berlin</v>
  </rv>
  <rv s="2">
    <fb>52.666666666666998</fb>
    <v>10</v>
  </rv>
  <rv s="2">
    <fb>104.17</fb>
    <v>9</v>
  </rv>
  <rv s="2">
    <fb>13.583055555555999</fb>
    <v>10</v>
  </rv>
  <rv s="4">
    <v>https://www.bing.com/search?q=bernau+bei+berlin+germany&amp;form=skydnc</v>
    <v>Learn more on Bing</v>
  </rv>
  <rv s="0">
    <v>536870912</v>
    <v>Brandenburg</v>
    <v>c841173c-24ae-1249-8be1-c2ff2ec02111</v>
    <v>de-DE</v>
    <v>Map</v>
  </rv>
  <rv s="0">
    <v>536870912</v>
    <v>Barnim District</v>
    <v>ca18853e-748f-3744-136e-396bf291a754</v>
    <v>de-DE</v>
    <v>Map</v>
  </rv>
  <rv s="6">
    <v>#VALUE!</v>
    <v>de-DE</v>
    <v>0ac32e5e-8ade-b9f4-baa4-8c219a5faf10</v>
    <v>536870912</v>
    <v>1</v>
    <v>115</v>
    <v>2</v>
    <v>13</v>
    <v>Bernau bei Berlin</v>
    <v>5</v>
    <v>6</v>
    <v>Map</v>
    <v>7</v>
    <v>14</v>
    <v>481</v>
    <v>Bernau bei Berlin is a town in the Barnim district in Brandenburg in eastern Germany, located about 10 km northeast of Berlin.</v>
    <v>482</v>
    <v>483</v>
    <v>484</v>
    <v>485</v>
    <v>21</v>
    <v>486</v>
    <v>487</v>
    <v>Bernau bei Berlin</v>
    <v>Bernau bei Berlin</v>
    <v>mdp/vdpid/7017982951115718657</v>
    <v>488</v>
    <v>489</v>
  </rv>
  <rv s="0">
    <v>536870912</v>
    <v>Bernburg</v>
    <v>d8768ee4-3009-54a5-9ef8-7dc3924daa08</v>
    <v>de-DE</v>
    <v>Map</v>
  </rv>
  <rv s="0">
    <v>805306368</v>
    <v>Silvia Ristow (Mayor)</v>
    <v>03db9b9c-45be-3fdc-803d-8464bec0895a</v>
    <v>de-DE</v>
    <v>Generic</v>
  </rv>
  <rv s="1">
    <v>46</v>
  </rv>
  <rv s="2">
    <fb>32261</fb>
    <v>9</v>
  </rv>
  <rv s="3">
    <v>44</v>
    <v>7</v>
    <v>116</v>
    <v>7</v>
    <v>0</v>
    <v>Image of Bernburg</v>
  </rv>
  <rv s="2">
    <fb>51.8</fb>
    <v>10</v>
  </rv>
  <rv s="2">
    <fb>113.48</fb>
    <v>9</v>
  </rv>
  <rv s="2">
    <fb>11.733333333333</fb>
    <v>10</v>
  </rv>
  <rv s="4">
    <v>https://www.bing.com/search?q=bernburg+germany&amp;form=skydnc</v>
    <v>Learn more on Bing</v>
  </rv>
  <rv s="11">
    <v>#VALUE!</v>
    <v>de-DE</v>
    <v>d8768ee4-3009-54a5-9ef8-7dc3924daa08</v>
    <v>536870912</v>
    <v>1</v>
    <v>117</v>
    <v>17</v>
    <v>57</v>
    <v>Bernburg</v>
    <v>5</v>
    <v>6</v>
    <v>Map</v>
    <v>7</v>
    <v>14</v>
    <v>493</v>
    <v>Bernburg is a town in Saxony-Anhalt, Germany, capital of the Salzlandkreis district. The former residence of the Anhalt-Bernburg princes is known for its Renaissance castle.</v>
    <v>494</v>
    <v>495</v>
    <v>496</v>
    <v>497</v>
    <v>21</v>
    <v>498</v>
    <v>499</v>
    <v>Bernburg</v>
    <v>Bernburg</v>
    <v>mdp/vdpid/7018029772869468161</v>
    <v>171</v>
  </rv>
  <rv s="0">
    <v>536870912</v>
    <v>Bernkastel-Kues</v>
    <v>6cd3f698-2dab-dd1a-ed46-4e1719f00e14</v>
    <v>de-DE</v>
    <v>Map</v>
  </rv>
  <rv s="0">
    <v>805306368</v>
    <v>Wolfgang Port (Mayor)</v>
    <v>8d3a25ed-62bf-6fed-2fca-c66c4ba480cf</v>
    <v>de-DE</v>
    <v>Generic</v>
  </rv>
  <rv s="1">
    <v>47</v>
  </rv>
  <rv s="2">
    <fb>7156</fb>
    <v>9</v>
  </rv>
  <rv s="3">
    <v>45</v>
    <v>7</v>
    <v>118</v>
    <v>7</v>
    <v>0</v>
    <v>Image of Bernkastel-Kues</v>
  </rv>
  <rv s="2">
    <fb>49.916111111111</fb>
    <v>10</v>
  </rv>
  <rv s="2">
    <fb>23.71</fb>
    <v>9</v>
  </rv>
  <rv s="2">
    <fb>7.0694444444444002</fb>
    <v>10</v>
  </rv>
  <rv s="4">
    <v>https://www.bing.com/search?q=bernkastel-kues&amp;form=skydnc</v>
    <v>Learn more on Bing</v>
  </rv>
  <rv s="0">
    <v>536870912</v>
    <v>Bernkastel-Wittlich</v>
    <v>64f3a45f-969d-5654-119a-12915aaf9c50</v>
    <v>de-DE</v>
    <v>Map</v>
  </rv>
  <rv s="6">
    <v>#VALUE!</v>
    <v>de-DE</v>
    <v>6cd3f698-2dab-dd1a-ed46-4e1719f00e14</v>
    <v>536870912</v>
    <v>1</v>
    <v>119</v>
    <v>2</v>
    <v>13</v>
    <v>Bernkastel-Kues</v>
    <v>5</v>
    <v>6</v>
    <v>Map</v>
    <v>7</v>
    <v>14</v>
    <v>503</v>
    <v>Bernkastel-Kues is a town on the Middle Mosel in the Bernkastel-Wittlich district in Rhineland-Palatinate, Germany. It is a well-known winegrowing centre. The town is a state-recognized health resort, seat of the Verbandsgemeinde of ...</v>
    <v>504</v>
    <v>505</v>
    <v>506</v>
    <v>507</v>
    <v>21</v>
    <v>508</v>
    <v>509</v>
    <v>Bernkastel-Kues</v>
    <v>Bernkastel-Kues</v>
    <v>mdp/vdpid/7014567692694716417</v>
    <v>60</v>
    <v>510</v>
  </rv>
  <rv s="0">
    <v>536870912</v>
    <v>Berus</v>
    <v>df8ef6ca-6e0f-835b-a81e-03d266a70b1d</v>
    <v>de-DE</v>
    <v>Map</v>
  </rv>
  <rv s="2">
    <fb>2053</fb>
    <v>9</v>
  </rv>
  <rv s="3">
    <v>46</v>
    <v>7</v>
    <v>120</v>
    <v>7</v>
    <v>0</v>
    <v>Image of Berus</v>
  </rv>
  <rv s="2">
    <fb>49.2639</fb>
    <v>10</v>
  </rv>
  <rv s="2">
    <fb>11.8</fb>
    <v>9</v>
  </rv>
  <rv s="2">
    <fb>6.6941699999999997</fb>
    <v>10</v>
  </rv>
  <rv s="4">
    <v>https://www.bing.com/search?q=berus&amp;form=skydnc</v>
    <v>Learn more on Bing</v>
  </rv>
  <rv s="0">
    <v>536870912</v>
    <v>Saarlouis</v>
    <v>477d6560-1177-4edc-b948-4adcd2d59d5e</v>
    <v>de-DE</v>
    <v>Map</v>
  </rv>
  <rv s="0">
    <v>536870912</v>
    <v>Überherrn</v>
    <v>f1105835-1f20-a5db-3aaa-24cc08a07da6</v>
    <v>de-DE</v>
    <v>Map</v>
  </rv>
  <rv s="8">
    <v>#VALUE!</v>
    <v>de-DE</v>
    <v>df8ef6ca-6e0f-835b-a81e-03d266a70b1d</v>
    <v>536870912</v>
    <v>1</v>
    <v>122</v>
    <v>2</v>
    <v>22</v>
    <v>Berus</v>
    <v>5</v>
    <v>6</v>
    <v>Map</v>
    <v>7</v>
    <v>123</v>
    <v>Berus is a village in the municipality of Überherrn in the district of Saarlouis, Saarland, southwestern Germany. Until December 1973, Berus was a municipality of its own.</v>
    <v>513</v>
    <v>514</v>
    <v>515</v>
    <v>516</v>
    <v>21</v>
    <v>517</v>
    <v>518</v>
    <v>Berus</v>
    <v>Berus</v>
    <v>mdp/vdpid/7014493961511239681</v>
    <v>519</v>
    <v>520</v>
  </rv>
  <rv s="0">
    <v>536870912</v>
    <v>Biedenkopf</v>
    <v>ecf06ff8-3b26-7a08-4e8a-465ac39be497</v>
    <v>de-DE</v>
    <v>Map</v>
  </rv>
  <rv s="0">
    <v>805306368</v>
    <v>Jochen Achenbach (Mayor)</v>
    <v>fb640932-9c36-b472-efe8-908f144f3959</v>
    <v>de-DE</v>
    <v>Generic</v>
  </rv>
  <rv s="1">
    <v>48</v>
  </rv>
  <rv s="2">
    <fb>13703</fb>
    <v>9</v>
  </rv>
  <rv s="3">
    <v>47</v>
    <v>7</v>
    <v>124</v>
    <v>7</v>
    <v>0</v>
    <v>Image of Biedenkopf</v>
  </rv>
  <rv s="2">
    <fb>50.912777777777997</fb>
    <v>10</v>
  </rv>
  <rv s="2">
    <fb>90.31</fb>
    <v>9</v>
  </rv>
  <rv s="2">
    <fb>8.5322222222222006</fb>
    <v>10</v>
  </rv>
  <rv s="4">
    <v>https://www.bing.com/search?q=biedenkopf+germany&amp;form=skydnc</v>
    <v>Learn more on Bing</v>
  </rv>
  <rv s="0">
    <v>536870912</v>
    <v>Marburg-Biedenkopf</v>
    <v>8f289eaa-a0a2-75d7-ea99-1d4f5ca2eb62</v>
    <v>de-DE</v>
    <v>Map</v>
  </rv>
  <rv s="10">
    <v>#VALUE!</v>
    <v>de-DE</v>
    <v>ecf06ff8-3b26-7a08-4e8a-465ac39be497</v>
    <v>536870912</v>
    <v>1</v>
    <v>125</v>
    <v>39</v>
    <v>40</v>
    <v>Biedenkopf</v>
    <v>5</v>
    <v>6</v>
    <v>Map</v>
    <v>7</v>
    <v>14</v>
    <v>524</v>
    <v>Biedenkopf is a spa town in western Hesse, Germany with a population of 13,491.</v>
    <v>525</v>
    <v>526</v>
    <v>527</v>
    <v>528</v>
    <v>21</v>
    <v>529</v>
    <v>530</v>
    <v>Biedenkopf</v>
    <v>Biedenkopf</v>
    <v>mdp/vdpid/7011911959008247809</v>
    <v>531</v>
  </rv>
  <rv s="0">
    <v>536870912</v>
    <v>Bielefeld</v>
    <v>75da0b38-c7db-f325-a59f-2070748c8674</v>
    <v>de-DE</v>
    <v>Map</v>
  </rv>
  <rv s="0">
    <v>805306368</v>
    <v>Pit Clausen (Mayor)</v>
    <v>f4d197e7-c7e5-6855-39ee-ff0e3e087252</v>
    <v>de-DE</v>
    <v>Generic</v>
  </rv>
  <rv s="1">
    <v>49</v>
  </rv>
  <rv s="2">
    <fb>338332</fb>
    <v>9</v>
  </rv>
  <rv s="3">
    <v>48</v>
    <v>7</v>
    <v>126</v>
    <v>7</v>
    <v>0</v>
    <v>Image of Bielefeld</v>
  </rv>
  <rv s="2">
    <fb>52.016666666667</fb>
    <v>10</v>
  </rv>
  <rv s="2">
    <fb>258.82</fb>
    <v>9</v>
  </rv>
  <rv s="2">
    <fb>8.5333333333332995</fb>
    <v>10</v>
  </rv>
  <rv s="4">
    <v>https://www.bing.com/search?q=bielefeld&amp;form=skydnc</v>
    <v>Learn more on Bing</v>
  </rv>
  <rv s="11">
    <v>#VALUE!</v>
    <v>de-DE</v>
    <v>75da0b38-c7db-f325-a59f-2070748c8674</v>
    <v>536870912</v>
    <v>1</v>
    <v>127</v>
    <v>17</v>
    <v>57</v>
    <v>Bielefeld</v>
    <v>5</v>
    <v>6</v>
    <v>Map</v>
    <v>7</v>
    <v>14</v>
    <v>535</v>
    <v>Bielefeld is a city in the Ostwestfalen-Lippe Region in the north-east of North Rhine-Westphalia, Germany. With a population of 341,755, it is also the most populous city in the administrative region of Detmold and the 18th largest city in Germany.</v>
    <v>536</v>
    <v>537</v>
    <v>538</v>
    <v>539</v>
    <v>21</v>
    <v>540</v>
    <v>541</v>
    <v>Bielefeld</v>
    <v>Bielefeld</v>
    <v>mdp/vdpid/7011637837384646657</v>
    <v>412</v>
  </rv>
  <rv s="0">
    <v>536870912</v>
    <v>Bingen am Rhein</v>
    <v>953643e5-ceb4-16e0-6116-9a1f1edcac72</v>
    <v>de-DE</v>
    <v>Map</v>
  </rv>
  <rv s="0">
    <v>805306368</v>
    <v>Thomas Feser (Mayor)</v>
    <v>695ebff8-ea02-8a19-f005-418c7cf8e6b9</v>
    <v>de-DE</v>
    <v>Generic</v>
  </rv>
  <rv s="1">
    <v>50</v>
  </rv>
  <rv s="2">
    <fb>26309</fb>
    <v>9</v>
  </rv>
  <rv s="3">
    <v>49</v>
    <v>7</v>
    <v>128</v>
    <v>7</v>
    <v>0</v>
    <v>Image of Bingen am Rhein</v>
  </rv>
  <rv s="2">
    <fb>49.966944444444003</fb>
    <v>10</v>
  </rv>
  <rv s="2">
    <fb>37.71</fb>
    <v>9</v>
  </rv>
  <rv s="2">
    <fb>7.8949999999999996</fb>
    <v>10</v>
  </rv>
  <rv s="4">
    <v>https://www.bing.com/search?q=bingen+am+rhein&amp;form=skydnc</v>
    <v>Learn more on Bing</v>
  </rv>
  <rv s="0">
    <v>536870912</v>
    <v>Mainz-Bingen</v>
    <v>e3890ad6-c9b2-b4aa-f96f-5cc4f8c33564</v>
    <v>de-DE</v>
    <v>Map</v>
  </rv>
  <rv s="6">
    <v>#VALUE!</v>
    <v>de-DE</v>
    <v>953643e5-ceb4-16e0-6116-9a1f1edcac72</v>
    <v>536870912</v>
    <v>1</v>
    <v>129</v>
    <v>2</v>
    <v>13</v>
    <v>Bingen am Rhein</v>
    <v>5</v>
    <v>6</v>
    <v>Map</v>
    <v>7</v>
    <v>14</v>
    <v>545</v>
    <v>Bingen am Rhein is a town in the Mainz-Bingen district in Rhineland-Palatinate, Germany. The settlement's original name was Bingium, a Celtic word that may have meant "hole in the rock", a description of the shoal behind the Mäuseturm, known as ...</v>
    <v>546</v>
    <v>547</v>
    <v>548</v>
    <v>549</v>
    <v>21</v>
    <v>550</v>
    <v>551</v>
    <v>Bingen am Rhein</v>
    <v>Bingen am Rhein</v>
    <v>mdp/vdpid/7014556252764110849</v>
    <v>60</v>
    <v>552</v>
  </rv>
  <rv s="0">
    <v>536870912</v>
    <v>Birkenfeld</v>
    <v>8fc307d2-be56-9a92-e504-29cfdf5727e4</v>
    <v>de-DE</v>
    <v>Map</v>
  </rv>
  <rv s="0">
    <v>805306368</v>
    <v>Miroslaw Kowalski (Mayor)</v>
    <v>89ef5c82-c761-0797-c91b-c1f83ade1b50</v>
    <v>de-DE</v>
    <v>Generic</v>
  </rv>
  <rv s="1">
    <v>51</v>
  </rv>
  <rv s="2">
    <fb>7220</fb>
    <v>9</v>
  </rv>
  <rv s="3">
    <v>50</v>
    <v>7</v>
    <v>130</v>
    <v>7</v>
    <v>0</v>
    <v>Image of Birkenfeld</v>
  </rv>
  <rv s="2">
    <fb>49.65</fb>
    <v>10</v>
  </rv>
  <rv s="2">
    <fb>13.64</fb>
    <v>9</v>
  </rv>
  <rv s="2">
    <fb>7.1833333333332998</fb>
    <v>10</v>
  </rv>
  <rv s="4">
    <v>https://www.bing.com/search?q=birkenfeld+germany&amp;form=skydnc</v>
    <v>Learn more on Bing</v>
  </rv>
  <rv s="0">
    <v>536870912</v>
    <v>Birkenfeld</v>
    <v>5c341a38-9c7f-4bc0-8a7f-dade2565441a</v>
    <v>de-DE</v>
    <v>Map</v>
  </rv>
  <rv s="11">
    <v>#VALUE!</v>
    <v>de-DE</v>
    <v>8fc307d2-be56-9a92-e504-29cfdf5727e4</v>
    <v>536870912</v>
    <v>1</v>
    <v>131</v>
    <v>17</v>
    <v>57</v>
    <v>Birkenfeld</v>
    <v>5</v>
    <v>6</v>
    <v>Map</v>
    <v>7</v>
    <v>14</v>
    <v>556</v>
    <v>Birkenfeld is a town and the district seat of the Birkenfeld district in southwest Rhineland-Palatinate, Germany. It is also the seat of the like-named Verbandsgemeinde. The town itself has approximately 7,000 inhabitants.</v>
    <v>557</v>
    <v>558</v>
    <v>559</v>
    <v>560</v>
    <v>21</v>
    <v>561</v>
    <v>562</v>
    <v>Birkenfeld</v>
    <v>Birkenfeld</v>
    <v>mdp/vdpid/7014573640687550465</v>
    <v>563</v>
  </rv>
  <rv s="0">
    <v>536870912</v>
    <v>Bitterfeld</v>
    <v>e524afe8-cbac-565a-d461-eec87abad3cb</v>
    <v>de-DE</v>
    <v>Map</v>
  </rv>
  <rv s="2">
    <fb>15376</fb>
    <v>9</v>
  </rv>
  <rv s="3">
    <v>51</v>
    <v>7</v>
    <v>132</v>
    <v>7</v>
    <v>0</v>
    <v>Image of Bitterfeld</v>
  </rv>
  <rv s="2">
    <fb>51.623888888888999</fb>
    <v>10</v>
  </rv>
  <rv s="2">
    <fb>27.85</fb>
    <v>9</v>
  </rv>
  <rv s="2">
    <fb>12.33</fb>
    <v>10</v>
  </rv>
  <rv s="4">
    <v>https://www.bing.com/search?q=bitterfeld+germany&amp;form=skydnc</v>
    <v>Learn more on Bing</v>
  </rv>
  <rv s="0">
    <v>536870912</v>
    <v>Anhalt-Bitterfeld</v>
    <v>db89f86c-d848-81ee-826d-bbca30ab68d5</v>
    <v>de-DE</v>
    <v>Map</v>
  </rv>
  <rv s="0">
    <v>536870912</v>
    <v>Bitterfeld-Wolfen</v>
    <v>c6818434-4926-ca16-eb0f-ae88a09f9a08</v>
    <v>de-DE</v>
    <v>Map</v>
  </rv>
  <rv s="8">
    <v>#VALUE!</v>
    <v>de-DE</v>
    <v>e524afe8-cbac-565a-d461-eec87abad3cb</v>
    <v>536870912</v>
    <v>1</v>
    <v>133</v>
    <v>2</v>
    <v>22</v>
    <v>Bitterfeld</v>
    <v>5</v>
    <v>6</v>
    <v>Map</v>
    <v>7</v>
    <v>134</v>
    <v>Bitterfeld is a town in the district of Anhalt-Bitterfeld, Saxony-Anhalt, Germany. Since 1 July 2007 it has been part of the town of Bitterfeld-Wolfen. It is situated approximately 25 km south of Dessau, and 30 km northeast of Halle. At the end ...</v>
    <v>566</v>
    <v>567</v>
    <v>568</v>
    <v>569</v>
    <v>21</v>
    <v>570</v>
    <v>571</v>
    <v>Bitterfeld</v>
    <v>Bitterfeld</v>
    <v>mdp/vdpid/7018077297303355393</v>
    <v>572</v>
    <v>573</v>
  </rv>
  <rv s="0">
    <v>536870912</v>
    <v>Blankenburg</v>
    <v>4caa45f6-8c88-21a6-8177-74f22125d40b</v>
    <v>de-DE</v>
    <v>Map</v>
  </rv>
  <rv s="0">
    <v>805306368</v>
    <v>Heiko Breithaupt (Mayor)</v>
    <v>19fef1c6-877e-b01f-2f37-90ce88450299</v>
    <v>de-DE</v>
    <v>Generic</v>
  </rv>
  <rv s="1">
    <v>52</v>
  </rv>
  <rv s="2">
    <fb>19161</fb>
    <v>9</v>
  </rv>
  <rv s="3">
    <v>52</v>
    <v>7</v>
    <v>135</v>
    <v>7</v>
    <v>0</v>
    <v>Image of Blankenburg</v>
  </rv>
  <rv s="2">
    <fb>51.795277777777997</fb>
    <v>10</v>
  </rv>
  <rv s="2">
    <fb>148.94</fb>
    <v>9</v>
  </rv>
  <rv s="2">
    <fb>10.962222222222</fb>
    <v>10</v>
  </rv>
  <rv s="4">
    <v>https://www.bing.com/search?q=blankenburg+germany&amp;form=skydnc</v>
    <v>Learn more on Bing</v>
  </rv>
  <rv s="0">
    <v>536870912</v>
    <v>Harz District</v>
    <v>b288065a-d134-175a-5fa3-cf48b1ccb341</v>
    <v>de-DE</v>
    <v>Map</v>
  </rv>
  <rv s="11">
    <v>#VALUE!</v>
    <v>de-DE</v>
    <v>4caa45f6-8c88-21a6-8177-74f22125d40b</v>
    <v>536870912</v>
    <v>1</v>
    <v>136</v>
    <v>17</v>
    <v>57</v>
    <v>Blankenburg</v>
    <v>5</v>
    <v>6</v>
    <v>Map</v>
    <v>7</v>
    <v>14</v>
    <v>577</v>
    <v>Blankenburg is a town and health resort in the district of Harz in Saxony-Anhalt, Germany, at the north foot of the Harz Mountains, 12 miles southwest of Halberstadt. It has been largely rebuilt since an 1836 fire, and possesses a castle with ...</v>
    <v>578</v>
    <v>579</v>
    <v>580</v>
    <v>581</v>
    <v>21</v>
    <v>582</v>
    <v>583</v>
    <v>Blankenburg</v>
    <v>Blankenburg</v>
    <v>mdp/vdpid/7012012389419712513</v>
    <v>584</v>
  </rv>
  <rv s="0">
    <v>536870912</v>
    <v>Blankenrath</v>
    <v>fd7e04a6-a859-eb45-790d-dc46e194dc15</v>
    <v>de-DE</v>
    <v>Map</v>
  </rv>
  <rv s="0">
    <v>805306368</v>
    <v>Jochen Hansen (Mayor)</v>
    <v>32dd6501-a4b7-816d-b3d4-dced2a72a25a</v>
    <v>de-DE</v>
    <v>Generic</v>
  </rv>
  <rv s="1">
    <v>53</v>
  </rv>
  <rv s="2">
    <fb>1697</fb>
    <v>9</v>
  </rv>
  <rv s="3">
    <v>53</v>
    <v>7</v>
    <v>137</v>
    <v>7</v>
    <v>0</v>
    <v>Image of Blankenrath</v>
  </rv>
  <rv s="2">
    <fb>50.039166666667001</fb>
    <v>10</v>
  </rv>
  <rv s="2">
    <fb>4.59</fb>
    <v>9</v>
  </rv>
  <rv s="2">
    <fb>7.3022222222222002</fb>
    <v>10</v>
  </rv>
  <rv s="4">
    <v>https://www.bing.com/search?q=blankenrath+%22rhineland+palatinate%22&amp;form=skydnc</v>
    <v>Learn more on Bing</v>
  </rv>
  <rv s="0">
    <v>536870912</v>
    <v>Cochem-Zell</v>
    <v>756f866b-7d0b-5309-1310-111c289da26c</v>
    <v>de-DE</v>
    <v>Map</v>
  </rv>
  <rv s="6">
    <v>#VALUE!</v>
    <v>de-DE</v>
    <v>fd7e04a6-a859-eb45-790d-dc46e194dc15</v>
    <v>536870912</v>
    <v>1</v>
    <v>138</v>
    <v>2</v>
    <v>13</v>
    <v>Blankenrath</v>
    <v>5</v>
    <v>6</v>
    <v>Map</v>
    <v>7</v>
    <v>14</v>
    <v>588</v>
    <v>Blankenrath is an Ortsgemeinde – a municipality belonging to a Verbandsgemeinde, a kind of collective municipality – in the Cochem-Zell district in Rhineland-Palatinate, Germany. It belongs to the Verbandsgemeinde of Zell, whose seat is in the ...</v>
    <v>589</v>
    <v>590</v>
    <v>591</v>
    <v>592</v>
    <v>21</v>
    <v>593</v>
    <v>594</v>
    <v>Blankenrath</v>
    <v>Blankenrath</v>
    <v>mdp/vdpid/7014522202766704641</v>
    <v>60</v>
    <v>595</v>
  </rv>
  <rv s="0">
    <v>536870912</v>
    <v>Böblingen</v>
    <v>3f359071-b554-966d-72a2-4c2b2606d9df</v>
    <v>de-DE</v>
    <v>Map</v>
  </rv>
  <rv s="0">
    <v>805306368</v>
    <v>Stefan Belz (Mayor)</v>
    <v>09f77142-5d92-754c-93a1-ecdd8a2f7126</v>
    <v>de-DE</v>
    <v>Generic</v>
  </rv>
  <rv s="1">
    <v>54</v>
  </rv>
  <rv s="2">
    <fb>51460</fb>
    <v>9</v>
  </rv>
  <rv s="3">
    <v>54</v>
    <v>7</v>
    <v>139</v>
    <v>7</v>
    <v>0</v>
    <v>Image of Böblingen</v>
  </rv>
  <rv s="2">
    <fb>48.683332999999998</fb>
    <v>10</v>
  </rv>
  <rv s="2">
    <fb>39.04</fb>
    <v>9</v>
  </rv>
  <rv s="2">
    <fb>9</fb>
    <v>10</v>
  </rv>
  <rv s="4">
    <v>https://www.bing.com/search?q=b%c3%b6blingen&amp;form=skydnc</v>
    <v>Learn more on Bing</v>
  </rv>
  <rv s="0">
    <v>536870912</v>
    <v>Stuttgart Government Region</v>
    <v>e109f2df-f417-89f5-4e2f-fe2e4dcac601</v>
    <v>de-DE</v>
    <v>Map</v>
  </rv>
  <rv s="0">
    <v>536870912</v>
    <v>Böblingen district</v>
    <v>fda5b336-1c61-48b5-a68a-526d448409e8</v>
    <v>de-DE</v>
    <v>Map</v>
  </rv>
  <rv s="6">
    <v>#VALUE!</v>
    <v>de-DE</v>
    <v>3f359071-b554-966d-72a2-4c2b2606d9df</v>
    <v>536870912</v>
    <v>1</v>
    <v>140</v>
    <v>2</v>
    <v>13</v>
    <v>Böblingen</v>
    <v>5</v>
    <v>6</v>
    <v>Map</v>
    <v>7</v>
    <v>14</v>
    <v>599</v>
    <v>Böblingen is a town in Baden-Württemberg, Germany, seat of Böblingen District. Sindelfingen and Böblingen are contiguous.</v>
    <v>600</v>
    <v>601</v>
    <v>602</v>
    <v>603</v>
    <v>21</v>
    <v>604</v>
    <v>605</v>
    <v>Böblingen</v>
    <v>Böblingen</v>
    <v>mdp/vdpid/7015231582248108033</v>
    <v>606</v>
    <v>607</v>
  </rv>
  <rv s="0">
    <v>536870912</v>
    <v>Bocholt</v>
    <v>f11e5288-a65e-415c-6119-0655c8c9ef63</v>
    <v>de-DE</v>
    <v>Map</v>
  </rv>
  <rv s="0">
    <v>805306368</v>
    <v>Thomas Kerkhoff (Mayor)</v>
    <v>067cdaa6-c771-2384-3095-dc5e216faa3d</v>
    <v>de-DE</v>
    <v>Generic</v>
  </rv>
  <rv s="1">
    <v>55</v>
  </rv>
  <rv s="2">
    <fb>71930</fb>
    <v>9</v>
  </rv>
  <rv s="3">
    <v>55</v>
    <v>7</v>
    <v>141</v>
    <v>7</v>
    <v>0</v>
    <v>Image of Bocholt, Germany</v>
  </rv>
  <rv s="2">
    <fb>51.833333333333002</fb>
    <v>10</v>
  </rv>
  <rv s="2">
    <fb>119.4</fb>
    <v>9</v>
  </rv>
  <rv s="2">
    <fb>6.6166666666667</fb>
    <v>10</v>
  </rv>
  <rv s="4">
    <v>https://www.bing.com/search?q=bocholt+germany&amp;form=skydnc</v>
    <v>Learn more on Bing</v>
  </rv>
  <rv s="0">
    <v>536870912</v>
    <v>Borken</v>
    <v>611f423e-1400-89c6-44c9-aff42f28e841</v>
    <v>de-DE</v>
    <v>Map</v>
  </rv>
  <rv s="6">
    <v>#VALUE!</v>
    <v>de-DE</v>
    <v>f11e5288-a65e-415c-6119-0655c8c9ef63</v>
    <v>536870912</v>
    <v>1</v>
    <v>142</v>
    <v>2</v>
    <v>13</v>
    <v>Bocholt, Germany</v>
    <v>5</v>
    <v>6</v>
    <v>Map</v>
    <v>7</v>
    <v>14</v>
    <v>611</v>
    <v>Bocholt is a city in the north-west of North Rhine-Westphalia, Germany, part of the district Borken. It is situated 4 km south of the border with the Netherlands. Suderwick is part of Bocholt and is situated at the border annex to Dinxperlo.</v>
    <v>612</v>
    <v>613</v>
    <v>614</v>
    <v>615</v>
    <v>21</v>
    <v>616</v>
    <v>617</v>
    <v>Bocholt, Germany</v>
    <v>Bocholt, Germany</v>
    <v>mdp/vdpid/7011299628758859777</v>
    <v>24</v>
    <v>618</v>
  </rv>
  <rv s="0">
    <v>536870912</v>
    <v>Bochum</v>
    <v>ee0e732f-eaac-4707-80d2-10cf0470978a</v>
    <v>de-DE</v>
    <v>Map</v>
  </rv>
  <rv s="0">
    <v>805306368</v>
    <v>Thomas Eiskirch (Mayor)</v>
    <v>37c6f8a5-7590-61ce-bf49-f3bca11ba2ad</v>
    <v>de-DE</v>
    <v>Generic</v>
  </rv>
  <rv s="1">
    <v>56</v>
  </rv>
  <rv s="2">
    <fb>363441</fb>
    <v>9</v>
  </rv>
  <rv s="3">
    <v>56</v>
    <v>7</v>
    <v>143</v>
    <v>7</v>
    <v>0</v>
    <v>Image of Bochum</v>
  </rv>
  <rv s="2">
    <fb>51.483333333333</fb>
    <v>10</v>
  </rv>
  <rv s="2">
    <fb>145.66</fb>
    <v>9</v>
  </rv>
  <rv s="2">
    <fb>7.2166666666666996</fb>
    <v>10</v>
  </rv>
  <rv s="4">
    <v>https://www.bing.com/search?q=bochum&amp;form=skydnc</v>
    <v>Learn more on Bing</v>
  </rv>
  <rv s="11">
    <v>#VALUE!</v>
    <v>de-DE</v>
    <v>ee0e732f-eaac-4707-80d2-10cf0470978a</v>
    <v>536870912</v>
    <v>1</v>
    <v>144</v>
    <v>17</v>
    <v>57</v>
    <v>Bochum</v>
    <v>5</v>
    <v>6</v>
    <v>Map</v>
    <v>7</v>
    <v>8</v>
    <v>622</v>
    <v>Bochum is a city in North Rhine-Westphalia. With a population of 372,348, it is the sixth largest city in one of the most populous German federal states of North Rhine-Westphalia, and the 16th largest city of Germany. On the Ruhr Heights hill ...</v>
    <v>623</v>
    <v>624</v>
    <v>625</v>
    <v>626</v>
    <v>21</v>
    <v>627</v>
    <v>628</v>
    <v>Bochum</v>
    <v>Bochum</v>
    <v>mdp/vdpid/7011425833101295617</v>
    <v>412</v>
  </rv>
  <rv s="0">
    <v>536870912</v>
    <v>Bonn</v>
    <v>9a15a622-4ab9-d21d-c209-2b913a032827</v>
    <v>de-DE</v>
    <v>Map</v>
  </rv>
  <rv s="0">
    <v>805306368</v>
    <v>Katja Dörner (Mayor)</v>
    <v>704d10c5-567c-284e-85ef-3470b126adff</v>
    <v>de-DE</v>
    <v>Generic</v>
  </rv>
  <rv s="1">
    <v>57</v>
  </rv>
  <rv s="2">
    <fb>336465</fb>
    <v>9</v>
  </rv>
  <rv s="3">
    <v>57</v>
    <v>7</v>
    <v>145</v>
    <v>7</v>
    <v>0</v>
    <v>Image of Bonn</v>
  </rv>
  <rv s="2">
    <fb>50.733888888888998</fb>
    <v>10</v>
  </rv>
  <rv s="2">
    <fb>141.06</fb>
    <v>9</v>
  </rv>
  <rv s="2">
    <fb>7.0997222222221996</fb>
    <v>10</v>
  </rv>
  <rv s="4">
    <v>https://www.bing.com/search?q=bonn&amp;form=skydnc</v>
    <v>Learn more on Bing</v>
  </rv>
  <rv s="6">
    <v>#VALUE!</v>
    <v>de-DE</v>
    <v>9a15a622-4ab9-d21d-c209-2b913a032827</v>
    <v>536870912</v>
    <v>1</v>
    <v>146</v>
    <v>2</v>
    <v>13</v>
    <v>Bonn</v>
    <v>5</v>
    <v>6</v>
    <v>Map</v>
    <v>7</v>
    <v>14</v>
    <v>632</v>
    <v>Bonn is a federal city in the German state of North Rhine-Westphalia, located on the banks of the Rhine. It has a population of over 300,000. About 24 km south-southeast of Cologne, Bonn is in the southernmost part of the Rhine-Ruhr region, ...</v>
    <v>633</v>
    <v>634</v>
    <v>635</v>
    <v>636</v>
    <v>21</v>
    <v>637</v>
    <v>638</v>
    <v>Bonn</v>
    <v>Bonn</v>
    <v>mdp/vdpid/7011496888939577345</v>
    <v>412</v>
    <v>10</v>
  </rv>
  <rv s="0">
    <v>536870912</v>
    <v>Borkum</v>
    <v>17c4f974-599e-384d-e17b-634efbb5920d</v>
    <v>de-DE</v>
    <v>Map</v>
  </rv>
  <rv s="0">
    <v>805306368</v>
    <v>Jürgen Tönjes Akkermann (Mayor)</v>
    <v>d8042693-210c-3fd0-a27e-9daf238e321f</v>
    <v>de-DE</v>
    <v>Generic</v>
  </rv>
  <rv s="1">
    <v>58</v>
  </rv>
  <rv s="2">
    <fb>5171</fb>
    <v>9</v>
  </rv>
  <rv s="3">
    <v>58</v>
    <v>7</v>
    <v>147</v>
    <v>7</v>
    <v>0</v>
    <v>Image of Borkum</v>
  </rv>
  <rv s="2">
    <fb>53.588055555555997</fb>
    <v>10</v>
  </rv>
  <rv s="2">
    <fb>30.98</fb>
    <v>9</v>
  </rv>
  <rv s="2">
    <fb>6.6697222222221999</fb>
    <v>10</v>
  </rv>
  <rv s="4">
    <v>https://www.bing.com/search?q=borkum&amp;form=skydnc</v>
    <v>Learn more on Bing</v>
  </rv>
  <rv s="0">
    <v>536870912</v>
    <v>Leer</v>
    <v>773a7d87-7894-5e0c-98d9-68c6e87bb4a0</v>
    <v>de-DE</v>
    <v>Map</v>
  </rv>
  <rv s="6">
    <v>#VALUE!</v>
    <v>de-DE</v>
    <v>17c4f974-599e-384d-e17b-634efbb5920d</v>
    <v>536870912</v>
    <v>1</v>
    <v>148</v>
    <v>2</v>
    <v>13</v>
    <v>Borkum</v>
    <v>5</v>
    <v>6</v>
    <v>Map</v>
    <v>7</v>
    <v>14</v>
    <v>642</v>
    <v>Borkum is an island and a municipality in the Leer District in Lower Saxony, northwestern Germany. It is situated east of Rottumeroog and west of Juist.</v>
    <v>643</v>
    <v>644</v>
    <v>645</v>
    <v>646</v>
    <v>21</v>
    <v>647</v>
    <v>648</v>
    <v>Borkum</v>
    <v>Borkum</v>
    <v>mdp/vdpid/7010270735419572225</v>
    <v>247</v>
    <v>649</v>
  </rv>
  <rv s="2">
    <fb>169809</fb>
    <v>9</v>
  </rv>
  <rv s="3">
    <v>59</v>
    <v>7</v>
    <v>149</v>
    <v>7</v>
    <v>0</v>
    <v>Image of Leer</v>
  </rv>
  <rv s="2">
    <fb>1086</fb>
    <v>9</v>
  </rv>
  <rv s="0">
    <v>536870912</v>
    <v>Leer</v>
    <v>7192efe4-1f03-c57d-ea97-fce0361076dd</v>
    <v>de-DE</v>
    <v>Map</v>
  </rv>
  <rv s="4">
    <v>https://www.bing.com/search?q=leer+germany&amp;form=skydnc</v>
    <v>Learn more on Bing</v>
  </rv>
  <rv s="14">
    <v>#VALUE!</v>
    <v>de-DE</v>
    <v>773a7d87-7894-5e0c-98d9-68c6e87bb4a0</v>
    <v>536870912</v>
    <v>1</v>
    <v>150</v>
    <v>151</v>
    <v>152</v>
    <v>Leer</v>
    <v>5</v>
    <v>6</v>
    <v>Map</v>
    <v>7</v>
    <v>153</v>
    <v>Leer is a district in Lower Saxony, Germany. It is bounded by the city of Emden, the districts of Aurich, Wittmund, Friesland, Ammerland, Cloppenburg and Emsland, and by the Netherlands.</v>
    <v>651</v>
    <v>652</v>
    <v>653</v>
    <v>654</v>
    <v>21</v>
    <v>655</v>
    <v>Leer</v>
    <v>Leer</v>
    <v>mdp/vdpid/10570939</v>
    <v>247</v>
  </rv>
  <rv s="0">
    <v>536870912</v>
    <v>Borna</v>
    <v>e2bcb870-20c2-ec00-58a8-bb48abcd8931</v>
    <v>de-DE</v>
    <v>Map</v>
  </rv>
  <rv s="0">
    <v>805306368</v>
    <v>Oliver Urban (Mayor)</v>
    <v>36613ae3-1547-5da6-b3b6-813d27ecc11d</v>
    <v>de-DE</v>
    <v>Generic</v>
  </rv>
  <rv s="1">
    <v>59</v>
  </rv>
  <rv s="2">
    <fb>19470</fb>
    <v>9</v>
  </rv>
  <rv s="3">
    <v>60</v>
    <v>7</v>
    <v>154</v>
    <v>7</v>
    <v>0</v>
    <v>Image of Borna, Leipzig</v>
  </rv>
  <rv s="2">
    <fb>51.116666666667001</fb>
    <v>10</v>
  </rv>
  <rv s="2">
    <fb>62.44</fb>
    <v>9</v>
  </rv>
  <rv s="2">
    <fb>12.5</fb>
    <v>10</v>
  </rv>
  <rv s="4">
    <v>https://www.bing.com/search?q=borna+leipzig&amp;form=skydnc</v>
    <v>Learn more on Bing</v>
  </rv>
  <rv s="0">
    <v>536870912</v>
    <v>Landkreis Leipzig</v>
    <v>e6bbd8fb-4492-85f1-5107-ce30c807bc96</v>
    <v>de-DE</v>
    <v>Map</v>
  </rv>
  <rv s="6">
    <v>#VALUE!</v>
    <v>de-DE</v>
    <v>e2bcb870-20c2-ec00-58a8-bb48abcd8931</v>
    <v>536870912</v>
    <v>1</v>
    <v>155</v>
    <v>2</v>
    <v>13</v>
    <v>Borna, Leipzig</v>
    <v>5</v>
    <v>6</v>
    <v>Map</v>
    <v>7</v>
    <v>14</v>
    <v>659</v>
    <v>Borna is a town in Saxony, Germany, capital of the Leipzig district. It is situated approximately 30 km southeast of Leipzig city. It has approx. 19,000 inhabitants. The town is the district seat of the district of Leipzig.</v>
    <v>660</v>
    <v>661</v>
    <v>662</v>
    <v>663</v>
    <v>21</v>
    <v>664</v>
    <v>665</v>
    <v>Borna, Leipzig</v>
    <v>Borna, Leipzig</v>
    <v>mdp/vdpid/7018136846907473921</v>
    <v>106</v>
    <v>666</v>
  </rv>
  <rv s="0">
    <v>536870912</v>
    <v>Bottrop</v>
    <v>b3f5c08c-b955-0294-99ee-8f87ee247d7f</v>
    <v>de-DE</v>
    <v>Map</v>
  </rv>
  <rv s="0">
    <v>805306368</v>
    <v>Bernd Tischler (Mayor)</v>
    <v>e62d1cca-5ef3-ac89-8ed2-ca3e9a5153b9</v>
    <v>de-DE</v>
    <v>Generic</v>
  </rv>
  <rv s="1">
    <v>60</v>
  </rv>
  <rv s="2">
    <fb>118113</fb>
    <v>9</v>
  </rv>
  <rv s="3">
    <v>61</v>
    <v>7</v>
    <v>156</v>
    <v>7</v>
    <v>0</v>
    <v>Image of Bottrop</v>
  </rv>
  <rv s="2">
    <fb>51.523249999999997</fb>
    <v>10</v>
  </rv>
  <rv s="2">
    <fb>100.61</fb>
    <v>9</v>
  </rv>
  <rv s="2">
    <fb>6.9252694444444396</fb>
    <v>10</v>
  </rv>
  <rv s="4">
    <v>https://www.bing.com/search?q=bottrop&amp;form=skydnc</v>
    <v>Learn more on Bing</v>
  </rv>
  <rv s="6">
    <v>#VALUE!</v>
    <v>de-DE</v>
    <v>b3f5c08c-b955-0294-99ee-8f87ee247d7f</v>
    <v>536870912</v>
    <v>1</v>
    <v>157</v>
    <v>2</v>
    <v>13</v>
    <v>Bottrop</v>
    <v>5</v>
    <v>6</v>
    <v>Map</v>
    <v>7</v>
    <v>14</v>
    <v>670</v>
    <v>Bottrop is a city in west-central Germany, on the Rhine–Herne Canal, in North Rhine-Westphalia. Located in the Ruhr industrial area, Bottrop adjoins Essen, Oberhausen, Gladbeck, and Dorsten. The city had been a coal-mining and rail center and ...</v>
    <v>671</v>
    <v>672</v>
    <v>673</v>
    <v>674</v>
    <v>21</v>
    <v>675</v>
    <v>676</v>
    <v>Bottrop</v>
    <v>Bottrop</v>
    <v>mdp/vdpid/7011325335295754242</v>
    <v>412</v>
    <v>24</v>
  </rv>
  <rv s="0">
    <v>536870912</v>
    <v>Brandenburg an der Havel</v>
    <v>9776430c-1d32-04ef-709a-20b3f5802e62</v>
    <v>de-DE</v>
    <v>Map</v>
  </rv>
  <rv s="0">
    <v>805306368</v>
    <v>Steffen Scheller (Mayor)</v>
    <v>d367bca3-1e23-0db5-bb52-92a152198d89</v>
    <v>de-DE</v>
    <v>Generic</v>
  </rv>
  <rv s="1">
    <v>61</v>
  </rv>
  <rv s="2">
    <fb>73609</fb>
    <v>9</v>
  </rv>
  <rv s="3">
    <v>62</v>
    <v>7</v>
    <v>158</v>
    <v>7</v>
    <v>0</v>
    <v>Image of Brandenburg an der Havel</v>
  </rv>
  <rv s="2">
    <fb>52.4141388888889</fb>
    <v>10</v>
  </rv>
  <rv s="2">
    <fb>229.72</fb>
    <v>9</v>
  </rv>
  <rv s="2">
    <fb>12.554083333333301</fb>
    <v>10</v>
  </rv>
  <rv s="4">
    <v>https://www.bing.com/search?q=brandenburg+an+der+havel&amp;form=skydnc</v>
    <v>Learn more on Bing</v>
  </rv>
  <rv s="11">
    <v>#VALUE!</v>
    <v>de-DE</v>
    <v>9776430c-1d32-04ef-709a-20b3f5802e62</v>
    <v>536870912</v>
    <v>1</v>
    <v>159</v>
    <v>17</v>
    <v>57</v>
    <v>Brandenburg an der Havel</v>
    <v>5</v>
    <v>6</v>
    <v>Map</v>
    <v>7</v>
    <v>14</v>
    <v>680</v>
    <v>Brandenburg an der Havel is a town in Brandenburg, Germany, which served as the capital of the Margraviate of Brandenburg until it was replaced by Berlin in 1417. With a population of 72,040, it is located on the banks of the River Havel. The ...</v>
    <v>681</v>
    <v>682</v>
    <v>683</v>
    <v>684</v>
    <v>21</v>
    <v>685</v>
    <v>686</v>
    <v>Brandenburg an der Havel</v>
    <v>Brandenburg an der Havel</v>
    <v>mdp/vdpid/7017856605811113985</v>
    <v>488</v>
  </rv>
  <rv s="0">
    <v>536870912</v>
    <v>Braunschweig</v>
    <v>5188f8bb-d693-a456-1bfc-eb8d889d9dde</v>
    <v>de-DE</v>
    <v>Map</v>
  </rv>
  <rv s="0">
    <v>805306368</v>
    <v>Thorsten Kornblum (Mayor)</v>
    <v>166430b1-73cd-1b33-f877-09a709493fbf</v>
    <v>de-DE</v>
    <v>Generic</v>
  </rv>
  <rv s="1">
    <v>62</v>
  </rv>
  <rv s="2">
    <fb>251804</fb>
    <v>9</v>
  </rv>
  <rv s="3">
    <v>63</v>
    <v>7</v>
    <v>160</v>
    <v>7</v>
    <v>0</v>
    <v>Image of Braunschweig</v>
  </rv>
  <rv s="2">
    <fb>52.269166666666997</fb>
    <v>10</v>
  </rv>
  <rv s="2">
    <fb>192.7</fb>
    <v>9</v>
  </rv>
  <rv s="2">
    <fb>10.521111111111001</fb>
    <v>10</v>
  </rv>
  <rv s="4">
    <v>https://www.bing.com/search?q=braunschweig&amp;form=skydnc</v>
    <v>Learn more on Bing</v>
  </rv>
  <rv s="7">
    <v>#VALUE!</v>
    <v>de-DE</v>
    <v>5188f8bb-d693-a456-1bfc-eb8d889d9dde</v>
    <v>536870912</v>
    <v>1</v>
    <v>161</v>
    <v>17</v>
    <v>18</v>
    <v>Braunschweig</v>
    <v>5</v>
    <v>6</v>
    <v>Map</v>
    <v>7</v>
    <v>14</v>
    <v>690</v>
    <v>Braunschweig or Brunswick is a city in Lower Saxony, Germany, north of the Harz Mountains at the farthest navigable point of the river Oker, which connects it to the North Sea via the rivers Aller and Weser. In 2016, it had a population of 250,704.</v>
    <v>691</v>
    <v>692</v>
    <v>693</v>
    <v>694</v>
    <v>21</v>
    <v>695</v>
    <v>696</v>
    <v>Braunschweig</v>
    <v>Braunschweig</v>
    <v>mdp/vdpid/7011806788076961793</v>
    <v>247</v>
    <v>12</v>
  </rv>
  <rv s="0">
    <v>536870912</v>
    <v>Bremen</v>
    <v>4967dd9c-327f-ff07-e2e6-cdfc773ecd1e</v>
    <v>de-DE</v>
    <v>Map</v>
  </rv>
  <rv s="0">
    <v>805306368</v>
    <v>Andreas Bovenschulte (Mayor)</v>
    <v>8e7c322d-1833-d9e4-55e3-70ca33bf11ee</v>
    <v>de-DE</v>
    <v>Generic</v>
  </rv>
  <rv s="1">
    <v>63</v>
  </rv>
  <rv s="2">
    <fb>569396</fb>
    <v>9</v>
  </rv>
  <rv s="3">
    <v>64</v>
    <v>7</v>
    <v>162</v>
    <v>7</v>
    <v>0</v>
    <v>Image of Bremen</v>
  </rv>
  <rv s="2">
    <fb>53.0758333333333</fb>
    <v>10</v>
  </rv>
  <rv s="2">
    <fb>317.88</fb>
    <v>9</v>
  </rv>
  <rv s="2">
    <fb>8.8072222222222205</fb>
    <v>10</v>
  </rv>
  <rv s="4">
    <v>https://www.bing.com/search?q=bremen+germany&amp;form=skydnc</v>
    <v>Learn more on Bing</v>
  </rv>
  <rv s="0">
    <v>536870912</v>
    <v>Bremen</v>
    <v>70a6262d-6ded-6a1a-8a3d-e24538d50a05</v>
    <v>de-DE</v>
    <v>Map</v>
  </rv>
  <rv s="1">
    <v>64</v>
  </rv>
  <rv s="7">
    <v>#VALUE!</v>
    <v>de-DE</v>
    <v>4967dd9c-327f-ff07-e2e6-cdfc773ecd1e</v>
    <v>536870912</v>
    <v>1</v>
    <v>163</v>
    <v>17</v>
    <v>18</v>
    <v>Bremen</v>
    <v>5</v>
    <v>6</v>
    <v>Map</v>
    <v>7</v>
    <v>14</v>
    <v>700</v>
    <v>Bremen, officially the City Municipality of Bremen, is the capital of the German state Free Hanseatic City of Bremen, a two-city-state consisting of the cities of Bremen and Bremerhaven. With about 570,000 inhabitants, the Hanseatic city is the ...</v>
    <v>701</v>
    <v>702</v>
    <v>703</v>
    <v>704</v>
    <v>21</v>
    <v>705</v>
    <v>706</v>
    <v>Bremen</v>
    <v>Bremen</v>
    <v>mdp/vdpid/7011558572907560961</v>
    <v>707</v>
    <v>708</v>
  </rv>
  <rv s="0">
    <v>536870912</v>
    <v>Bremerhaven</v>
    <v>8a2cc165-1d07-d57b-7e10-57594be6b91c</v>
    <v>de-DE</v>
    <v>Map</v>
  </rv>
  <rv s="0">
    <v>805306368</v>
    <v>Melf Grantz (Mayor)</v>
    <v>c901f0a3-6aa2-2a4d-4f36-607c734f7c9b</v>
    <v>de-DE</v>
    <v>Generic</v>
  </rv>
  <rv s="1">
    <v>65</v>
  </rv>
  <rv s="2">
    <fb>115468</fb>
    <v>9</v>
  </rv>
  <rv s="3">
    <v>65</v>
    <v>7</v>
    <v>164</v>
    <v>7</v>
    <v>0</v>
    <v>Image of Bremerhaven</v>
  </rv>
  <rv s="2">
    <fb>53.55</fb>
    <v>10</v>
  </rv>
  <rv s="2">
    <fb>93.66</fb>
    <v>9</v>
  </rv>
  <rv s="2">
    <fb>8.5833333333333002</fb>
    <v>10</v>
  </rv>
  <rv s="4">
    <v>https://www.bing.com/search?q=bremerhaven&amp;form=skydnc</v>
    <v>Learn more on Bing</v>
  </rv>
  <rv s="11">
    <v>#VALUE!</v>
    <v>de-DE</v>
    <v>8a2cc165-1d07-d57b-7e10-57594be6b91c</v>
    <v>536870912</v>
    <v>1</v>
    <v>165</v>
    <v>17</v>
    <v>57</v>
    <v>Bremerhaven</v>
    <v>5</v>
    <v>6</v>
    <v>Map</v>
    <v>7</v>
    <v>14</v>
    <v>712</v>
    <v>Bremerhaven is a city on the east bank of the Weser estuary in northern Germany. It forms an exclave of the city-state of Bremen. The River Geeste flows through the city before emptying into the Weser.</v>
    <v>713</v>
    <v>714</v>
    <v>715</v>
    <v>716</v>
    <v>21</v>
    <v>717</v>
    <v>718</v>
    <v>Bremerhaven</v>
    <v>Bremerhaven</v>
    <v>mdp/vdpid/7010791835765309441</v>
    <v>707</v>
  </rv>
  <rv s="0">
    <v>536870912</v>
    <v>Bremervörde</v>
    <v>3532f70d-14c4-85ef-4aac-159107d9f059</v>
    <v>de-DE</v>
    <v>Map</v>
  </rv>
  <rv s="0">
    <v>805306368</v>
    <v>Michael Hannebache (Mayor)</v>
    <v>187cad28-27d3-e41c-93ea-f2bd298a123e</v>
    <v>de-DE</v>
    <v>Generic</v>
  </rv>
  <rv s="1">
    <v>66</v>
  </rv>
  <rv s="2">
    <fb>18793</fb>
    <v>9</v>
  </rv>
  <rv s="3">
    <v>66</v>
    <v>7</v>
    <v>166</v>
    <v>7</v>
    <v>0</v>
    <v>Image of Bremervörde</v>
  </rv>
  <rv s="2">
    <fb>53.483333333333</fb>
    <v>10</v>
  </rv>
  <rv s="2">
    <fb>150.41999999999999</fb>
    <v>9</v>
  </rv>
  <rv s="2">
    <fb>9.1333333333333009</fb>
    <v>10</v>
  </rv>
  <rv s="4">
    <v>https://www.bing.com/search?q=bremerv%c3%b6rde+germany&amp;form=skydnc</v>
    <v>Learn more on Bing</v>
  </rv>
  <rv s="0">
    <v>536870912</v>
    <v>Rotenburg (Wümme)</v>
    <v>7f81a549-64d6-8d8b-27aa-60403729605a</v>
    <v>de-DE</v>
    <v>Map</v>
  </rv>
  <rv s="6">
    <v>#VALUE!</v>
    <v>de-DE</v>
    <v>3532f70d-14c4-85ef-4aac-159107d9f059</v>
    <v>536870912</v>
    <v>1</v>
    <v>167</v>
    <v>2</v>
    <v>13</v>
    <v>Bremervörde</v>
    <v>5</v>
    <v>6</v>
    <v>Map</v>
    <v>7</v>
    <v>14</v>
    <v>722</v>
    <v>Bremervörde is a town in the north of the district of Rotenburg, in Lower Saxony, Germany. It is situated on the Oste river near the centre of the "triangle" formed by the rivers Weser and Elbe, roughly equidistant from the cities of Hamburg, ...</v>
    <v>723</v>
    <v>724</v>
    <v>725</v>
    <v>726</v>
    <v>21</v>
    <v>727</v>
    <v>728</v>
    <v>Bremervörde</v>
    <v>Bremervörde</v>
    <v>mdp/vdpid/7010802488173395969</v>
    <v>247</v>
    <v>729</v>
  </rv>
  <rv s="0">
    <v>536870912</v>
    <v>Brilon</v>
    <v>be214a2d-f7df-141b-0617-14741ecca3e0</v>
    <v>de-DE</v>
    <v>Map</v>
  </rv>
  <rv s="0">
    <v>805306368</v>
    <v>Christoph Bartsch (Mayor)</v>
    <v>7ec2a934-65d0-6f6f-ab66-9fc5c2efd667</v>
    <v>de-DE</v>
    <v>Generic</v>
  </rv>
  <rv s="1">
    <v>67</v>
  </rv>
  <rv s="2">
    <fb>25511</fb>
    <v>9</v>
  </rv>
  <rv s="3">
    <v>67</v>
    <v>7</v>
    <v>168</v>
    <v>7</v>
    <v>0</v>
    <v>Image of Brilon</v>
  </rv>
  <rv s="2">
    <fb>51.395555555556001</fb>
    <v>10</v>
  </rv>
  <rv s="2">
    <fb>229.16</fb>
    <v>9</v>
  </rv>
  <rv s="2">
    <fb>8.5677777777778008</fb>
    <v>10</v>
  </rv>
  <rv s="4">
    <v>https://www.bing.com/search?q=brilon+germany&amp;form=skydnc</v>
    <v>Learn more on Bing</v>
  </rv>
  <rv s="10">
    <v>#VALUE!</v>
    <v>de-DE</v>
    <v>be214a2d-f7df-141b-0617-14741ecca3e0</v>
    <v>536870912</v>
    <v>1</v>
    <v>169</v>
    <v>39</v>
    <v>40</v>
    <v>Brilon</v>
    <v>5</v>
    <v>6</v>
    <v>Map</v>
    <v>7</v>
    <v>14</v>
    <v>733</v>
    <v>Brilon is a town in North Rhine-Westphalia, central Germany, that belongs to the Hochsauerlandkreis.</v>
    <v>734</v>
    <v>735</v>
    <v>736</v>
    <v>737</v>
    <v>21</v>
    <v>738</v>
    <v>739</v>
    <v>Brilon</v>
    <v>Brilon</v>
    <v>mdp/vdpid/7011847973877317633</v>
    <v>139</v>
  </rv>
  <rv s="0">
    <v>536870912</v>
    <v>Brockel</v>
    <v>809e8155-c66b-a98d-83a5-7a3aef5f5da7</v>
    <v>de-DE</v>
    <v>Map</v>
  </rv>
  <rv s="0">
    <v>805306368</v>
    <v>Rolf Lüdemann (Mayor)</v>
    <v>6f606917-de94-4b51-7bb0-a33e58318fd7</v>
    <v>de-DE</v>
    <v>Generic</v>
  </rv>
  <rv s="1">
    <v>68</v>
  </rv>
  <rv s="2">
    <fb>1408</fb>
    <v>9</v>
  </rv>
  <rv s="3">
    <v>68</v>
    <v>7</v>
    <v>172</v>
    <v>7</v>
    <v>0</v>
    <v>Image of Brockel</v>
  </rv>
  <rv s="2">
    <fb>53.1</fb>
    <v>10</v>
  </rv>
  <rv s="2">
    <fb>25.2</fb>
    <v>9</v>
  </rv>
  <rv s="2">
    <fb>9.5166666666666995</fb>
    <v>10</v>
  </rv>
  <rv s="4">
    <v>https://www.bing.com/search?q=brockel+lower+saxony&amp;form=skydnc</v>
    <v>Learn more on Bing</v>
  </rv>
  <rv s="11">
    <v>#VALUE!</v>
    <v>de-DE</v>
    <v>809e8155-c66b-a98d-83a5-7a3aef5f5da7</v>
    <v>536870912</v>
    <v>1</v>
    <v>171</v>
    <v>17</v>
    <v>57</v>
    <v>Brockel</v>
    <v>5</v>
    <v>6</v>
    <v>Map</v>
    <v>7</v>
    <v>14</v>
    <v>743</v>
    <v>Brockel is a municipality in the district of Rotenburg, in Lower Saxony, Germany. Brockel belonged to the Prince-Bishopric of Verden, established in 1180. In 1648 the Prince-Bishopric was transformed into the Principality of Verden, which was ...</v>
    <v>744</v>
    <v>745</v>
    <v>746</v>
    <v>747</v>
    <v>21</v>
    <v>748</v>
    <v>749</v>
    <v>Brockel</v>
    <v>Brockel</v>
    <v>mdp/vdpid/7011591546646560769</v>
    <v>729</v>
  </rv>
  <rv s="0">
    <v>536870912</v>
    <v>Bruchsal</v>
    <v>6657631d-3ca8-f4fe-6340-c234818deb6e</v>
    <v>de-DE</v>
    <v>Map</v>
  </rv>
  <rv s="0">
    <v>805306368</v>
    <v>Cornelia Petzold-Schick (Mayor)</v>
    <v>f429f73d-ec8e-0021-f4d0-e24723c0c8e4</v>
    <v>de-DE</v>
    <v>Generic</v>
  </rv>
  <rv s="1">
    <v>69</v>
  </rv>
  <rv s="2">
    <fb>46587</fb>
    <v>9</v>
  </rv>
  <rv s="3">
    <v>69</v>
    <v>7</v>
    <v>173</v>
    <v>7</v>
    <v>0</v>
    <v>Image of Bruchsal</v>
  </rv>
  <rv s="2">
    <fb>49.133333333332999</fb>
    <v>10</v>
  </rv>
  <rv s="2">
    <fb>93.03</fb>
    <v>9</v>
  </rv>
  <rv s="2">
    <fb>8.6</fb>
    <v>10</v>
  </rv>
  <rv s="4">
    <v>https://www.bing.com/search?q=bruchsal+germany&amp;form=skydnc</v>
    <v>Learn more on Bing</v>
  </rv>
  <rv s="0">
    <v>536870912</v>
    <v>Karlsruhe</v>
    <v>78886103-b048-5cc5-b801-a4fb9a894b27</v>
    <v>de-DE</v>
    <v>Map</v>
  </rv>
  <rv s="11">
    <v>#VALUE!</v>
    <v>de-DE</v>
    <v>6657631d-3ca8-f4fe-6340-c234818deb6e</v>
    <v>536870912</v>
    <v>1</v>
    <v>174</v>
    <v>17</v>
    <v>57</v>
    <v>Bruchsal</v>
    <v>5</v>
    <v>6</v>
    <v>Map</v>
    <v>7</v>
    <v>14</v>
    <v>753</v>
    <v>Bruchsal is a city at the western edge of the Kraichgau, approximately 20 km northeast of Karlsruhe in the state of Baden-Württemberg, Germany. It is located on Bertha Benz Memorial Route. Bruchsal is the largest city in the district of ...</v>
    <v>754</v>
    <v>755</v>
    <v>756</v>
    <v>757</v>
    <v>21</v>
    <v>758</v>
    <v>759</v>
    <v>Bruchsal</v>
    <v>Bruchsal</v>
    <v>mdp/vdpid/7015201943115005953</v>
    <v>760</v>
  </rv>
  <rv s="0">
    <v>536870912</v>
    <v>Brühl</v>
    <v>bcb12e76-2df4-df4c-1c1d-ca3e0b0016b7</v>
    <v>de-DE</v>
    <v>Map</v>
  </rv>
  <rv s="0">
    <v>805306368</v>
    <v>Dieter Freytag (Mayor)</v>
    <v>a635d8df-7351-6f51-ba9b-36cab2aafd0a</v>
    <v>de-DE</v>
    <v>Generic</v>
  </rv>
  <rv s="1">
    <v>70</v>
  </rv>
  <rv s="2">
    <fb>44804</fb>
    <v>9</v>
  </rv>
  <rv s="3">
    <v>70</v>
    <v>7</v>
    <v>175</v>
    <v>7</v>
    <v>0</v>
    <v>Image of Brühl</v>
  </rv>
  <rv s="2">
    <fb>50.833333333333002</fb>
    <v>10</v>
  </rv>
  <rv s="2">
    <fb>36.119999999999997</fb>
    <v>9</v>
  </rv>
  <rv s="2">
    <fb>6.9</fb>
    <v>10</v>
  </rv>
  <rv s="4">
    <v>https://www.bing.com/search?q=br%c3%bchl+germany&amp;form=skydnc</v>
    <v>Learn more on Bing</v>
  </rv>
  <rv s="11">
    <v>#VALUE!</v>
    <v>de-DE</v>
    <v>bcb12e76-2df4-df4c-1c1d-ca3e0b0016b7</v>
    <v>536870912</v>
    <v>1</v>
    <v>176</v>
    <v>17</v>
    <v>57</v>
    <v>Brühl</v>
    <v>5</v>
    <v>6</v>
    <v>Map</v>
    <v>7</v>
    <v>14</v>
    <v>764</v>
    <v>Brühl is a town in the Rhineland, Germany. It is located in the district of Rhine-Erft, 20 km south of the Cologne city center and at the edge of the Rhineland Nature Park, a famous nature reserve.</v>
    <v>765</v>
    <v>766</v>
    <v>767</v>
    <v>768</v>
    <v>21</v>
    <v>769</v>
    <v>770</v>
    <v>Brühl</v>
    <v>Brühl</v>
    <v>mdp/vdpid/7011395974421544961</v>
    <v>10</v>
  </rv>
  <rv s="0">
    <v>536870912</v>
    <v>Buchen</v>
    <v>4a4fe7b5-fc35-2fe1-48af-85a16c3a6e08</v>
    <v>de-DE</v>
    <v>Map</v>
  </rv>
  <rv s="0">
    <v>805306368</v>
    <v>Roland Burger (Mayor)</v>
    <v>40e96640-0b02-536c-4fb6-956eccf7e3e0</v>
    <v>de-DE</v>
    <v>Generic</v>
  </rv>
  <rv s="1">
    <v>71</v>
  </rv>
  <rv s="2">
    <fb>18018</fb>
    <v>9</v>
  </rv>
  <rv s="3">
    <v>71</v>
    <v>7</v>
    <v>177</v>
    <v>7</v>
    <v>0</v>
    <v>Image of Buchen</v>
  </rv>
  <rv s="2">
    <fb>49.521666666667002</fb>
    <v>10</v>
  </rv>
  <rv s="2">
    <fb>138.93</fb>
    <v>9</v>
  </rv>
  <rv s="2">
    <fb>9.3233333333333004</fb>
    <v>10</v>
  </rv>
  <rv s="4">
    <v>https://www.bing.com/search?q=buchen+germany&amp;form=skydnc</v>
    <v>Learn more on Bing</v>
  </rv>
  <rv s="0">
    <v>536870912</v>
    <v>Neckar-Odenwald</v>
    <v>3f063564-e470-c789-4038-9494ba4f8ec5</v>
    <v>de-DE</v>
    <v>Map</v>
  </rv>
  <rv s="10">
    <v>#VALUE!</v>
    <v>de-DE</v>
    <v>4a4fe7b5-fc35-2fe1-48af-85a16c3a6e08</v>
    <v>536870912</v>
    <v>1</v>
    <v>178</v>
    <v>39</v>
    <v>40</v>
    <v>Buchen</v>
    <v>5</v>
    <v>6</v>
    <v>Map</v>
    <v>7</v>
    <v>14</v>
    <v>774</v>
    <v>Buchen is a town in the German state of Baden-Württemberg. It is situated in the Odenwald low mountain range, 23 km northeast of the regional center Mosbach.</v>
    <v>775</v>
    <v>776</v>
    <v>777</v>
    <v>778</v>
    <v>21</v>
    <v>779</v>
    <v>780</v>
    <v>Buchen</v>
    <v>Buchen</v>
    <v>mdp/vdpid/7015045053143842817</v>
    <v>781</v>
  </rv>
  <rv s="0">
    <v>536870912</v>
    <v>Burg</v>
    <v>446d56ef-a149-e155-ace6-106804b4d8f6</v>
    <v>de-DE</v>
    <v>Map</v>
  </rv>
  <rv s="0">
    <v>805306368</v>
    <v>Philipp Sievert (Mayor)</v>
    <v>37372b3a-2188-fc93-1044-ede18cca884c</v>
    <v>de-DE</v>
    <v>Generic</v>
  </rv>
  <rv s="1">
    <v>72</v>
  </rv>
  <rv s="2">
    <fb>22689</fb>
    <v>9</v>
  </rv>
  <rv s="3">
    <v>72</v>
    <v>7</v>
    <v>179</v>
    <v>7</v>
    <v>0</v>
    <v>Image of Burg bei Magdeburg</v>
  </rv>
  <rv s="2">
    <fb>52.272500000000001</fb>
    <v>10</v>
  </rv>
  <rv s="2">
    <fb>164.04</fb>
    <v>9</v>
  </rv>
  <rv s="2">
    <fb>11.855</fb>
    <v>10</v>
  </rv>
  <rv s="4">
    <v>https://www.bing.com/search?q=burg+germany&amp;form=skydnc</v>
    <v>Learn more on Bing</v>
  </rv>
  <rv s="0">
    <v>536870912</v>
    <v>Jerichower Land</v>
    <v>0a48e516-2100-db29-c6df-85028f7d28ce</v>
    <v>de-DE</v>
    <v>Map</v>
  </rv>
  <rv s="11">
    <v>#VALUE!</v>
    <v>de-DE</v>
    <v>446d56ef-a149-e155-ace6-106804b4d8f6</v>
    <v>536870912</v>
    <v>1</v>
    <v>180</v>
    <v>17</v>
    <v>57</v>
    <v>Burg bei Magdeburg</v>
    <v>5</v>
    <v>6</v>
    <v>Map</v>
    <v>7</v>
    <v>14</v>
    <v>785</v>
    <v>Burg is a town of about 22,400 inhabitants on the Elbe–Havel Canal in northeastern Germany, 25 km northeast of Magdeburg. It is the capital of the Jerichower Land district in the state of Saxony-Anhalt.</v>
    <v>786</v>
    <v>787</v>
    <v>788</v>
    <v>789</v>
    <v>21</v>
    <v>790</v>
    <v>791</v>
    <v>Burg bei Magdeburg</v>
    <v>Burg bei Magdeburg</v>
    <v>mdp/vdpid/7017834749997613057</v>
    <v>792</v>
  </rv>
  <rv s="0">
    <v>536870912</v>
    <v>Burghaslach</v>
    <v>534b3308-7178-8c4f-b150-88f5a1548682</v>
    <v>de-DE</v>
    <v>Map</v>
  </rv>
  <rv s="0">
    <v>805306368</v>
    <v>Armin Luther (Mayor)</v>
    <v>cb176776-f99e-6e23-97ad-ca9570f31382</v>
    <v>de-DE</v>
    <v>Generic</v>
  </rv>
  <rv s="1">
    <v>73</v>
  </rv>
  <rv s="2">
    <fb>2702</fb>
    <v>9</v>
  </rv>
  <rv s="3">
    <v>73</v>
    <v>7</v>
    <v>181</v>
    <v>7</v>
    <v>0</v>
    <v>Image of Burghaslach</v>
  </rv>
  <rv s="2">
    <fb>49.716666666667003</fb>
    <v>10</v>
  </rv>
  <rv s="2">
    <fb>43.97</fb>
    <v>9</v>
  </rv>
  <rv s="2">
    <fb>10.583333333333</fb>
    <v>10</v>
  </rv>
  <rv s="4">
    <v>https://www.bing.com/search?q=burghaslach+germany&amp;form=skydnc</v>
    <v>Learn more on Bing</v>
  </rv>
  <rv s="0">
    <v>536870912</v>
    <v>Neustadt (Aisch)-Bad Windsheim</v>
    <v>c6f6f928-ce47-420b-5b4f-51d7fd8a8572</v>
    <v>de-DE</v>
    <v>Map</v>
  </rv>
  <rv s="10">
    <v>#VALUE!</v>
    <v>de-DE</v>
    <v>534b3308-7178-8c4f-b150-88f5a1548682</v>
    <v>536870912</v>
    <v>1</v>
    <v>182</v>
    <v>39</v>
    <v>40</v>
    <v>Burghaslach</v>
    <v>5</v>
    <v>6</v>
    <v>Map</v>
    <v>7</v>
    <v>14</v>
    <v>796</v>
    <v>Burghaslach is a municipality and a market town in the district of Neustadt -Bad Windsheim in Franconia in Bavaria, Germany.</v>
    <v>797</v>
    <v>798</v>
    <v>799</v>
    <v>800</v>
    <v>21</v>
    <v>801</v>
    <v>802</v>
    <v>Burghaslach</v>
    <v>Burghaslach</v>
    <v>mdp/vdpid/7015170214446759937</v>
    <v>803</v>
  </rv>
  <rv s="0">
    <v>536870912</v>
    <v>Castrop-Rauxel</v>
    <v>43e8d8d0-5581-0cd3-6d0f-3fe56555f3b6</v>
    <v>de-DE</v>
    <v>Map</v>
  </rv>
  <rv s="0">
    <v>805306368</v>
    <v>Rajko Kravanja (Mayor)</v>
    <v>2bfc457c-cf32-096a-f671-5c5e7d2f3eac</v>
    <v>de-DE</v>
    <v>Generic</v>
  </rv>
  <rv s="1">
    <v>74</v>
  </rv>
  <rv s="2">
    <fb>73795</fb>
    <v>9</v>
  </rv>
  <rv s="3">
    <v>74</v>
    <v>7</v>
    <v>183</v>
    <v>7</v>
    <v>0</v>
    <v>Image of Castrop-Rauxel</v>
  </rv>
  <rv s="2">
    <fb>51.55</fb>
    <v>10</v>
  </rv>
  <rv s="2">
    <fb>51.68</fb>
    <v>9</v>
  </rv>
  <rv s="2">
    <fb>7.3166666666667002</fb>
    <v>10</v>
  </rv>
  <rv s="4">
    <v>https://www.bing.com/search?q=castrop-rauxel+germany&amp;form=skydnc</v>
    <v>Learn more on Bing</v>
  </rv>
  <rv s="0">
    <v>536870912</v>
    <v>Recklinghausen</v>
    <v>92a8fdf9-b0e9-748e-2a69-d508fb3b3450</v>
    <v>de-DE</v>
    <v>Map</v>
  </rv>
  <rv s="5">
    <v>#VALUE!</v>
    <v>de-DE</v>
    <v>43e8d8d0-5581-0cd3-6d0f-3fe56555f3b6</v>
    <v>536870912</v>
    <v>1</v>
    <v>184</v>
    <v>2</v>
    <v>3</v>
    <v>Castrop-Rauxel</v>
    <v>5</v>
    <v>6</v>
    <v>Map</v>
    <v>7</v>
    <v>14</v>
    <v>807</v>
    <v>Castrop-Rauxel, often simply referred to as Castrop by locals, is a former coal mining city in the eastern part of the Ruhr Area within the state of North Rhine-Westphalia in Germany.</v>
    <v>808</v>
    <v>809</v>
    <v>810</v>
    <v>811</v>
    <v>21</v>
    <v>812</v>
    <v>813</v>
    <v>Castrop-Rauxel</v>
    <v>Castrop-Rauxel</v>
    <v>mdp/vdpid/7011421639048953858</v>
    <v>24</v>
    <v>814</v>
    <v>62</v>
  </rv>
  <rv s="0">
    <v>536870912</v>
    <v>Celle</v>
    <v>c37db808-2e7b-7d66-6b06-d036c637eb05</v>
    <v>de-DE</v>
    <v>Map</v>
  </rv>
  <rv s="0">
    <v>805306368</v>
    <v>Jörg Nigge (Mayor)</v>
    <v>08db9e59-0409-e4e6-023c-2face6954fe3</v>
    <v>de-DE</v>
    <v>Generic</v>
  </rv>
  <rv s="1">
    <v>75</v>
  </rv>
  <rv s="2">
    <fb>70138</fb>
    <v>9</v>
  </rv>
  <rv s="3">
    <v>75</v>
    <v>7</v>
    <v>185</v>
    <v>7</v>
    <v>0</v>
    <v>Image of Celle</v>
  </rv>
  <rv s="2">
    <fb>52.625555555555998</fb>
    <v>10</v>
  </rv>
  <rv s="2">
    <fb>176.02</fb>
    <v>9</v>
  </rv>
  <rv s="2">
    <fb>10.0825</fb>
    <v>10</v>
  </rv>
  <rv s="4">
    <v>https://www.bing.com/search?q=celle&amp;form=skydnc</v>
    <v>Learn more on Bing</v>
  </rv>
  <rv s="0">
    <v>536870912</v>
    <v>Celle</v>
    <v>827de92a-15bf-4573-99e6-01582b25e390</v>
    <v>de-DE</v>
    <v>Map</v>
  </rv>
  <rv s="6">
    <v>#VALUE!</v>
    <v>de-DE</v>
    <v>c37db808-2e7b-7d66-6b06-d036c637eb05</v>
    <v>536870912</v>
    <v>1</v>
    <v>186</v>
    <v>2</v>
    <v>13</v>
    <v>Celle</v>
    <v>5</v>
    <v>6</v>
    <v>Map</v>
    <v>7</v>
    <v>14</v>
    <v>818</v>
    <v>Celle is a town and capital of the district of Celle in Lower Saxony, in north-central Germany. The town is situated on the banks of the river Aller, a tributary of the Weser, and has a population of about 71,000. Celle is the southern gateway ...</v>
    <v>819</v>
    <v>820</v>
    <v>821</v>
    <v>822</v>
    <v>21</v>
    <v>823</v>
    <v>824</v>
    <v>Celle</v>
    <v>Celle</v>
    <v>mdp/vdpid/7011755524370726913</v>
    <v>247</v>
    <v>825</v>
  </rv>
  <rv s="0">
    <v>536870912</v>
    <v>Chemnitz</v>
    <v>b08d0afa-cc9d-765a-6136-e06f579cbdbb</v>
    <v>de-DE</v>
    <v>Map</v>
  </rv>
  <rv s="0">
    <v>805306368</v>
    <v>Sven Schulze (Mayor)</v>
    <v>169d4960-4aff-5d61-d57d-83974c554188</v>
    <v>de-DE</v>
    <v>Generic</v>
  </rv>
  <rv s="1">
    <v>76</v>
  </rv>
  <rv s="2">
    <fb>248563</fb>
    <v>9</v>
  </rv>
  <rv s="3">
    <v>76</v>
    <v>7</v>
    <v>187</v>
    <v>7</v>
    <v>0</v>
    <v>Image of Chemnitz</v>
  </rv>
  <rv s="2">
    <fb>221.05</fb>
    <v>9</v>
  </rv>
  <rv s="2">
    <fb>12.916666666667</fb>
    <v>10</v>
  </rv>
  <rv s="4">
    <v>https://www.bing.com/search?q=chemnitz&amp;form=skydnc</v>
    <v>Learn more on Bing</v>
  </rv>
  <rv s="11">
    <v>#VALUE!</v>
    <v>de-DE</v>
    <v>b08d0afa-cc9d-765a-6136-e06f579cbdbb</v>
    <v>536870912</v>
    <v>1</v>
    <v>188</v>
    <v>17</v>
    <v>57</v>
    <v>Chemnitz</v>
    <v>5</v>
    <v>6</v>
    <v>Map</v>
    <v>7</v>
    <v>14</v>
    <v>829</v>
    <v>Chemnitz is the third-largest city in the German state of Saxony after Leipzig and Dresden. Chemnitz is the third-largest city in the Thuringian-Upper Saxon dialect area after Leipzig and Dresden. It is the fifth largest city in the area of ...</v>
    <v>830</v>
    <v>831</v>
    <v>767</v>
    <v>832</v>
    <v>21</v>
    <v>833</v>
    <v>834</v>
    <v>Chemnitz</v>
    <v>Chemnitz</v>
    <v>mdp/vdpid/7018254590818648065</v>
    <v>106</v>
  </rv>
  <rv s="0">
    <v>536870912</v>
    <v>Clausthal-Zellerfeld</v>
    <v>befcff9e-7eb4-21a8-1d55-a13a3a491072</v>
    <v>de-DE</v>
    <v>Map</v>
  </rv>
  <rv s="0">
    <v>805306368</v>
    <v>Petra Emmerich-Kopatsch (Mayor)</v>
    <v>b3e01fda-c92f-f64d-daf6-f08fffe30613</v>
    <v>de-DE</v>
    <v>Generic</v>
  </rv>
  <rv s="1">
    <v>77</v>
  </rv>
  <rv s="2">
    <fb>15286</fb>
    <v>9</v>
  </rv>
  <rv s="3">
    <v>77</v>
    <v>7</v>
    <v>189</v>
    <v>7</v>
    <v>0</v>
    <v>Image of Clausthal-Zellerfeld</v>
  </rv>
  <rv s="2">
    <fb>51.805</fb>
    <v>10</v>
  </rv>
  <rv s="2">
    <fb>43.69</fb>
    <v>9</v>
  </rv>
  <rv s="2">
    <fb>10.335555555556001</fb>
    <v>10</v>
  </rv>
  <rv s="4">
    <v>https://www.bing.com/search?q=clausthal-zellerfeld+germany&amp;form=skydnc</v>
    <v>Learn more on Bing</v>
  </rv>
  <rv s="6">
    <v>#VALUE!</v>
    <v>de-DE</v>
    <v>befcff9e-7eb4-21a8-1d55-a13a3a491072</v>
    <v>536870912</v>
    <v>1</v>
    <v>190</v>
    <v>2</v>
    <v>13</v>
    <v>Clausthal-Zellerfeld</v>
    <v>5</v>
    <v>6</v>
    <v>Map</v>
    <v>7</v>
    <v>14</v>
    <v>838</v>
    <v>Clausthal-Zellerfeld is a town in Lower Saxony, Germany. It is located in the southwestern part of the Harz mountains. Its population is approximately 15,000. The town hosts the Clausthal University of Technology. The health resort is located in ...</v>
    <v>839</v>
    <v>840</v>
    <v>841</v>
    <v>842</v>
    <v>21</v>
    <v>843</v>
    <v>844</v>
    <v>Clausthal-Zellerfeld</v>
    <v>Clausthal-Zellerfeld</v>
    <v>mdp/vdpid/7011977853487022081</v>
    <v>247</v>
    <v>248</v>
  </rv>
  <rv s="0">
    <v>536870912</v>
    <v>Coburg</v>
    <v>a5109c07-4d35-4bf8-9c9b-7595a55d4c76</v>
    <v>de-DE</v>
    <v>Map</v>
  </rv>
  <rv s="0">
    <v>805306368</v>
    <v>Dominik Sauerteig (Mayor)</v>
    <v>05a996d9-813d-306b-ebda-a052939a1d92</v>
    <v>de-DE</v>
    <v>Generic</v>
  </rv>
  <rv s="1">
    <v>78</v>
  </rv>
  <rv s="2">
    <fb>41842</fb>
    <v>9</v>
  </rv>
  <rv s="3">
    <v>78</v>
    <v>7</v>
    <v>191</v>
    <v>7</v>
    <v>0</v>
    <v>Image of Coburg</v>
  </rv>
  <rv s="2">
    <fb>50.258469444444401</fb>
    <v>10</v>
  </rv>
  <rv s="2">
    <fb>48.29</fb>
    <v>9</v>
  </rv>
  <rv s="2">
    <fb>10.9578694444444</fb>
    <v>10</v>
  </rv>
  <rv s="4">
    <v>https://www.bing.com/search?q=coburg&amp;form=skydnc</v>
    <v>Learn more on Bing</v>
  </rv>
  <rv s="9">
    <v>#VALUE!</v>
    <v>de-DE</v>
    <v>a5109c07-4d35-4bf8-9c9b-7595a55d4c76</v>
    <v>536870912</v>
    <v>1</v>
    <v>192</v>
    <v>27</v>
    <v>28</v>
    <v>Coburg</v>
    <v>5</v>
    <v>6</v>
    <v>Map</v>
    <v>7</v>
    <v>14</v>
    <v>848</v>
    <v>Coburg is a town located on the Itz river in the Upper Franconia region of Bavaria, Germany. Long part of one of the Thuringian states of the Wettin line, it joined Bavaria by popular vote only in 1920. Until the revolution of 1918, it was one ...</v>
    <v>849</v>
    <v>850</v>
    <v>851</v>
    <v>852</v>
    <v>21</v>
    <v>853</v>
    <v>854</v>
    <v>Coburg</v>
    <v>Coburg</v>
    <v>mdp/vdpid/7015122425687834625</v>
  </rv>
  <rv s="0">
    <v>536870912</v>
    <v>Coesfeld</v>
    <v>74eaad3a-f0a3-da3c-d2be-76264c1696c9</v>
    <v>de-DE</v>
    <v>Map</v>
  </rv>
  <rv s="0">
    <v>805306368</v>
    <v>Eliza Diekmann (Mayor)</v>
    <v>1c6816ce-1eac-969d-4695-275ff77c4e85</v>
    <v>de-DE</v>
    <v>Generic</v>
  </rv>
  <rv s="1">
    <v>79</v>
  </rv>
  <rv s="2">
    <fb>37030</fb>
    <v>9</v>
  </rv>
  <rv s="3">
    <v>79</v>
    <v>7</v>
    <v>193</v>
    <v>7</v>
    <v>0</v>
    <v>Image of Coesfeld</v>
  </rv>
  <rv s="2">
    <fb>51.945833333332999</fb>
    <v>10</v>
  </rv>
  <rv s="2">
    <fb>141.36000000000001</fb>
    <v>9</v>
  </rv>
  <rv s="2">
    <fb>7.1675000000000004</fb>
    <v>10</v>
  </rv>
  <rv s="4">
    <v>https://www.bing.com/search?q=coesfeld&amp;form=skydnc</v>
    <v>Learn more on Bing</v>
  </rv>
  <rv s="0">
    <v>536870912</v>
    <v>Coesfeld</v>
    <v>ef2f99ad-4876-47e9-6519-c2ece8725db7</v>
    <v>de-DE</v>
    <v>Map</v>
  </rv>
  <rv s="6">
    <v>#VALUE!</v>
    <v>de-DE</v>
    <v>74eaad3a-f0a3-da3c-d2be-76264c1696c9</v>
    <v>536870912</v>
    <v>1</v>
    <v>194</v>
    <v>2</v>
    <v>13</v>
    <v>Coesfeld</v>
    <v>5</v>
    <v>6</v>
    <v>Map</v>
    <v>7</v>
    <v>14</v>
    <v>858</v>
    <v>Coesfeld is the capital of the district of Coesfeld in the German state of North Rhine-Westphalia.</v>
    <v>859</v>
    <v>860</v>
    <v>861</v>
    <v>862</v>
    <v>21</v>
    <v>863</v>
    <v>864</v>
    <v>Coesfeld</v>
    <v>Coesfeld</v>
    <v>mdp/vdpid/7011401993197453313</v>
    <v>24</v>
    <v>865</v>
  </rv>
  <rv s="0">
    <v>536870912</v>
    <v>Coswig</v>
    <v>a4d40022-7952-adab-588d-814ea186d113</v>
    <v>de-DE</v>
    <v>Map</v>
  </rv>
  <rv s="0">
    <v>805306368</v>
    <v>Thomas Schubert (Mayor)</v>
    <v>34f1198c-2b72-9f79-9222-35f76d3ae004</v>
    <v>de-DE</v>
    <v>Generic</v>
  </rv>
  <rv s="1">
    <v>80</v>
  </rv>
  <rv s="2">
    <fb>20512</fb>
    <v>9</v>
  </rv>
  <rv s="3">
    <v>80</v>
    <v>7</v>
    <v>195</v>
    <v>7</v>
    <v>0</v>
    <v>Image of Coswig, Saxony</v>
  </rv>
  <rv s="2">
    <fb>51.133333333332999</fb>
    <v>10</v>
  </rv>
  <rv s="2">
    <fb>25.88</fb>
    <v>9</v>
  </rv>
  <rv s="2">
    <fb>13.583333333333</fb>
    <v>10</v>
  </rv>
  <rv s="4">
    <v>https://www.bing.com/search?q=coswig+germany&amp;form=skydnc</v>
    <v>Learn more on Bing</v>
  </rv>
  <rv s="0">
    <v>536870912</v>
    <v>Meissen District</v>
    <v>6180d0d9-3a24-b64e-337d-8f234eb12023</v>
    <v>de-DE</v>
    <v>Map</v>
  </rv>
  <rv s="6">
    <v>#VALUE!</v>
    <v>de-DE</v>
    <v>a4d40022-7952-adab-588d-814ea186d113</v>
    <v>536870912</v>
    <v>1</v>
    <v>196</v>
    <v>2</v>
    <v>13</v>
    <v>Coswig, Saxony</v>
    <v>5</v>
    <v>6</v>
    <v>Map</v>
    <v>7</v>
    <v>14</v>
    <v>869</v>
    <v>Coswig is a town in the district of Meißen, in Saxony, Germany. It is situated on the right bank of the Elbe, approximately 9 km southeast of Meißen, and 13 km northwest of Dresden. It is the home of Fachkrankenhaus Coswig, a hospital ...</v>
    <v>870</v>
    <v>871</v>
    <v>872</v>
    <v>873</v>
    <v>21</v>
    <v>874</v>
    <v>875</v>
    <v>Coswig, Saxony</v>
    <v>Coswig, Saxony</v>
    <v>mdp/vdpid/7018268641082736641</v>
    <v>106</v>
    <v>876</v>
  </rv>
  <rv s="0">
    <v>536870912</v>
    <v>Cottbus</v>
    <v>fb582987-90ad-4906-c17d-32c9a5b3621f</v>
    <v>de-DE</v>
    <v>Map</v>
  </rv>
  <rv s="0">
    <v>805306368</v>
    <v>Tobias Schick (Mayor)</v>
    <v>8c0794c1-5ab0-f715-0b8e-dbec904cf441</v>
    <v>de-DE</v>
    <v>Generic</v>
  </rv>
  <rv s="1">
    <v>81</v>
  </rv>
  <rv s="2">
    <fb>99515</fb>
    <v>9</v>
  </rv>
  <rv s="3">
    <v>81</v>
    <v>7</v>
    <v>197</v>
    <v>7</v>
    <v>0</v>
    <v>Image of Cottbus</v>
  </rv>
  <rv s="2">
    <fb>51.760805555555599</fb>
    <v>10</v>
  </rv>
  <rv s="2">
    <fb>165.63</fb>
    <v>9</v>
  </rv>
  <rv s="2">
    <fb>14.331861111111101</fb>
    <v>10</v>
  </rv>
  <rv s="4">
    <v>https://www.bing.com/search?q=cottbus&amp;form=skydnc</v>
    <v>Learn more on Bing</v>
  </rv>
  <rv s="11">
    <v>#VALUE!</v>
    <v>de-DE</v>
    <v>fb582987-90ad-4906-c17d-32c9a5b3621f</v>
    <v>536870912</v>
    <v>1</v>
    <v>198</v>
    <v>17</v>
    <v>57</v>
    <v>Cottbus</v>
    <v>5</v>
    <v>6</v>
    <v>Map</v>
    <v>7</v>
    <v>14</v>
    <v>880</v>
    <v>Cottbus or Chóśebuz is a university city and the second-largest city in the German state of Brandenburg after the state capital of Potsdam. With around 98,000 inhabitants, it is the most populous city in Lusatia. Cottbus lies in the Sorbian ...</v>
    <v>881</v>
    <v>882</v>
    <v>883</v>
    <v>884</v>
    <v>21</v>
    <v>885</v>
    <v>886</v>
    <v>Cottbus</v>
    <v>Cottbus</v>
    <v>mdp/vdpid/7018586033579098113</v>
    <v>488</v>
  </rv>
  <rv s="0">
    <v>536870912</v>
    <v>Crailsheim</v>
    <v>c14a0468-4f69-ff6d-a900-6a0ae6956993</v>
    <v>de-DE</v>
    <v>Map</v>
  </rv>
  <rv s="0">
    <v>805306368</v>
    <v>Christoph Grimmer (Mayor)</v>
    <v>33e4d8d7-6e92-ea40-be7f-a920e983aeae</v>
    <v>de-DE</v>
    <v>Generic</v>
  </rv>
  <rv s="1">
    <v>82</v>
  </rv>
  <rv s="2">
    <fb>35760</fb>
    <v>9</v>
  </rv>
  <rv s="3">
    <v>82</v>
    <v>7</v>
    <v>199</v>
    <v>7</v>
    <v>0</v>
    <v>Image of Crailsheim</v>
  </rv>
  <rv s="2">
    <fb>49.134722222222003</fb>
    <v>10</v>
  </rv>
  <rv s="2">
    <fb>109.08</fb>
    <v>9</v>
  </rv>
  <rv s="2">
    <fb>10.070555555556</fb>
    <v>10</v>
  </rv>
  <rv s="4">
    <v>https://www.bing.com/search?q=crailsheim+germany&amp;form=skydnc</v>
    <v>Learn more on Bing</v>
  </rv>
  <rv s="0">
    <v>536870912</v>
    <v>Landkreis Schwäbisch Hall</v>
    <v>7e528a05-3e6b-b07a-82dd-25739fc28050</v>
    <v>de-DE</v>
    <v>Map</v>
  </rv>
  <rv s="6">
    <v>#VALUE!</v>
    <v>de-DE</v>
    <v>c14a0468-4f69-ff6d-a900-6a0ae6956993</v>
    <v>536870912</v>
    <v>1</v>
    <v>200</v>
    <v>2</v>
    <v>13</v>
    <v>Crailsheim</v>
    <v>5</v>
    <v>6</v>
    <v>Map</v>
    <v>7</v>
    <v>14</v>
    <v>890</v>
    <v>Crailsheim is a town in the German state of Baden-Württemberg. Incorporated in 1338, it lies 32 kilometres east of Schwäbisch Hall and 40 km southwest of Ansbach in the Schwäbisch Hall district. The city's main attractions include two ...</v>
    <v>891</v>
    <v>892</v>
    <v>893</v>
    <v>894</v>
    <v>21</v>
    <v>895</v>
    <v>896</v>
    <v>Crailsheim</v>
    <v>Crailsheim</v>
    <v>mdp/vdpid/7015345667048472577</v>
    <v>606</v>
    <v>897</v>
  </rv>
  <rv s="2">
    <fb>195861</fb>
    <v>9</v>
  </rv>
  <rv s="3">
    <v>83</v>
    <v>7</v>
    <v>201</v>
    <v>7</v>
    <v>0</v>
    <v>Image of Schwäbisch Hall</v>
  </rv>
  <rv s="2">
    <fb>1484</fb>
    <v>9</v>
  </rv>
  <rv s="4">
    <v>https://www.bing.com/search?q=schw%c3%a4bisch+hall+germany&amp;form=skydnc</v>
    <v>Learn more on Bing</v>
  </rv>
  <rv s="14">
    <v>#VALUE!</v>
    <v>de-DE</v>
    <v>7e528a05-3e6b-b07a-82dd-25739fc28050</v>
    <v>536870912</v>
    <v>1</v>
    <v>202</v>
    <v>151</v>
    <v>152</v>
    <v>Schwäbisch Hall</v>
    <v>5</v>
    <v>6</v>
    <v>Map</v>
    <v>7</v>
    <v>153</v>
    <v>Schwäbisch Hall is a Landkreis in the northeast of Baden-Württemberg, Germany. Neighboring districts are Main-Tauber, the Bavarian district Ansbach, Ostalbkreis, Rems-Murr, and Hohenlohe.</v>
    <v>899</v>
    <v>900</v>
    <v>901</v>
    <v>888</v>
    <v>21</v>
    <v>902</v>
    <v>Schwäbisch Hall</v>
    <v>Schwäbisch Hall</v>
    <v>mdp/vdpid/10570648</v>
    <v>359</v>
  </rv>
  <rv s="0">
    <v>536870912</v>
    <v>Crimmitschau</v>
    <v>836f9d9d-2c12-45de-c714-90f028a94c82</v>
    <v>de-DE</v>
    <v>Map</v>
  </rv>
  <rv s="0">
    <v>805306368</v>
    <v>André Raphael (Mayor)</v>
    <v>38438c54-cf9c-5efa-e614-0fefd8170ca6</v>
    <v>de-DE</v>
    <v>Generic</v>
  </rv>
  <rv s="1">
    <v>83</v>
  </rv>
  <rv s="2">
    <fb>18567</fb>
    <v>9</v>
  </rv>
  <rv s="3">
    <v>84</v>
    <v>7</v>
    <v>203</v>
    <v>7</v>
    <v>0</v>
    <v>Image of Crimmitschau</v>
  </rv>
  <rv s="2">
    <fb>50.818055555556001</fb>
    <v>10</v>
  </rv>
  <rv s="2">
    <fb>61.15</fb>
    <v>9</v>
  </rv>
  <rv s="2">
    <fb>12.387499999999999</fb>
    <v>10</v>
  </rv>
  <rv s="4">
    <v>https://www.bing.com/search?q=crimmitschau+germany&amp;form=skydnc</v>
    <v>Learn more on Bing</v>
  </rv>
  <rv s="0">
    <v>536870912</v>
    <v>Zwickau</v>
    <v>5ec778ea-eb7e-c719-c3bd-d90924598b4d</v>
    <v>de-DE</v>
    <v>Map</v>
  </rv>
  <rv s="6">
    <v>#VALUE!</v>
    <v>de-DE</v>
    <v>836f9d9d-2c12-45de-c714-90f028a94c82</v>
    <v>536870912</v>
    <v>1</v>
    <v>204</v>
    <v>2</v>
    <v>13</v>
    <v>Crimmitschau</v>
    <v>5</v>
    <v>6</v>
    <v>Map</v>
    <v>7</v>
    <v>14</v>
    <v>906</v>
    <v>Crimmitschau is a town in the district of Zwickau in Saxony, Germany.</v>
    <v>907</v>
    <v>908</v>
    <v>909</v>
    <v>910</v>
    <v>21</v>
    <v>911</v>
    <v>912</v>
    <v>Crimmitschau</v>
    <v>Crimmitschau</v>
    <v>mdp/vdpid/7018149102730870786</v>
    <v>106</v>
    <v>913</v>
  </rv>
  <rv s="0">
    <v>536870912</v>
    <v>Cuxhaven</v>
    <v>1b420dad-1266-98d8-3903-f991e2b227c0</v>
    <v>de-DE</v>
    <v>Map</v>
  </rv>
  <rv s="0">
    <v>805306368</v>
    <v>Uwe Santjer (Mayor)</v>
    <v>f4ed89cb-32b1-0aca-5e02-ec7a150a2c65</v>
    <v>de-DE</v>
    <v>Generic</v>
  </rv>
  <rv s="1">
    <v>84</v>
  </rv>
  <rv s="2">
    <fb>48562</fb>
    <v>9</v>
  </rv>
  <rv s="3">
    <v>85</v>
    <v>7</v>
    <v>205</v>
    <v>7</v>
    <v>0</v>
    <v>Image of Cuxhaven</v>
  </rv>
  <rv s="2">
    <fb>53.866666666667001</fb>
    <v>10</v>
  </rv>
  <rv s="2">
    <fb>161.91999999999999</fb>
    <v>9</v>
  </rv>
  <rv s="2">
    <fb>8.6999999999999993</fb>
    <v>10</v>
  </rv>
  <rv s="4">
    <v>https://www.bing.com/search?q=cuxhaven&amp;form=skydnc</v>
    <v>Learn more on Bing</v>
  </rv>
  <rv s="0">
    <v>536870912</v>
    <v>Cuxhaven</v>
    <v>94903412-6ee2-498b-8a99-f0ef507f252c</v>
    <v>de-DE</v>
    <v>Map</v>
  </rv>
  <rv s="6">
    <v>#VALUE!</v>
    <v>de-DE</v>
    <v>1b420dad-1266-98d8-3903-f991e2b227c0</v>
    <v>536870912</v>
    <v>1</v>
    <v>206</v>
    <v>2</v>
    <v>13</v>
    <v>Cuxhaven</v>
    <v>5</v>
    <v>6</v>
    <v>Map</v>
    <v>7</v>
    <v>14</v>
    <v>917</v>
    <v>Cuxhaven is an independent town and seat of the Cuxhaven district, in Lower Saxony, Germany. The town includes the northernmost point of Lower Saxony. It is situated on the shore of the North Sea at the mouth of the Elbe River. Cuxhaven has a ...</v>
    <v>918</v>
    <v>919</v>
    <v>920</v>
    <v>921</v>
    <v>21</v>
    <v>922</v>
    <v>923</v>
    <v>Cuxhaven</v>
    <v>Cuxhaven</v>
    <v>mdp/vdpid/7010794204221669377</v>
    <v>247</v>
    <v>924</v>
  </rv>
  <rv s="0">
    <v>536870912</v>
    <v>Dachau</v>
    <v>96745289-a7ce-596c-5170-d9c939a92dea</v>
    <v>de-DE</v>
    <v>Map</v>
  </rv>
  <rv s="0">
    <v>805306368</v>
    <v>Florian Hartmann (Mayor)</v>
    <v>01144ad9-ea1b-b580-d854-7b4cac9be1ae</v>
    <v>de-DE</v>
    <v>Generic</v>
  </rv>
  <rv s="1">
    <v>85</v>
  </rv>
  <rv s="2">
    <fb>48195</fb>
    <v>9</v>
  </rv>
  <rv s="3">
    <v>86</v>
    <v>7</v>
    <v>207</v>
    <v>7</v>
    <v>0</v>
    <v>Image of Dachau, Bavaria</v>
  </rv>
  <rv s="2">
    <fb>48.260277777778001</fb>
    <v>10</v>
  </rv>
  <rv s="2">
    <fb>34.96</fb>
    <v>9</v>
  </rv>
  <rv s="2">
    <fb>11.434166666667</fb>
    <v>10</v>
  </rv>
  <rv s="4">
    <v>https://www.bing.com/search?q=dachau+germany&amp;form=skydnc</v>
    <v>Learn more on Bing</v>
  </rv>
  <rv s="0">
    <v>536870912</v>
    <v>Dachau county</v>
    <v>b3d34f4a-00aa-4caa-808f-e6e3d666ebae</v>
    <v>de-DE</v>
    <v>Map</v>
  </rv>
  <rv s="10">
    <v>#VALUE!</v>
    <v>de-DE</v>
    <v>96745289-a7ce-596c-5170-d9c939a92dea</v>
    <v>536870912</v>
    <v>1</v>
    <v>208</v>
    <v>39</v>
    <v>40</v>
    <v>Dachau, Bavaria</v>
    <v>5</v>
    <v>6</v>
    <v>Map</v>
    <v>7</v>
    <v>14</v>
    <v>928</v>
    <v>Dachau is a town in the Upper Bavaria district of Bavaria, a state in the southern part of Germany. It is a major district town—a Große Kreisstadt—of the administrative region of Upper Bavaria, about 20 kilometres north-west of Munich. It is now ...</v>
    <v>929</v>
    <v>930</v>
    <v>931</v>
    <v>932</v>
    <v>21</v>
    <v>933</v>
    <v>934</v>
    <v>Dachau, Bavaria</v>
    <v>Dachau, Bavaria</v>
    <v>mdp/vdpid/7021470804349026305</v>
    <v>935</v>
  </rv>
  <rv s="0">
    <v>536870912</v>
    <v>Darmstadt</v>
    <v>a78fec51-0d0a-7a65-27b3-f0d1c2e374a4</v>
    <v>de-DE</v>
    <v>Map</v>
  </rv>
  <rv s="0">
    <v>805306368</v>
    <v>Hanno Benz (Mayor)</v>
    <v>86b0331b-1f75-a029-0d04-4e7aff29f807</v>
    <v>de-DE</v>
    <v>Generic</v>
  </rv>
  <rv s="1">
    <v>86</v>
  </rv>
  <rv s="2">
    <fb>162243</fb>
    <v>9</v>
  </rv>
  <rv s="3">
    <v>87</v>
    <v>7</v>
    <v>209</v>
    <v>7</v>
    <v>0</v>
    <v>Image of Darmstadt</v>
  </rv>
  <rv s="2">
    <fb>49.866666666667001</fb>
    <v>10</v>
  </rv>
  <rv s="2">
    <fb>122.07</fb>
    <v>9</v>
  </rv>
  <rv s="2">
    <fb>8.65</fb>
    <v>10</v>
  </rv>
  <rv s="4">
    <v>https://www.bing.com/search?q=darmstadt&amp;form=skydnc</v>
    <v>Learn more on Bing</v>
  </rv>
  <rv s="0">
    <v>536870912</v>
    <v>Hesse</v>
    <v>90fbe078-3753-40db-ff12-40aa58e76c5f</v>
    <v>de-DE</v>
    <v>Map</v>
  </rv>
  <rv s="6">
    <v>#VALUE!</v>
    <v>de-DE</v>
    <v>a78fec51-0d0a-7a65-27b3-f0d1c2e374a4</v>
    <v>536870912</v>
    <v>1</v>
    <v>210</v>
    <v>2</v>
    <v>13</v>
    <v>Darmstadt</v>
    <v>5</v>
    <v>6</v>
    <v>Map</v>
    <v>7</v>
    <v>14</v>
    <v>939</v>
    <v>Darmstadt is a city in the state of Hesse in Germany, located in the southern part of the Rhine-Main-Area. Darmstadt has around 160,000 inhabitants, making it the fourth largest city in the state of Hesse after Frankfurt am Main, Wiesbaden, and ...</v>
    <v>940</v>
    <v>941</v>
    <v>942</v>
    <v>943</v>
    <v>21</v>
    <v>944</v>
    <v>945</v>
    <v>Darmstadt</v>
    <v>Darmstadt</v>
    <v>mdp/vdpid/7014991989561098241</v>
    <v>946</v>
    <v>303</v>
  </rv>
  <rv s="0">
    <v>536870912</v>
    <v>Datteln</v>
    <v>730da3b6-070a-25b3-f54e-8d25314576dd</v>
    <v>de-DE</v>
    <v>Map</v>
  </rv>
  <rv s="0">
    <v>805306368</v>
    <v>André Dora (Mayor)</v>
    <v>cc48c904-6ac2-3b7d-aafe-8adf7715c5fa</v>
    <v>de-DE</v>
    <v>Generic</v>
  </rv>
  <rv s="1">
    <v>87</v>
  </rv>
  <rv s="2">
    <fb>35191</fb>
    <v>9</v>
  </rv>
  <rv s="3">
    <v>88</v>
    <v>7</v>
    <v>211</v>
    <v>7</v>
    <v>0</v>
    <v>Image of Datteln</v>
  </rv>
  <rv s="2">
    <fb>51.653888888889</fb>
    <v>10</v>
  </rv>
  <rv s="2">
    <fb>66.099999999999994</fb>
    <v>9</v>
  </rv>
  <rv s="2">
    <fb>7.3416666666666996</fb>
    <v>10</v>
  </rv>
  <rv s="4">
    <v>https://www.bing.com/search?q=datteln+recklinghausen&amp;form=skydnc</v>
    <v>Learn more on Bing</v>
  </rv>
  <rv s="6">
    <v>#VALUE!</v>
    <v>de-DE</v>
    <v>730da3b6-070a-25b3-f54e-8d25314576dd</v>
    <v>536870912</v>
    <v>1</v>
    <v>212</v>
    <v>2</v>
    <v>13</v>
    <v>Datteln</v>
    <v>5</v>
    <v>6</v>
    <v>Map</v>
    <v>7</v>
    <v>14</v>
    <v>950</v>
    <v>Datteln is a town in the district of Recklinghausen, in North Rhine-Westphalia, Germany. It is situated on a crossroads of four canals, which makes it the biggest canal junction in the World, approx. 10 km north-east of Recklinghausen and 20 km ...</v>
    <v>951</v>
    <v>952</v>
    <v>953</v>
    <v>954</v>
    <v>21</v>
    <v>955</v>
    <v>956</v>
    <v>Datteln</v>
    <v>Datteln</v>
    <v>mdp/vdpid/7011421428293566465</v>
    <v>24</v>
    <v>814</v>
  </rv>
  <rv s="0">
    <v>536870912</v>
    <v>Delitzsch</v>
    <v>2b83aa1f-64e9-5b79-8f0b-4834d5a0abf7</v>
    <v>de-DE</v>
    <v>Map</v>
  </rv>
  <rv s="0">
    <v>805306368</v>
    <v>Manfred Wilde (Mayor)</v>
    <v>e50908aa-2124-8121-958e-01e1812d724b</v>
    <v>de-DE</v>
    <v>Generic</v>
  </rv>
  <rv s="1">
    <v>88</v>
  </rv>
  <rv s="2">
    <fb>25244</fb>
    <v>9</v>
  </rv>
  <rv s="3">
    <v>89</v>
    <v>7</v>
    <v>213</v>
    <v>7</v>
    <v>0</v>
    <v>Image of Delitzsch</v>
  </rv>
  <rv s="2">
    <fb>51.526388888889002</fb>
    <v>10</v>
  </rv>
  <rv s="2">
    <fb>85.92</fb>
    <v>9</v>
  </rv>
  <rv s="2">
    <fb>12.342499999999999</fb>
    <v>10</v>
  </rv>
  <rv s="4">
    <v>https://www.bing.com/search?q=delitzsch+germany&amp;form=skydnc</v>
    <v>Learn more on Bing</v>
  </rv>
  <rv s="0">
    <v>536870912</v>
    <v>Nordsachsen</v>
    <v>b7c1d330-1985-4737-ce2a-128dc982386d</v>
    <v>de-DE</v>
    <v>Map</v>
  </rv>
  <rv s="6">
    <v>#VALUE!</v>
    <v>de-DE</v>
    <v>2b83aa1f-64e9-5b79-8f0b-4834d5a0abf7</v>
    <v>536870912</v>
    <v>1</v>
    <v>214</v>
    <v>2</v>
    <v>13</v>
    <v>Delitzsch</v>
    <v>5</v>
    <v>6</v>
    <v>Map</v>
    <v>7</v>
    <v>14</v>
    <v>960</v>
    <v>Delitzsch is a town in Saxony in Germany, 20 km north of Leipzig and 30 km east of Halle. With 24,850 inhabitants at the end of 2015, it is the largest town in the district of Nordsachsen. Archaeological evidence outside the town limits points ...</v>
    <v>961</v>
    <v>962</v>
    <v>963</v>
    <v>964</v>
    <v>21</v>
    <v>965</v>
    <v>966</v>
    <v>Delitzsch</v>
    <v>Delitzsch</v>
    <v>mdp/vdpid/7018078596312858625</v>
    <v>106</v>
    <v>967</v>
  </rv>
  <rv s="0">
    <v>536870912</v>
    <v>Delmenhorst</v>
    <v>4c112b95-9a14-81fa-cccd-d1f408c11c1b</v>
    <v>de-DE</v>
    <v>Map</v>
  </rv>
  <rv s="0">
    <v>805306368</v>
    <v>Petra Gerlach (Mayor)</v>
    <v>e5f6b96e-0bad-e5d6-9bc6-9f30be8c5362</v>
    <v>de-DE</v>
    <v>Generic</v>
  </rv>
  <rv s="1">
    <v>89</v>
  </rv>
  <rv s="2">
    <fb>78385</fb>
    <v>9</v>
  </rv>
  <rv s="3">
    <v>90</v>
    <v>7</v>
    <v>215</v>
    <v>7</v>
    <v>0</v>
    <v>Image of Delmenhorst</v>
  </rv>
  <rv s="2">
    <fb>53.050555555556002</fb>
    <v>10</v>
  </rv>
  <rv s="2">
    <fb>8.6316666666666997</fb>
    <v>10</v>
  </rv>
  <rv s="4">
    <v>https://www.bing.com/search?q=delmenhorst+germany&amp;form=skydnc</v>
    <v>Learn more on Bing</v>
  </rv>
  <rv s="11">
    <v>#VALUE!</v>
    <v>de-DE</v>
    <v>4c112b95-9a14-81fa-cccd-d1f408c11c1b</v>
    <v>536870912</v>
    <v>1</v>
    <v>216</v>
    <v>17</v>
    <v>57</v>
    <v>Delmenhorst</v>
    <v>5</v>
    <v>6</v>
    <v>Map</v>
    <v>7</v>
    <v>14</v>
    <v>971</v>
    <v>Delmenhorst is an urban district in Lower Saxony, Germany. It has a population of 74,500 and is located 10 kilometres west of downtown Bremen with which it forms a contiguous urban area, whereas the city of Oldenburg is 25 kilometres to the ...</v>
    <v>972</v>
    <v>973</v>
    <v>974</v>
    <v>158</v>
    <v>21</v>
    <v>975</v>
    <v>976</v>
    <v>Delmenhorst</v>
    <v>Delmenhorst</v>
    <v>mdp/vdpid/7011562110048010241</v>
    <v>247</v>
  </rv>
  <rv s="0">
    <v>536870912</v>
    <v>Dessau</v>
    <v>6d9b85dc-d993-f2b1-0dee-42f73eb87669</v>
    <v>de-DE</v>
    <v>Map</v>
  </rv>
  <rv s="2">
    <fb>83616</fb>
    <v>9</v>
  </rv>
  <rv s="3">
    <v>91</v>
    <v>7</v>
    <v>217</v>
    <v>7</v>
    <v>0</v>
    <v>Image of Dessau</v>
  </rv>
  <rv s="2">
    <fb>51.834166666667002</fb>
    <v>10</v>
  </rv>
  <rv s="2">
    <fb>182.81</fb>
    <v>9</v>
  </rv>
  <rv s="2">
    <fb>12.246111111111</fb>
    <v>10</v>
  </rv>
  <rv s="4">
    <v>https://www.bing.com/search?q=dessau&amp;form=skydnc</v>
    <v>Learn more on Bing</v>
  </rv>
  <rv s="0">
    <v>536870912</v>
    <v>Dessau-Roßlau</v>
    <v>a42c34b2-0dd6-6501-c9d9-e0dff555196a</v>
    <v>de-DE</v>
    <v>Map</v>
  </rv>
  <rv s="12">
    <v>#VALUE!</v>
    <v>de-DE</v>
    <v>6d9b85dc-d993-f2b1-0dee-42f73eb87669</v>
    <v>536870912</v>
    <v>1</v>
    <v>218</v>
    <v>17</v>
    <v>96</v>
    <v>Dessau</v>
    <v>5</v>
    <v>6</v>
    <v>Map</v>
    <v>7</v>
    <v>219</v>
    <v>Dessau is a district of the independent city of Dessau-Roßlau in Saxony-Anhalt at the confluence of the rivers Mulde and Elbe, in the Bundesland of Saxony-Anhalt. Until 1 July 2007, it was an independent city. The population of Dessau is 67,747.</v>
    <v>979</v>
    <v>980</v>
    <v>981</v>
    <v>982</v>
    <v>21</v>
    <v>983</v>
    <v>984</v>
    <v>Dessau</v>
    <v>Dessau</v>
    <v>mdp/vdpid/7018055003923283969</v>
    <v>985</v>
  </rv>
  <rv s="0">
    <v>536870912</v>
    <v>Detmold</v>
    <v>c5ff6929-6f38-2d7f-41eb-b10c330d1c82</v>
    <v>de-DE</v>
    <v>Map</v>
  </rv>
  <rv s="0">
    <v>805306368</v>
    <v>Frank Hilker (Mayor)</v>
    <v>29e71cd1-7608-76ae-002a-be9c7a8411ab</v>
    <v>de-DE</v>
    <v>Generic</v>
  </rv>
  <rv s="1">
    <v>90</v>
  </rv>
  <rv s="2">
    <fb>75089</fb>
    <v>9</v>
  </rv>
  <rv s="3">
    <v>92</v>
    <v>7</v>
    <v>220</v>
    <v>7</v>
    <v>0</v>
    <v>Image of Detmold</v>
  </rv>
  <rv s="2">
    <fb>51.937777777778003</fb>
    <v>10</v>
  </rv>
  <rv s="2">
    <fb>129.38999999999999</fb>
    <v>9</v>
  </rv>
  <rv s="2">
    <fb>8.8833333333333009</fb>
    <v>10</v>
  </rv>
  <rv s="4">
    <v>https://www.bing.com/search?q=detmold+germany&amp;form=skydnc</v>
    <v>Learn more on Bing</v>
  </rv>
  <rv s="0">
    <v>536870912</v>
    <v>Lippe</v>
    <v>19312e83-9008-0a10-c01e-dd014224bd21</v>
    <v>de-DE</v>
    <v>Map</v>
  </rv>
  <rv s="10">
    <v>#VALUE!</v>
    <v>de-DE</v>
    <v>c5ff6929-6f38-2d7f-41eb-b10c330d1c82</v>
    <v>536870912</v>
    <v>1</v>
    <v>221</v>
    <v>39</v>
    <v>40</v>
    <v>Detmold</v>
    <v>5</v>
    <v>6</v>
    <v>Map</v>
    <v>7</v>
    <v>14</v>
    <v>989</v>
    <v>Detmold is a city in North Rhine-Westphalia, Germany, with a population of 73,969. It was the capital of the small Principality of Lippe from 1468 until 1918 and then of the Free State of Lippe until 1947. Today it is the administrative center ...</v>
    <v>990</v>
    <v>991</v>
    <v>992</v>
    <v>993</v>
    <v>21</v>
    <v>994</v>
    <v>995</v>
    <v>Detmold</v>
    <v>Detmold</v>
    <v>mdp/vdpid/7011832887301373953</v>
    <v>996</v>
  </rv>
  <rv s="0">
    <v>536870912</v>
    <v>Dillenburg</v>
    <v>8069de50-8c30-9beb-a8ff-6c09c3cc030d</v>
    <v>de-DE</v>
    <v>Map</v>
  </rv>
  <rv s="0">
    <v>805306368</v>
    <v>Michael Lotz (Mayor)</v>
    <v>f9ed3a71-fe9f-496c-3520-acb442babfd7</v>
    <v>de-DE</v>
    <v>Generic</v>
  </rv>
  <rv s="1">
    <v>91</v>
  </rv>
  <rv s="2">
    <fb>23480</fb>
    <v>9</v>
  </rv>
  <rv s="3">
    <v>93</v>
    <v>7</v>
    <v>222</v>
    <v>7</v>
    <v>0</v>
    <v>Image of Dillenburg</v>
  </rv>
  <rv s="2">
    <fb>50.733333333333</fb>
    <v>10</v>
  </rv>
  <rv s="2">
    <fb>83.76</fb>
    <v>9</v>
  </rv>
  <rv s="2">
    <fb>8.2833333333332995</fb>
    <v>10</v>
  </rv>
  <rv s="4">
    <v>https://www.bing.com/search?q=dillenburg+germany&amp;form=skydnc</v>
    <v>Learn more on Bing</v>
  </rv>
  <rv s="0">
    <v>536870912</v>
    <v>Lahn-Dill-Kreis</v>
    <v>1b7f4422-a195-a9d2-ee1f-65320fc18127</v>
    <v>de-DE</v>
    <v>Map</v>
  </rv>
  <rv s="10">
    <v>#VALUE!</v>
    <v>de-DE</v>
    <v>8069de50-8c30-9beb-a8ff-6c09c3cc030d</v>
    <v>536870912</v>
    <v>1</v>
    <v>223</v>
    <v>39</v>
    <v>40</v>
    <v>Dillenburg</v>
    <v>5</v>
    <v>6</v>
    <v>Map</v>
    <v>7</v>
    <v>14</v>
    <v>1000</v>
    <v>Dillenburg, officially Oranienstadt Dillenburg, is a town in Hesse's Gießen region in Germany. The town was formerly the seat of the old Dillkreis district, which is now part of the Lahn-Dill-Kreis. The town lies on the German-Dutch holiday road ...</v>
    <v>1001</v>
    <v>1002</v>
    <v>1003</v>
    <v>1004</v>
    <v>21</v>
    <v>1005</v>
    <v>1006</v>
    <v>Dillenburg</v>
    <v>Dillenburg</v>
    <v>mdp/vdpid/7011539606986293249</v>
    <v>1007</v>
  </rv>
  <rv s="0">
    <v>536870912</v>
    <v>Dillingen an der Donau</v>
    <v>55073bb9-b045-95b2-20e9-4ce98710cc35</v>
    <v>de-DE</v>
    <v>Map</v>
  </rv>
  <rv s="0">
    <v>805306368</v>
    <v>Frank Kunz (Mayor)</v>
    <v>a53bf2ea-1313-fa89-d304-621c93f84b2a</v>
    <v>de-DE</v>
    <v>Generic</v>
  </rv>
  <rv s="1">
    <v>92</v>
  </rv>
  <rv s="2">
    <fb>19814</fb>
    <v>9</v>
  </rv>
  <rv s="3">
    <v>94</v>
    <v>7</v>
    <v>224</v>
    <v>7</v>
    <v>0</v>
    <v>Image of Dillingen an der Donau</v>
  </rv>
  <rv s="2">
    <fb>48.566666666666997</fb>
    <v>10</v>
  </rv>
  <rv s="2">
    <fb>75.59</fb>
    <v>9</v>
  </rv>
  <rv s="2">
    <fb>10.466666666667001</fb>
    <v>10</v>
  </rv>
  <rv s="4">
    <v>https://www.bing.com/search?q=dillingen+an+der+donau+germany&amp;form=skydnc</v>
    <v>Learn more on Bing</v>
  </rv>
  <rv s="0">
    <v>536870912</v>
    <v>Dillingen</v>
    <v>0282f310-60b5-4276-88b6-147454458a68</v>
    <v>de-DE</v>
    <v>Map</v>
  </rv>
  <rv s="10">
    <v>#VALUE!</v>
    <v>de-DE</v>
    <v>55073bb9-b045-95b2-20e9-4ce98710cc35</v>
    <v>536870912</v>
    <v>1</v>
    <v>225</v>
    <v>39</v>
    <v>40</v>
    <v>Dillingen an der Donau</v>
    <v>5</v>
    <v>6</v>
    <v>Map</v>
    <v>7</v>
    <v>14</v>
    <v>1011</v>
    <v>Dillingen or Dillingen an der Donau is a town in Swabia, Bavaria, Germany. It is the administrative center of the district of Dillingen. Besides the town of Dillingen proper, the municipality encompasses the villages of Donaualtheim, Fristingen, ...</v>
    <v>1012</v>
    <v>1013</v>
    <v>1014</v>
    <v>1015</v>
    <v>21</v>
    <v>1016</v>
    <v>1017</v>
    <v>Dillingen an der Donau</v>
    <v>Dillingen an der Donau</v>
    <v>mdp/vdpid/7015400287187763201</v>
    <v>1018</v>
  </rv>
  <rv s="0">
    <v>536870912</v>
    <v>Dinslaken</v>
    <v>999cbbc8-ee86-5e4c-1261-209ba8a85301</v>
    <v>de-DE</v>
    <v>Map</v>
  </rv>
  <rv s="0">
    <v>805306368</v>
    <v>Michaela Eislöffel (Mayor)</v>
    <v>71465bff-0685-cf77-5bf6-8b14e36a190f</v>
    <v>de-DE</v>
    <v>Generic</v>
  </rv>
  <rv s="1">
    <v>93</v>
  </rv>
  <rv s="2">
    <fb>67762</fb>
    <v>9</v>
  </rv>
  <rv s="3">
    <v>95</v>
    <v>7</v>
    <v>226</v>
    <v>7</v>
    <v>0</v>
    <v>Image of Dinslaken</v>
  </rv>
  <rv s="2">
    <fb>51.566666666666997</fb>
    <v>10</v>
  </rv>
  <rv s="2">
    <fb>47.66</fb>
    <v>9</v>
  </rv>
  <rv s="2">
    <fb>6.7333333333332996</fb>
    <v>10</v>
  </rv>
  <rv s="4">
    <v>https://www.bing.com/search?q=dinslaken&amp;form=skydnc</v>
    <v>Learn more on Bing</v>
  </rv>
  <rv s="0">
    <v>536870912</v>
    <v>Düsseldorf Government Region</v>
    <v>492daa5a-bcb9-6347-5df3-bdfdddec0fa1</v>
    <v>de-DE</v>
    <v>Map</v>
  </rv>
  <rv s="0">
    <v>536870912</v>
    <v>Wesel</v>
    <v>4f136464-203c-56ee-a0f9-8102caf56c20</v>
    <v>de-DE</v>
    <v>Map</v>
  </rv>
  <rv s="6">
    <v>#VALUE!</v>
    <v>de-DE</v>
    <v>999cbbc8-ee86-5e4c-1261-209ba8a85301</v>
    <v>536870912</v>
    <v>1</v>
    <v>227</v>
    <v>2</v>
    <v>13</v>
    <v>Dinslaken</v>
    <v>5</v>
    <v>6</v>
    <v>Map</v>
    <v>7</v>
    <v>14</v>
    <v>1022</v>
    <v>Dinslaken is a town in the district of Wesel, in North Rhine-Westphalia, Germany. It is known for its harness racing track, its now closed coal mine in Lohberg and its wealthy neighborhoods Hiesfeld and Eppinghoven.</v>
    <v>1023</v>
    <v>1024</v>
    <v>1025</v>
    <v>1026</v>
    <v>21</v>
    <v>1027</v>
    <v>1028</v>
    <v>Dinslaken</v>
    <v>Dinslaken</v>
    <v>mdp/vdpid/7011323583083315201</v>
    <v>1029</v>
    <v>1030</v>
  </rv>
  <rv s="0">
    <v>536870912</v>
    <v>Döbeln</v>
    <v>ac937be2-ef13-42c0-946c-c5eb5d256dd9</v>
    <v>de-DE</v>
    <v>Map</v>
  </rv>
  <rv s="0">
    <v>805306368</v>
    <v>Sven Liebhauser (Mayor)</v>
    <v>ca6ad31e-77ce-aba4-67bd-4ffb5650999a</v>
    <v>de-DE</v>
    <v>Generic</v>
  </rv>
  <rv s="1">
    <v>94</v>
  </rv>
  <rv s="2">
    <fb>23763</fb>
    <v>9</v>
  </rv>
  <rv s="3">
    <v>96</v>
    <v>7</v>
    <v>228</v>
    <v>7</v>
    <v>0</v>
    <v>Image of Döbeln</v>
  </rv>
  <rv s="2">
    <fb>51.119444444443999</fb>
    <v>10</v>
  </rv>
  <rv s="2">
    <fb>91.74</fb>
    <v>9</v>
  </rv>
  <rv s="2">
    <fb>13.112777777778</fb>
    <v>10</v>
  </rv>
  <rv s="4">
    <v>https://www.bing.com/search?q=d%c3%b6beln&amp;form=skydnc</v>
    <v>Learn more on Bing</v>
  </rv>
  <rv s="0">
    <v>536870912</v>
    <v>Mittelsachsen</v>
    <v>52c17e15-7a4c-8e74-073e-e677e854ff9a</v>
    <v>de-DE</v>
    <v>Map</v>
  </rv>
  <rv s="6">
    <v>#VALUE!</v>
    <v>de-DE</v>
    <v>ac937be2-ef13-42c0-946c-c5eb5d256dd9</v>
    <v>536870912</v>
    <v>1</v>
    <v>229</v>
    <v>2</v>
    <v>13</v>
    <v>Döbeln</v>
    <v>5</v>
    <v>6</v>
    <v>Map</v>
    <v>7</v>
    <v>14</v>
    <v>1034</v>
    <v>Döbeln is a town in Saxony, Germany, part of the Mittelsachsen district, on both banks of the river Freiberger Mulde.</v>
    <v>1035</v>
    <v>1036</v>
    <v>1037</v>
    <v>1038</v>
    <v>21</v>
    <v>1039</v>
    <v>1040</v>
    <v>Döbeln</v>
    <v>Döbeln</v>
    <v>mdp/vdpid/7018240467909214209</v>
    <v>106</v>
    <v>1041</v>
  </rv>
  <rv s="0">
    <v>536870912</v>
    <v>Dorsten</v>
    <v>6da30672-d7a2-daef-3e53-e6def68a75a5</v>
    <v>de-DE</v>
    <v>Map</v>
  </rv>
  <rv s="0">
    <v>805306368</v>
    <v>Tobias Stockhoff (Mayor)</v>
    <v>fdc68535-570b-4822-1ae9-ec1a5ba8bd2e</v>
    <v>de-DE</v>
    <v>Generic</v>
  </rv>
  <rv s="1">
    <v>95</v>
  </rv>
  <rv s="2">
    <fb>76720</fb>
    <v>9</v>
  </rv>
  <rv s="3">
    <v>97</v>
    <v>7</v>
    <v>230</v>
    <v>7</v>
    <v>0</v>
    <v>Image of Dorsten</v>
  </rv>
  <rv s="2">
    <fb>51.66</fb>
    <v>10</v>
  </rv>
  <rv s="2">
    <fb>171.2</fb>
    <v>9</v>
  </rv>
  <rv s="2">
    <fb>6.9641666666667001</fb>
    <v>10</v>
  </rv>
  <rv s="4">
    <v>https://www.bing.com/search?q=dorsten&amp;form=skydnc</v>
    <v>Learn more on Bing</v>
  </rv>
  <rv s="6">
    <v>#VALUE!</v>
    <v>de-DE</v>
    <v>6da30672-d7a2-daef-3e53-e6def68a75a5</v>
    <v>536870912</v>
    <v>1</v>
    <v>231</v>
    <v>2</v>
    <v>13</v>
    <v>Dorsten</v>
    <v>5</v>
    <v>6</v>
    <v>Map</v>
    <v>7</v>
    <v>14</v>
    <v>1045</v>
    <v>Dorsten is a town in the district of Recklinghausen in North Rhine-Westphalia, Germany and has a population of about 75,000. Dorsten is situated on the western rim of Westphalia bordering the Rhineland. Its historical old town lies on the south ...</v>
    <v>1046</v>
    <v>1047</v>
    <v>1048</v>
    <v>1049</v>
    <v>21</v>
    <v>1050</v>
    <v>1051</v>
    <v>Dorsten</v>
    <v>Dorsten</v>
    <v>mdp/vdpid/7011324776597684225</v>
    <v>24</v>
    <v>814</v>
  </rv>
  <rv s="0">
    <v>536870912</v>
    <v>Dortmund</v>
    <v>0c0a384a-9554-65e3-1ab6-294595697d3b</v>
    <v>de-DE</v>
    <v>Map</v>
  </rv>
  <rv s="0">
    <v>805306368</v>
    <v>Thomas Westphal (Mayor)</v>
    <v>7c9022f6-673a-c835-7e41-f0b7b74d8c34</v>
    <v>de-DE</v>
    <v>Generic</v>
  </rv>
  <rv s="1">
    <v>96</v>
  </rv>
  <rv s="2">
    <fb>593317</fb>
    <v>9</v>
  </rv>
  <rv s="3">
    <v>98</v>
    <v>7</v>
    <v>232</v>
    <v>7</v>
    <v>0</v>
    <v>Image of Dortmund</v>
  </rv>
  <rv s="2">
    <fb>51.513888888888999</fb>
    <v>10</v>
  </rv>
  <rv s="2">
    <fb>280.70999999999998</fb>
    <v>9</v>
  </rv>
  <rv s="2">
    <fb>7.4652777777777999</fb>
    <v>10</v>
  </rv>
  <rv s="4">
    <v>https://www.bing.com/search?q=dortmund+germany&amp;form=skydnc</v>
    <v>Learn more on Bing</v>
  </rv>
  <rv s="11">
    <v>#VALUE!</v>
    <v>de-DE</v>
    <v>0c0a384a-9554-65e3-1ab6-294595697d3b</v>
    <v>536870912</v>
    <v>1</v>
    <v>233</v>
    <v>17</v>
    <v>57</v>
    <v>Dortmund</v>
    <v>5</v>
    <v>6</v>
    <v>Map</v>
    <v>7</v>
    <v>14</v>
    <v>1055</v>
    <v>Dortmund is the third-largest city in North Rhine-Westphalia, after Cologne and Düsseldorf, and the ninth-largest city in Germany. With a population of 609,000 inhabitants, it is the largest city of the Ruhr as well as the largest city of ...</v>
    <v>1056</v>
    <v>1057</v>
    <v>1058</v>
    <v>1059</v>
    <v>21</v>
    <v>1060</v>
    <v>1061</v>
    <v>Dortmund</v>
    <v>Dortmund</v>
    <v>mdp/vdpid/7011431158894297089</v>
    <v>412</v>
  </rv>
  <rv s="0">
    <v>536870912</v>
    <v>Dresden</v>
    <v>491f25a2-d7d3-715c-d4ca-3d32d56a7670</v>
    <v>de-DE</v>
    <v>Map</v>
  </rv>
  <rv s="0">
    <v>805306368</v>
    <v>Dirk Hilbert (Mayor)</v>
    <v>13317e73-98a0-e42f-9bb9-80271bc0d927</v>
    <v>de-DE</v>
    <v>Generic</v>
  </rv>
  <rv s="1">
    <v>97</v>
  </rv>
  <rv s="2">
    <fb>561922</fb>
    <v>9</v>
  </rv>
  <rv s="3">
    <v>99</v>
    <v>7</v>
    <v>234</v>
    <v>7</v>
    <v>0</v>
    <v>Image of Dresden</v>
  </rv>
  <rv s="2">
    <fb>51.05</fb>
    <v>10</v>
  </rv>
  <rv s="2">
    <fb>328.48</fb>
    <v>9</v>
  </rv>
  <rv s="0">
    <v>536870912</v>
    <v>Kingdom of Saxony</v>
    <v>05d2e9fd-2b44-814a-d2cc-7042d7b08bbf</v>
    <v>de-DE</v>
    <v>Map</v>
  </rv>
  <rv s="2">
    <fb>13.74</fb>
    <v>10</v>
  </rv>
  <rv s="4">
    <v>https://www.bing.com/search?q=dresden&amp;form=skydnc</v>
    <v>Learn more on Bing</v>
  </rv>
  <rv s="11">
    <v>#VALUE!</v>
    <v>de-DE</v>
    <v>491f25a2-d7d3-715c-d4ca-3d32d56a7670</v>
    <v>536870912</v>
    <v>1</v>
    <v>235</v>
    <v>17</v>
    <v>57</v>
    <v>Dresden</v>
    <v>5</v>
    <v>6</v>
    <v>Map</v>
    <v>7</v>
    <v>14</v>
    <v>1065</v>
    <v>Dresden is the capital city of the German state of Saxony and its second most populous city after Leipzig. It is the 12th most populous city of Germany, the fourth largest by area, and the third most populous city in the area of former East ...</v>
    <v>1066</v>
    <v>1067</v>
    <v>1068</v>
    <v>1069</v>
    <v>1070</v>
    <v>1071</v>
    <v>1072</v>
    <v>Dresden</v>
    <v>Dresden</v>
    <v>mdp/vdpid/7018275410639060993</v>
    <v>106</v>
  </rv>
  <rv s="0">
    <v>536870912</v>
    <v>Drzeńsko</v>
    <v>0d74b4d7-e76b-d724-7ee8-3d7c088e062f</v>
    <v>de-DE</v>
    <v>Map</v>
  </rv>
  <rv s="3">
    <v>100</v>
    <v>7</v>
    <v>236</v>
    <v>7</v>
    <v>0</v>
    <v>Image of Drzeńsko, Sławno County</v>
  </rv>
  <rv s="2">
    <fb>54.236111110000003</fb>
    <v>10</v>
  </rv>
  <rv s="0">
    <v>536870912</v>
    <v>Poland</v>
    <v>1d6059a2-d1f1-d2d7-4261-dc7cd5cdb84b</v>
    <v>de-DE</v>
    <v>Map</v>
  </rv>
  <rv s="2">
    <fb>16.643611109999998</fb>
    <v>10</v>
  </rv>
  <rv s="15">
    <v>#VALUE!</v>
    <v>de-DE</v>
    <v>0d74b4d7-e76b-d724-7ee8-3d7c088e062f</v>
    <v>536870912</v>
    <v>1</v>
    <v>237</v>
    <v>238</v>
    <v>239</v>
    <v>Drzeńsko, Sławno County</v>
    <v>240</v>
    <v>6</v>
    <v>Map</v>
    <v>7</v>
    <v>Drzeńsko is a village in the administrative district of Gmina Malechowo, within Sławno County, West Pomeranian Voivodeship, in north-western Poland. It lies approximately 12 kilometres south-east of Malechowo, 15 km south of Sławno, and 164 km ...</v>
    <v>1075</v>
    <v>1076</v>
    <v>1077</v>
    <v>1078</v>
    <v>Drzeńsko, Sławno County</v>
    <v>Drzeńsko, Sławno County</v>
    <v>mdp/vdpid/7017660308692926465</v>
  </rv>
  <rv s="0">
    <v>536870912</v>
    <v>Dudweiler</v>
    <v>0b3f28e0-1bd1-3f4c-9d88-2f480c89a1fc</v>
    <v>de-DE</v>
    <v>Map</v>
  </rv>
  <rv s="2">
    <fb>19335</fb>
    <v>9</v>
  </rv>
  <rv s="3">
    <v>101</v>
    <v>7</v>
    <v>241</v>
    <v>7</v>
    <v>0</v>
    <v>Image of Dudweiler</v>
  </rv>
  <rv s="2">
    <fb>49.276899999999998</fb>
    <v>10</v>
  </rv>
  <rv s="2">
    <fb>11.11</fb>
    <v>9</v>
  </rv>
  <rv s="2">
    <fb>7.03111</fb>
    <v>10</v>
  </rv>
  <rv s="4">
    <v>https://www.bing.com/search?q=dudweiler+saarbruecken+germany&amp;form=skydnc</v>
    <v>Learn more on Bing</v>
  </rv>
  <rv s="16">
    <v>#VALUE!</v>
    <v>de-DE</v>
    <v>0b3f28e0-1bd1-3f4c-9d88-2f480c89a1fc</v>
    <v>536870912</v>
    <v>1</v>
    <v>242</v>
    <v>27</v>
    <v>243</v>
    <v>Dudweiler</v>
    <v>5</v>
    <v>6</v>
    <v>Map</v>
    <v>7</v>
    <v>244</v>
    <v>Dudweiler is a borough of Saarbrücken, on the Sulzbach creek. In 977, Dudweiler was first mentioned in official documents of German Emperor Otto II as the location of a chapel. Dudweiler received town privileges on 12 September 1962. In 1974 it ...</v>
    <v>1081</v>
    <v>1082</v>
    <v>1083</v>
    <v>1084</v>
    <v>21</v>
    <v>1085</v>
    <v>1086</v>
    <v>Dudweiler</v>
    <v>Dudweiler</v>
    <v>mdp/vdpid/7014590644999946241</v>
  </rv>
  <rv s="0">
    <v>536870912</v>
    <v>Duisburg</v>
    <v>224a19fa-b4f8-eabc-b221-7cb156e75fa5</v>
    <v>de-DE</v>
    <v>Map</v>
  </rv>
  <rv s="0">
    <v>805306368</v>
    <v>Sören Link (Mayor)</v>
    <v>3ece033b-31ed-6095-e5a4-91f273b787b7</v>
    <v>de-DE</v>
    <v>Generic</v>
  </rv>
  <rv s="1">
    <v>98</v>
  </rv>
  <rv s="2">
    <fb>502211</fb>
    <v>9</v>
  </rv>
  <rv s="3">
    <v>102</v>
    <v>7</v>
    <v>245</v>
    <v>7</v>
    <v>0</v>
    <v>Image of Duisburg</v>
  </rv>
  <rv s="2">
    <fb>51.432222222222002</fb>
    <v>10</v>
  </rv>
  <rv s="2">
    <fb>232.8</fb>
    <v>9</v>
  </rv>
  <rv s="2">
    <fb>6.7611111111111004</fb>
    <v>10</v>
  </rv>
  <rv s="4">
    <v>https://www.bing.com/search?q=duisburg&amp;form=skydnc</v>
    <v>Learn more on Bing</v>
  </rv>
  <rv s="6">
    <v>#VALUE!</v>
    <v>de-DE</v>
    <v>224a19fa-b4f8-eabc-b221-7cb156e75fa5</v>
    <v>536870912</v>
    <v>1</v>
    <v>246</v>
    <v>2</v>
    <v>13</v>
    <v>Duisburg</v>
    <v>5</v>
    <v>6</v>
    <v>Map</v>
    <v>7</v>
    <v>14</v>
    <v>1090</v>
    <v>Duisburg is a city in the Ruhr metropolitan area of the western German state of North Rhine-Westphalia. Lying on the confluence of the Rhine and the Ruhr rivers in the center of the Rhine-Ruhr Region, Duisburg is the 5th largest city in North ...</v>
    <v>1091</v>
    <v>1092</v>
    <v>1093</v>
    <v>1094</v>
    <v>21</v>
    <v>1095</v>
    <v>1096</v>
    <v>Duisburg</v>
    <v>Duisburg</v>
    <v>mdp/vdpid/7011323003212398593</v>
    <v>412</v>
    <v>1029</v>
  </rv>
  <rv s="0">
    <v>536870912</v>
    <v>Dülken</v>
    <v>9c75ddab-a239-957d-0c05-c3aaa345eb11</v>
    <v>de-DE</v>
    <v>Map</v>
  </rv>
  <rv s="2">
    <fb>20469</fb>
    <v>9</v>
  </rv>
  <rv s="3">
    <v>103</v>
    <v>7</v>
    <v>247</v>
    <v>7</v>
    <v>0</v>
    <v>Image of Dülken</v>
  </rv>
  <rv s="2">
    <fb>51.252222222222002</fb>
    <v>10</v>
  </rv>
  <rv s="2">
    <fb>24.97</fb>
    <v>9</v>
  </rv>
  <rv s="2">
    <fb>6.3352777777778</fb>
    <v>10</v>
  </rv>
  <rv s="4">
    <v>https://www.bing.com/search?q=d%c3%bclken+germany&amp;form=skydnc</v>
    <v>Learn more on Bing</v>
  </rv>
  <rv s="0">
    <v>536870912</v>
    <v>Viersen</v>
    <v>92fbc5e1-0c7c-eabf-1f21-3cbd376a638d</v>
    <v>de-DE</v>
    <v>Map</v>
  </rv>
  <rv s="0">
    <v>536870912</v>
    <v>Viersen</v>
    <v>74c4fdae-1b86-1bc6-5c2a-8a03028abb4e</v>
    <v>de-DE</v>
    <v>Map</v>
  </rv>
  <rv s="8">
    <v>#VALUE!</v>
    <v>de-DE</v>
    <v>9c75ddab-a239-957d-0c05-c3aaa345eb11</v>
    <v>536870912</v>
    <v>1</v>
    <v>249</v>
    <v>2</v>
    <v>22</v>
    <v>Dülken</v>
    <v>5</v>
    <v>6</v>
    <v>Map</v>
    <v>7</v>
    <v>244</v>
    <v>Dülken is a town located in the North Rhine-Westphalia state of Germany. It has a population of about 20,000. It is a borough of the municipality of Viersen. It received its town charter in 1364 thus being the oldest part of the municipality of ...</v>
    <v>1099</v>
    <v>1100</v>
    <v>1101</v>
    <v>1102</v>
    <v>21</v>
    <v>1103</v>
    <v>1104</v>
    <v>Dülken</v>
    <v>Dülken</v>
    <v>mdp/vdpid/7011366041536167937</v>
    <v>1105</v>
    <v>1106</v>
  </rv>
  <rv s="0">
    <v>805306368</v>
    <v>Sabine Anemüller (Mayor)</v>
    <v>5a8bd8a6-d3ad-2943-be67-e41c2f551bf6</v>
    <v>de-DE</v>
    <v>Generic</v>
  </rv>
  <rv s="1">
    <v>99</v>
  </rv>
  <rv s="2">
    <fb>78208</fb>
    <v>9</v>
  </rv>
  <rv s="3">
    <v>104</v>
    <v>7</v>
    <v>250</v>
    <v>7</v>
    <v>0</v>
    <v>Image of Viersen</v>
  </rv>
  <rv s="2">
    <fb>51.255569999999999</fb>
    <v>10</v>
  </rv>
  <rv s="2">
    <fb>91.1</fb>
    <v>9</v>
  </rv>
  <rv s="2">
    <fb>6.39168</fb>
    <v>10</v>
  </rv>
  <rv s="4">
    <v>https://www.bing.com/search?q=viersen+germany&amp;form=skydnc</v>
    <v>Learn more on Bing</v>
  </rv>
  <rv s="6">
    <v>#VALUE!</v>
    <v>de-DE</v>
    <v>74c4fdae-1b86-1bc6-5c2a-8a03028abb4e</v>
    <v>536870912</v>
    <v>1</v>
    <v>251</v>
    <v>2</v>
    <v>13</v>
    <v>Viersen</v>
    <v>5</v>
    <v>6</v>
    <v>Map</v>
    <v>7</v>
    <v>14</v>
    <v>1109</v>
    <v>Viersen is the capital of the district of Viersen, in North Rhine-Westphalia, Germany.</v>
    <v>1110</v>
    <v>1111</v>
    <v>1112</v>
    <v>1113</v>
    <v>21</v>
    <v>1114</v>
    <v>1115</v>
    <v>Viersen</v>
    <v>Viersen</v>
    <v>mdp/vdpid/7011366182112460801</v>
    <v>1029</v>
    <v>1105</v>
  </rv>
  <rv s="0">
    <v>536870912</v>
    <v>Dülmen</v>
    <v>6f61e329-6bdc-fb74-6b06-7cf0133669a0</v>
    <v>de-DE</v>
    <v>Map</v>
  </rv>
  <rv s="0">
    <v>805306368</v>
    <v>Carsten Hövekamp (Mayor)</v>
    <v>d0abf0f7-54de-1279-7425-14ce4ffd7819</v>
    <v>de-DE</v>
    <v>Generic</v>
  </rv>
  <rv s="1">
    <v>100</v>
  </rv>
  <rv s="2">
    <fb>47468</fb>
    <v>9</v>
  </rv>
  <rv s="3">
    <v>105</v>
    <v>7</v>
    <v>252</v>
    <v>7</v>
    <v>0</v>
    <v>Image of Dülmen</v>
  </rv>
  <rv s="2">
    <fb>51.830833333332997</fb>
    <v>10</v>
  </rv>
  <rv s="2">
    <fb>184.83</fb>
    <v>9</v>
  </rv>
  <rv s="2">
    <fb>7.2783333333332996</fb>
    <v>10</v>
  </rv>
  <rv s="4">
    <v>https://www.bing.com/search?q=d%c3%bclmen+coesfeld&amp;form=skydnc</v>
    <v>Learn more on Bing</v>
  </rv>
  <rv s="6">
    <v>#VALUE!</v>
    <v>de-DE</v>
    <v>6f61e329-6bdc-fb74-6b06-7cf0133669a0</v>
    <v>536870912</v>
    <v>1</v>
    <v>253</v>
    <v>2</v>
    <v>13</v>
    <v>Dülmen</v>
    <v>5</v>
    <v>6</v>
    <v>Map</v>
    <v>7</v>
    <v>14</v>
    <v>1119</v>
    <v>Dülmen is a town in the district of Coesfeld, North Rhine-Westphalia, Germany.</v>
    <v>1120</v>
    <v>1121</v>
    <v>1122</v>
    <v>1123</v>
    <v>21</v>
    <v>1124</v>
    <v>1125</v>
    <v>Dülmen</v>
    <v>Dülmen</v>
    <v>mdp/vdpid/7011407731139543041</v>
    <v>24</v>
    <v>865</v>
  </rv>
  <rv s="0">
    <v>536870912</v>
    <v>Düren</v>
    <v>bc55ee13-486c-0786-8f53-39ac67e07b76</v>
    <v>de-DE</v>
    <v>Map</v>
  </rv>
  <rv s="0">
    <v>805306368</v>
    <v>Frank Peter Ullrich (Mayor)</v>
    <v>75f48766-e6b4-3bdc-46f8-82cd19cccc7f</v>
    <v>de-DE</v>
    <v>Generic</v>
  </rv>
  <rv s="1">
    <v>101</v>
  </rv>
  <rv s="2">
    <fb>93207</fb>
    <v>9</v>
  </rv>
  <rv s="3">
    <v>106</v>
    <v>7</v>
    <v>254</v>
    <v>7</v>
    <v>0</v>
    <v>Image of Düren</v>
  </rv>
  <rv s="2">
    <fb>50.8</fb>
    <v>10</v>
  </rv>
  <rv s="2">
    <fb>85</fb>
    <v>9</v>
  </rv>
  <rv s="2">
    <fb>6.4833333333332996</fb>
    <v>10</v>
  </rv>
  <rv s="4">
    <v>https://www.bing.com/search?q=duren+germany&amp;form=skydnc</v>
    <v>Learn more on Bing</v>
  </rv>
  <rv s="0">
    <v>536870912</v>
    <v>Düren</v>
    <v>b73272b2-ec7e-db0e-15a6-499ff9abe10e</v>
    <v>de-DE</v>
    <v>Map</v>
  </rv>
  <rv s="6">
    <v>#VALUE!</v>
    <v>de-DE</v>
    <v>bc55ee13-486c-0786-8f53-39ac67e07b76</v>
    <v>536870912</v>
    <v>1</v>
    <v>255</v>
    <v>2</v>
    <v>13</v>
    <v>Düren</v>
    <v>5</v>
    <v>6</v>
    <v>Map</v>
    <v>7</v>
    <v>14</v>
    <v>1129</v>
    <v>Düren is a town in North Rhine-Westphalia, Germany, between Aachen and Cologne, on the river Rur.</v>
    <v>1130</v>
    <v>1131</v>
    <v>1132</v>
    <v>1133</v>
    <v>21</v>
    <v>1134</v>
    <v>1135</v>
    <v>Düren</v>
    <v>Düren</v>
    <v>mdp/vdpid/7011385523809812481</v>
    <v>10</v>
    <v>1136</v>
  </rv>
  <rv s="0">
    <v>536870912</v>
    <v>Düsseldorf</v>
    <v>33a4f320-ea2a-2172-d7c1-31073fc29598</v>
    <v>de-DE</v>
    <v>Map</v>
  </rv>
  <rv s="0">
    <v>805306368</v>
    <v>Stephan Keller (Mayor)</v>
    <v>c8862ccf-3409-cd55-a480-a82db446b483</v>
    <v>de-DE</v>
    <v>Generic</v>
  </rv>
  <rv s="1">
    <v>102</v>
  </rv>
  <rv s="2">
    <fb>629047</fb>
    <v>9</v>
  </rv>
  <rv s="3">
    <v>107</v>
    <v>7</v>
    <v>256</v>
    <v>7</v>
    <v>0</v>
    <v>Image of Düsseldorf</v>
  </rv>
  <rv s="2">
    <fb>51.231144444443999</fb>
    <v>10</v>
  </rv>
  <rv s="2">
    <fb>217.41</fb>
    <v>9</v>
  </rv>
  <rv s="2">
    <fb>6.7723805555555998</fb>
    <v>10</v>
  </rv>
  <rv s="4">
    <v>https://www.bing.com/search?q=d%c3%bcsseldorf&amp;form=skydnc</v>
    <v>Learn more on Bing</v>
  </rv>
  <rv s="6">
    <v>#VALUE!</v>
    <v>de-DE</v>
    <v>33a4f320-ea2a-2172-d7c1-31073fc29598</v>
    <v>536870912</v>
    <v>1</v>
    <v>257</v>
    <v>2</v>
    <v>13</v>
    <v>Düsseldorf</v>
    <v>5</v>
    <v>6</v>
    <v>Map</v>
    <v>7</v>
    <v>14</v>
    <v>1140</v>
    <v>Düsseldorf is the capital city of North Rhine-Westphalia, the most populous state of Germany. It is the second-largest city in the state after Cologne, and the seventh-largest city in Germany, with a population of 653,253.</v>
    <v>1141</v>
    <v>1142</v>
    <v>1143</v>
    <v>1144</v>
    <v>21</v>
    <v>1145</v>
    <v>1146</v>
    <v>Düsseldorf</v>
    <v>Düsseldorf</v>
    <v>mdp/vdpid/7011375043921838083</v>
    <v>412</v>
    <v>1029</v>
  </rv>
  <rv s="0">
    <v>536870912</v>
    <v>Eberswalde</v>
    <v>9c8b418d-42d3-7505-09c1-7b0b4eed2f3d</v>
    <v>de-DE</v>
    <v>Map</v>
  </rv>
  <rv s="0">
    <v>805306368</v>
    <v>Götz Herrmann (Mayor)</v>
    <v>fd937d11-24c3-9027-b030-1e03cdc19176</v>
    <v>de-DE</v>
    <v>Generic</v>
  </rv>
  <rv s="1">
    <v>103</v>
  </rv>
  <rv s="2">
    <fb>43194</fb>
    <v>9</v>
  </rv>
  <rv s="3">
    <v>108</v>
    <v>7</v>
    <v>258</v>
    <v>7</v>
    <v>0</v>
    <v>Image of Eberswalde</v>
  </rv>
  <rv s="2">
    <fb>52.833055555556001</fb>
    <v>10</v>
  </rv>
  <rv s="2">
    <fb>93.64</fb>
    <v>9</v>
  </rv>
  <rv s="2">
    <fb>13.833055555555999</fb>
    <v>10</v>
  </rv>
  <rv s="4">
    <v>https://www.bing.com/search?q=eberswalde&amp;form=skydnc</v>
    <v>Learn more on Bing</v>
  </rv>
  <rv s="6">
    <v>#VALUE!</v>
    <v>de-DE</v>
    <v>9c8b418d-42d3-7505-09c1-7b0b4eed2f3d</v>
    <v>536870912</v>
    <v>1</v>
    <v>259</v>
    <v>2</v>
    <v>13</v>
    <v>Eberswalde</v>
    <v>5</v>
    <v>6</v>
    <v>Map</v>
    <v>7</v>
    <v>260</v>
    <v>1150</v>
    <v>Eberswalde is a major town and the administrative seat of the district Barnim in Brandenburg in north-eastern Germany, about 50 km northeast of Berlin. Population 42,144, geographical location 52°50′N 13°50′E / 52.833°N 13.833°E. The town is ...</v>
    <v>1151</v>
    <v>1152</v>
    <v>1153</v>
    <v>1154</v>
    <v>21</v>
    <v>1155</v>
    <v>1156</v>
    <v>Eberswalde</v>
    <v>Eberswalde</v>
    <v>mdp/vdpid/7017943398979993601</v>
    <v>488</v>
    <v>489</v>
  </rv>
  <rv s="0">
    <v>536870912</v>
    <v>Ebingen</v>
    <v>a486fb91-5c8f-f6af-e09f-5d310f7aeb6f</v>
    <v>de-DE</v>
    <v>Map</v>
  </rv>
  <rv s="3">
    <v>109</v>
    <v>7</v>
    <v>261</v>
    <v>7</v>
    <v>0</v>
    <v>Image of Ebingen</v>
  </rv>
  <rv s="2">
    <fb>48.216666666667003</fb>
    <v>10</v>
  </rv>
  <rv s="2">
    <fb>37.92</fb>
    <v>9</v>
  </rv>
  <rv s="2">
    <fb>9.0333333333332995</fb>
    <v>10</v>
  </rv>
  <rv s="4">
    <v>https://www.bing.com/search?q=ebingen+germany&amp;form=skydnc</v>
    <v>Learn more on Bing</v>
  </rv>
  <rv s="0">
    <v>536870912</v>
    <v>Zollernalb</v>
    <v>57e921b5-2e42-d7c3-ccfd-4d7f42d749e9</v>
    <v>de-DE</v>
    <v>Map</v>
  </rv>
  <rv s="0">
    <v>536870912</v>
    <v>Albstadt</v>
    <v>917a8d1f-9a99-ee8e-a62c-621399d96b57</v>
    <v>de-DE</v>
    <v>Map</v>
  </rv>
  <rv s="17">
    <v>#VALUE!</v>
    <v>de-DE</v>
    <v>a486fb91-5c8f-f6af-e09f-5d310f7aeb6f</v>
    <v>536870912</v>
    <v>1</v>
    <v>262</v>
    <v>263</v>
    <v>264</v>
    <v>Ebingen</v>
    <v>5</v>
    <v>6</v>
    <v>Map</v>
    <v>7</v>
    <v>265</v>
    <v>Ebingen is a town in the large district of Albstadt, district Zollernalbkreis, in the German state of Baden-Württemberg. It is located on the river Schmiecha, a left-hand tributary of the Danube, south of Tübingen and west of Ulm.</v>
    <v>1159</v>
    <v>1160</v>
    <v>1161</v>
    <v>21</v>
    <v>1162</v>
    <v>1163</v>
    <v>Ebingen</v>
    <v>Ebingen</v>
    <v>mdp/vdpid/7015287944936161281</v>
    <v>1164</v>
    <v>1165</v>
  </rv>
  <rv s="0">
    <v>536870912</v>
    <v>Eckernförde</v>
    <v>b60056ad-d44e-d598-5e5a-3b17458550d8</v>
    <v>de-DE</v>
    <v>Map</v>
  </rv>
  <rv s="0">
    <v>805306368</v>
    <v>Jörg Sibbel (Mayor)</v>
    <v>b373f2e1-b8ad-74f6-70d5-99f87e3e3349</v>
    <v>de-DE</v>
    <v>Generic</v>
  </rv>
  <rv s="1">
    <v>104</v>
  </rv>
  <rv s="2">
    <fb>21573</fb>
    <v>9</v>
  </rv>
  <rv s="3">
    <v>110</v>
    <v>7</v>
    <v>266</v>
    <v>7</v>
    <v>0</v>
    <v>Image of Eckernförde</v>
  </rv>
  <rv s="2">
    <fb>54.474166666667003</fb>
    <v>10</v>
  </rv>
  <rv s="2">
    <fb>21.38</fb>
    <v>9</v>
  </rv>
  <rv s="2">
    <fb>9.8377777777778004</fb>
    <v>10</v>
  </rv>
  <rv s="4">
    <v>https://www.bing.com/search?q=eckernf%c3%b6rde&amp;form=skydnc</v>
    <v>Learn more on Bing</v>
  </rv>
  <rv s="0">
    <v>536870912</v>
    <v>Rendsburg-Eckernförde</v>
    <v>ae8d1a3e-c15c-b2fa-0967-ab7a2ecc0b77</v>
    <v>de-DE</v>
    <v>Map</v>
  </rv>
  <rv s="6">
    <v>#VALUE!</v>
    <v>de-DE</v>
    <v>b60056ad-d44e-d598-5e5a-3b17458550d8</v>
    <v>536870912</v>
    <v>1</v>
    <v>267</v>
    <v>2</v>
    <v>13</v>
    <v>Eckernförde</v>
    <v>5</v>
    <v>6</v>
    <v>Map</v>
    <v>7</v>
    <v>8</v>
    <v>1169</v>
    <v>Eckernförde is a city located in the Kreis of Rendsburg-Eckernförde, Schleswig-Holstein, northern Germany. Situated on the coast of the Baltic Sea, approximately 30 km north-west of Kiel, it has a population of about 23,000. Eckernförde is a ...</v>
    <v>1170</v>
    <v>1171</v>
    <v>1172</v>
    <v>1173</v>
    <v>21</v>
    <v>1174</v>
    <v>1175</v>
    <v>Eckernförde</v>
    <v>Eckernförde</v>
    <v>mdp/vdpid/7010855633041752065</v>
    <v>326</v>
    <v>1176</v>
  </rv>
  <rv s="0">
    <v>536870912</v>
    <v>Eilenburg</v>
    <v>4e6948e4-c87d-6b56-7b98-048da6f5d1f4</v>
    <v>de-DE</v>
    <v>Map</v>
  </rv>
  <rv s="0">
    <v>805306368</v>
    <v>Ralf Scheler (Mayor)</v>
    <v>b29a7864-8f90-7050-586a-b98448820be6</v>
    <v>de-DE</v>
    <v>Generic</v>
  </rv>
  <rv s="1">
    <v>105</v>
  </rv>
  <rv s="2">
    <fb>16031</fb>
    <v>9</v>
  </rv>
  <rv s="3">
    <v>111</v>
    <v>7</v>
    <v>268</v>
    <v>7</v>
    <v>0</v>
    <v>Image of Eilenburg</v>
  </rv>
  <rv s="2">
    <fb>51.460833333332999</fb>
    <v>10</v>
  </rv>
  <rv s="2">
    <fb>46.84</fb>
    <v>9</v>
  </rv>
  <rv s="2">
    <fb>12.635833333333</fb>
    <v>10</v>
  </rv>
  <rv s="4">
    <v>https://www.bing.com/search?q=eilenburg+germany&amp;form=skydnc</v>
    <v>Learn more on Bing</v>
  </rv>
  <rv s="6">
    <v>#VALUE!</v>
    <v>de-DE</v>
    <v>4e6948e4-c87d-6b56-7b98-048da6f5d1f4</v>
    <v>536870912</v>
    <v>1</v>
    <v>269</v>
    <v>2</v>
    <v>13</v>
    <v>Eilenburg</v>
    <v>5</v>
    <v>6</v>
    <v>Map</v>
    <v>7</v>
    <v>14</v>
    <v>1180</v>
    <v>Eilenburg is a town in Germany. It lies in the district of Nordsachsen in Saxony, approximately 20 km northeast of the city of Leipzig.</v>
    <v>1181</v>
    <v>1182</v>
    <v>1183</v>
    <v>1184</v>
    <v>21</v>
    <v>1185</v>
    <v>1186</v>
    <v>Eilenburg</v>
    <v>Eilenburg</v>
    <v>mdp/vdpid/7018178411386372097</v>
    <v>106</v>
    <v>967</v>
  </rv>
  <rv s="0">
    <v>536870912</v>
    <v>Einbeck</v>
    <v>ddfea6e7-54f6-502a-efec-8b19be7dbc18</v>
    <v>de-DE</v>
    <v>Map</v>
  </rv>
  <rv s="0">
    <v>805306368</v>
    <v>Sabine Michalek (Mayor)</v>
    <v>92fb8b7f-2302-c334-643a-00601077a183</v>
    <v>de-DE</v>
    <v>Generic</v>
  </rv>
  <rv s="1">
    <v>106</v>
  </rv>
  <rv s="2">
    <fb>30728</fb>
    <v>9</v>
  </rv>
  <rv s="3">
    <v>112</v>
    <v>7</v>
    <v>270</v>
    <v>7</v>
    <v>0</v>
    <v>Image of Einbeck</v>
  </rv>
  <rv s="2">
    <fb>51.816666666666997</fb>
    <v>10</v>
  </rv>
  <rv s="2">
    <fb>231.92</fb>
    <v>9</v>
  </rv>
  <rv s="2">
    <fb>9.8666666666666991</fb>
    <v>10</v>
  </rv>
  <rv s="4">
    <v>https://www.bing.com/search?q=einbeck+germany&amp;form=skydnc</v>
    <v>Learn more on Bing</v>
  </rv>
  <rv s="0">
    <v>536870912</v>
    <v>Northeim</v>
    <v>a5afe0fa-dd31-484c-a810-c7fb08d45474</v>
    <v>de-DE</v>
    <v>Map</v>
  </rv>
  <rv s="6">
    <v>#VALUE!</v>
    <v>de-DE</v>
    <v>ddfea6e7-54f6-502a-efec-8b19be7dbc18</v>
    <v>536870912</v>
    <v>1</v>
    <v>271</v>
    <v>2</v>
    <v>13</v>
    <v>Einbeck</v>
    <v>5</v>
    <v>6</v>
    <v>Map</v>
    <v>7</v>
    <v>14</v>
    <v>1190</v>
    <v>Einbeck is a town in the district Northeim, in southern Lower Saxony, Germany, on the German Timber-Frame Road.</v>
    <v>1191</v>
    <v>1192</v>
    <v>1193</v>
    <v>1194</v>
    <v>21</v>
    <v>1195</v>
    <v>1196</v>
    <v>Einbeck</v>
    <v>Einbeck</v>
    <v>mdp/vdpid/7011968313945227265</v>
    <v>247</v>
    <v>1197</v>
  </rv>
  <rv s="0">
    <v>536870912</v>
    <v>Eisenach</v>
    <v>4932ad19-33ef-c0cf-405d-cc0b24859af2</v>
    <v>de-DE</v>
    <v>Map</v>
  </rv>
  <rv s="0">
    <v>805306368</v>
    <v>Katja Wolf (Mayor)</v>
    <v>7a9de9c6-fdcb-7bdb-8b13-19dec5d5f2cd</v>
    <v>de-DE</v>
    <v>Generic</v>
  </rv>
  <rv s="1">
    <v>107</v>
  </rv>
  <rv s="2">
    <fb>42408</fb>
    <v>9</v>
  </rv>
  <rv s="3">
    <v>113</v>
    <v>7</v>
    <v>272</v>
    <v>7</v>
    <v>0</v>
    <v>Image of Eisenach</v>
  </rv>
  <rv s="2">
    <fb>50.974722222221999</fb>
    <v>10</v>
  </rv>
  <rv s="2">
    <fb>10.324444444444</fb>
    <v>10</v>
  </rv>
  <rv s="4">
    <v>https://www.bing.com/search?q=eisenach&amp;form=skydnc</v>
    <v>Learn more on Bing</v>
  </rv>
  <rv s="10">
    <v>#VALUE!</v>
    <v>de-DE</v>
    <v>4932ad19-33ef-c0cf-405d-cc0b24859af2</v>
    <v>536870912</v>
    <v>1</v>
    <v>273</v>
    <v>39</v>
    <v>40</v>
    <v>Eisenach</v>
    <v>5</v>
    <v>6</v>
    <v>Map</v>
    <v>7</v>
    <v>14</v>
    <v>1201</v>
    <v>Eisenach is a town in Thuringia, Germany with 42,000 inhabitants, located 50 kilometres west of Erfurt, 70 km southeast of Kassel and 150 km northeast of Frankfurt. It is the main urban centre of western Thuringia and bordering northeastern ...</v>
    <v>1202</v>
    <v>1203</v>
    <v>1204</v>
    <v>485</v>
    <v>21</v>
    <v>1205</v>
    <v>1206</v>
    <v>Eisenach</v>
    <v>Eisenach</v>
    <v>mdp/vdpid/7012061243984838657</v>
    <v>315</v>
  </rv>
  <rv s="0">
    <v>536870912</v>
    <v>Eisenhüttenstadt</v>
    <v>4d69f79d-6cd3-bf2c-a1dc-0a35ac9e3bfb</v>
    <v>de-DE</v>
    <v>Map</v>
  </rv>
  <rv s="0">
    <v>805306368</v>
    <v>Frank Balzer (Mayor)</v>
    <v>f8758b3c-2ee2-3636-8734-71363ca039f8</v>
    <v>de-DE</v>
    <v>Generic</v>
  </rv>
  <rv s="1">
    <v>108</v>
  </rv>
  <rv s="2">
    <fb>24125</fb>
    <v>9</v>
  </rv>
  <rv s="3">
    <v>114</v>
    <v>7</v>
    <v>274</v>
    <v>7</v>
    <v>0</v>
    <v>Image of Eisenhüttenstadt</v>
  </rv>
  <rv s="2">
    <fb>52.146549999999998</fb>
    <v>10</v>
  </rv>
  <rv s="2">
    <fb>63.48</fb>
    <v>9</v>
  </rv>
  <rv s="2">
    <fb>14.63001</fb>
    <v>10</v>
  </rv>
  <rv s="4">
    <v>https://www.bing.com/search?q=eisenh%c3%bcttenstadt&amp;form=skydnc</v>
    <v>Learn more on Bing</v>
  </rv>
  <rv s="0">
    <v>536870912</v>
    <v>Oder-Spree District</v>
    <v>887069cc-1952-bee4-e791-974bb39aa064</v>
    <v>de-DE</v>
    <v>Map</v>
  </rv>
  <rv s="6">
    <v>#VALUE!</v>
    <v>de-DE</v>
    <v>4d69f79d-6cd3-bf2c-a1dc-0a35ac9e3bfb</v>
    <v>536870912</v>
    <v>1</v>
    <v>275</v>
    <v>2</v>
    <v>13</v>
    <v>Eisenhüttenstadt</v>
    <v>5</v>
    <v>6</v>
    <v>Map</v>
    <v>7</v>
    <v>14</v>
    <v>1210</v>
    <v>Eisenhüttenstadt is a town in the Oder-Spree district of the state of Brandenburg, in eastern Germany, on the border with Poland. East Germany founded the city in 1950. It was known as Stalinstadt between 1953 and 1961.</v>
    <v>1211</v>
    <v>1212</v>
    <v>1213</v>
    <v>1214</v>
    <v>21</v>
    <v>1215</v>
    <v>1216</v>
    <v>Eisenhüttenstadt</v>
    <v>Eisenhüttenstadt</v>
    <v>mdp/vdpid/7018400559761719297</v>
    <v>488</v>
    <v>1217</v>
  </rv>
  <rv s="0">
    <v>536870912</v>
    <v>Ellwangen</v>
    <v>b7cc58d7-30b6-d1b6-0c23-6b4eb4d6d9b1</v>
    <v>de-DE</v>
    <v>Map</v>
  </rv>
  <rv s="0">
    <v>805306368</v>
    <v>Michael Dambacher (Mayor)</v>
    <v>f64f3acc-ac3c-fa14-bed2-e759bcbfb7ab</v>
    <v>de-DE</v>
    <v>Generic</v>
  </rv>
  <rv s="1">
    <v>109</v>
  </rv>
  <rv s="2">
    <fb>25678</fb>
    <v>9</v>
  </rv>
  <rv s="3">
    <v>115</v>
    <v>7</v>
    <v>276</v>
    <v>7</v>
    <v>0</v>
    <v>Image of Ellwangen</v>
  </rv>
  <rv s="2">
    <fb>48.961111111111002</fb>
    <v>10</v>
  </rv>
  <rv s="2">
    <fb>127.38</fb>
    <v>9</v>
  </rv>
  <rv s="2">
    <fb>10.130555555556001</fb>
    <v>10</v>
  </rv>
  <rv s="4">
    <v>https://www.bing.com/search?q=ellwangen+germany&amp;form=skydnc</v>
    <v>Learn more on Bing</v>
  </rv>
  <rv s="0">
    <v>536870912</v>
    <v>Ostalbkreis</v>
    <v>8d5980e7-b85a-970b-5886-3b07c9b7812a</v>
    <v>de-DE</v>
    <v>Map</v>
  </rv>
  <rv s="11">
    <v>#VALUE!</v>
    <v>de-DE</v>
    <v>b7cc58d7-30b6-d1b6-0c23-6b4eb4d6d9b1</v>
    <v>536870912</v>
    <v>1</v>
    <v>277</v>
    <v>17</v>
    <v>57</v>
    <v>Ellwangen</v>
    <v>5</v>
    <v>6</v>
    <v>Map</v>
    <v>7</v>
    <v>14</v>
    <v>1221</v>
    <v>Ellwangen an der Jagst, officially Ellwangen, in common use simply Ellwangen is a town in the district of Ostalbkreis in the east of Baden-Württemberg in southern Germany. It is situated about 17 kilometres north of Aalen.</v>
    <v>1222</v>
    <v>1223</v>
    <v>1224</v>
    <v>1225</v>
    <v>21</v>
    <v>1226</v>
    <v>1227</v>
    <v>Ellwangen</v>
    <v>Ellwangen</v>
    <v>mdp/vdpid/7015349896249081857</v>
    <v>1228</v>
  </rv>
  <rv s="0">
    <v>536870912</v>
    <v>Elmshorn</v>
    <v>770352f1-9963-8298-3db9-49e850f916b7</v>
    <v>de-DE</v>
    <v>Map</v>
  </rv>
  <rv s="0">
    <v>805306368</v>
    <v>Volker Hatje (Mayor)</v>
    <v>2688648c-3b92-424f-fadb-c47e65a9819b</v>
    <v>de-DE</v>
    <v>Generic</v>
  </rv>
  <rv s="1">
    <v>110</v>
  </rv>
  <rv s="2">
    <fb>50772</fb>
    <v>9</v>
  </rv>
  <rv s="3">
    <v>116</v>
    <v>7</v>
    <v>278</v>
    <v>7</v>
    <v>0</v>
    <v>Image of Elmshorn</v>
  </rv>
  <rv s="2">
    <fb>53.754722222222</fb>
    <v>10</v>
  </rv>
  <rv s="2">
    <fb>21.36</fb>
    <v>9</v>
  </rv>
  <rv s="2">
    <fb>9.6536111111111005</fb>
    <v>10</v>
  </rv>
  <rv s="4">
    <v>https://www.bing.com/search?q=elmshorn&amp;form=skydnc</v>
    <v>Learn more on Bing</v>
  </rv>
  <rv s="0">
    <v>536870912</v>
    <v>Pinneberg</v>
    <v>2d37e340-b90b-40a7-90b2-7a50baa9e6dd</v>
    <v>de-DE</v>
    <v>Map</v>
  </rv>
  <rv s="6">
    <v>#VALUE!</v>
    <v>de-DE</v>
    <v>770352f1-9963-8298-3db9-49e850f916b7</v>
    <v>536870912</v>
    <v>1</v>
    <v>279</v>
    <v>2</v>
    <v>13</v>
    <v>Elmshorn</v>
    <v>5</v>
    <v>6</v>
    <v>Map</v>
    <v>7</v>
    <v>14</v>
    <v>1232</v>
    <v>Elmshorn is a town in the district of Pinneberg in Schleswig-Holstein in Germany. It is 30 km north of Hamburg on the small river Krückau, a tributary of the Elbe, and with about 50,000 inhabitants is the sixth-largest town in the state of ...</v>
    <v>1233</v>
    <v>1234</v>
    <v>1235</v>
    <v>1236</v>
    <v>21</v>
    <v>1237</v>
    <v>1238</v>
    <v>Elmshorn</v>
    <v>Elmshorn</v>
    <v>mdp/vdpid/7010829941570797569</v>
    <v>326</v>
    <v>1239</v>
  </rv>
  <rv s="0">
    <v>536870912</v>
    <v>Elsdorf</v>
    <v>b86d267f-ef41-e1ab-1295-4bdb01d9a05d</v>
    <v>de-DE</v>
    <v>Map</v>
  </rv>
  <rv s="0">
    <v>805306368</v>
    <v>Andreas Heller (Mayor)</v>
    <v>ed7acfee-2184-22a1-2081-fb4d9c629ff1</v>
    <v>de-DE</v>
    <v>Generic</v>
  </rv>
  <rv s="1">
    <v>111</v>
  </rv>
  <rv s="2">
    <fb>22021</fb>
    <v>9</v>
  </rv>
  <rv s="3">
    <v>117</v>
    <v>7</v>
    <v>280</v>
    <v>7</v>
    <v>0</v>
    <v>Image of Elsdorf</v>
  </rv>
  <rv s="2">
    <fb>50.933333333333003</fb>
    <v>10</v>
  </rv>
  <rv s="2">
    <fb>66.17</fb>
    <v>9</v>
  </rv>
  <rv s="2">
    <fb>6.5666666666667002</fb>
    <v>10</v>
  </rv>
  <rv s="4">
    <v>https://www.bing.com/search?q=elsdorf+germany&amp;form=skydnc</v>
    <v>Learn more on Bing</v>
  </rv>
  <rv s="11">
    <v>#VALUE!</v>
    <v>de-DE</v>
    <v>b86d267f-ef41-e1ab-1295-4bdb01d9a05d</v>
    <v>536870912</v>
    <v>1</v>
    <v>281</v>
    <v>17</v>
    <v>57</v>
    <v>Elsdorf</v>
    <v>5</v>
    <v>6</v>
    <v>Map</v>
    <v>7</v>
    <v>14</v>
    <v>1243</v>
    <v>Elsdorf is a town in the Rhein-Erft-Kreis, in North Rhine-Westphalia, Germany. It is situated approximately 5 km south-west of Bergheim and 27 km west of Cologne.</v>
    <v>1244</v>
    <v>1245</v>
    <v>1246</v>
    <v>1247</v>
    <v>21</v>
    <v>1248</v>
    <v>1249</v>
    <v>Elsdorf</v>
    <v>Elsdorf</v>
    <v>mdp/vdpid/7011386530157559809</v>
    <v>10</v>
  </rv>
  <rv s="0">
    <v>536870912</v>
    <v>Emden</v>
    <v>5cc0040b-2700-2507-b94d-c9d483fff499</v>
    <v>de-DE</v>
    <v>Map</v>
  </rv>
  <rv s="0">
    <v>805306368</v>
    <v>Tim Kruithoff (Mayor)</v>
    <v>bbec1231-bed7-5471-06de-5179765b0bb3</v>
    <v>de-DE</v>
    <v>Generic</v>
  </rv>
  <rv s="1">
    <v>112</v>
  </rv>
  <rv s="2">
    <fb>50535</fb>
    <v>9</v>
  </rv>
  <rv s="3">
    <v>118</v>
    <v>7</v>
    <v>282</v>
    <v>7</v>
    <v>0</v>
    <v>Image of Emden</v>
  </rv>
  <rv s="2">
    <fb>53.366944444444002</fb>
    <v>10</v>
  </rv>
  <rv s="2">
    <fb>112.34</fb>
    <v>9</v>
  </rv>
  <rv s="2">
    <fb>7.2061111111110998</fb>
    <v>10</v>
  </rv>
  <rv s="4">
    <v>https://www.bing.com/search?q=emden+germany&amp;form=skydnc</v>
    <v>Learn more on Bing</v>
  </rv>
  <rv s="11">
    <v>#VALUE!</v>
    <v>de-DE</v>
    <v>5cc0040b-2700-2507-b94d-c9d483fff499</v>
    <v>536870912</v>
    <v>1</v>
    <v>283</v>
    <v>17</v>
    <v>57</v>
    <v>Emden</v>
    <v>5</v>
    <v>6</v>
    <v>Map</v>
    <v>7</v>
    <v>14</v>
    <v>1253</v>
    <v>Emden is an independent city and seaport in Lower Saxony in the northwest of Germany, on the river Ems. It is the main city of the region of East Frisia and, in 2011, had a total population of 51,528.</v>
    <v>1254</v>
    <v>1255</v>
    <v>1256</v>
    <v>1257</v>
    <v>21</v>
    <v>1258</v>
    <v>1259</v>
    <v>Emden</v>
    <v>Emden</v>
    <v>mdp/vdpid/7011122578546753537</v>
    <v>247</v>
  </rv>
  <rv s="0">
    <v>536870912</v>
    <v>Emsdetten</v>
    <v>003c5ec1-3910-aaee-264d-71a7326322ae</v>
    <v>de-DE</v>
    <v>Map</v>
  </rv>
  <rv s="0">
    <v>805306368</v>
    <v>Oliver Kellner (Mayor)</v>
    <v>03c184b0-16da-52c4-0c82-08acd7f60f5a</v>
    <v>de-DE</v>
    <v>Generic</v>
  </rv>
  <rv s="1">
    <v>113</v>
  </rv>
  <rv s="2">
    <fb>36354</fb>
    <v>9</v>
  </rv>
  <rv s="3">
    <v>119</v>
    <v>7</v>
    <v>284</v>
    <v>7</v>
    <v>0</v>
    <v>Image of Emsdetten</v>
  </rv>
  <rv s="2">
    <fb>52.172777777778002</fb>
    <v>10</v>
  </rv>
  <rv s="2">
    <fb>72.06</fb>
    <v>9</v>
  </rv>
  <rv s="2">
    <fb>7.5344444444444001</fb>
    <v>10</v>
  </rv>
  <rv s="4">
    <v>https://www.bing.com/search?q=emsdetten&amp;form=skydnc</v>
    <v>Learn more on Bing</v>
  </rv>
  <rv s="0">
    <v>536870912</v>
    <v>Steinfurt</v>
    <v>79e20b77-7d92-65a9-2023-da4651005c84</v>
    <v>de-DE</v>
    <v>Map</v>
  </rv>
  <rv s="5">
    <v>#VALUE!</v>
    <v>de-DE</v>
    <v>003c5ec1-3910-aaee-264d-71a7326322ae</v>
    <v>536870912</v>
    <v>1</v>
    <v>285</v>
    <v>2</v>
    <v>3</v>
    <v>Emsdetten</v>
    <v>5</v>
    <v>6</v>
    <v>Map</v>
    <v>7</v>
    <v>14</v>
    <v>1263</v>
    <v>Emsdetten is a town in the district of Steinfurt, in North Rhine-Westphalia, Germany.</v>
    <v>1264</v>
    <v>1265</v>
    <v>1266</v>
    <v>1267</v>
    <v>21</v>
    <v>1268</v>
    <v>1269</v>
    <v>Emsdetten</v>
    <v>Emsdetten</v>
    <v>mdp/vdpid/7011223281655087105</v>
    <v>24</v>
    <v>1270</v>
    <v>708</v>
  </rv>
  <rv s="0">
    <v>536870912</v>
    <v>Engelskirchen</v>
    <v>dff099e9-0aa8-7f24-5299-738a5c864151</v>
    <v>de-DE</v>
    <v>Map</v>
  </rv>
  <rv s="0">
    <v>805306368</v>
    <v>Dr. Gero Karthaus (Mayor)</v>
    <v>27b5a84f-9177-fd33-1c9a-6aae95a09cda</v>
    <v>de-DE</v>
    <v>Generic</v>
  </rv>
  <rv s="1">
    <v>114</v>
  </rv>
  <rv s="2">
    <fb>19584</fb>
    <v>9</v>
  </rv>
  <rv s="3">
    <v>120</v>
    <v>7</v>
    <v>286</v>
    <v>7</v>
    <v>0</v>
    <v>Image of Engelskirchen</v>
  </rv>
  <rv s="2">
    <fb>50.983333333333</fb>
    <v>10</v>
  </rv>
  <rv s="2">
    <fb>63.03</fb>
    <v>9</v>
  </rv>
  <rv s="2">
    <fb>7.4166666666666998</fb>
    <v>10</v>
  </rv>
  <rv s="4">
    <v>https://www.bing.com/search?q=engelskirchen+germany&amp;form=skydnc</v>
    <v>Learn more on Bing</v>
  </rv>
  <rv s="0">
    <v>536870912</v>
    <v>Oberbergischer Kreis</v>
    <v>35c3a9b3-84d6-0c4c-d9f5-28a4864a92fb</v>
    <v>de-DE</v>
    <v>Map</v>
  </rv>
  <rv s="6">
    <v>#VALUE!</v>
    <v>de-DE</v>
    <v>dff099e9-0aa8-7f24-5299-738a5c864151</v>
    <v>536870912</v>
    <v>1</v>
    <v>287</v>
    <v>2</v>
    <v>13</v>
    <v>Engelskirchen</v>
    <v>5</v>
    <v>6</v>
    <v>Map</v>
    <v>7</v>
    <v>14</v>
    <v>1274</v>
    <v>Engelskirchen is a municipality in Oberbergischer Kreis, Germany in North Rhine-Westphalia, about 40 kilometres east of Cologne. The neighbouring municipalities are Overath, Lindlar, Gummersbach, Wiehl and Much.</v>
    <v>1275</v>
    <v>1276</v>
    <v>1277</v>
    <v>1278</v>
    <v>21</v>
    <v>1279</v>
    <v>1280</v>
    <v>Engelskirchen</v>
    <v>Engelskirchen</v>
    <v>mdp/vdpid/7011486003831504898</v>
    <v>10</v>
    <v>1281</v>
  </rv>
  <rv s="0">
    <v>536870912</v>
    <v>Ennepetal</v>
    <v>cfbc1967-684f-83a0-fadb-18040040f5ab</v>
    <v>de-DE</v>
    <v>Map</v>
  </rv>
  <rv s="0">
    <v>805306368</v>
    <v>Imke Heymann (Mayor)</v>
    <v>744ce2f1-123a-4fbc-a449-03ea56b93e66</v>
    <v>de-DE</v>
    <v>Generic</v>
  </rv>
  <rv s="1">
    <v>115</v>
  </rv>
  <rv s="3">
    <v>121</v>
    <v>7</v>
    <v>288</v>
    <v>7</v>
    <v>0</v>
    <v>Image of Ennepetal</v>
  </rv>
  <rv s="2">
    <fb>51.302119444444401</fb>
    <v>10</v>
  </rv>
  <rv s="2">
    <fb>57.77</fb>
    <v>9</v>
  </rv>
  <rv s="2">
    <fb>7.3425000000000002</fb>
    <v>10</v>
  </rv>
  <rv s="4">
    <v>https://www.bing.com/search?q=ennepetal+germany&amp;form=skydnc</v>
    <v>Learn more on Bing</v>
  </rv>
  <rv s="0">
    <v>536870912</v>
    <v>Ennepe-Ruhr-Kreis</v>
    <v>698c0188-140a-a8f1-2dfc-9548bab99445</v>
    <v>de-DE</v>
    <v>Map</v>
  </rv>
  <rv s="10">
    <v>#VALUE!</v>
    <v>de-DE</v>
    <v>cfbc1967-684f-83a0-fadb-18040040f5ab</v>
    <v>536870912</v>
    <v>1</v>
    <v>289</v>
    <v>39</v>
    <v>40</v>
    <v>Ennepetal</v>
    <v>5</v>
    <v>6</v>
    <v>Map</v>
    <v>7</v>
    <v>14</v>
    <v>1285</v>
    <v>Ennepetal is a town in the district of Ennepe-Ruhr-Kreis, in North Rhine-Westphalia, Germany. It was created in 1949 out of the former municipalities Milspe and Voerde. It was named after the river Ennepe, which flows through the municipality.</v>
    <v>264</v>
    <v>1286</v>
    <v>1287</v>
    <v>1288</v>
    <v>21</v>
    <v>1289</v>
    <v>1290</v>
    <v>Ennepetal</v>
    <v>Ennepetal</v>
    <v>mdp/vdpid/7011480332394299393</v>
    <v>1291</v>
  </rv>
  <rv s="0">
    <v>536870912</v>
    <v>Erfurt</v>
    <v>0e328efa-0119-eb62-24dc-e2ef83e26d0b</v>
    <v>de-DE</v>
    <v>Map</v>
  </rv>
  <rv s="0">
    <v>805306368</v>
    <v>Andreas Bausewein (Mayor)</v>
    <v>bda89a1a-a579-6c1c-0bd6-2920ab48f900</v>
    <v>de-DE</v>
    <v>Generic</v>
  </rv>
  <rv s="1">
    <v>116</v>
  </rv>
  <rv s="2">
    <fb>214969</fb>
    <v>9</v>
  </rv>
  <rv s="3">
    <v>122</v>
    <v>7</v>
    <v>290</v>
    <v>7</v>
    <v>0</v>
    <v>Image of Erfurt</v>
  </rv>
  <rv s="2">
    <fb>50.978055555555997</fb>
    <v>10</v>
  </rv>
  <rv s="2">
    <fb>269.91000000000003</fb>
    <v>9</v>
  </rv>
  <rv s="2">
    <fb>11.029166666667001</fb>
    <v>10</v>
  </rv>
  <rv s="4">
    <v>https://www.bing.com/search?q=erfurt&amp;form=skydnc</v>
    <v>Learn more on Bing</v>
  </rv>
  <rv s="9">
    <v>#VALUE!</v>
    <v>de-DE</v>
    <v>0e328efa-0119-eb62-24dc-e2ef83e26d0b</v>
    <v>536870912</v>
    <v>1</v>
    <v>291</v>
    <v>27</v>
    <v>28</v>
    <v>Erfurt</v>
    <v>5</v>
    <v>6</v>
    <v>Map</v>
    <v>7</v>
    <v>14</v>
    <v>1295</v>
    <v>Erfurt is the capital and largest city of the Central German state of Thuringia. It is in the wide valley of the River Gera, in the southern part of the Thuringian Basin, north of the Thuringian Forest, and in the middle of a line of the six ...</v>
    <v>1296</v>
    <v>1297</v>
    <v>1298</v>
    <v>1299</v>
    <v>21</v>
    <v>1300</v>
    <v>1301</v>
    <v>Erfurt</v>
    <v>Erfurt</v>
    <v>mdp/vdpid/7012084447176556545</v>
  </rv>
  <rv s="0">
    <v>536870912</v>
    <v>Erlangen</v>
    <v>754aabe7-a455-439b-1f7b-78ff15de7cfc</v>
    <v>de-DE</v>
    <v>Map</v>
  </rv>
  <rv s="0">
    <v>805306368</v>
    <v>Florian Janik (Mayor)</v>
    <v>23f7d55e-49a2-7062-2fd4-631636bda377</v>
    <v>de-DE</v>
    <v>Generic</v>
  </rv>
  <rv s="1">
    <v>117</v>
  </rv>
  <rv s="2">
    <fb>116562</fb>
    <v>9</v>
  </rv>
  <rv s="3">
    <v>123</v>
    <v>7</v>
    <v>292</v>
    <v>7</v>
    <v>0</v>
    <v>Image of Erlangen</v>
  </rv>
  <rv s="2">
    <fb>49.596388888889003</fb>
    <v>10</v>
  </rv>
  <rv s="2">
    <fb>76.959999999999994</fb>
    <v>9</v>
  </rv>
  <rv s="2">
    <fb>11.004444444443999</fb>
    <v>10</v>
  </rv>
  <rv s="4">
    <v>https://www.bing.com/search?q=erlangen&amp;form=skydnc</v>
    <v>Learn more on Bing</v>
  </rv>
  <rv s="9">
    <v>#VALUE!</v>
    <v>de-DE</v>
    <v>754aabe7-a455-439b-1f7b-78ff15de7cfc</v>
    <v>536870912</v>
    <v>1</v>
    <v>293</v>
    <v>27</v>
    <v>28</v>
    <v>Erlangen</v>
    <v>5</v>
    <v>6</v>
    <v>Map</v>
    <v>7</v>
    <v>14</v>
    <v>1305</v>
    <v>Erlangen is a Middle Franconian city in Bavaria, Germany. It is the seat of the administrative district Erlangen-Höchstadt, and with 116,062 inhabitants, it is the smallest of the eight major cities in Bavaria. The number of inhabitants exceeded ...</v>
    <v>1306</v>
    <v>1307</v>
    <v>1308</v>
    <v>1309</v>
    <v>21</v>
    <v>1310</v>
    <v>1311</v>
    <v>Erlangen</v>
    <v>Erlangen</v>
    <v>mdp/vdpid/7015180974715568129</v>
  </rv>
  <rv s="0">
    <v>536870912</v>
    <v>Eschwege</v>
    <v>7db60544-b384-b43f-ba78-cf875979ff7f</v>
    <v>de-DE</v>
    <v>Map</v>
  </rv>
  <rv s="0">
    <v>805306368</v>
    <v>Alexander Heppe (Mayor)</v>
    <v>f0ea2c91-74b2-c661-ce4d-620ec37edae9</v>
    <v>de-DE</v>
    <v>Generic</v>
  </rv>
  <rv s="1">
    <v>118</v>
  </rv>
  <rv s="2">
    <fb>19472</fb>
    <v>9</v>
  </rv>
  <rv s="3">
    <v>124</v>
    <v>7</v>
    <v>294</v>
    <v>7</v>
    <v>0</v>
    <v>Image of Eschwege</v>
  </rv>
  <rv s="2">
    <fb>51.1880555555556</fb>
    <v>10</v>
  </rv>
  <rv s="2">
    <fb>63.26</fb>
    <v>9</v>
  </rv>
  <rv s="2">
    <fb>10.0527777777778</fb>
    <v>10</v>
  </rv>
  <rv s="4">
    <v>https://www.bing.com/search?q=eschwege+germany&amp;form=skydnc</v>
    <v>Learn more on Bing</v>
  </rv>
  <rv s="0">
    <v>536870912</v>
    <v>Werra-Meißner-Kreis</v>
    <v>982ef09e-958e-e8fc-93f7-658058f57377</v>
    <v>de-DE</v>
    <v>Map</v>
  </rv>
  <rv s="10">
    <v>#VALUE!</v>
    <v>de-DE</v>
    <v>7db60544-b384-b43f-ba78-cf875979ff7f</v>
    <v>536870912</v>
    <v>1</v>
    <v>295</v>
    <v>39</v>
    <v>40</v>
    <v>Eschwege</v>
    <v>5</v>
    <v>6</v>
    <v>Map</v>
    <v>7</v>
    <v>14</v>
    <v>1315</v>
    <v>Eschwege, the district seat of the Werra-Meißner-Kreis, is a town in northeastern Hesse, Germany. In 1971, the town hosted the eleventh Hessentag state festival.</v>
    <v>1316</v>
    <v>1317</v>
    <v>1318</v>
    <v>1319</v>
    <v>21</v>
    <v>1320</v>
    <v>1321</v>
    <v>Eschwege</v>
    <v>Eschwege</v>
    <v>mdp/vdpid/7012037846177415169</v>
    <v>1322</v>
  </rv>
  <rv s="0">
    <v>536870912</v>
    <v>Eschweiler</v>
    <v>c66a640e-ebdb-3937-4372-21ddc25bae5c</v>
    <v>de-DE</v>
    <v>Map</v>
  </rv>
  <rv s="0">
    <v>805306368</v>
    <v>Nadine Leonhardt (Mayor)</v>
    <v>6cdf69b1-2667-fc29-5120-91b180228ad6</v>
    <v>de-DE</v>
    <v>Generic</v>
  </rv>
  <rv s="1">
    <v>119</v>
  </rv>
  <rv s="2">
    <fb>56049</fb>
    <v>9</v>
  </rv>
  <rv s="3">
    <v>125</v>
    <v>7</v>
    <v>296</v>
    <v>7</v>
    <v>0</v>
    <v>Image of Eschweiler</v>
  </rv>
  <rv s="2">
    <fb>50.816666666666997</fb>
    <v>10</v>
  </rv>
  <rv s="2">
    <fb>75.75</fb>
    <v>9</v>
  </rv>
  <rv s="2">
    <fb>6.2833333333333004</fb>
    <v>10</v>
  </rv>
  <rv s="4">
    <v>https://www.bing.com/search?q=eschweiler+germany&amp;form=skydnc</v>
    <v>Learn more on Bing</v>
  </rv>
  <rv s="6">
    <v>#VALUE!</v>
    <v>de-DE</v>
    <v>c66a640e-ebdb-3937-4372-21ddc25bae5c</v>
    <v>536870912</v>
    <v>1</v>
    <v>297</v>
    <v>2</v>
    <v>13</v>
    <v>Eschweiler</v>
    <v>5</v>
    <v>6</v>
    <v>Map</v>
    <v>7</v>
    <v>14</v>
    <v>1326</v>
    <v>Eschweiler is a municipality in the district of Aachen in North Rhine-Westphalia in Germany on the river Inde, near the German-Belgian-Dutch border, and about 15 kilometres east of Aachen and 50 kilometres west of Cologne.</v>
    <v>1327</v>
    <v>1328</v>
    <v>1329</v>
    <v>1330</v>
    <v>21</v>
    <v>1331</v>
    <v>1332</v>
    <v>Eschweiler</v>
    <v>Eschweiler</v>
    <v>mdp/vdpid/7011384747024711681</v>
    <v>10</v>
    <v>11</v>
  </rv>
  <rv s="0">
    <v>536870912</v>
    <v>Essen</v>
    <v>0a65e266-216e-d486-2abf-89371970dbea</v>
    <v>de-DE</v>
    <v>Map</v>
  </rv>
  <rv s="0">
    <v>805306368</v>
    <v>Thomas Kufen (Mayor)</v>
    <v>8fc11480-cf33-0a17-2164-59b348ff9086</v>
    <v>de-DE</v>
    <v>Generic</v>
  </rv>
  <rv s="1">
    <v>120</v>
  </rv>
  <rv s="2">
    <fb>579432</fb>
    <v>9</v>
  </rv>
  <rv s="3">
    <v>126</v>
    <v>7</v>
    <v>298</v>
    <v>7</v>
    <v>0</v>
    <v>Image of Essen</v>
  </rv>
  <rv s="2">
    <fb>51.450833333333001</fb>
    <v>10</v>
  </rv>
  <rv s="2">
    <fb>210.34</fb>
    <v>9</v>
  </rv>
  <rv s="0">
    <v>536870912</v>
    <v>Weimar Republic</v>
    <v>1b97a3af-5813-4734-bd56-920f4af2449c</v>
    <v>de-DE</v>
    <v>Map</v>
  </rv>
  <rv s="2">
    <fb>7.0130555555556002</fb>
    <v>10</v>
  </rv>
  <rv s="4">
    <v>https://www.bing.com/search?q=essen&amp;form=skydnc</v>
    <v>Learn more on Bing</v>
  </rv>
  <rv s="6">
    <v>#VALUE!</v>
    <v>de-DE</v>
    <v>0a65e266-216e-d486-2abf-89371970dbea</v>
    <v>536870912</v>
    <v>1</v>
    <v>299</v>
    <v>2</v>
    <v>13</v>
    <v>Essen</v>
    <v>5</v>
    <v>6</v>
    <v>Map</v>
    <v>7</v>
    <v>8</v>
    <v>1336</v>
    <v>Essen is the central and, after Dortmund, second-largest city of the Ruhr, the largest urban area in Germany. Its population of 584,580 makes it the fourth-largest city of North Rhine-Westphalia after Cologne, Düsseldorf and Dortmund, as well as ...</v>
    <v>1337</v>
    <v>1338</v>
    <v>1339</v>
    <v>1340</v>
    <v>1341</v>
    <v>1342</v>
    <v>1343</v>
    <v>Essen</v>
    <v>Essen</v>
    <v>mdp/vdpid/7011423840068698113</v>
    <v>412</v>
    <v>1029</v>
  </rv>
  <rv s="0">
    <v>536870912</v>
    <v>Esslingen am Neckar</v>
    <v>b1f1f6f4-4a48-244c-845c-0b3b66c2c8a7</v>
    <v>de-DE</v>
    <v>Map</v>
  </rv>
  <rv s="0">
    <v>805306368</v>
    <v>Matthias Klopfer (Mayor)</v>
    <v>5ccc0a63-1c29-946b-d9a0-a9796fcb4d1b</v>
    <v>de-DE</v>
    <v>Generic</v>
  </rv>
  <rv s="1">
    <v>121</v>
  </rv>
  <rv s="2">
    <fb>94941</fb>
    <v>9</v>
  </rv>
  <rv s="3">
    <v>127</v>
    <v>7</v>
    <v>300</v>
    <v>7</v>
    <v>0</v>
    <v>Image of Esslingen am Neckar</v>
  </rv>
  <rv s="2">
    <fb>48.740555555556</fb>
    <v>10</v>
  </rv>
  <rv s="2">
    <fb>46.42</fb>
    <v>9</v>
  </rv>
  <rv s="2">
    <fb>9.3108333333332993</fb>
    <v>10</v>
  </rv>
  <rv s="4">
    <v>https://www.bing.com/search?q=esslingen+am+neckar&amp;form=skydnc</v>
    <v>Learn more on Bing</v>
  </rv>
  <rv s="0">
    <v>536870912</v>
    <v>Esslingen</v>
    <v>a396fb8d-5f42-7fe0-1f12-d979dfe5cb6d</v>
    <v>de-DE</v>
    <v>Map</v>
  </rv>
  <rv s="6">
    <v>#VALUE!</v>
    <v>de-DE</v>
    <v>b1f1f6f4-4a48-244c-845c-0b3b66c2c8a7</v>
    <v>536870912</v>
    <v>1</v>
    <v>301</v>
    <v>2</v>
    <v>13</v>
    <v>Esslingen am Neckar</v>
    <v>5</v>
    <v>6</v>
    <v>Map</v>
    <v>7</v>
    <v>14</v>
    <v>1347</v>
    <v>Esslingen am Neckar is a town in the Stuttgart Region of Baden-Württemberg in southern Germany, seat of the District of Esslingen as well as the largest town in the district. Within Baden-Württemberg it is the 11th largest city.</v>
    <v>1348</v>
    <v>1349</v>
    <v>1350</v>
    <v>1351</v>
    <v>21</v>
    <v>1352</v>
    <v>1353</v>
    <v>Esslingen am Neckar</v>
    <v>Esslingen am Neckar</v>
    <v>mdp/vdpid/7015255475453165569</v>
    <v>606</v>
    <v>1354</v>
  </rv>
  <rv s="0">
    <v>536870912</v>
    <v>Ettlingen</v>
    <v>aa8b0566-019e-221e-496a-b1d48af19385</v>
    <v>de-DE</v>
    <v>Map</v>
  </rv>
  <rv s="0">
    <v>805306368</v>
    <v>Johannes Arnold (Mayor)</v>
    <v>365fb32d-d1ae-fb52-7991-a4c2e14925e8</v>
    <v>de-DE</v>
    <v>Generic</v>
  </rv>
  <rv s="1">
    <v>122</v>
  </rv>
  <rv s="2">
    <fb>39699</fb>
    <v>9</v>
  </rv>
  <rv s="3">
    <v>128</v>
    <v>7</v>
    <v>302</v>
    <v>7</v>
    <v>0</v>
    <v>Image of Ettlingen</v>
  </rv>
  <rv s="2">
    <fb>48.933333333333003</fb>
    <v>10</v>
  </rv>
  <rv s="2">
    <fb>56.74</fb>
    <v>9</v>
  </rv>
  <rv s="2">
    <fb>8.4</fb>
    <v>10</v>
  </rv>
  <rv s="4">
    <v>https://www.bing.com/search?q=ettlingen&amp;form=skydnc</v>
    <v>Learn more on Bing</v>
  </rv>
  <rv s="10">
    <v>#VALUE!</v>
    <v>de-DE</v>
    <v>aa8b0566-019e-221e-496a-b1d48af19385</v>
    <v>536870912</v>
    <v>1</v>
    <v>303</v>
    <v>39</v>
    <v>40</v>
    <v>Ettlingen</v>
    <v>5</v>
    <v>6</v>
    <v>Map</v>
    <v>7</v>
    <v>14</v>
    <v>1358</v>
    <v>Ettlingen is a town in Baden-Württemberg, Germany, about 8 kilometres south of the city of Karlsruhe and approximately 15 kilometres from the border with Lauterbourg, in France's Bas-Rhin department. Ettlingen is the second largest town in the ...</v>
    <v>1359</v>
    <v>1360</v>
    <v>1361</v>
    <v>1362</v>
    <v>21</v>
    <v>1363</v>
    <v>1364</v>
    <v>Ettlingen</v>
    <v>Ettlingen</v>
    <v>mdp/vdpid/7014830157240205313</v>
    <v>760</v>
  </rv>
  <rv s="0">
    <v>536870912</v>
    <v>Euskirchen</v>
    <v>ab4e0c69-2087-2a81-7090-5a3135d7fc3f</v>
    <v>de-DE</v>
    <v>Map</v>
  </rv>
  <rv s="0">
    <v>805306368</v>
    <v>Sacha Reichelt (Mayor)</v>
    <v>218b72aa-b2c4-7783-8089-ba344ab910b4</v>
    <v>de-DE</v>
    <v>Generic</v>
  </rv>
  <rv s="1">
    <v>123</v>
  </rv>
  <rv s="2">
    <fb>59772</fb>
    <v>9</v>
  </rv>
  <rv s="3">
    <v>129</v>
    <v>7</v>
    <v>304</v>
    <v>7</v>
    <v>0</v>
    <v>Image of Euskirchen</v>
  </rv>
  <rv s="2">
    <fb>50.661277777777798</fb>
    <v>10</v>
  </rv>
  <rv s="2">
    <fb>139.49</fb>
    <v>9</v>
  </rv>
  <rv s="2">
    <fb>6.7872555555555598</fb>
    <v>10</v>
  </rv>
  <rv s="4">
    <v>https://www.bing.com/search?q=euskirchen&amp;form=skydnc</v>
    <v>Learn more on Bing</v>
  </rv>
  <rv s="0">
    <v>536870912</v>
    <v>Euskirchen</v>
    <v>40e649c1-71ad-421f-a820-9ed3b70985d3</v>
    <v>de-DE</v>
    <v>Map</v>
  </rv>
  <rv s="6">
    <v>#VALUE!</v>
    <v>de-DE</v>
    <v>ab4e0c69-2087-2a81-7090-5a3135d7fc3f</v>
    <v>536870912</v>
    <v>1</v>
    <v>305</v>
    <v>2</v>
    <v>13</v>
    <v>Euskirchen</v>
    <v>5</v>
    <v>6</v>
    <v>Map</v>
    <v>7</v>
    <v>14</v>
    <v>1368</v>
    <v>Euskirchen is a town in North Rhine-Westphalia, Germany, capital of the district Euskirchen. While Euskirchen resembles a modern shopping town, it also has a history dating back over 700 years, having been granted town status in 1302. As of ...</v>
    <v>1369</v>
    <v>1370</v>
    <v>1371</v>
    <v>1372</v>
    <v>21</v>
    <v>1373</v>
    <v>1374</v>
    <v>Euskirchen</v>
    <v>Euskirchen</v>
    <v>mdp/vdpid/7014403072956825601</v>
    <v>10</v>
    <v>1375</v>
  </rv>
  <rv s="0">
    <v>536870912</v>
    <v>Eutin</v>
    <v>bf5c836d-1722-b25d-8a05-10c67f14cbf2</v>
    <v>de-DE</v>
    <v>Map</v>
  </rv>
  <rv s="0">
    <v>805306368</v>
    <v>Carsten Behnk (Mayor)</v>
    <v>523214a2-0e2d-ac34-017d-2642da5f336f</v>
    <v>de-DE</v>
    <v>Generic</v>
  </rv>
  <rv s="1">
    <v>124</v>
  </rv>
  <rv s="2">
    <fb>17086</fb>
    <v>9</v>
  </rv>
  <rv s="3">
    <v>130</v>
    <v>7</v>
    <v>306</v>
    <v>7</v>
    <v>0</v>
    <v>Image of Eutin</v>
  </rv>
  <rv s="2">
    <fb>54.137777777777998</fb>
    <v>10</v>
  </rv>
  <rv s="2">
    <fb>41.39</fb>
    <v>9</v>
  </rv>
  <rv s="2">
    <fb>10.618055555555999</fb>
    <v>10</v>
  </rv>
  <rv s="4">
    <v>https://www.bing.com/search?q=eutin&amp;form=skydnc</v>
    <v>Learn more on Bing</v>
  </rv>
  <rv s="0">
    <v>536870912</v>
    <v>Ostholstein</v>
    <v>67b22ee1-c650-88e3-634f-7b6da1291cee</v>
    <v>de-DE</v>
    <v>Map</v>
  </rv>
  <rv s="6">
    <v>#VALUE!</v>
    <v>de-DE</v>
    <v>bf5c836d-1722-b25d-8a05-10c67f14cbf2</v>
    <v>536870912</v>
    <v>1</v>
    <v>307</v>
    <v>2</v>
    <v>13</v>
    <v>Eutin</v>
    <v>5</v>
    <v>6</v>
    <v>Map</v>
    <v>7</v>
    <v>14</v>
    <v>1379</v>
    <v>Eutin is the district capital of Eastern Holstein county located in the northern German state of Schleswig-Holstein. As of December 2022, the town had some 17,000 inhabitants.</v>
    <v>1380</v>
    <v>1381</v>
    <v>1382</v>
    <v>1383</v>
    <v>21</v>
    <v>1384</v>
    <v>1385</v>
    <v>Eutin</v>
    <v>Eutin</v>
    <v>mdp/vdpid/7010896771798794241</v>
    <v>326</v>
    <v>1386</v>
  </rv>
  <rv s="0">
    <v>536870912</v>
    <v>Falkensee</v>
    <v>d350258e-6e87-3973-a8b0-9dacaaa60586</v>
    <v>de-DE</v>
    <v>Map</v>
  </rv>
  <rv s="0">
    <v>805306368</v>
    <v>Heiko Müller (Mayor)</v>
    <v>6728a1c8-e80f-2cea-70aa-15d1b163cff6</v>
    <v>de-DE</v>
    <v>Generic</v>
  </rv>
  <rv s="1">
    <v>125</v>
  </rv>
  <rv s="2">
    <fb>44806</fb>
    <v>9</v>
  </rv>
  <rv s="3">
    <v>131</v>
    <v>7</v>
    <v>308</v>
    <v>7</v>
    <v>0</v>
    <v>Image of Falkensee</v>
  </rv>
  <rv s="2">
    <fb>52.558333333333003</fb>
    <v>10</v>
  </rv>
  <rv s="2">
    <fb>43.26</fb>
    <v>9</v>
  </rv>
  <rv s="2">
    <fb>13.091666666667001</fb>
    <v>10</v>
  </rv>
  <rv s="4">
    <v>https://www.bing.com/search?q=falkensee&amp;form=skydnc</v>
    <v>Learn more on Bing</v>
  </rv>
  <rv s="11">
    <v>#VALUE!</v>
    <v>de-DE</v>
    <v>d350258e-6e87-3973-a8b0-9dacaaa60586</v>
    <v>536870912</v>
    <v>1</v>
    <v>309</v>
    <v>17</v>
    <v>57</v>
    <v>Falkensee</v>
    <v>5</v>
    <v>6</v>
    <v>Map</v>
    <v>7</v>
    <v>14</v>
    <v>1390</v>
    <v>Falkensee is a town in the Havelland district, Brandenburg, Germany. It is the most populated municipality of its district and it is situated at the western border of Berlin.</v>
    <v>1391</v>
    <v>1392</v>
    <v>1393</v>
    <v>1394</v>
    <v>21</v>
    <v>1395</v>
    <v>1396</v>
    <v>Falkensee</v>
    <v>Falkensee</v>
    <v>mdp/vdpid/7017955356655484929</v>
    <v>488</v>
  </rv>
  <rv s="0">
    <v>536870912</v>
    <v>Feldberg</v>
    <v>911d80fc-da6d-4a7c-99c0-fa5a18b6d268</v>
    <v>de-DE</v>
    <v>Map</v>
  </rv>
  <rv s="0">
    <v>805306368</v>
    <v>Johannes Albrecht (Mayor)</v>
    <v>3ca02949-6c60-b561-afd5-8095dd5a1322</v>
    <v>de-DE</v>
    <v>Generic</v>
  </rv>
  <rv s="1">
    <v>126</v>
  </rv>
  <rv s="2">
    <fb>1921</fb>
    <v>9</v>
  </rv>
  <rv s="3">
    <v>132</v>
    <v>7</v>
    <v>310</v>
    <v>7</v>
    <v>0</v>
    <v>Image of Feldberg, Baden-Württemberg</v>
  </rv>
  <rv s="2">
    <fb>47.856111111110998</fb>
    <v>10</v>
  </rv>
  <rv s="2">
    <fb>8.1116666666667001</fb>
    <v>10</v>
  </rv>
  <rv s="4">
    <v>https://www.bing.com/search?q=feldberg+germany&amp;form=skydnc</v>
    <v>Learn more on Bing</v>
  </rv>
  <rv s="11">
    <v>#VALUE!</v>
    <v>de-DE</v>
    <v>911d80fc-da6d-4a7c-99c0-fa5a18b6d268</v>
    <v>536870912</v>
    <v>1</v>
    <v>311</v>
    <v>17</v>
    <v>57</v>
    <v>Feldberg, Baden-Württemberg</v>
    <v>5</v>
    <v>6</v>
    <v>Map</v>
    <v>7</v>
    <v>14</v>
    <v>1400</v>
    <v>Feldberg is a municipality in the district of Breisgau-Hochschwarzwald in Baden-Württemberg in southern Germany. It is located near the Feldberg, the highest summit in Baden-Württemberg. It comprises the settlements of Altglashütten, ...</v>
    <v>1401</v>
    <v>1402</v>
    <v>1403</v>
    <v>1102</v>
    <v>21</v>
    <v>1404</v>
    <v>1405</v>
    <v>Feldberg, Baden-Württemberg</v>
    <v>Feldberg, Baden-Württemberg</v>
    <v>mdp/vdpid/7014916125372710913</v>
    <v>370</v>
  </rv>
  <rv s="0">
    <v>536870912</v>
    <v>Feldberg</v>
    <v>b2b71824-fa12-6a6c-9908-7e3317ac4a17</v>
    <v>de-DE</v>
    <v>Map</v>
  </rv>
  <rv s="3">
    <v>133</v>
    <v>7</v>
    <v>312</v>
    <v>7</v>
    <v>0</v>
    <v>Image of Feldberg</v>
  </rv>
  <rv s="2">
    <fb>47.873611111111003</fb>
    <v>10</v>
  </rv>
  <rv s="2">
    <fb>8.0038888888889002</fb>
    <v>10</v>
  </rv>
  <rv s="0">
    <v>536870912</v>
    <v>Breisgau-Hochschwarzwald</v>
    <v>e18765d1-1b74-933d-ac77-d3f42afc1e50</v>
    <v>de-DE</v>
    <v>Map</v>
  </rv>
  <rv s="18">
    <v>#VALUE!</v>
    <v>de-DE</v>
    <v>b2b71824-fa12-6a6c-9908-7e3317ac4a17</v>
    <v>536870912</v>
    <v>1</v>
    <v>313</v>
    <v>314</v>
    <v>315</v>
    <v>Feldberg</v>
    <v>5</v>
    <v>6</v>
    <v>Map</v>
    <v>7</v>
    <v>At 1,493 metres the Feldberg in the Black Forest is the highest mountain in Baden-Württemberg, and the highest in Germany outside of the Alps and Bavaria. The local municipality of Feldberg was named after the mountain.</v>
    <v>1408</v>
    <v>1409</v>
    <v>21</v>
    <v>1410</v>
    <v>1405</v>
    <v>Feldberg</v>
    <v>Feldberg</v>
    <v>mdp/vdpid/7014910113039253505</v>
    <v>370</v>
    <v>1411</v>
  </rv>
  <rv s="0">
    <v>536870912</v>
    <v>Fellbach</v>
    <v>8a181422-feba-8a32-d4ec-6504f5236a09</v>
    <v>de-DE</v>
    <v>Map</v>
  </rv>
  <rv s="0">
    <v>805306368</v>
    <v>Gabriele Zull (Mayor)</v>
    <v>d5d96087-5428-d13d-843b-3285ea8abb11</v>
    <v>de-DE</v>
    <v>Generic</v>
  </rv>
  <rv s="1">
    <v>127</v>
  </rv>
  <rv s="2">
    <fb>45896</fb>
    <v>9</v>
  </rv>
  <rv s="3">
    <v>134</v>
    <v>7</v>
    <v>316</v>
    <v>7</v>
    <v>0</v>
    <v>Image of Fellbach</v>
  </rv>
  <rv s="2">
    <fb>48.808611111110999</fb>
    <v>10</v>
  </rv>
  <rv s="2">
    <fb>27.7</fb>
    <v>9</v>
  </rv>
  <rv s="2">
    <fb>9.2758333333332992</fb>
    <v>10</v>
  </rv>
  <rv s="4">
    <v>https://www.bing.com/search?q=fellbach+germany&amp;form=skydnc</v>
    <v>Learn more on Bing</v>
  </rv>
  <rv s="6">
    <v>#VALUE!</v>
    <v>de-DE</v>
    <v>8a181422-feba-8a32-d4ec-6504f5236a09</v>
    <v>536870912</v>
    <v>1</v>
    <v>317</v>
    <v>2</v>
    <v>13</v>
    <v>Fellbach</v>
    <v>5</v>
    <v>6</v>
    <v>Map</v>
    <v>7</v>
    <v>14</v>
    <v>1415</v>
    <v>Fellbach is a mid-sized town on the north-east edge of Stuttgart in Baden-Württemberg, Germany. With a population of approximately 45.430 as of December 2020 is the second largest town in the District Rems-Murr-Kreis. The area of the town is ...</v>
    <v>1416</v>
    <v>1417</v>
    <v>1418</v>
    <v>1419</v>
    <v>21</v>
    <v>1420</v>
    <v>1421</v>
    <v>Fellbach</v>
    <v>Fellbach</v>
    <v>mdp/vdpid/7015254410385162241</v>
    <v>606</v>
    <v>214</v>
  </rv>
  <rv s="0">
    <v>536870912</v>
    <v>Fichtelberg</v>
    <v>3c9c752b-1749-75f7-32b8-4a29aef4a8dc</v>
    <v>de-DE</v>
    <v>Map</v>
  </rv>
  <rv s="0">
    <v>805306368</v>
    <v>Sebastian Voit (Mayor)</v>
    <v>df06406e-c74b-f2a4-21e6-89f6e1ec8a81</v>
    <v>de-DE</v>
    <v>Generic</v>
  </rv>
  <rv s="1">
    <v>128</v>
  </rv>
  <rv s="2">
    <fb>1818</fb>
    <v>9</v>
  </rv>
  <rv s="3">
    <v>135</v>
    <v>7</v>
    <v>318</v>
    <v>7</v>
    <v>0</v>
    <v>Image of Fichtelberg, Bavaria</v>
  </rv>
  <rv s="2">
    <fb>49.999444444444002</fb>
    <v>10</v>
  </rv>
  <rv s="2">
    <fb>5.16</fb>
    <v>9</v>
  </rv>
  <rv s="2">
    <fb>11.851388888889</fb>
    <v>10</v>
  </rv>
  <rv s="4">
    <v>https://www.bing.com/search?q=fichtelberg+germany&amp;form=skydnc</v>
    <v>Learn more on Bing</v>
  </rv>
  <rv s="0">
    <v>536870912</v>
    <v>Bayreuth</v>
    <v>f1e6f448-389f-49de-85a3-a3042424ea0b</v>
    <v>de-DE</v>
    <v>Map</v>
  </rv>
  <rv s="10">
    <v>#VALUE!</v>
    <v>de-DE</v>
    <v>3c9c752b-1749-75f7-32b8-4a29aef4a8dc</v>
    <v>536870912</v>
    <v>1</v>
    <v>319</v>
    <v>39</v>
    <v>40</v>
    <v>Fichtelberg, Bavaria</v>
    <v>5</v>
    <v>6</v>
    <v>Map</v>
    <v>7</v>
    <v>14</v>
    <v>1425</v>
    <v>Fichtelberg is a municipality in the district of Bayreuth in Bavaria in Germany. It is a state-recognised climatic spa.</v>
    <v>1426</v>
    <v>1427</v>
    <v>1428</v>
    <v>1429</v>
    <v>21</v>
    <v>1430</v>
    <v>1431</v>
    <v>Fichtelberg, Bavaria</v>
    <v>Fichtelberg, Bavaria</v>
    <v>mdp/vdpid/7021146096701276161</v>
    <v>1432</v>
  </rv>
  <rv s="0">
    <v>536870912</v>
    <v>Finsterwalde</v>
    <v>16f206a4-356e-8e6a-788b-ca6643544d4f</v>
    <v>de-DE</v>
    <v>Map</v>
  </rv>
  <rv s="0">
    <v>805306368</v>
    <v>Jörg Gampe (Mayor)</v>
    <v>e69b45e8-8977-3adf-52a5-d65f283ad1bd</v>
    <v>de-DE</v>
    <v>Generic</v>
  </rv>
  <rv s="1">
    <v>129</v>
  </rv>
  <rv s="2">
    <fb>15968</fb>
    <v>9</v>
  </rv>
  <rv s="3">
    <v>136</v>
    <v>7</v>
    <v>320</v>
    <v>7</v>
    <v>0</v>
    <v>Image of Finsterwalde</v>
  </rv>
  <rv s="2">
    <fb>51.628242999999998</fb>
    <v>10</v>
  </rv>
  <rv s="2">
    <fb>77.209999999999994</fb>
    <v>9</v>
  </rv>
  <rv s="2">
    <fb>13.71021</fb>
    <v>10</v>
  </rv>
  <rv s="4">
    <v>https://www.bing.com/search?q=finsterwalde+germany&amp;form=skydnc</v>
    <v>Learn more on Bing</v>
  </rv>
  <rv s="0">
    <v>536870912</v>
    <v>Elbe-Elster District</v>
    <v>bb74e356-bc82-fe26-0290-417c24249abb</v>
    <v>de-DE</v>
    <v>Map</v>
  </rv>
  <rv s="6">
    <v>#VALUE!</v>
    <v>de-DE</v>
    <v>16f206a4-356e-8e6a-788b-ca6643544d4f</v>
    <v>536870912</v>
    <v>1</v>
    <v>321</v>
    <v>2</v>
    <v>13</v>
    <v>Finsterwalde</v>
    <v>5</v>
    <v>6</v>
    <v>Map</v>
    <v>7</v>
    <v>14</v>
    <v>1436</v>
    <v>Finsterwalde is a town in the Elbe-Elster district, in Lower Lusatia, Brandenburg, Germany.</v>
    <v>1437</v>
    <v>1438</v>
    <v>1439</v>
    <v>1440</v>
    <v>21</v>
    <v>1441</v>
    <v>1442</v>
    <v>Finsterwalde</v>
    <v>Finsterwalde</v>
    <v>mdp/vdpid/7018218281718775809</v>
    <v>488</v>
    <v>1443</v>
  </rv>
  <rv s="0">
    <v>536870912</v>
    <v>Flensburg</v>
    <v>7e3fb56f-b47b-e3f4-fcff-4ad324ea657e</v>
    <v>de-DE</v>
    <v>Map</v>
  </rv>
  <rv s="0">
    <v>805306368</v>
    <v>Fabian Geyer (Mayor)</v>
    <v>c401ac08-22d3-74c1-9b3d-0e943a255060</v>
    <v>de-DE</v>
    <v>Generic</v>
  </rv>
  <rv s="1">
    <v>130</v>
  </rv>
  <rv s="2">
    <fb>92550</fb>
    <v>9</v>
  </rv>
  <rv s="3">
    <v>137</v>
    <v>7</v>
    <v>322</v>
    <v>7</v>
    <v>0</v>
    <v>Image of Flensburg</v>
  </rv>
  <rv s="2">
    <fb>54.781944444444001</fb>
    <v>10</v>
  </rv>
  <rv s="2">
    <fb>9.4366666666666994</fb>
    <v>10</v>
  </rv>
  <rv s="4">
    <v>https://www.bing.com/search?q=flensburg&amp;form=skydnc</v>
    <v>Learn more on Bing</v>
  </rv>
  <rv s="6">
    <v>#VALUE!</v>
    <v>de-DE</v>
    <v>7e3fb56f-b47b-e3f4-fcff-4ad324ea657e</v>
    <v>536870912</v>
    <v>1</v>
    <v>323</v>
    <v>2</v>
    <v>13</v>
    <v>Flensburg</v>
    <v>5</v>
    <v>6</v>
    <v>Map</v>
    <v>7</v>
    <v>14</v>
    <v>1447</v>
    <v>Flensburg is an independent town in the north of the German state of Schleswig-Holstein. Flensburg is the north of the region of Schleswig. After Kiel and Lübeck, it is the third-largest town in Schleswig-Holstein.</v>
    <v>1448</v>
    <v>1449</v>
    <v>1450</v>
    <v>1362</v>
    <v>21</v>
    <v>1451</v>
    <v>1452</v>
    <v>Flensburg</v>
    <v>Flensburg</v>
    <v>mdp/vdpid/7010741528964366337</v>
    <v>326</v>
    <v>326</v>
  </rv>
  <rv s="0">
    <v>536870912</v>
    <v>Forchheim</v>
    <v>caada607-e014-b2f9-ebb6-1e9486c9c208</v>
    <v>de-DE</v>
    <v>Map</v>
  </rv>
  <rv s="0">
    <v>805306368</v>
    <v>Uwe Kirschstein (Mayor)</v>
    <v>cc222fc7-5374-b610-d7de-23fb771e51b4</v>
    <v>de-DE</v>
    <v>Generic</v>
  </rv>
  <rv s="1">
    <v>131</v>
  </rv>
  <rv s="2">
    <fb>32972</fb>
    <v>9</v>
  </rv>
  <rv s="3">
    <v>138</v>
    <v>7</v>
    <v>324</v>
    <v>7</v>
    <v>0</v>
    <v>Image of Forchheim</v>
  </rv>
  <rv s="2">
    <fb>49.719722222222003</fb>
    <v>10</v>
  </rv>
  <rv s="2">
    <fb>44.44</fb>
    <v>9</v>
  </rv>
  <rv s="2">
    <fb>11.058055555556001</fb>
    <v>10</v>
  </rv>
  <rv s="4">
    <v>https://www.bing.com/search?q=forchheim+germany&amp;form=skydnc</v>
    <v>Learn more on Bing</v>
  </rv>
  <rv s="0">
    <v>536870912</v>
    <v>Forchheim</v>
    <v>789b8773-5deb-40c7-a38f-fb9e401bd138</v>
    <v>de-DE</v>
    <v>Map</v>
  </rv>
  <rv s="10">
    <v>#VALUE!</v>
    <v>de-DE</v>
    <v>caada607-e014-b2f9-ebb6-1e9486c9c208</v>
    <v>536870912</v>
    <v>1</v>
    <v>325</v>
    <v>39</v>
    <v>40</v>
    <v>Forchheim</v>
    <v>5</v>
    <v>6</v>
    <v>Map</v>
    <v>7</v>
    <v>14</v>
    <v>1456</v>
    <v>Forchheim is a town in Upper Franconia in northern Bavaria, and also the seat of the administrative district of Forchheim. Forchheim is a former royal city, and is sometimes called the Gateway to the Franconian Switzerland, referring to the ...</v>
    <v>1457</v>
    <v>1458</v>
    <v>1459</v>
    <v>1460</v>
    <v>21</v>
    <v>1461</v>
    <v>1462</v>
    <v>Forchheim</v>
    <v>Forchheim</v>
    <v>mdp/vdpid/7015179599520727041</v>
    <v>1463</v>
  </rv>
  <rv s="0">
    <v>536870912</v>
    <v>Forst</v>
    <v>1e4f586f-877a-83fd-31b6-aef226ba31c3</v>
    <v>de-DE</v>
    <v>Map</v>
  </rv>
  <rv s="0">
    <v>805306368</v>
    <v>Simone Taubenek (Mayor)</v>
    <v>9d1cc590-97f5-52a1-8141-cfbc42e818a8</v>
    <v>de-DE</v>
    <v>Generic</v>
  </rv>
  <rv s="1">
    <v>132</v>
  </rv>
  <rv s="2">
    <fb>17855</fb>
    <v>9</v>
  </rv>
  <rv s="3">
    <v>139</v>
    <v>7</v>
    <v>326</v>
    <v>7</v>
    <v>0</v>
    <v>Image of Forst</v>
  </rv>
  <rv s="2">
    <fb>51.745310000000003</fb>
    <v>10</v>
  </rv>
  <rv s="2">
    <fb>110.7</fb>
    <v>9</v>
  </rv>
  <rv s="2">
    <fb>14.647802</fb>
    <v>10</v>
  </rv>
  <rv s="4">
    <v>https://www.bing.com/search?q=forst+germany&amp;form=skydnc</v>
    <v>Learn more on Bing</v>
  </rv>
  <rv s="0">
    <v>536870912</v>
    <v>Spree-Neiße District</v>
    <v>ac573410-8430-aab9-78ef-bc3241dda960</v>
    <v>de-DE</v>
    <v>Map</v>
  </rv>
  <rv s="6">
    <v>#VALUE!</v>
    <v>de-DE</v>
    <v>1e4f586f-877a-83fd-31b6-aef226ba31c3</v>
    <v>536870912</v>
    <v>1</v>
    <v>327</v>
    <v>2</v>
    <v>13</v>
    <v>Forst</v>
    <v>5</v>
    <v>6</v>
    <v>Map</v>
    <v>7</v>
    <v>14</v>
    <v>1467</v>
    <v>Forst or Baršć is a town in Lower Lusatia, Brandenburg, in eastern Germany. It lies east of Cottbus, on the Lusatian Neisse river which is also the German-Polish border. It is the capital of the Spree-Neiße district. It is known for its rose ...</v>
    <v>1468</v>
    <v>1469</v>
    <v>1470</v>
    <v>1471</v>
    <v>21</v>
    <v>1472</v>
    <v>1473</v>
    <v>Forst</v>
    <v>Forst</v>
    <v>mdp/vdpid/7018595104449363969</v>
    <v>488</v>
    <v>1474</v>
  </rv>
  <rv s="0">
    <v>536870912</v>
    <v>Frankenthal</v>
    <v>98a8d262-aa27-6381-3a83-5deb0756e4d0</v>
    <v>de-DE</v>
    <v>Map</v>
  </rv>
  <rv s="0">
    <v>805306368</v>
    <v>Martin Hebich (Mayor)</v>
    <v>fd67867c-7727-a625-5f4e-a47d2ef648a9</v>
    <v>de-DE</v>
    <v>Generic</v>
  </rv>
  <rv s="1">
    <v>133</v>
  </rv>
  <rv s="2">
    <fb>49051</fb>
    <v>9</v>
  </rv>
  <rv s="3">
    <v>140</v>
    <v>7</v>
    <v>328</v>
    <v>7</v>
    <v>0</v>
    <v>Image of Frankenthal</v>
  </rv>
  <rv s="2">
    <fb>49.533333333333303</fb>
    <v>10</v>
  </rv>
  <rv s="2">
    <fb>43.88</fb>
    <v>9</v>
  </rv>
  <rv s="2">
    <fb>8.35</fb>
    <v>10</v>
  </rv>
  <rv s="4">
    <v>https://www.bing.com/search?q=frankenthal+germany&amp;form=skydnc</v>
    <v>Learn more on Bing</v>
  </rv>
  <rv s="11">
    <v>#VALUE!</v>
    <v>de-DE</v>
    <v>98a8d262-aa27-6381-3a83-5deb0756e4d0</v>
    <v>536870912</v>
    <v>1</v>
    <v>329</v>
    <v>17</v>
    <v>57</v>
    <v>Frankenthal</v>
    <v>5</v>
    <v>6</v>
    <v>Map</v>
    <v>7</v>
    <v>14</v>
    <v>1478</v>
    <v>Frankenthal is a town in southwestern Germany, in the state of Rhineland-Palatinate.</v>
    <v>1479</v>
    <v>1480</v>
    <v>1481</v>
    <v>1482</v>
    <v>21</v>
    <v>1483</v>
    <v>1484</v>
    <v>Frankenthal</v>
    <v>Frankenthal</v>
    <v>mdp/vdpid/7014631879353565185</v>
    <v>60</v>
  </rv>
  <rv s="0">
    <v>536870912</v>
    <v>Frankfurt</v>
    <v>38733f83-5bfe-2f59-1a21-9416cd7953e7</v>
    <v>de-DE</v>
    <v>Map</v>
  </rv>
  <rv s="0">
    <v>805306368</v>
    <v>René Wilke (Mayor)</v>
    <v>55986769-8eb6-0671-00e4-53d089fcf21d</v>
    <v>de-DE</v>
    <v>Generic</v>
  </rv>
  <rv s="1">
    <v>134</v>
  </rv>
  <rv s="2">
    <fb>58230</fb>
    <v>9</v>
  </rv>
  <rv s="3">
    <v>141</v>
    <v>7</v>
    <v>330</v>
    <v>7</v>
    <v>0</v>
    <v>Image of Frankfurt</v>
  </rv>
  <rv s="2">
    <fb>52.342083333333299</fb>
    <v>10</v>
  </rv>
  <rv s="2">
    <fb>147.85</fb>
    <v>9</v>
  </rv>
  <rv s="2">
    <fb>14.5516666666667</fb>
    <v>10</v>
  </rv>
  <rv s="4">
    <v>https://www.bing.com/search?q=frankfurt+an+der+oder&amp;form=skydnc</v>
    <v>Learn more on Bing</v>
  </rv>
  <rv s="11">
    <v>#VALUE!</v>
    <v>de-DE</v>
    <v>38733f83-5bfe-2f59-1a21-9416cd7953e7</v>
    <v>536870912</v>
    <v>1</v>
    <v>331</v>
    <v>17</v>
    <v>57</v>
    <v>Frankfurt</v>
    <v>5</v>
    <v>6</v>
    <v>Map</v>
    <v>7</v>
    <v>14</v>
    <v>1488</v>
    <v>Frankfurt, also known as Frankfurt an der Oder is the fourth-largest city in the German state of Brandenburg after Potsdam, Cottbus and Brandenburg an der Havel. With around 58,000 inhabitants, it is the largest German city on the Oder River, ...</v>
    <v>1489</v>
    <v>1490</v>
    <v>1491</v>
    <v>1492</v>
    <v>21</v>
    <v>1493</v>
    <v>1494</v>
    <v>Frankfurt</v>
    <v>Frankfurt</v>
    <v>mdp/vdpid/7018397222857342977</v>
    <v>488</v>
  </rv>
  <rv s="0">
    <v>536870912</v>
    <v>Frankfurt am Main</v>
    <v>f8c5588a-2360-3601-8d88-1b98e4763711</v>
    <v>de-DE</v>
    <v>Map</v>
  </rv>
  <rv s="0">
    <v>805306368</v>
    <v>Mike Josef (Mayor)</v>
    <v>06d5b61a-a41c-063c-3165-72a5591786bd</v>
    <v>de-DE</v>
    <v>Generic</v>
  </rv>
  <rv s="1">
    <v>135</v>
  </rv>
  <rv s="2">
    <fb>764474</fb>
    <v>9</v>
  </rv>
  <rv s="3">
    <v>142</v>
    <v>7</v>
    <v>332</v>
    <v>7</v>
    <v>0</v>
    <v>Image of Frankfurt</v>
  </rv>
  <rv s="2">
    <fb>50.110555555555599</fb>
    <v>10</v>
  </rv>
  <rv s="2">
    <fb>248.31</fb>
    <v>9</v>
  </rv>
  <rv s="2">
    <fb>8.6822222222222205</fb>
    <v>10</v>
  </rv>
  <rv s="4">
    <v>https://www.bing.com/search?q=frankfurt+germany&amp;form=skydnc</v>
    <v>Learn more on Bing</v>
  </rv>
  <rv s="6">
    <v>#VALUE!</v>
    <v>de-DE</v>
    <v>f8c5588a-2360-3601-8d88-1b98e4763711</v>
    <v>536870912</v>
    <v>1</v>
    <v>333</v>
    <v>2</v>
    <v>13</v>
    <v>Frankfurt</v>
    <v>5</v>
    <v>6</v>
    <v>Map</v>
    <v>7</v>
    <v>14</v>
    <v>1498</v>
    <v>Frankfurt am Main is the most populous city in the German state of Hesse. Its 773,068 inhabitants as of 2022 make it the fifth-most populous city in Germany, and it is the only city in the country rated as an "alpha world city" according to ...</v>
    <v>1499</v>
    <v>1500</v>
    <v>1501</v>
    <v>1502</v>
    <v>1341</v>
    <v>1503</v>
    <v>1504</v>
    <v>Frankfurt</v>
    <v>Frankfurt</v>
    <v>mdp/vdpid/7014946881717403649</v>
    <v>946</v>
    <v>303</v>
  </rv>
  <rv s="0">
    <v>536870912</v>
    <v>Frechen</v>
    <v>054cbbad-6e50-efc6-8bdf-6828d450578a</v>
    <v>de-DE</v>
    <v>Map</v>
  </rv>
  <rv s="0">
    <v>805306368</v>
    <v>Susanne Stupp (Mayor)</v>
    <v>b650b8e3-2ae0-1318-bf58-2075960e7b61</v>
    <v>de-DE</v>
    <v>Generic</v>
  </rv>
  <rv s="1">
    <v>136</v>
  </rv>
  <rv s="2">
    <fb>52811</fb>
    <v>9</v>
  </rv>
  <rv s="3">
    <v>143</v>
    <v>7</v>
    <v>334</v>
    <v>7</v>
    <v>0</v>
    <v>Image of Frechen</v>
  </rv>
  <rv s="2">
    <fb>50.9166666666667</fb>
    <v>10</v>
  </rv>
  <rv s="2">
    <fb>45.06</fb>
    <v>9</v>
  </rv>
  <rv s="2">
    <fb>6.81666666666667</fb>
    <v>10</v>
  </rv>
  <rv s="4">
    <v>https://www.bing.com/search?q=frechen+germayn&amp;form=skydnc</v>
    <v>Learn more on Bing</v>
  </rv>
  <rv s="11">
    <v>#VALUE!</v>
    <v>de-DE</v>
    <v>054cbbad-6e50-efc6-8bdf-6828d450578a</v>
    <v>536870912</v>
    <v>1</v>
    <v>335</v>
    <v>17</v>
    <v>57</v>
    <v>Frechen</v>
    <v>5</v>
    <v>6</v>
    <v>Map</v>
    <v>7</v>
    <v>14</v>
    <v>1508</v>
    <v>Frechen is a town in the Rhein-Erft District, North Rhine-Westphalia, Germany. Frechen was first mentioned in 877. It is situated at the western Cologne city border. It is the site of the 1257 Battle of Frechen between Conrad von Hochstaden, ...</v>
    <v>1509</v>
    <v>1510</v>
    <v>1511</v>
    <v>1512</v>
    <v>21</v>
    <v>1513</v>
    <v>1514</v>
    <v>Frechen</v>
    <v>Frechen</v>
    <v>mdp/vdpid/7011393225676029953</v>
    <v>10</v>
  </rv>
  <rv s="0">
    <v>536870912</v>
    <v>Freiberg</v>
    <v>9364c91e-407f-3375-1066-617adf067217</v>
    <v>de-DE</v>
    <v>Map</v>
  </rv>
  <rv s="0">
    <v>805306368</v>
    <v>Sven Krüger (Mayor)</v>
    <v>42d469b0-1b54-3789-c239-4040f5fe994f</v>
    <v>de-DE</v>
    <v>Generic</v>
  </rv>
  <rv s="1">
    <v>137</v>
  </rv>
  <rv s="2">
    <fb>40485</fb>
    <v>9</v>
  </rv>
  <rv s="3">
    <v>144</v>
    <v>7</v>
    <v>336</v>
    <v>7</v>
    <v>0</v>
    <v>Image of Freiberg</v>
  </rv>
  <rv s="2">
    <fb>50.911944444444003</fb>
    <v>10</v>
  </rv>
  <rv s="2">
    <fb>48.32</fb>
    <v>9</v>
  </rv>
  <rv s="2">
    <fb>13.342777777778</fb>
    <v>10</v>
  </rv>
  <rv s="4">
    <v>https://www.bing.com/search?q=freiberg&amp;form=skydnc</v>
    <v>Learn more on Bing</v>
  </rv>
  <rv s="6">
    <v>#VALUE!</v>
    <v>de-DE</v>
    <v>9364c91e-407f-3375-1066-617adf067217</v>
    <v>536870912</v>
    <v>1</v>
    <v>337</v>
    <v>2</v>
    <v>13</v>
    <v>Freiberg</v>
    <v>5</v>
    <v>6</v>
    <v>Map</v>
    <v>7</v>
    <v>14</v>
    <v>1518</v>
    <v>Freiberg is a university and former mining town in Saxony, Germany. It is a Große Kreisstadt and the administrative centre of Mittelsachsen district. Its historic town centre has been placed under heritage conservation and is a part of the ...</v>
    <v>1519</v>
    <v>1520</v>
    <v>1521</v>
    <v>1522</v>
    <v>21</v>
    <v>1523</v>
    <v>1524</v>
    <v>Freiberg</v>
    <v>Freiberg</v>
    <v>mdp/vdpid/7018257095220789249</v>
    <v>106</v>
    <v>1041</v>
  </rv>
  <rv s="0">
    <v>536870912</v>
    <v>Freiburg im Breisgau</v>
    <v>ffd61b10-b768-c7ff-9935-950d4903b51e</v>
    <v>de-DE</v>
    <v>Map</v>
  </rv>
  <rv s="0">
    <v>805306368</v>
    <v>Martin Horn (Mayor)</v>
    <v>3335c1d6-9e76-279e-a2e5-19ea2dd84093</v>
    <v>de-DE</v>
    <v>Generic</v>
  </rv>
  <rv s="1">
    <v>138</v>
  </rv>
  <rv s="2">
    <fb>231848</fb>
    <v>9</v>
  </rv>
  <rv s="3">
    <v>145</v>
    <v>7</v>
    <v>338</v>
    <v>7</v>
    <v>0</v>
    <v>Image of Freiburg im Breisgau</v>
  </rv>
  <rv s="2">
    <fb>47.994999999999997</fb>
    <v>10</v>
  </rv>
  <rv s="2">
    <fb>153.04</fb>
    <v>9</v>
  </rv>
  <rv s="2">
    <fb>7.85</fb>
    <v>10</v>
  </rv>
  <rv s="4">
    <v>https://www.bing.com/search?q=freiburg+im+breisgau&amp;form=skydnc</v>
    <v>Learn more on Bing</v>
  </rv>
  <rv s="6">
    <v>#VALUE!</v>
    <v>de-DE</v>
    <v>ffd61b10-b768-c7ff-9935-950d4903b51e</v>
    <v>536870912</v>
    <v>1</v>
    <v>339</v>
    <v>2</v>
    <v>13</v>
    <v>Freiburg im Breisgau</v>
    <v>5</v>
    <v>6</v>
    <v>Map</v>
    <v>7</v>
    <v>8</v>
    <v>1528</v>
    <v>Freiburg im Breisgau is the fourth-largest city of the German state of Baden-Württemberg after Stuttgart, Mannheim and Karlsruhe. With around 236,000 inhabitants, it is Germany's 33rd-largest city. Its built-up area has a population of about ...</v>
    <v>1529</v>
    <v>1530</v>
    <v>1531</v>
    <v>1532</v>
    <v>1341</v>
    <v>1533</v>
    <v>1534</v>
    <v>Freiburg im Breisgau</v>
    <v>Freiburg im Breisgau</v>
    <v>mdp/vdpid/7014908398307115009</v>
    <v>359</v>
    <v>370</v>
  </rv>
  <rv s="0">
    <v>536870912</v>
    <v>Freising</v>
    <v>9687190d-84eb-99eb-d25a-53b125d993ae</v>
    <v>de-DE</v>
    <v>Map</v>
  </rv>
  <rv s="0">
    <v>805306368</v>
    <v>Tobias Eschenbacher (Mayor)</v>
    <v>19f56a73-cc22-9dd5-445d-5bddf9c3ccbb</v>
    <v>de-DE</v>
    <v>Generic</v>
  </rv>
  <rv s="1">
    <v>139</v>
  </rv>
  <rv s="2">
    <fb>51617</fb>
    <v>9</v>
  </rv>
  <rv s="3">
    <v>146</v>
    <v>7</v>
    <v>340</v>
    <v>7</v>
    <v>0</v>
    <v>Image of Freising</v>
  </rv>
  <rv s="2">
    <fb>48.402777777777999</fb>
    <v>10</v>
  </rv>
  <rv s="2">
    <fb>88.59</fb>
    <v>9</v>
  </rv>
  <rv s="2">
    <fb>11.748888888889001</fb>
    <v>10</v>
  </rv>
  <rv s="4">
    <v>https://www.bing.com/search?q=freising+germany&amp;form=skydnc</v>
    <v>Learn more on Bing</v>
  </rv>
  <rv s="0">
    <v>536870912</v>
    <v>Freising</v>
    <v>a542b302-204f-2b84-f204-b1dbbbc2ce80</v>
    <v>de-DE</v>
    <v>Map</v>
  </rv>
  <rv s="10">
    <v>#VALUE!</v>
    <v>de-DE</v>
    <v>9687190d-84eb-99eb-d25a-53b125d993ae</v>
    <v>536870912</v>
    <v>1</v>
    <v>341</v>
    <v>39</v>
    <v>40</v>
    <v>Freising</v>
    <v>5</v>
    <v>6</v>
    <v>Map</v>
    <v>7</v>
    <v>260</v>
    <v>1538</v>
    <v>Freising is a university town in Bavaria, Germany, and the capital of the Freising Landkreis, with a population of about 50,000.</v>
    <v>1539</v>
    <v>1540</v>
    <v>1541</v>
    <v>1542</v>
    <v>21</v>
    <v>1543</v>
    <v>1544</v>
    <v>Freising</v>
    <v>Freising</v>
    <v>mdp/vdpid/7021474175478923265</v>
    <v>1545</v>
  </rv>
  <rv s="0">
    <v>536870912</v>
    <v>Freital</v>
    <v>a9b7545e-4c36-e6fc-e151-c5862c8bbb25</v>
    <v>de-DE</v>
    <v>Map</v>
  </rv>
  <rv s="0">
    <v>805306368</v>
    <v>Uwe Rumberg (Mayor)</v>
    <v>adc4ccd6-92f4-9162-acef-a330d201524b</v>
    <v>de-DE</v>
    <v>Generic</v>
  </rv>
  <rv s="1">
    <v>140</v>
  </rv>
  <rv s="2">
    <fb>39558</fb>
    <v>9</v>
  </rv>
  <rv s="3">
    <v>147</v>
    <v>7</v>
    <v>342</v>
    <v>7</v>
    <v>0</v>
    <v>Image of Freital</v>
  </rv>
  <rv s="2">
    <fb>51.016666666667</fb>
    <v>10</v>
  </rv>
  <rv s="2">
    <fb>40.450000000000003</fb>
    <v>9</v>
  </rv>
  <rv s="2">
    <fb>13.65</fb>
    <v>10</v>
  </rv>
  <rv s="4">
    <v>https://www.bing.com/search?q=freital+germany&amp;form=skydnc</v>
    <v>Learn more on Bing</v>
  </rv>
  <rv s="0">
    <v>536870912</v>
    <v>Sächsische Schweiz-Osterzgebirge</v>
    <v>4c31128e-23e9-cfb9-cf15-deddb296cae0</v>
    <v>de-DE</v>
    <v>Map</v>
  </rv>
  <rv s="6">
    <v>#VALUE!</v>
    <v>de-DE</v>
    <v>a9b7545e-4c36-e6fc-e151-c5862c8bbb25</v>
    <v>536870912</v>
    <v>1</v>
    <v>343</v>
    <v>2</v>
    <v>13</v>
    <v>Freital</v>
    <v>5</v>
    <v>6</v>
    <v>Map</v>
    <v>7</v>
    <v>14</v>
    <v>1549</v>
    <v>Freital is a town in the district of Sächsische Schweiz-Osterzgebirge in Saxony, Germany. The town is situated on a small river, the Weißeritz, and is eight kilometres southwest of Dresden.</v>
    <v>1550</v>
    <v>1551</v>
    <v>1552</v>
    <v>1553</v>
    <v>21</v>
    <v>1554</v>
    <v>1555</v>
    <v>Freital</v>
    <v>Freital</v>
    <v>mdp/vdpid/7018270608144203777</v>
    <v>106</v>
    <v>1556</v>
  </rv>
  <rv s="0">
    <v>536870912</v>
    <v>Freudenstadt</v>
    <v>9f9879bc-4c75-7196-62ef-cc613244c733</v>
    <v>de-DE</v>
    <v>Map</v>
  </rv>
  <rv s="0">
    <v>805306368</v>
    <v>Julian Osswald (Mayor)</v>
    <v>af29fa66-caaa-fcb7-d4fc-9c7abce9f9e0</v>
    <v>de-DE</v>
    <v>Generic</v>
  </rv>
  <rv s="1">
    <v>141</v>
  </rv>
  <rv s="2">
    <fb>24301</fb>
    <v>9</v>
  </rv>
  <rv s="3">
    <v>148</v>
    <v>7</v>
    <v>344</v>
    <v>7</v>
    <v>0</v>
    <v>Image of Freudenstadt</v>
  </rv>
  <rv s="2">
    <fb>48.463333333332997</fb>
    <v>10</v>
  </rv>
  <rv s="2">
    <fb>87.54</fb>
    <v>9</v>
  </rv>
  <rv s="2">
    <fb>8.4111111111111008</fb>
    <v>10</v>
  </rv>
  <rv s="4">
    <v>https://www.bing.com/search?q=freudenstadt&amp;form=skydnc</v>
    <v>Learn more on Bing</v>
  </rv>
  <rv s="0">
    <v>536870912</v>
    <v>Freudenstadt</v>
    <v>7ab9da69-1c69-bc80-2746-92ba0786bea8</v>
    <v>de-DE</v>
    <v>Map</v>
  </rv>
  <rv s="11">
    <v>#VALUE!</v>
    <v>de-DE</v>
    <v>9f9879bc-4c75-7196-62ef-cc613244c733</v>
    <v>536870912</v>
    <v>1</v>
    <v>345</v>
    <v>17</v>
    <v>57</v>
    <v>Freudenstadt</v>
    <v>5</v>
    <v>6</v>
    <v>Map</v>
    <v>7</v>
    <v>14</v>
    <v>1560</v>
    <v>Freudenstadt is a town in Baden-Württemberg in southern Germany. It is the capital of the district Freudenstadt. The closest population centres are Offenburg to the west and Tübingen to the east. The city lies on a high plateau at the east edge ...</v>
    <v>1561</v>
    <v>1562</v>
    <v>1563</v>
    <v>1564</v>
    <v>21</v>
    <v>1565</v>
    <v>1566</v>
    <v>Freudenstadt</v>
    <v>Freudenstadt</v>
    <v>mdp/vdpid/7014896278916038657</v>
    <v>1567</v>
  </rv>
  <rv s="0">
    <v>536870912</v>
    <v>Friedrichshafen</v>
    <v>344078b1-1c8d-4a68-67fa-8c707e6a479f</v>
    <v>de-DE</v>
    <v>Map</v>
  </rv>
  <rv s="0">
    <v>805306368</v>
    <v>Andreas Brand (Mayor)</v>
    <v>7ca989a1-9453-270c-bfe3-83a60704416c</v>
    <v>de-DE</v>
    <v>Generic</v>
  </rv>
  <rv s="1">
    <v>142</v>
  </rv>
  <rv s="2">
    <fb>62932</fb>
    <v>9</v>
  </rv>
  <rv s="3">
    <v>149</v>
    <v>7</v>
    <v>346</v>
    <v>7</v>
    <v>0</v>
    <v>Image of Friedrichshafen</v>
  </rv>
  <rv s="2">
    <fb>47.654166666667003</fb>
    <v>10</v>
  </rv>
  <rv s="2">
    <fb>69.94</fb>
    <v>9</v>
  </rv>
  <rv s="2">
    <fb>9.4791666666666998</fb>
    <v>10</v>
  </rv>
  <rv s="4">
    <v>https://www.bing.com/search?q=friedrichshafen&amp;form=skydnc</v>
    <v>Learn more on Bing</v>
  </rv>
  <rv s="0">
    <v>536870912</v>
    <v>Bodenseekreis</v>
    <v>aeb1b6f5-d3c2-811d-f1e0-32ebd95f5fee</v>
    <v>de-DE</v>
    <v>Map</v>
  </rv>
  <rv s="11">
    <v>#VALUE!</v>
    <v>de-DE</v>
    <v>344078b1-1c8d-4a68-67fa-8c707e6a479f</v>
    <v>536870912</v>
    <v>1</v>
    <v>347</v>
    <v>17</v>
    <v>57</v>
    <v>Friedrichshafen</v>
    <v>5</v>
    <v>6</v>
    <v>Map</v>
    <v>7</v>
    <v>14</v>
    <v>1571</v>
    <v>Friedrichshafen is a city on the northern shoreline of Lake Constance in Southern Germany, near the borders of both Switzerland and Austria. It is the district capital of the Bodensee district in the federal state of Baden-Württemberg. ...</v>
    <v>1572</v>
    <v>1573</v>
    <v>1574</v>
    <v>1575</v>
    <v>21</v>
    <v>1576</v>
    <v>1577</v>
    <v>Friedrichshafen</v>
    <v>Friedrichshafen</v>
    <v>mdp/vdpid/7016090653218045954</v>
    <v>1578</v>
  </rv>
  <rv s="0">
    <v>536870912</v>
    <v>Fulda</v>
    <v>05e18f4c-bd18-982b-1c3b-efa4cec09c47</v>
    <v>de-DE</v>
    <v>Map</v>
  </rv>
  <rv s="0">
    <v>805306368</v>
    <v>Dr. Heiko Wingenfeld (Mayor)</v>
    <v>6bbe365e-b594-377d-3437-78d369be1f1b</v>
    <v>de-DE</v>
    <v>Generic</v>
  </rv>
  <rv s="1">
    <v>143</v>
  </rv>
  <rv s="2">
    <fb>69968</fb>
    <v>9</v>
  </rv>
  <rv s="3">
    <v>150</v>
    <v>7</v>
    <v>348</v>
    <v>7</v>
    <v>0</v>
    <v>Image of Fulda</v>
  </rv>
  <rv s="2">
    <fb>50.552777777777997</fb>
    <v>10</v>
  </rv>
  <rv s="2">
    <fb>104.05</fb>
    <v>9</v>
  </rv>
  <rv s="2">
    <fb>9.6775000000000002</fb>
    <v>10</v>
  </rv>
  <rv s="4">
    <v>https://www.bing.com/search?q=fulda&amp;form=skydnc</v>
    <v>Learn more on Bing</v>
  </rv>
  <rv s="0">
    <v>536870912</v>
    <v>Fulda</v>
    <v>f2aef5d9-0288-4e59-831c-ccc3a816e719</v>
    <v>de-DE</v>
    <v>Map</v>
  </rv>
  <rv s="10">
    <v>#VALUE!</v>
    <v>de-DE</v>
    <v>05e18f4c-bd18-982b-1c3b-efa4cec09c47</v>
    <v>536870912</v>
    <v>1</v>
    <v>349</v>
    <v>39</v>
    <v>40</v>
    <v>Fulda</v>
    <v>5</v>
    <v>6</v>
    <v>Map</v>
    <v>7</v>
    <v>14</v>
    <v>1582</v>
    <v>Fulda is a town in Hesse, Germany; it is located on the river Fulda and is the administrative seat of the Fulda district. In 1990, the town hosted the 30th Hessentag state festival.</v>
    <v>1583</v>
    <v>1584</v>
    <v>1585</v>
    <v>1586</v>
    <v>21</v>
    <v>1587</v>
    <v>1588</v>
    <v>Fulda</v>
    <v>Fulda</v>
    <v>mdp/vdpid/7014965639534084097</v>
    <v>1589</v>
  </rv>
  <rv s="0">
    <v>536870912</v>
    <v>Fürstenfeldbruck</v>
    <v>d0549738-a6b7-f0c3-aaf5-b836d878e2ab</v>
    <v>de-DE</v>
    <v>Map</v>
  </rv>
  <rv s="0">
    <v>805306368</v>
    <v>Christian Götz (Mayor)</v>
    <v>74cc0f7d-73e7-174d-b2d6-fc4238d8f232</v>
    <v>de-DE</v>
    <v>Generic</v>
  </rv>
  <rv s="1">
    <v>144</v>
  </rv>
  <rv s="2">
    <fb>37695</fb>
    <v>9</v>
  </rv>
  <rv s="3">
    <v>151</v>
    <v>7</v>
    <v>350</v>
    <v>7</v>
    <v>0</v>
    <v>Image of Fürstenfeldbruck</v>
  </rv>
  <rv s="2">
    <fb>48.177777777777997</fb>
    <v>10</v>
  </rv>
  <rv s="2">
    <fb>32.53</fb>
    <v>9</v>
  </rv>
  <rv s="2">
    <fb>11.255555555556001</fb>
    <v>10</v>
  </rv>
  <rv s="4">
    <v>https://www.bing.com/search?q=furstenfeldbruck+germany&amp;form=skydnc</v>
    <v>Learn more on Bing</v>
  </rv>
  <rv s="0">
    <v>536870912</v>
    <v>Fürstenfeldbruck</v>
    <v>22e26152-84f1-74ca-c88f-40d2d20ca30a</v>
    <v>de-DE</v>
    <v>Map</v>
  </rv>
  <rv s="10">
    <v>#VALUE!</v>
    <v>de-DE</v>
    <v>d0549738-a6b7-f0c3-aaf5-b836d878e2ab</v>
    <v>536870912</v>
    <v>1</v>
    <v>351</v>
    <v>39</v>
    <v>40</v>
    <v>Fürstenfeldbruck</v>
    <v>5</v>
    <v>6</v>
    <v>Map</v>
    <v>7</v>
    <v>14</v>
    <v>1593</v>
    <v>Fürstenfeldbruck is a town in Bavaria, Germany, located 32 kilometres west of Munich. It is the capital of the district of Fürstenfeldbruck. As of 2004 it has a population of 35,494. Since the 1930s, Fürstenfeldbruck has had an air force base.</v>
    <v>1594</v>
    <v>1595</v>
    <v>1596</v>
    <v>1597</v>
    <v>21</v>
    <v>1598</v>
    <v>1599</v>
    <v>Fürstenfeldbruck</v>
    <v>Fürstenfeldbruck</v>
    <v>mdp/vdpid/7021469493964570625</v>
    <v>1600</v>
  </rv>
  <rv s="0">
    <v>536870912</v>
    <v>Fürstenwalde/Spree</v>
    <v>cdf6407c-2984-0953-edde-728a05ad4315</v>
    <v>de-DE</v>
    <v>Map</v>
  </rv>
  <rv s="0">
    <v>805306368</v>
    <v>Matthias Rudolph (Mayor)</v>
    <v>57df4be8-0301-a493-4a29-623a934933a3</v>
    <v>de-DE</v>
    <v>Generic</v>
  </rv>
  <rv s="1">
    <v>145</v>
  </rv>
  <rv s="2">
    <fb>32646</fb>
    <v>9</v>
  </rv>
  <rv s="3">
    <v>152</v>
    <v>7</v>
    <v>352</v>
    <v>7</v>
    <v>0</v>
    <v>Image of Fürstenwalde</v>
  </rv>
  <rv s="2">
    <fb>52.366666666667001</fb>
    <v>10</v>
  </rv>
  <rv s="2">
    <fb>70.680000000000007</fb>
    <v>9</v>
  </rv>
  <rv s="2">
    <fb>14.066666666667</fb>
    <v>10</v>
  </rv>
  <rv s="4">
    <v>https://www.bing.com/search?q=f%c3%bcrstenwalde&amp;form=skydnc</v>
    <v>Learn more on Bing</v>
  </rv>
  <rv s="6">
    <v>#VALUE!</v>
    <v>de-DE</v>
    <v>cdf6407c-2984-0953-edde-728a05ad4315</v>
    <v>536870912</v>
    <v>1</v>
    <v>353</v>
    <v>2</v>
    <v>13</v>
    <v>Fürstenwalde</v>
    <v>5</v>
    <v>6</v>
    <v>Map</v>
    <v>7</v>
    <v>14</v>
    <v>1604</v>
    <v>Fürstenwalde/Spree is the most populous town in the Oder-Spree District of Brandenburg, in eastern Germany.</v>
    <v>1605</v>
    <v>1606</v>
    <v>1607</v>
    <v>1608</v>
    <v>21</v>
    <v>1609</v>
    <v>1610</v>
    <v>Fürstenwalde</v>
    <v>Fürstenwalde</v>
    <v>mdp/vdpid/7018385300095238145</v>
    <v>488</v>
    <v>1217</v>
  </rv>
  <rv s="0">
    <v>536870912</v>
    <v>Fürth</v>
    <v>21174295-3073-63f5-5495-e9a80bc896aa</v>
    <v>de-DE</v>
    <v>Map</v>
  </rv>
  <rv s="0">
    <v>805306368</v>
    <v>Thomas Jung (Mayor)</v>
    <v>205cb750-45d6-178b-cd67-1202aba2fd02</v>
    <v>de-DE</v>
    <v>Generic</v>
  </rv>
  <rv s="1">
    <v>146</v>
  </rv>
  <rv s="2">
    <fb>131433</fb>
    <v>9</v>
  </rv>
  <rv s="3">
    <v>153</v>
    <v>7</v>
    <v>354</v>
    <v>7</v>
    <v>0</v>
    <v>Image of Fürth</v>
  </rv>
  <rv s="2">
    <fb>49.478333333332998</fb>
    <v>10</v>
  </rv>
  <rv s="2">
    <fb>63.35</fb>
    <v>9</v>
  </rv>
  <rv s="2">
    <fb>10.990277777777999</fb>
    <v>10</v>
  </rv>
  <rv s="4">
    <v>https://www.bing.com/search?q=furth&amp;form=skydnc</v>
    <v>Learn more on Bing</v>
  </rv>
  <rv s="9">
    <v>#VALUE!</v>
    <v>de-DE</v>
    <v>21174295-3073-63f5-5495-e9a80bc896aa</v>
    <v>536870912</v>
    <v>1</v>
    <v>355</v>
    <v>27</v>
    <v>28</v>
    <v>Fürth</v>
    <v>5</v>
    <v>6</v>
    <v>Map</v>
    <v>7</v>
    <v>14</v>
    <v>1614</v>
    <v>Fürth is a city in northern Bavaria, Germany, in the administrative division of Middle Franconia. It is the second-largest city in Franconia and now contiguous with the larger city of Nuremberg, the centres of the two cities being only seven km ...</v>
    <v>1615</v>
    <v>1616</v>
    <v>1617</v>
    <v>1618</v>
    <v>21</v>
    <v>1619</v>
    <v>1620</v>
    <v>Fürth</v>
    <v>Fürth</v>
    <v>mdp/vdpid/7015193997089964033</v>
  </rv>
  <rv s="0">
    <v>536870912</v>
    <v>Garmisch-Partenkirchen</v>
    <v>879f3be0-9db9-3378-7d56-b765c35a3b8a</v>
    <v>de-DE</v>
    <v>Map</v>
  </rv>
  <rv s="0">
    <v>805306368</v>
    <v>Elisabeth Koch (Mayor)</v>
    <v>1ce90b81-edb0-e5ac-57f8-b171e3949998</v>
    <v>de-DE</v>
    <v>Generic</v>
  </rv>
  <rv s="1">
    <v>147</v>
  </rv>
  <rv s="2">
    <fb>27482</fb>
    <v>9</v>
  </rv>
  <rv s="3">
    <v>154</v>
    <v>7</v>
    <v>356</v>
    <v>7</v>
    <v>0</v>
    <v>Image of Garmisch-Partenkirchen</v>
  </rv>
  <rv s="2">
    <fb>47.5</fb>
    <v>10</v>
  </rv>
  <rv s="2">
    <fb>205.67</fb>
    <v>9</v>
  </rv>
  <rv s="2">
    <fb>11.083333333333</fb>
    <v>10</v>
  </rv>
  <rv s="4">
    <v>https://www.bing.com/search?q=garmisch-partenkirchen&amp;form=skydnc</v>
    <v>Learn more on Bing</v>
  </rv>
  <rv s="10">
    <v>#VALUE!</v>
    <v>de-DE</v>
    <v>879f3be0-9db9-3378-7d56-b765c35a3b8a</v>
    <v>536870912</v>
    <v>1</v>
    <v>357</v>
    <v>39</v>
    <v>40</v>
    <v>Garmisch-Partenkirchen</v>
    <v>5</v>
    <v>6</v>
    <v>Map</v>
    <v>7</v>
    <v>14</v>
    <v>1624</v>
    <v>Garmisch-Partenkirchen is an Alpine ski town in Bavaria, southern Germany. It is the seat of government of the district of Garmisch-Partenkirchen, in the Oberbayern region, which borders Austria. Nearby is Germany's highest mountain, Zugspitze, ...</v>
    <v>1625</v>
    <v>1626</v>
    <v>1627</v>
    <v>1628</v>
    <v>21</v>
    <v>1629</v>
    <v>1630</v>
    <v>Garmisch-Partenkirchen</v>
    <v>Garmisch-Partenkirchen</v>
    <v>mdp/vdpid/7016237818158514178</v>
    <v>292</v>
  </rv>
  <rv s="0">
    <v>536870912</v>
    <v>Geesthacht</v>
    <v>99cc3d2c-3185-b406-e6e6-aa2f1341637c</v>
    <v>de-DE</v>
    <v>Map</v>
  </rv>
  <rv s="0">
    <v>805306368</v>
    <v>Olaf Schulze (Mayor)</v>
    <v>fddef61e-b7fa-d404-0de2-1c7bfbebcbf7</v>
    <v>de-DE</v>
    <v>Generic</v>
  </rv>
  <rv s="1">
    <v>148</v>
  </rv>
  <rv s="2">
    <fb>32336</fb>
    <v>9</v>
  </rv>
  <rv s="3">
    <v>155</v>
    <v>7</v>
    <v>358</v>
    <v>7</v>
    <v>0</v>
    <v>Image of Geesthacht</v>
  </rv>
  <rv s="2">
    <fb>53.4375</fb>
    <v>10</v>
  </rv>
  <rv s="2">
    <fb>33.25</fb>
    <v>9</v>
  </rv>
  <rv s="2">
    <fb>10.3675</fb>
    <v>10</v>
  </rv>
  <rv s="4">
    <v>https://www.bing.com/search?q=geesthacht&amp;form=skydnc</v>
    <v>Learn more on Bing</v>
  </rv>
  <rv s="0">
    <v>536870912</v>
    <v>Herzogtum Lauenburg</v>
    <v>1463d0d2-f235-f075-db67-9496f3a0716c</v>
    <v>de-DE</v>
    <v>Map</v>
  </rv>
  <rv s="6">
    <v>#VALUE!</v>
    <v>de-DE</v>
    <v>99cc3d2c-3185-b406-e6e6-aa2f1341637c</v>
    <v>536870912</v>
    <v>1</v>
    <v>359</v>
    <v>2</v>
    <v>13</v>
    <v>Geesthacht</v>
    <v>5</v>
    <v>6</v>
    <v>Map</v>
    <v>7</v>
    <v>14</v>
    <v>1634</v>
    <v>Geesthacht is the largest city in the District of the Duchy of Lauenburg in Schleswig-Holstein in Northern Germany, 34 kilometres south-east of Hamburg on the right bank of the River Elbe.</v>
    <v>1635</v>
    <v>1636</v>
    <v>1637</v>
    <v>1638</v>
    <v>21</v>
    <v>1639</v>
    <v>1640</v>
    <v>Geesthacht</v>
    <v>Geesthacht</v>
    <v>mdp/vdpid/7010941254842187777</v>
    <v>326</v>
    <v>1641</v>
  </rv>
  <rv s="0">
    <v>536870912</v>
    <v>Geislingen an der Steige</v>
    <v>865e07dd-0a3a-1aed-1c48-1193b9fa691c</v>
    <v>de-DE</v>
    <v>Map</v>
  </rv>
  <rv s="0">
    <v>805306368</v>
    <v>Frank Dehmer (Mayor)</v>
    <v>233c6285-8160-38f7-1f79-9cbf2087684a</v>
    <v>de-DE</v>
    <v>Generic</v>
  </rv>
  <rv s="1">
    <v>149</v>
  </rv>
  <rv s="2">
    <fb>28655</fb>
    <v>9</v>
  </rv>
  <rv s="3">
    <v>156</v>
    <v>7</v>
    <v>360</v>
    <v>7</v>
    <v>0</v>
    <v>Image of Geislingen an der Steige</v>
  </rv>
  <rv s="2">
    <fb>48.624444444444002</fb>
    <v>10</v>
  </rv>
  <rv s="2">
    <fb>75.83</fb>
    <v>9</v>
  </rv>
  <rv s="2">
    <fb>9.8305555555556001</fb>
    <v>10</v>
  </rv>
  <rv s="4">
    <v>https://www.bing.com/search?q=geislingen+an+der+steige+germany&amp;form=skydnc</v>
    <v>Learn more on Bing</v>
  </rv>
  <rv s="0">
    <v>536870912</v>
    <v>Göppingen</v>
    <v>6194678c-cb52-6847-51ec-abd8a1451b4c</v>
    <v>de-DE</v>
    <v>Map</v>
  </rv>
  <rv s="6">
    <v>#VALUE!</v>
    <v>de-DE</v>
    <v>865e07dd-0a3a-1aed-1c48-1193b9fa691c</v>
    <v>536870912</v>
    <v>1</v>
    <v>361</v>
    <v>2</v>
    <v>13</v>
    <v>Geislingen an der Steige</v>
    <v>5</v>
    <v>6</v>
    <v>Map</v>
    <v>7</v>
    <v>14</v>
    <v>1645</v>
    <v>Geislingen an der Steige is surrounded by the heights of the Swabian Alb and embedded in 5 beautiful valleys. It is a town in the district of Göppingen in Baden-Württemberg in southern Germany. The name relates to its location "on the climb" (an ...</v>
    <v>1646</v>
    <v>1647</v>
    <v>1648</v>
    <v>1649</v>
    <v>21</v>
    <v>1650</v>
    <v>1651</v>
    <v>Geislingen an der Steige</v>
    <v>Geislingen an der Steige</v>
    <v>mdp/vdpid/7015270044082896897</v>
    <v>606</v>
    <v>1652</v>
  </rv>
  <rv s="0">
    <v>536870912</v>
    <v>Gelsenkirchen</v>
    <v>4ba0960f-2c10-f8df-de1b-4dad47d05dea</v>
    <v>de-DE</v>
    <v>Map</v>
  </rv>
  <rv s="0">
    <v>805306368</v>
    <v>Karin Welge (Mayor)</v>
    <v>9510df7a-2a07-c987-a403-1960098bffd7</v>
    <v>de-DE</v>
    <v>Generic</v>
  </rv>
  <rv s="1">
    <v>150</v>
  </rv>
  <rv s="2">
    <fb>260126</fb>
    <v>9</v>
  </rv>
  <rv s="3">
    <v>157</v>
    <v>7</v>
    <v>362</v>
    <v>7</v>
    <v>0</v>
    <v>Image of Gelsenkirchen</v>
  </rv>
  <rv s="2">
    <fb>51.516666666667</fb>
    <v>10</v>
  </rv>
  <rv s="2">
    <fb>104.94</fb>
    <v>9</v>
  </rv>
  <rv s="2">
    <fb>7.1</fb>
    <v>10</v>
  </rv>
  <rv s="4">
    <v>https://www.bing.com/search?q=gelsenkirchen&amp;form=skydnc</v>
    <v>Learn more on Bing</v>
  </rv>
  <rv s="6">
    <v>#VALUE!</v>
    <v>de-DE</v>
    <v>4ba0960f-2c10-f8df-de1b-4dad47d05dea</v>
    <v>536870912</v>
    <v>1</v>
    <v>363</v>
    <v>2</v>
    <v>13</v>
    <v>Gelsenkirchen</v>
    <v>5</v>
    <v>6</v>
    <v>Map</v>
    <v>7</v>
    <v>8</v>
    <v>1656</v>
    <v>Gelsenkirchen is the 25th-most populous city of Germany and the 11th-most populous in the state of North Rhine-Westphalia with 262,528 inhabitants. On the Emscher River, it lies at the centre of the Ruhr area, the largest urban area of Germany, ...</v>
    <v>1657</v>
    <v>1658</v>
    <v>1659</v>
    <v>1660</v>
    <v>21</v>
    <v>1661</v>
    <v>1662</v>
    <v>Gelsenkirchen</v>
    <v>Gelsenkirchen</v>
    <v>mdp/vdpid/7011420298062856193</v>
    <v>412</v>
    <v>24</v>
  </rv>
  <rv s="0">
    <v>536870912</v>
    <v>Gera</v>
    <v>9d7d8650-7ca9-7136-dbca-7befdde3c127</v>
    <v>de-DE</v>
    <v>Map</v>
  </rv>
  <rv s="0">
    <v>805306368</v>
    <v>Julian Vonarb (Mayor)</v>
    <v>48d63b99-6f23-a572-9d9b-36c858239040</v>
    <v>de-DE</v>
    <v>Generic</v>
  </rv>
  <rv s="1">
    <v>151</v>
  </rv>
  <rv s="2">
    <fb>93634</fb>
    <v>9</v>
  </rv>
  <rv s="3">
    <v>158</v>
    <v>7</v>
    <v>364</v>
    <v>7</v>
    <v>0</v>
    <v>Image of Gera</v>
  </rv>
  <rv s="2">
    <fb>50.87818</fb>
    <v>10</v>
  </rv>
  <rv s="2">
    <fb>152.19</fb>
    <v>9</v>
  </rv>
  <rv s="2">
    <fb>12.082420000000001</fb>
    <v>10</v>
  </rv>
  <rv s="4">
    <v>https://www.bing.com/search?q=gera+germany&amp;form=skydnc</v>
    <v>Learn more on Bing</v>
  </rv>
  <rv s="9">
    <v>#VALUE!</v>
    <v>de-DE</v>
    <v>9d7d8650-7ca9-7136-dbca-7befdde3c127</v>
    <v>536870912</v>
    <v>1</v>
    <v>365</v>
    <v>27</v>
    <v>28</v>
    <v>Gera</v>
    <v>5</v>
    <v>6</v>
    <v>Map</v>
    <v>7</v>
    <v>14</v>
    <v>1666</v>
    <v>Gera is a city in the German state of Thuringia. With around 93,000 inhabitants, it is the third-largest city in Thuringia after Erfurt and Jena as well as the easternmost city of the Thüringer Städtekette, an almost straight string of cities ...</v>
    <v>1667</v>
    <v>1668</v>
    <v>1669</v>
    <v>1670</v>
    <v>21</v>
    <v>1671</v>
    <v>1672</v>
    <v>Gera</v>
    <v>Gera</v>
    <v>mdp/vdpid/7018139207159775233</v>
  </rv>
  <rv s="0">
    <v>536870912</v>
    <v>Gevelsberg</v>
    <v>d730665f-614e-b193-488c-5fb1b69a7cf1</v>
    <v>de-DE</v>
    <v>Map</v>
  </rv>
  <rv s="0">
    <v>805306368</v>
    <v>Claus Jacobi (Mayor)</v>
    <v>7dee6701-2c24-7bc9-d4ea-7af30227240c</v>
    <v>de-DE</v>
    <v>Generic</v>
  </rv>
  <rv s="1">
    <v>152</v>
  </rv>
  <rv s="2">
    <fb>31097</fb>
    <v>9</v>
  </rv>
  <rv s="3">
    <v>159</v>
    <v>7</v>
    <v>366</v>
    <v>7</v>
    <v>0</v>
    <v>Image of Gevelsberg</v>
  </rv>
  <rv s="2">
    <fb>51.326450000000001</fb>
    <v>10</v>
  </rv>
  <rv s="2">
    <fb>26.34</fb>
    <v>9</v>
  </rv>
  <rv s="2">
    <fb>7.3559000000000001</fb>
    <v>10</v>
  </rv>
  <rv s="4">
    <v>https://www.bing.com/search?q=gevelsberg&amp;form=skydnc</v>
    <v>Learn more on Bing</v>
  </rv>
  <rv s="10">
    <v>#VALUE!</v>
    <v>de-DE</v>
    <v>d730665f-614e-b193-488c-5fb1b69a7cf1</v>
    <v>536870912</v>
    <v>1</v>
    <v>367</v>
    <v>39</v>
    <v>40</v>
    <v>Gevelsberg</v>
    <v>5</v>
    <v>6</v>
    <v>Map</v>
    <v>7</v>
    <v>14</v>
    <v>1676</v>
    <v>Gevelsberg is a town in the district of Ennepe-Ruhr-Kreis, in North Rhine-Westphalia, Germany.</v>
    <v>1677</v>
    <v>1678</v>
    <v>1679</v>
    <v>1680</v>
    <v>21</v>
    <v>1681</v>
    <v>1682</v>
    <v>Gevelsberg</v>
    <v>Gevelsberg</v>
    <v>mdp/vdpid/7011427179154112513</v>
    <v>1291</v>
  </rv>
  <rv s="0">
    <v>536870912</v>
    <v>Gießen</v>
    <v>2bf5a9de-4a39-6911-c4d5-2ebaceddeb4c</v>
    <v>de-DE</v>
    <v>Map</v>
  </rv>
  <rv s="0">
    <v>805306368</v>
    <v>Frank-Tilo Becher (Mayor)</v>
    <v>35e024a7-d9ba-714e-c2d1-1660dc228d5d</v>
    <v>de-DE</v>
    <v>Generic</v>
  </rv>
  <rv s="1">
    <v>153</v>
  </rv>
  <rv s="2">
    <fb>94146</fb>
    <v>9</v>
  </rv>
  <rv s="3">
    <v>160</v>
    <v>7</v>
    <v>368</v>
    <v>7</v>
    <v>0</v>
    <v>Image of Giessen</v>
  </rv>
  <rv s="2">
    <fb>50.5833333333333</fb>
    <v>10</v>
  </rv>
  <rv s="2">
    <fb>72.55</fb>
    <v>9</v>
  </rv>
  <rv s="2">
    <fb>8.6666666666666696</fb>
    <v>10</v>
  </rv>
  <rv s="4">
    <v>https://www.bing.com/search?q=giessen&amp;form=skydnc</v>
    <v>Learn more on Bing</v>
  </rv>
  <rv s="0">
    <v>536870912</v>
    <v>Giessen</v>
    <v>86b45ea3-79ef-c732-77fc-16442530dfbc</v>
    <v>de-DE</v>
    <v>Map</v>
  </rv>
  <rv s="10">
    <v>#VALUE!</v>
    <v>de-DE</v>
    <v>2bf5a9de-4a39-6911-c4d5-2ebaceddeb4c</v>
    <v>536870912</v>
    <v>1</v>
    <v>369</v>
    <v>39</v>
    <v>40</v>
    <v>Giessen</v>
    <v>5</v>
    <v>6</v>
    <v>Map</v>
    <v>7</v>
    <v>14</v>
    <v>1686</v>
    <v>Giessen, spelled Gießen in German, is a town in the German state of Hesse, capital of both the district of Giessen and the administrative region of Giessen. The population is approximately 90,000, with roughly 37,000 university students.</v>
    <v>1687</v>
    <v>1688</v>
    <v>1689</v>
    <v>1690</v>
    <v>21</v>
    <v>1691</v>
    <v>1692</v>
    <v>Giessen</v>
    <v>Giessen</v>
    <v>mdp/vdpid/7014922140172419073</v>
    <v>1693</v>
  </rv>
  <rv s="0">
    <v>536870912</v>
    <v>Gifhorn</v>
    <v>c62d4f39-ec4c-5cb8-94c9-f4dc5a54a968</v>
    <v>de-DE</v>
    <v>Map</v>
  </rv>
  <rv s="0">
    <v>805306368</v>
    <v>Matthias Nerlich (Mayor)</v>
    <v>5481c862-19b8-acc5-8c81-efd1caa0d429</v>
    <v>de-DE</v>
    <v>Generic</v>
  </rv>
  <rv s="1">
    <v>154</v>
  </rv>
  <rv s="2">
    <fb>43625</fb>
    <v>9</v>
  </rv>
  <rv s="3">
    <v>161</v>
    <v>7</v>
    <v>370</v>
    <v>7</v>
    <v>0</v>
    <v>Image of Gifhorn</v>
  </rv>
  <rv s="2">
    <fb>52.488611111110998</fb>
    <v>10</v>
  </rv>
  <rv s="2">
    <fb>105.39</fb>
    <v>9</v>
  </rv>
  <rv s="2">
    <fb>10.546388888889</fb>
    <v>10</v>
  </rv>
  <rv s="4">
    <v>https://www.bing.com/search?q=gifhorn+germany&amp;form=skydnc</v>
    <v>Learn more on Bing</v>
  </rv>
  <rv s="11">
    <v>#VALUE!</v>
    <v>de-DE</v>
    <v>c62d4f39-ec4c-5cb8-94c9-f4dc5a54a968</v>
    <v>536870912</v>
    <v>1</v>
    <v>371</v>
    <v>17</v>
    <v>57</v>
    <v>Gifhorn</v>
    <v>5</v>
    <v>6</v>
    <v>Map</v>
    <v>7</v>
    <v>14</v>
    <v>1697</v>
    <v>Gifhorn is a town and capital of the district of Gifhorn in the east of Lower Saxony, Germany. It has a population of about 42,000 and is mainly influenced by the small distance to the more industrial and commercially important cities nearby, ...</v>
    <v>1698</v>
    <v>1699</v>
    <v>1700</v>
    <v>1701</v>
    <v>21</v>
    <v>1702</v>
    <v>1703</v>
    <v>Gifhorn</v>
    <v>Gifhorn</v>
    <v>mdp/vdpid/7011769190453346305</v>
    <v>247</v>
  </rv>
  <rv s="0">
    <v>536870912</v>
    <v>Gilserberg</v>
    <v>49ec1852-c90b-a891-9e59-ee1437a2d805</v>
    <v>de-DE</v>
    <v>Map</v>
  </rv>
  <rv s="0">
    <v>805306368</v>
    <v>Rainer Barth (Mayor)</v>
    <v>5796c1ac-df78-0437-653c-c7b1e83d448f</v>
    <v>de-DE</v>
    <v>Generic</v>
  </rv>
  <rv s="1">
    <v>155</v>
  </rv>
  <rv s="2">
    <fb>2951</fb>
    <v>9</v>
  </rv>
  <rv s="3">
    <v>162</v>
    <v>7</v>
    <v>372</v>
    <v>7</v>
    <v>0</v>
    <v>Image of Gilserberg</v>
  </rv>
  <rv s="2">
    <fb>50.95</fb>
    <v>10</v>
  </rv>
  <rv s="2">
    <fb>61.55</fb>
    <v>9</v>
  </rv>
  <rv s="2">
    <fb>9.0666666666667002</fb>
    <v>10</v>
  </rv>
  <rv s="4">
    <v>https://www.bing.com/search?q=gilserberg+germany&amp;form=skydnc</v>
    <v>Learn more on Bing</v>
  </rv>
  <rv s="0">
    <v>536870912</v>
    <v>Schwalm-Eder-Kreis</v>
    <v>a5fba0fe-f8d0-0d31-edb1-e23b193ee4d4</v>
    <v>de-DE</v>
    <v>Map</v>
  </rv>
  <rv s="10">
    <v>#VALUE!</v>
    <v>de-DE</v>
    <v>49ec1852-c90b-a891-9e59-ee1437a2d805</v>
    <v>536870912</v>
    <v>1</v>
    <v>373</v>
    <v>39</v>
    <v>40</v>
    <v>Gilserberg</v>
    <v>5</v>
    <v>6</v>
    <v>Map</v>
    <v>7</v>
    <v>14</v>
    <v>1707</v>
    <v>Gilserberg is a municipality in the Schwalm-Eder district in Hesse, Germany.</v>
    <v>1708</v>
    <v>1709</v>
    <v>1710</v>
    <v>1711</v>
    <v>21</v>
    <v>1712</v>
    <v>1713</v>
    <v>Gilserberg</v>
    <v>Gilserberg</v>
    <v>mdp/vdpid/7011922738151424001</v>
    <v>1714</v>
  </rv>
  <rv s="0">
    <v>536870912</v>
    <v>Gladbeck</v>
    <v>46390ee5-1478-af0b-aac6-7e2e0b202dee</v>
    <v>de-DE</v>
    <v>Map</v>
  </rv>
  <rv s="0">
    <v>805306368</v>
    <v>Bettina Weist (Mayor)</v>
    <v>564b960c-ed54-099d-50a0-2197c4e2129b</v>
    <v>de-DE</v>
    <v>Generic</v>
  </rv>
  <rv s="1">
    <v>156</v>
  </rv>
  <rv s="2">
    <fb>75889</fb>
    <v>9</v>
  </rv>
  <rv s="3">
    <v>163</v>
    <v>7</v>
    <v>374</v>
    <v>7</v>
    <v>0</v>
    <v>Image of Gladbeck</v>
  </rv>
  <rv s="2">
    <fb>51.571339999999999</fb>
    <v>10</v>
  </rv>
  <rv s="2">
    <fb>35.97</fb>
    <v>9</v>
  </rv>
  <rv s="2">
    <fb>6.9826699999999997</fb>
    <v>10</v>
  </rv>
  <rv s="4">
    <v>https://www.bing.com/search?q=gladbeck+germany&amp;form=skydnc</v>
    <v>Learn more on Bing</v>
  </rv>
  <rv s="6">
    <v>#VALUE!</v>
    <v>de-DE</v>
    <v>46390ee5-1478-af0b-aac6-7e2e0b202dee</v>
    <v>536870912</v>
    <v>1</v>
    <v>375</v>
    <v>2</v>
    <v>13</v>
    <v>Gladbeck</v>
    <v>5</v>
    <v>6</v>
    <v>Map</v>
    <v>7</v>
    <v>14</v>
    <v>1718</v>
    <v>Gladbeck is a town in the district of Recklinghausen in North Rhine-Westphalia, Germany. Gladbeck is quite a young town, first recognised 21 July 1919 when it was given town rights. The town established itself around five farming villages, ...</v>
    <v>1719</v>
    <v>1720</v>
    <v>1721</v>
    <v>1722</v>
    <v>21</v>
    <v>1723</v>
    <v>1724</v>
    <v>Gladbeck</v>
    <v>Gladbeck</v>
    <v>mdp/vdpid/7011326083693805569</v>
    <v>24</v>
    <v>814</v>
  </rv>
  <rv s="0">
    <v>536870912</v>
    <v>Glauchau</v>
    <v>7e8f5e4b-63a7-ec59-ad01-1e09e82e7d55</v>
    <v>de-DE</v>
    <v>Map</v>
  </rv>
  <rv s="0">
    <v>805306368</v>
    <v>Marcus Steinhart (Mayor)</v>
    <v>5c7046bd-d291-7926-021b-9edbc1efa8fd</v>
    <v>de-DE</v>
    <v>Generic</v>
  </rv>
  <rv s="1">
    <v>157</v>
  </rv>
  <rv s="2">
    <fb>21951</fb>
    <v>9</v>
  </rv>
  <rv s="3">
    <v>164</v>
    <v>7</v>
    <v>376</v>
    <v>7</v>
    <v>0</v>
    <v>Image of Glauchau</v>
  </rv>
  <rv s="2">
    <fb>50.823333333332997</fb>
    <v>10</v>
  </rv>
  <rv s="2">
    <fb>51.62</fb>
    <v>9</v>
  </rv>
  <rv s="2">
    <fb>12.544444444444</fb>
    <v>10</v>
  </rv>
  <rv s="4">
    <v>https://www.bing.com/search?q=glauchau+germany&amp;form=skydnc</v>
    <v>Learn more on Bing</v>
  </rv>
  <rv s="6">
    <v>#VALUE!</v>
    <v>de-DE</v>
    <v>7e8f5e4b-63a7-ec59-ad01-1e09e82e7d55</v>
    <v>536870912</v>
    <v>1</v>
    <v>377</v>
    <v>2</v>
    <v>13</v>
    <v>Glauchau</v>
    <v>5</v>
    <v>6</v>
    <v>Map</v>
    <v>7</v>
    <v>14</v>
    <v>1728</v>
    <v>Glauchau is a town in the German federal state of Saxony, on the right bank of the Mulde, 7 miles north of Zwickau and 17 miles west of Chemnitz by rail. It is part of the Zwickau district.</v>
    <v>1729</v>
    <v>1730</v>
    <v>1731</v>
    <v>1732</v>
    <v>21</v>
    <v>1733</v>
    <v>1734</v>
    <v>Glauchau</v>
    <v>Glauchau</v>
    <v>mdp/vdpid/7018151267360833537</v>
    <v>106</v>
    <v>913</v>
  </rv>
  <rv s="0">
    <v>536870912</v>
    <v>Glückstadt</v>
    <v>e0a63795-0814-cb17-0e4d-0d160beaf6dc</v>
    <v>de-DE</v>
    <v>Map</v>
  </rv>
  <rv s="0">
    <v>805306368</v>
    <v>Manja Biel (Mayor)</v>
    <v>cc148739-0002-85eb-3121-7d10ed2b9091</v>
    <v>de-DE</v>
    <v>Generic</v>
  </rv>
  <rv s="1">
    <v>158</v>
  </rv>
  <rv s="2">
    <fb>10885</fb>
    <v>9</v>
  </rv>
  <rv s="3">
    <v>165</v>
    <v>7</v>
    <v>378</v>
    <v>7</v>
    <v>0</v>
    <v>Image of Glückstadt</v>
  </rv>
  <rv s="2">
    <fb>53.791666666666998</fb>
    <v>10</v>
  </rv>
  <rv s="2">
    <fb>22.75</fb>
    <v>9</v>
  </rv>
  <rv s="2">
    <fb>9.4219444444443994</fb>
    <v>10</v>
  </rv>
  <rv s="4">
    <v>https://www.bing.com/search?q=gl%c3%bcckstadt+germany&amp;form=skydnc</v>
    <v>Learn more on Bing</v>
  </rv>
  <rv s="0">
    <v>536870912</v>
    <v>Steinburg</v>
    <v>9d53486c-00e8-d227-eb11-cdb6f6367845</v>
    <v>de-DE</v>
    <v>Map</v>
  </rv>
  <rv s="6">
    <v>#VALUE!</v>
    <v>de-DE</v>
    <v>e0a63795-0814-cb17-0e4d-0d160beaf6dc</v>
    <v>536870912</v>
    <v>1</v>
    <v>379</v>
    <v>2</v>
    <v>13</v>
    <v>Glückstadt</v>
    <v>5</v>
    <v>6</v>
    <v>Map</v>
    <v>7</v>
    <v>14</v>
    <v>1738</v>
    <v>Glückstadt is a town in the Steinburg district of Schleswig-Holstein, Germany. It is located on the right bank of the Lower Elbe at the confluence of the small Rhin river, about 45 km northwest of Altona. Glückstadt is part of the Hamburg ...</v>
    <v>1739</v>
    <v>1740</v>
    <v>1741</v>
    <v>1742</v>
    <v>21</v>
    <v>1743</v>
    <v>1744</v>
    <v>Glückstadt</v>
    <v>Glückstadt</v>
    <v>mdp/vdpid/7010811421772480513</v>
    <v>326</v>
    <v>1745</v>
  </rv>
  <rv s="0">
    <v>536870912</v>
    <v>Göppingen</v>
    <v>0e313400-443b-6295-c7c9-7d63fd42df09</v>
    <v>de-DE</v>
    <v>Map</v>
  </rv>
  <rv s="0">
    <v>805306368</v>
    <v>Alexander Maier (Mayor)</v>
    <v>51d242cc-67fd-89dd-61ce-30b4a91d1118</v>
    <v>de-DE</v>
    <v>Generic</v>
  </rv>
  <rv s="1">
    <v>159</v>
  </rv>
  <rv s="2">
    <fb>59053</fb>
    <v>9</v>
  </rv>
  <rv s="3">
    <v>166</v>
    <v>7</v>
    <v>380</v>
    <v>7</v>
    <v>0</v>
    <v>Image of Göppingen</v>
  </rv>
  <rv s="2">
    <fb>48.702500000000001</fb>
    <v>10</v>
  </rv>
  <rv s="2">
    <fb>59.21</fb>
    <v>9</v>
  </rv>
  <rv s="2">
    <fb>9.6527777777777999</fb>
    <v>10</v>
  </rv>
  <rv s="4">
    <v>https://www.bing.com/search?q=g%c3%b6ppingen&amp;form=skydnc</v>
    <v>Learn more on Bing</v>
  </rv>
  <rv s="11">
    <v>#VALUE!</v>
    <v>de-DE</v>
    <v>0e313400-443b-6295-c7c9-7d63fd42df09</v>
    <v>536870912</v>
    <v>1</v>
    <v>381</v>
    <v>17</v>
    <v>57</v>
    <v>Göppingen</v>
    <v>5</v>
    <v>6</v>
    <v>Map</v>
    <v>7</v>
    <v>14</v>
    <v>1749</v>
    <v>Göppingen is a town in southern Germany, part of the Stuttgart Region of Baden-Württemberg. It is the capital of the district Göppingen. Göppingen is home to the toy company Märklin, and it is the birthplace of football player Jürgen Klinsmann. ...</v>
    <v>1750</v>
    <v>1751</v>
    <v>1752</v>
    <v>1753</v>
    <v>21</v>
    <v>1754</v>
    <v>1755</v>
    <v>Göppingen</v>
    <v>Göppingen</v>
    <v>mdp/vdpid/7015265982000136193</v>
    <v>1652</v>
  </rv>
  <rv s="0">
    <v>536870912</v>
    <v>Görlitz</v>
    <v>cad5ed07-bea8-4550-6902-01505e12b270</v>
    <v>de-DE</v>
    <v>Map</v>
  </rv>
  <rv s="0">
    <v>805306368</v>
    <v>Octavian Ursu (Mayor)</v>
    <v>8f6aacdb-eb7a-d8a9-f0d8-712b2d07fcfb</v>
    <v>de-DE</v>
    <v>Generic</v>
  </rv>
  <rv s="1">
    <v>160</v>
  </rv>
  <rv s="2">
    <fb>56574</fb>
    <v>9</v>
  </rv>
  <rv s="3">
    <v>167</v>
    <v>7</v>
    <v>382</v>
    <v>7</v>
    <v>0</v>
    <v>Image of Görlitz</v>
  </rv>
  <rv s="2">
    <fb>51.152777777777999</fb>
    <v>10</v>
  </rv>
  <rv s="2">
    <fb>67.52</fb>
    <v>9</v>
  </rv>
  <rv s="2">
    <fb>14.987222222222</fb>
    <v>10</v>
  </rv>
  <rv s="4">
    <v>https://www.bing.com/search?q=g%c3%b6rlitz&amp;form=skydnc</v>
    <v>Learn more on Bing</v>
  </rv>
  <rv s="0">
    <v>536870912</v>
    <v>Görlitz</v>
    <v>82cdc641-20b5-23c2-efa1-9f4d4560fe23</v>
    <v>de-DE</v>
    <v>Map</v>
  </rv>
  <rv s="6">
    <v>#VALUE!</v>
    <v>de-DE</v>
    <v>cad5ed07-bea8-4550-6902-01505e12b270</v>
    <v>536870912</v>
    <v>1</v>
    <v>383</v>
    <v>2</v>
    <v>13</v>
    <v>Görlitz</v>
    <v>5</v>
    <v>6</v>
    <v>Map</v>
    <v>7</v>
    <v>14</v>
    <v>1759</v>
    <v>Görlitz is a town in the German state of Saxony. It is on the river Lusatian Neisse and is the largest town in Upper Lusatia as well as the second-largest town in the region of Lusatia after Cottbus. Görlitz is the easternmost town in Germany ...</v>
    <v>1760</v>
    <v>1761</v>
    <v>1762</v>
    <v>1763</v>
    <v>21</v>
    <v>1764</v>
    <v>1765</v>
    <v>Görlitz</v>
    <v>Görlitz</v>
    <v>mdp/vdpid/7018687897519783937</v>
    <v>106</v>
    <v>1766</v>
  </rv>
  <rv s="0">
    <v>536870912</v>
    <v>Goslar</v>
    <v>84666224-277f-4994-d78d-06fe6118d797</v>
    <v>de-DE</v>
    <v>Map</v>
  </rv>
  <rv s="0">
    <v>805306368</v>
    <v>Urte Schwerdtner (Mayor)</v>
    <v>23ac3924-e6f2-eef2-7416-a6c0c6016579</v>
    <v>de-DE</v>
    <v>Generic</v>
  </rv>
  <rv s="1">
    <v>161</v>
  </rv>
  <rv s="2">
    <fb>50203</fb>
    <v>9</v>
  </rv>
  <rv s="3">
    <v>168</v>
    <v>7</v>
    <v>384</v>
    <v>7</v>
    <v>0</v>
    <v>Image of Goslar</v>
  </rv>
  <rv s="2">
    <fb>51.906002999999998</fb>
    <v>10</v>
  </rv>
  <rv s="2">
    <fb>163.88</fb>
    <v>9</v>
  </rv>
  <rv s="2">
    <fb>10.429163000000001</fb>
    <v>10</v>
  </rv>
  <rv s="4">
    <v>https://www.bing.com/search?q=goslar&amp;form=skydnc</v>
    <v>Learn more on Bing</v>
  </rv>
  <rv s="6">
    <v>#VALUE!</v>
    <v>de-DE</v>
    <v>84666224-277f-4994-d78d-06fe6118d797</v>
    <v>536870912</v>
    <v>1</v>
    <v>385</v>
    <v>2</v>
    <v>13</v>
    <v>Goslar</v>
    <v>5</v>
    <v>6</v>
    <v>Map</v>
    <v>7</v>
    <v>14</v>
    <v>1770</v>
    <v>Goslar is a historic town in Lower Saxony, Germany. It is the administrative centre of the district of Goslar and is located on the northwestern slopes of the Harz mountain range. The Old Town of Goslar and the Mines of Rammelsberg are UNESCO ...</v>
    <v>1771</v>
    <v>1772</v>
    <v>1773</v>
    <v>1774</v>
    <v>21</v>
    <v>1775</v>
    <v>1776</v>
    <v>Goslar</v>
    <v>Goslar</v>
    <v>mdp/vdpid/7011976145365106689</v>
    <v>247</v>
    <v>248</v>
  </rv>
  <rv s="0">
    <v>536870912</v>
    <v>Gößweinstein</v>
    <v>b1e9f72d-d9c4-09ab-d1bf-792d4030dce3</v>
    <v>de-DE</v>
    <v>Map</v>
  </rv>
  <rv s="0">
    <v>805306368</v>
    <v>Hanngörg Zimmermann (Mayor)</v>
    <v>c598dff5-a210-ac42-4d38-307c60bf3ad1</v>
    <v>de-DE</v>
    <v>Generic</v>
  </rv>
  <rv s="1">
    <v>162</v>
  </rv>
  <rv s="2">
    <fb>4316</fb>
    <v>9</v>
  </rv>
  <rv s="3">
    <v>169</v>
    <v>7</v>
    <v>386</v>
    <v>7</v>
    <v>0</v>
    <v>Image of Gößweinstein</v>
  </rv>
  <rv s="2">
    <fb>49.766666666667</fb>
    <v>10</v>
  </rv>
  <rv s="2">
    <fb>57.69</fb>
    <v>9</v>
  </rv>
  <rv s="2">
    <fb>11.316666666667</fb>
    <v>10</v>
  </rv>
  <rv s="4">
    <v>https://www.bing.com/search?q=g%c3%b6%c3%9fweinstein+germany&amp;form=skydnc</v>
    <v>Learn more on Bing</v>
  </rv>
  <rv s="10">
    <v>#VALUE!</v>
    <v>de-DE</v>
    <v>b1e9f72d-d9c4-09ab-d1bf-792d4030dce3</v>
    <v>536870912</v>
    <v>1</v>
    <v>387</v>
    <v>39</v>
    <v>40</v>
    <v>Gößweinstein</v>
    <v>5</v>
    <v>6</v>
    <v>Map</v>
    <v>7</v>
    <v>14</v>
    <v>1780</v>
    <v>Gößweinstein is a municipality in the district of Forchheim in Bavaria in Germany. It lies within the region known as Franconian Switzerland.</v>
    <v>1781</v>
    <v>1782</v>
    <v>1783</v>
    <v>1784</v>
    <v>21</v>
    <v>1785</v>
    <v>1786</v>
    <v>Gößweinstein</v>
    <v>Gößweinstein</v>
    <v>mdp/vdpid/7021184141370589185</v>
    <v>1463</v>
  </rv>
  <rv s="0">
    <v>536870912</v>
    <v>Gotha</v>
    <v>16878b29-f60a-95c3-0c06-da8173f0fc31</v>
    <v>de-DE</v>
    <v>Map</v>
  </rv>
  <rv s="0">
    <v>805306368</v>
    <v>Knut Kreuch (Mayor)</v>
    <v>c6ad3e50-a021-e200-4430-41e33c8e29ef</v>
    <v>de-DE</v>
    <v>Generic</v>
  </rv>
  <rv s="1">
    <v>163</v>
  </rv>
  <rv s="2">
    <fb>46019</fb>
    <v>9</v>
  </rv>
  <rv s="3">
    <v>170</v>
    <v>7</v>
    <v>388</v>
    <v>7</v>
    <v>0</v>
    <v>Image of Gotha</v>
  </rv>
  <rv s="2">
    <fb>50.948888888889002</fb>
    <v>10</v>
  </rv>
  <rv s="2">
    <fb>69.58</fb>
    <v>9</v>
  </rv>
  <rv s="2">
    <fb>10.718333333333</fb>
    <v>10</v>
  </rv>
  <rv s="4">
    <v>https://www.bing.com/search?q=gotha&amp;form=skydnc</v>
    <v>Learn more on Bing</v>
  </rv>
  <rv s="0">
    <v>536870912</v>
    <v>Gotha</v>
    <v>f48b409e-f20f-40e6-aaa9-34852ffe710a</v>
    <v>de-DE</v>
    <v>Map</v>
  </rv>
  <rv s="10">
    <v>#VALUE!</v>
    <v>de-DE</v>
    <v>16878b29-f60a-95c3-0c06-da8173f0fc31</v>
    <v>536870912</v>
    <v>1</v>
    <v>389</v>
    <v>39</v>
    <v>40</v>
    <v>Gotha</v>
    <v>5</v>
    <v>6</v>
    <v>Map</v>
    <v>7</v>
    <v>14</v>
    <v>1790</v>
    <v>Gotha is the fifth-largest city in Thuringia, Germany, 20 kilometres west of Erfurt and 25 km east of Eisenach with a population of 44,000. The city is the capital of the district of Gotha and was also a residence of the Ernestine Wettins from ...</v>
    <v>1791</v>
    <v>1792</v>
    <v>1793</v>
    <v>1794</v>
    <v>21</v>
    <v>1795</v>
    <v>1796</v>
    <v>Gotha</v>
    <v>Gotha</v>
    <v>mdp/vdpid/7012087775272894465</v>
    <v>1797</v>
  </rv>
  <rv s="0">
    <v>536870912</v>
    <v>Göttingen</v>
    <v>973c6a66-7ef8-696a-8ff7-15384dfa31f6</v>
    <v>de-DE</v>
    <v>Map</v>
  </rv>
  <rv s="0">
    <v>805306368</v>
    <v>Petra Broistedt (Mayor)</v>
    <v>25127d91-53a8-e795-09a3-d05e53c7df49</v>
    <v>de-DE</v>
    <v>Generic</v>
  </rv>
  <rv s="1">
    <v>164</v>
  </rv>
  <rv s="2">
    <fb>118946</fb>
    <v>9</v>
  </rv>
  <rv s="3">
    <v>171</v>
    <v>7</v>
    <v>390</v>
    <v>7</v>
    <v>0</v>
    <v>Image of Göttingen</v>
  </rv>
  <rv s="2">
    <fb>51.533888888889003</fb>
    <v>10</v>
  </rv>
  <rv s="2">
    <fb>116.93</fb>
    <v>9</v>
  </rv>
  <rv s="2">
    <fb>9.9355555555556005</fb>
    <v>10</v>
  </rv>
  <rv s="4">
    <v>https://www.bing.com/search?q=g%c3%b6ttingen&amp;form=skydnc</v>
    <v>Learn more on Bing</v>
  </rv>
  <rv s="11">
    <v>#VALUE!</v>
    <v>de-DE</v>
    <v>973c6a66-7ef8-696a-8ff7-15384dfa31f6</v>
    <v>536870912</v>
    <v>1</v>
    <v>391</v>
    <v>17</v>
    <v>57</v>
    <v>Göttingen</v>
    <v>5</v>
    <v>6</v>
    <v>Map</v>
    <v>7</v>
    <v>14</v>
    <v>1801</v>
    <v>Göttingen is a university city in Lower Saxony, central Germany, the capital of the eponymous district. The River Leine runs through it. At the end of 2019, the population was 118,911.</v>
    <v>1802</v>
    <v>1803</v>
    <v>1804</v>
    <v>1805</v>
    <v>21</v>
    <v>1806</v>
    <v>1807</v>
    <v>Göttingen</v>
    <v>Göttingen</v>
    <v>mdp/vdpid/7011983143292895233</v>
    <v>247</v>
  </rv>
  <rv s="0">
    <v>536870912</v>
    <v>Greifswald</v>
    <v>902fcf9a-82a5-92e2-1f5a-5d806e936240</v>
    <v>de-DE</v>
    <v>Map</v>
  </rv>
  <rv s="0">
    <v>805306368</v>
    <v>Stefan Fassbinder (Mayor)</v>
    <v>074b5e04-0e5e-9634-dfb8-bc81b0707cae</v>
    <v>de-DE</v>
    <v>Generic</v>
  </rv>
  <rv s="1">
    <v>165</v>
  </rv>
  <rv s="2">
    <fb>59691</fb>
    <v>9</v>
  </rv>
  <rv s="3">
    <v>172</v>
    <v>7</v>
    <v>392</v>
    <v>7</v>
    <v>0</v>
    <v>Image of Greifswald</v>
  </rv>
  <rv s="2">
    <fb>54.083333333333002</fb>
    <v>10</v>
  </rv>
  <rv s="2">
    <fb>50.81</fb>
    <v>9</v>
  </rv>
  <rv s="2">
    <fb>13.383333333333001</fb>
    <v>10</v>
  </rv>
  <rv s="4">
    <v>https://www.bing.com/search?q=greifswald+germany&amp;form=skydnc</v>
    <v>Learn more on Bing</v>
  </rv>
  <rv s="6">
    <v>#VALUE!</v>
    <v>de-DE</v>
    <v>902fcf9a-82a5-92e2-1f5a-5d806e936240</v>
    <v>536870912</v>
    <v>1</v>
    <v>393</v>
    <v>2</v>
    <v>13</v>
    <v>Greifswald</v>
    <v>5</v>
    <v>6</v>
    <v>Map</v>
    <v>7</v>
    <v>14</v>
    <v>1811</v>
    <v>Greifswald, officially the University and Hanseatic City of Greifswald is the fourth-largest city in the German state of Mecklenburg-Western Pomerania after Rostock, Schwerin and Neubrandenburg. In 2021 it surpassed Stralsund for the first time, ...</v>
    <v>1812</v>
    <v>1813</v>
    <v>1814</v>
    <v>1815</v>
    <v>21</v>
    <v>1816</v>
    <v>1817</v>
    <v>Greifswald</v>
    <v>Greifswald</v>
    <v>mdp/vdpid/7017089138943852545</v>
    <v>94</v>
    <v>95</v>
  </rv>
  <rv s="0">
    <v>536870912</v>
    <v>Greiz</v>
    <v>0b2bb117-e8dd-bdeb-5d3b-b3cc5cbf6d91</v>
    <v>de-DE</v>
    <v>Map</v>
  </rv>
  <rv s="0">
    <v>805306368</v>
    <v>Alexander Schulze (Mayor)</v>
    <v>bb5852f1-dd56-6767-719b-60ba64cb4827</v>
    <v>de-DE</v>
    <v>Generic</v>
  </rv>
  <rv s="1">
    <v>166</v>
  </rv>
  <rv s="2">
    <fb>20397</fb>
    <v>9</v>
  </rv>
  <rv s="3">
    <v>173</v>
    <v>7</v>
    <v>394</v>
    <v>7</v>
    <v>0</v>
    <v>Image of Greiz</v>
  </rv>
  <rv s="2">
    <fb>50.654722222221999</fb>
    <v>10</v>
  </rv>
  <rv s="2">
    <fb>84.87</fb>
    <v>9</v>
  </rv>
  <rv s="2">
    <fb>12.199722222222</fb>
    <v>10</v>
  </rv>
  <rv s="4">
    <v>https://www.bing.com/search?q=greiz+germany&amp;form=skydnc</v>
    <v>Learn more on Bing</v>
  </rv>
  <rv s="0">
    <v>536870912</v>
    <v>Greiz</v>
    <v>de90aa7e-b5ba-47ce-a810-996129a1db5b</v>
    <v>de-DE</v>
    <v>Map</v>
  </rv>
  <rv s="10">
    <v>#VALUE!</v>
    <v>de-DE</v>
    <v>0b2bb117-e8dd-bdeb-5d3b-b3cc5cbf6d91</v>
    <v>536870912</v>
    <v>1</v>
    <v>395</v>
    <v>39</v>
    <v>40</v>
    <v>Greiz</v>
    <v>5</v>
    <v>6</v>
    <v>Map</v>
    <v>7</v>
    <v>14</v>
    <v>1821</v>
    <v>Greiz is a town in the state of Thuringia, Germany, and is the capital of the district of Greiz. Greiz is situated in eastern Thuringia, 100 kilometres east of the state capital Erfurt, on the White Elster river.</v>
    <v>1822</v>
    <v>1823</v>
    <v>1824</v>
    <v>1825</v>
    <v>21</v>
    <v>1826</v>
    <v>1827</v>
    <v>Greiz</v>
    <v>Greiz</v>
    <v>mdp/vdpid/7018146943368953857</v>
    <v>1828</v>
  </rv>
  <rv s="0">
    <v>536870912</v>
    <v>Greven</v>
    <v>aff19aeb-3450-af65-69e2-c5e4ac19380c</v>
    <v>de-DE</v>
    <v>Map</v>
  </rv>
  <rv s="0">
    <v>805306368</v>
    <v>Dietrich Aden (Mayor)</v>
    <v>efd469ec-6951-2553-04d6-0f0487a1bbab</v>
    <v>de-DE</v>
    <v>Generic</v>
  </rv>
  <rv s="1">
    <v>167</v>
  </rv>
  <rv s="2">
    <fb>38207</fb>
    <v>9</v>
  </rv>
  <rv s="3">
    <v>174</v>
    <v>7</v>
    <v>396</v>
    <v>7</v>
    <v>0</v>
    <v>Image of Greven</v>
  </rv>
  <rv s="2">
    <fb>52.091666666667003</fb>
    <v>10</v>
  </rv>
  <rv s="2">
    <fb>140.26</fb>
    <v>9</v>
  </rv>
  <rv s="2">
    <fb>7.6083333333332996</fb>
    <v>10</v>
  </rv>
  <rv s="4">
    <v>https://www.bing.com/search?q=greven+germany&amp;form=skydnc</v>
    <v>Learn more on Bing</v>
  </rv>
  <rv s="6">
    <v>#VALUE!</v>
    <v>de-DE</v>
    <v>aff19aeb-3450-af65-69e2-c5e4ac19380c</v>
    <v>536870912</v>
    <v>1</v>
    <v>397</v>
    <v>2</v>
    <v>13</v>
    <v>Greven</v>
    <v>5</v>
    <v>6</v>
    <v>Map</v>
    <v>7</v>
    <v>14</v>
    <v>1832</v>
    <v>Greven is a medium-sized town in the district of Steinfurt, in Germany's most populous state of North Rhine-Westphalia and close to the city of Münster.</v>
    <v>1833</v>
    <v>1834</v>
    <v>1835</v>
    <v>1836</v>
    <v>21</v>
    <v>1837</v>
    <v>1838</v>
    <v>Greven</v>
    <v>Greven</v>
    <v>mdp/vdpid/7011248128745537537</v>
    <v>24</v>
    <v>1270</v>
  </rv>
  <rv s="0">
    <v>536870912</v>
    <v>Grevenbroich</v>
    <v>2b9d43de-0760-0469-cec5-5bdad8f20654</v>
    <v>de-DE</v>
    <v>Map</v>
  </rv>
  <rv s="0">
    <v>805306368</v>
    <v>Klaus Krützen (Mayor)</v>
    <v>f35f410f-d6a3-ffd5-9e4e-65fb4f680d42</v>
    <v>de-DE</v>
    <v>Generic</v>
  </rv>
  <rv s="1">
    <v>168</v>
  </rv>
  <rv s="2">
    <fb>64596</fb>
    <v>9</v>
  </rv>
  <rv s="3">
    <v>175</v>
    <v>7</v>
    <v>398</v>
    <v>7</v>
    <v>0</v>
    <v>Image of Grevenbroich</v>
  </rv>
  <rv s="2">
    <fb>51.088333333332997</fb>
    <v>10</v>
  </rv>
  <rv s="2">
    <fb>102.41</fb>
    <v>9</v>
  </rv>
  <rv s="2">
    <fb>6.5875000000000004</fb>
    <v>10</v>
  </rv>
  <rv s="4">
    <v>https://www.bing.com/search?q=grevenbroich+germany&amp;form=skydnc</v>
    <v>Learn more on Bing</v>
  </rv>
  <rv s="11">
    <v>#VALUE!</v>
    <v>de-DE</v>
    <v>2b9d43de-0760-0469-cec5-5bdad8f20654</v>
    <v>536870912</v>
    <v>1</v>
    <v>399</v>
    <v>17</v>
    <v>57</v>
    <v>Grevenbroich</v>
    <v>5</v>
    <v>6</v>
    <v>Map</v>
    <v>7</v>
    <v>14</v>
    <v>1842</v>
    <v>Grevenbroich is a town in the Rhein-Kreis Neuss, in North Rhine-Westphalia, Germany. It is situated on the river Erft, approximately 15 km southwest of Neuss and 15 km southeast of Mönchengladbach. Cologne and Düsseldorf are in a 30 km reach. It ...</v>
    <v>1843</v>
    <v>1844</v>
    <v>1845</v>
    <v>1846</v>
    <v>21</v>
    <v>1847</v>
    <v>1848</v>
    <v>Grevenbroich</v>
    <v>Grevenbroich</v>
    <v>mdp/vdpid/7011372608004292609</v>
    <v>1029</v>
  </rv>
  <rv s="0">
    <v>536870912</v>
    <v>Gronau</v>
    <v>639c7a2f-87ce-818e-fdf0-b8fa93a96a51</v>
    <v>de-DE</v>
    <v>Map</v>
  </rv>
  <rv s="0">
    <v>805306368</v>
    <v>Rainer Doetkotte (Mayor)</v>
    <v>46e2644f-031f-cb22-4868-4304160be9f8</v>
    <v>de-DE</v>
    <v>Generic</v>
  </rv>
  <rv s="1">
    <v>169</v>
  </rv>
  <rv s="2">
    <fb>49824</fb>
    <v>9</v>
  </rv>
  <rv s="3">
    <v>176</v>
    <v>7</v>
    <v>400</v>
    <v>7</v>
    <v>0</v>
    <v>Image of Gronau, North Rhine-Westphalia</v>
  </rv>
  <rv s="2">
    <fb>52.212499999999999</fb>
    <v>10</v>
  </rv>
  <rv s="2">
    <fb>78.819999999999993</fb>
    <v>9</v>
  </rv>
  <rv s="2">
    <fb>7.0416666666666998</fb>
    <v>10</v>
  </rv>
  <rv s="4">
    <v>https://www.bing.com/search?q=gronau+borken&amp;form=skydnc</v>
    <v>Learn more on Bing</v>
  </rv>
  <rv s="6">
    <v>#VALUE!</v>
    <v>de-DE</v>
    <v>639c7a2f-87ce-818e-fdf0-b8fa93a96a51</v>
    <v>536870912</v>
    <v>1</v>
    <v>401</v>
    <v>2</v>
    <v>13</v>
    <v>Gronau, North Rhine-Westphalia</v>
    <v>5</v>
    <v>6</v>
    <v>Map</v>
    <v>7</v>
    <v>14</v>
    <v>1852</v>
    <v>Gronau (German pronunciation: ; officially Gronau, is a town in the district of Borken in North Rhine-Westphalia, Germany. It is located near the border with the Netherlands, approx. 10 km east of Enschede. The city is divided into the districts ...</v>
    <v>1853</v>
    <v>1854</v>
    <v>1855</v>
    <v>1856</v>
    <v>21</v>
    <v>1857</v>
    <v>1858</v>
    <v>Gronau, North Rhine-Westphalia</v>
    <v>Gronau, North Rhine-Westphalia</v>
    <v>mdp/vdpid/7011208822094036993</v>
    <v>24</v>
    <v>618</v>
  </rv>
  <rv s="0">
    <v>536870912</v>
    <v>Großenhain</v>
    <v>ab6a85a5-e055-e302-f57b-2372d43046bc</v>
    <v>de-DE</v>
    <v>Map</v>
  </rv>
  <rv s="0">
    <v>805306368</v>
    <v>Sven Mißbach (Mayor)</v>
    <v>a4ae61dc-59fa-88cb-8d06-d7860d921009</v>
    <v>de-DE</v>
    <v>Generic</v>
  </rv>
  <rv s="1">
    <v>170</v>
  </rv>
  <rv s="2">
    <fb>18102</fb>
    <v>9</v>
  </rv>
  <rv s="3">
    <v>177</v>
    <v>7</v>
    <v>402</v>
    <v>7</v>
    <v>0</v>
    <v>Image of Großenhain</v>
  </rv>
  <rv s="2">
    <fb>51.283333333332997</fb>
    <v>10</v>
  </rv>
  <rv s="2">
    <fb>130.36000000000001</fb>
    <v>9</v>
  </rv>
  <rv s="2">
    <fb>13.55</fb>
    <v>10</v>
  </rv>
  <rv s="4">
    <v>https://www.bing.com/search?q=gro%c3%9fenhain+germany&amp;form=skydnc</v>
    <v>Learn more on Bing</v>
  </rv>
  <rv s="6">
    <v>#VALUE!</v>
    <v>de-DE</v>
    <v>ab6a85a5-e055-e302-f57b-2372d43046bc</v>
    <v>536870912</v>
    <v>1</v>
    <v>403</v>
    <v>2</v>
    <v>13</v>
    <v>Großenhain</v>
    <v>5</v>
    <v>6</v>
    <v>Map</v>
    <v>7</v>
    <v>14</v>
    <v>1862</v>
    <v>Großenhain is a Große Kreisstadt in the district of Meissen, Saxony, Germany. It was originally known as Hayne. The current name simply means "big Hayne".</v>
    <v>1863</v>
    <v>1864</v>
    <v>1865</v>
    <v>1866</v>
    <v>21</v>
    <v>1867</v>
    <v>1868</v>
    <v>Großenhain</v>
    <v>Großenhain</v>
    <v>mdp/vdpid/7018264109640581121</v>
    <v>106</v>
    <v>876</v>
  </rv>
  <rv s="0">
    <v>536870912</v>
    <v>Gschwend</v>
    <v>c37bc19e-e81e-d7e3-747f-91e6abd9d93f</v>
    <v>de-DE</v>
    <v>Map</v>
  </rv>
  <rv s="0">
    <v>805306368</v>
    <v>Christoph Hald (Mayor)</v>
    <v>4e5c1e20-7eb6-9765-fe9a-0714570e9db5</v>
    <v>de-DE</v>
    <v>Generic</v>
  </rv>
  <rv s="1">
    <v>171</v>
  </rv>
  <rv s="2">
    <fb>4933</fb>
    <v>9</v>
  </rv>
  <rv s="3">
    <v>178</v>
    <v>7</v>
    <v>404</v>
    <v>7</v>
    <v>0</v>
    <v>Image of Gschwend, Baden-Württemberg</v>
  </rv>
  <rv s="2">
    <fb>48.934166666666997</fb>
    <v>10</v>
  </rv>
  <rv s="2">
    <fb>54.5</fb>
    <v>9</v>
  </rv>
  <rv s="2">
    <fb>9.7433333333333003</fb>
    <v>10</v>
  </rv>
  <rv s="4">
    <v>https://www.bing.com/search?q=gschwend+germany&amp;form=skydnc</v>
    <v>Learn more on Bing</v>
  </rv>
  <rv s="6">
    <v>#VALUE!</v>
    <v>de-DE</v>
    <v>c37bc19e-e81e-d7e3-747f-91e6abd9d93f</v>
    <v>536870912</v>
    <v>1</v>
    <v>405</v>
    <v>2</v>
    <v>13</v>
    <v>Gschwend, Baden-Württemberg</v>
    <v>5</v>
    <v>6</v>
    <v>Map</v>
    <v>7</v>
    <v>14</v>
    <v>1872</v>
    <v>Gschwend is a town in the German state of Baden-Württemberg, in Ostalbkreis district.</v>
    <v>1873</v>
    <v>1874</v>
    <v>1875</v>
    <v>1876</v>
    <v>21</v>
    <v>1877</v>
    <v>1878</v>
    <v>Gschwend, Baden-Württemberg</v>
    <v>Gschwend, Baden-Württemberg</v>
    <v>mdp/vdpid/7015252789756428289</v>
    <v>606</v>
    <v>1228</v>
  </rv>
  <rv s="0">
    <v>536870912</v>
    <v>Guben</v>
    <v>cea017f8-c05a-daae-71ec-900f6407194a</v>
    <v>de-DE</v>
    <v>Map</v>
  </rv>
  <rv s="0">
    <v>805306368</v>
    <v>Fred Mahro (Mayor)</v>
    <v>a78d6101-0722-65a2-17ac-e475b2d92db7</v>
    <v>de-DE</v>
    <v>Generic</v>
  </rv>
  <rv s="1">
    <v>172</v>
  </rv>
  <rv s="2">
    <fb>16363</fb>
    <v>9</v>
  </rv>
  <rv s="3">
    <v>179</v>
    <v>7</v>
    <v>406</v>
    <v>7</v>
    <v>0</v>
    <v>Image of Guben</v>
  </rv>
  <rv s="2">
    <fb>51.950420000000001</fb>
    <v>10</v>
  </rv>
  <rv s="2">
    <fb>43.99</fb>
    <v>9</v>
  </rv>
  <rv s="2">
    <fb>14.7143</fb>
    <v>10</v>
  </rv>
  <rv s="4">
    <v>https://www.bing.com/search?q=guben&amp;form=skydnc</v>
    <v>Learn more on Bing</v>
  </rv>
  <rv s="6">
    <v>#VALUE!</v>
    <v>de-DE</v>
    <v>cea017f8-c05a-daae-71ec-900f6407194a</v>
    <v>536870912</v>
    <v>1</v>
    <v>407</v>
    <v>2</v>
    <v>13</v>
    <v>Guben</v>
    <v>5</v>
    <v>6</v>
    <v>Map</v>
    <v>7</v>
    <v>14</v>
    <v>1882</v>
    <v>Guben is a town on the Lusatian Neisse river in Lower Lusatia, in the state of Brandenburg, in eastern Germany. Located in the Spree-Neiße district, Guben has a population of 20,049. It is a divided city on the border between Germany and Poland, ...</v>
    <v>1883</v>
    <v>1884</v>
    <v>1885</v>
    <v>1886</v>
    <v>21</v>
    <v>1887</v>
    <v>1888</v>
    <v>Guben</v>
    <v>Guben</v>
    <v>mdp/vdpid/7018591291474706433</v>
    <v>488</v>
    <v>1474</v>
  </rv>
  <rv s="0">
    <v>536870912</v>
    <v>Gummersbach</v>
    <v>d0252292-951c-e6b7-b07b-afbf9178c866</v>
    <v>de-DE</v>
    <v>Map</v>
  </rv>
  <rv s="0">
    <v>805306368</v>
    <v>Frank Helmenstein (Mayor)</v>
    <v>f62e886a-351f-4129-f681-3496f5471638</v>
    <v>de-DE</v>
    <v>Generic</v>
  </rv>
  <rv s="1">
    <v>173</v>
  </rv>
  <rv s="2">
    <fb>52001</fb>
    <v>9</v>
  </rv>
  <rv s="3">
    <v>180</v>
    <v>7</v>
    <v>408</v>
    <v>7</v>
    <v>0</v>
    <v>Image of Gummersbach</v>
  </rv>
  <rv s="2">
    <fb>51.033333333333303</fb>
    <v>10</v>
  </rv>
  <rv s="2">
    <fb>95.42</fb>
    <v>9</v>
  </rv>
  <rv s="2">
    <fb>7.56666666666667</fb>
    <v>10</v>
  </rv>
  <rv s="4">
    <v>https://www.bing.com/search?q=gummersbach&amp;form=skydnc</v>
    <v>Learn more on Bing</v>
  </rv>
  <rv s="6">
    <v>#VALUE!</v>
    <v>de-DE</v>
    <v>d0252292-951c-e6b7-b07b-afbf9178c866</v>
    <v>536870912</v>
    <v>1</v>
    <v>409</v>
    <v>2</v>
    <v>13</v>
    <v>Gummersbach</v>
    <v>5</v>
    <v>6</v>
    <v>Map</v>
    <v>7</v>
    <v>14</v>
    <v>1892</v>
    <v>Gummersbach is a town in the state of North Rhine-Westphalia, Germany, being the district seat of the Oberbergischer Kreis. It is located 50 kilometres east of Cologne.</v>
    <v>1893</v>
    <v>1894</v>
    <v>1895</v>
    <v>1896</v>
    <v>21</v>
    <v>1897</v>
    <v>1898</v>
    <v>Gummersbach</v>
    <v>Gummersbach</v>
    <v>mdp/vdpid/7011487779230056449</v>
    <v>10</v>
    <v>1281</v>
  </rv>
  <rv s="0">
    <v>536870912</v>
    <v>Gütersloh</v>
    <v>267ad5ac-d948-383a-17c4-9e290c97962d</v>
    <v>de-DE</v>
    <v>Map</v>
  </rv>
  <rv s="0">
    <v>805306368</v>
    <v>Norbert Morkes (Mayor)</v>
    <v>afae4a05-5ea7-6fde-3841-a2d32ca2171a</v>
    <v>de-DE</v>
    <v>Generic</v>
  </rv>
  <rv s="1">
    <v>174</v>
  </rv>
  <rv s="2">
    <fb>102393</fb>
    <v>9</v>
  </rv>
  <rv s="3">
    <v>181</v>
    <v>7</v>
    <v>410</v>
    <v>7</v>
    <v>0</v>
    <v>Image of Gütersloh</v>
  </rv>
  <rv s="2">
    <fb>51.9</fb>
    <v>10</v>
  </rv>
  <rv s="2">
    <fb>112.02</fb>
    <v>9</v>
  </rv>
  <rv s="2">
    <fb>8.3833333333333009</fb>
    <v>10</v>
  </rv>
  <rv s="4">
    <v>https://www.bing.com/search?q=g%c3%bctersloh&amp;form=skydnc</v>
    <v>Learn more on Bing</v>
  </rv>
  <rv s="0">
    <v>536870912</v>
    <v>Gütersloh</v>
    <v>d237775f-5840-e1be-96ba-87dd1a56b30d</v>
    <v>de-DE</v>
    <v>Map</v>
  </rv>
  <rv s="19">
    <v>#VALUE!</v>
    <v>de-DE</v>
    <v>267ad5ac-d948-383a-17c4-9e290c97962d</v>
    <v>536870912</v>
    <v>1</v>
    <v>411</v>
    <v>39</v>
    <v>412</v>
    <v>Gütersloh</v>
    <v>5</v>
    <v>6</v>
    <v>Map</v>
    <v>7</v>
    <v>14</v>
    <v>1902</v>
    <v>Gütersloh is a city in North Rhine-Westphalia, Germany, in the area of Westphalia and the administrative region of Detmold. Gütersloh is the administrative centre for a district of the same name and has a population of 100,194 people.</v>
    <v>1903</v>
    <v>1904</v>
    <v>1905</v>
    <v>1906</v>
    <v>21</v>
    <v>1907</v>
    <v>1908</v>
    <v>Gütersloh</v>
    <v>Gütersloh</v>
    <v>mdp/vdpid/7011448826191937537</v>
    <v>1909</v>
    <v>708</v>
  </rv>
  <rv s="0">
    <v>536870912</v>
    <v>Hagen</v>
    <v>ea90af7b-3254-253c-3237-6b912768f2df</v>
    <v>de-DE</v>
    <v>Map</v>
  </rv>
  <rv s="0">
    <v>805306368</v>
    <v>Erik O. Schulz (Mayor)</v>
    <v>9609ecbc-f481-44c7-126a-a47dbcff64e5</v>
    <v>de-DE</v>
    <v>Generic</v>
  </rv>
  <rv s="1">
    <v>175</v>
  </rv>
  <rv s="2">
    <fb>189783</fb>
    <v>9</v>
  </rv>
  <rv s="3">
    <v>182</v>
    <v>7</v>
    <v>413</v>
    <v>7</v>
    <v>0</v>
    <v>Image of Hagen</v>
  </rv>
  <rv s="2">
    <fb>51.359444444444001</fb>
    <v>10</v>
  </rv>
  <rv s="2">
    <fb>160.44999999999999</fb>
    <v>9</v>
  </rv>
  <rv s="2">
    <fb>7.4749999999999996</fb>
    <v>10</v>
  </rv>
  <rv s="4">
    <v>https://www.bing.com/search?q=hagen+germany&amp;form=skydnc</v>
    <v>Learn more on Bing</v>
  </rv>
  <rv s="11">
    <v>#VALUE!</v>
    <v>de-DE</v>
    <v>ea90af7b-3254-253c-3237-6b912768f2df</v>
    <v>536870912</v>
    <v>1</v>
    <v>414</v>
    <v>17</v>
    <v>57</v>
    <v>Hagen</v>
    <v>5</v>
    <v>6</v>
    <v>Map</v>
    <v>7</v>
    <v>14</v>
    <v>1913</v>
    <v>Hagen is a city in the state of North Rhine-Westphalia, Germany, on the southeastern edge of the Ruhr area, 15 km south of Dortmund, where the rivers Lenne and Volme meet the Ruhr. In 2010, the population was 188,529.</v>
    <v>1914</v>
    <v>1915</v>
    <v>1916</v>
    <v>1917</v>
    <v>21</v>
    <v>1918</v>
    <v>1919</v>
    <v>Hagen</v>
    <v>Hagen</v>
    <v>mdp/vdpid/7011433398333865985</v>
    <v>412</v>
  </rv>
  <rv s="0">
    <v>536870912</v>
    <v>Halberstadt</v>
    <v>06800b15-1d38-3e0d-47bd-de9d538335bf</v>
    <v>de-DE</v>
    <v>Map</v>
  </rv>
  <rv s="0">
    <v>805306368</v>
    <v>Daniel Szarata (Mayor)</v>
    <v>13f23770-f95e-96a8-8d47-835f4aae0bd8</v>
    <v>de-DE</v>
    <v>Generic</v>
  </rv>
  <rv s="1">
    <v>176</v>
  </rv>
  <rv s="2">
    <fb>40457</fb>
    <v>9</v>
  </rv>
  <rv s="3">
    <v>183</v>
    <v>7</v>
    <v>415</v>
    <v>7</v>
    <v>0</v>
    <v>Image of Halberstadt</v>
  </rv>
  <rv s="2">
    <fb>51.895833333333002</fb>
    <v>10</v>
  </rv>
  <rv s="2">
    <fb>142.97999999999999</fb>
    <v>9</v>
  </rv>
  <rv s="2">
    <fb>11.046666666667001</fb>
    <v>10</v>
  </rv>
  <rv s="4">
    <v>https://www.bing.com/search?q=halberstadt+germany&amp;form=skydnc</v>
    <v>Learn more on Bing</v>
  </rv>
  <rv s="11">
    <v>#VALUE!</v>
    <v>de-DE</v>
    <v>06800b15-1d38-3e0d-47bd-de9d538335bf</v>
    <v>536870912</v>
    <v>1</v>
    <v>416</v>
    <v>17</v>
    <v>57</v>
    <v>Halberstadt</v>
    <v>5</v>
    <v>6</v>
    <v>Map</v>
    <v>7</v>
    <v>14</v>
    <v>1923</v>
    <v>Halberstadt is a town in the German state of Saxony-Anhalt, the capital of Harz district. Located north of the Harz mountain range, it is known for its old town center, which was largely destroyed by Allied bombings in the late stages of World ...</v>
    <v>1924</v>
    <v>1925</v>
    <v>1926</v>
    <v>1927</v>
    <v>21</v>
    <v>1928</v>
    <v>1929</v>
    <v>Halberstadt</v>
    <v>Halberstadt</v>
    <v>mdp/vdpid/7012011806679891969</v>
    <v>584</v>
  </rv>
  <rv s="0">
    <v>536870912</v>
    <v>Haldensleben</v>
    <v>4e71eecf-f413-f0f5-a6e2-5c0ae5050867</v>
    <v>de-DE</v>
    <v>Map</v>
  </rv>
  <rv s="0">
    <v>805306368</v>
    <v>Bernhard Hieber (Mayor)</v>
    <v>f0f7e165-162a-e658-08ca-eaf24de7f1d4</v>
    <v>de-DE</v>
    <v>Generic</v>
  </rv>
  <rv s="1">
    <v>177</v>
  </rv>
  <rv s="2">
    <fb>19267</fb>
    <v>9</v>
  </rv>
  <rv s="3">
    <v>184</v>
    <v>7</v>
    <v>417</v>
    <v>7</v>
    <v>0</v>
    <v>Image of Haldensleben</v>
  </rv>
  <rv s="2">
    <fb>52.283333333333303</fb>
    <v>10</v>
  </rv>
  <rv s="2">
    <fb>156.21</fb>
    <v>9</v>
  </rv>
  <rv s="2">
    <fb>11.4166666666667</fb>
    <v>10</v>
  </rv>
  <rv s="4">
    <v>https://www.bing.com/search?q=haldensleben+germany&amp;form=skydnc</v>
    <v>Learn more on Bing</v>
  </rv>
  <rv s="9">
    <v>#VALUE!</v>
    <v>de-DE</v>
    <v>4e71eecf-f413-f0f5-a6e2-5c0ae5050867</v>
    <v>536870912</v>
    <v>1</v>
    <v>418</v>
    <v>27</v>
    <v>28</v>
    <v>Haldensleben</v>
    <v>5</v>
    <v>6</v>
    <v>Map</v>
    <v>7</v>
    <v>14</v>
    <v>1933</v>
    <v>Haldensleben is a town in Saxony-Anhalt, Germany. It is the administrative seat of the Börde district.</v>
    <v>1934</v>
    <v>1935</v>
    <v>1936</v>
    <v>1937</v>
    <v>21</v>
    <v>1938</v>
    <v>1939</v>
    <v>Haldensleben</v>
    <v>Haldensleben</v>
    <v>mdp/vdpid/7017824884206075905</v>
  </rv>
  <rv s="0">
    <v>536870912</v>
    <v>Halle</v>
    <v>9e837cd0-512a-b10c-a9d0-aacc86a0c940</v>
    <v>de-DE</v>
    <v>Map</v>
  </rv>
  <rv s="0">
    <v>805306368</v>
    <v>Bernd Wiegand (Mayor)</v>
    <v>547db090-800f-70cc-b0e6-a0b499b4fdc9</v>
    <v>de-DE</v>
    <v>Generic</v>
  </rv>
  <rv s="1">
    <v>178</v>
  </rv>
  <rv s="2">
    <fb>238061</fb>
    <v>9</v>
  </rv>
  <rv s="3">
    <v>185</v>
    <v>7</v>
    <v>419</v>
    <v>7</v>
    <v>0</v>
    <v>Image of Halle</v>
  </rv>
  <rv s="2">
    <fb>51.482777777777798</fb>
    <v>10</v>
  </rv>
  <rv s="2">
    <fb>135.03</fb>
    <v>9</v>
  </rv>
  <rv s="2">
    <fb>11.969722222222201</fb>
    <v>10</v>
  </rv>
  <rv s="4">
    <v>https://www.bing.com/search?q=halle+saale&amp;form=skydnc</v>
    <v>Learn more on Bing</v>
  </rv>
  <rv s="9">
    <v>#VALUE!</v>
    <v>de-DE</v>
    <v>9e837cd0-512a-b10c-a9d0-aacc86a0c940</v>
    <v>536870912</v>
    <v>1</v>
    <v>420</v>
    <v>27</v>
    <v>28</v>
    <v>Halle</v>
    <v>5</v>
    <v>6</v>
    <v>Map</v>
    <v>7</v>
    <v>8</v>
    <v>1943</v>
    <v>Halle, or simply Halle is the largest city of the German state of Saxony-Anhalt, the fifth-most populous city in the area of former East Germany after Berlin, Leipzig, Dresden and Chemnitz, as well as the 31st-largest city of Germany, and with ...</v>
    <v>1944</v>
    <v>1945</v>
    <v>1946</v>
    <v>1947</v>
    <v>1341</v>
    <v>1948</v>
    <v>1949</v>
    <v>Halle</v>
    <v>Halle</v>
    <v>mdp/vdpid/7018073009365712897</v>
  </rv>
  <rv s="0">
    <v>536870912</v>
    <v>Hamburg</v>
    <v>0937ec8c-54f7-94c7-d7b8-0ea8c6cfce6f</v>
    <v>de-DE</v>
    <v>Map</v>
  </rv>
  <rv s="0">
    <v>805306368</v>
    <v>Peter Tschentscher (Mayor)</v>
    <v>2a23602d-45be-0630-2650-95fb175275d3</v>
    <v>de-DE</v>
    <v>Generic</v>
  </rv>
  <rv s="0">
    <v>805306368</v>
    <v>Katharina Fegebank (Mayor)</v>
    <v>c377ae49-ff24-92fa-c4f2-73ce1e206693</v>
    <v>de-DE</v>
    <v>Generic</v>
  </rv>
  <rv s="1">
    <v>179</v>
  </rv>
  <rv s="2">
    <fb>1892122</fb>
    <v>9</v>
  </rv>
  <rv s="3">
    <v>186</v>
    <v>7</v>
    <v>421</v>
    <v>7</v>
    <v>0</v>
    <v>Image of Hamburg</v>
  </rv>
  <rv s="2">
    <fb>755.09</fb>
    <v>9</v>
  </rv>
  <rv s="2">
    <fb>876502</fb>
    <v>9</v>
  </rv>
  <rv s="4">
    <v>https://www.bing.com/search?q=hamburg+germany&amp;form=skydnc</v>
    <v>Learn more on Bing</v>
  </rv>
  <rv s="2">
    <fb>1.95</fb>
    <v>113</v>
  </rv>
  <rv s="2">
    <fb>905782</fb>
    <v>9</v>
  </rv>
  <rv s="20">
    <v>#VALUE!</v>
    <v>de-DE</v>
    <v>0937ec8c-54f7-94c7-d7b8-0ea8c6cfce6f</v>
    <v>536870912</v>
    <v>1</v>
    <v>423</v>
    <v>110</v>
    <v>424</v>
    <v>Hamburg</v>
    <v>5</v>
    <v>6</v>
    <v>Map</v>
    <v>7</v>
    <v>112</v>
    <v>DE-HH</v>
    <v>1954</v>
    <v>Hamburg, officially the Free and Hanseatic City of Hamburg, is the second-largest city in Germany, after Berlin, and 8th-largest in the European Union, with a population of over 1.9 million. The Hamburg Metropolitan Region has a population of ...</v>
    <v>1955</v>
    <v>1956</v>
    <v>1957</v>
    <v>1958</v>
    <v>21</v>
    <v>1959</v>
    <v>Hamburg</v>
    <v>1960</v>
    <v>Hamburg</v>
    <v>mdp/vdpid/7010772237493993473</v>
    <v>1961</v>
  </rv>
  <rv s="0">
    <v>536870912</v>
    <v>Hameln</v>
    <v>48d1fcbc-7ba4-53ff-71c6-bc4e81737324</v>
    <v>de-DE</v>
    <v>Map</v>
  </rv>
  <rv s="0">
    <v>805306368</v>
    <v>Claudio Griese (Mayor)</v>
    <v>5f41e7e2-4b95-79a4-9193-707f137163da</v>
    <v>de-DE</v>
    <v>Generic</v>
  </rv>
  <rv s="1">
    <v>180</v>
  </rv>
  <rv s="2">
    <fb>57905</fb>
    <v>9</v>
  </rv>
  <rv s="3">
    <v>187</v>
    <v>7</v>
    <v>425</v>
    <v>7</v>
    <v>0</v>
    <v>Image of Hamelin</v>
  </rv>
  <rv s="2">
    <fb>52.103055555555997</fb>
    <v>10</v>
  </rv>
  <rv s="2">
    <fb>102.53</fb>
    <v>9</v>
  </rv>
  <rv s="2">
    <fb>9.36</fb>
    <v>10</v>
  </rv>
  <rv s="4">
    <v>https://www.bing.com/search?q=hamelin&amp;form=skydnc</v>
    <v>Learn more on Bing</v>
  </rv>
  <rv s="0">
    <v>536870912</v>
    <v>Hamelin-Pyrmont</v>
    <v>da1828dd-357f-7a02-08d2-eb8d31a00567</v>
    <v>de-DE</v>
    <v>Map</v>
  </rv>
  <rv s="6">
    <v>#VALUE!</v>
    <v>de-DE</v>
    <v>48d1fcbc-7ba4-53ff-71c6-bc4e81737324</v>
    <v>536870912</v>
    <v>1</v>
    <v>426</v>
    <v>2</v>
    <v>13</v>
    <v>Hamelin</v>
    <v>5</v>
    <v>6</v>
    <v>Map</v>
    <v>7</v>
    <v>14</v>
    <v>1965</v>
    <v>Hamelin is a town on the river Weser in Lower Saxony, Germany. It is the capital of the district of Hamelin-Pyrmont and has a population of roughly 57,000. Hamelin is best known for the tale of the Pied Piper of Hamelin.</v>
    <v>1966</v>
    <v>1967</v>
    <v>1968</v>
    <v>1969</v>
    <v>21</v>
    <v>1970</v>
    <v>1971</v>
    <v>Hamelin</v>
    <v>Hamelin</v>
    <v>mdp/vdpid/7011671815994998785</v>
    <v>247</v>
    <v>1972</v>
  </rv>
  <rv s="0">
    <v>536870912</v>
    <v>Hamm</v>
    <v>51d31029-81cf-9db5-48a3-5a66e2228423</v>
    <v>de-DE</v>
    <v>Map</v>
  </rv>
  <rv s="0">
    <v>805306368</v>
    <v>Marc Herter (Mayor)</v>
    <v>39ad37b3-dac2-83be-ba1e-a4085001588c</v>
    <v>de-DE</v>
    <v>Generic</v>
  </rv>
  <rv s="1">
    <v>181</v>
  </rv>
  <rv s="2">
    <fb>180849</fb>
    <v>9</v>
  </rv>
  <rv s="3">
    <v>188</v>
    <v>7</v>
    <v>427</v>
    <v>7</v>
    <v>0</v>
    <v>Image of Hamm</v>
  </rv>
  <rv s="2">
    <fb>51.666666666666998</fb>
    <v>10</v>
  </rv>
  <rv s="2">
    <fb>226.43</fb>
    <v>9</v>
  </rv>
  <rv s="2">
    <fb>7.8166666666667002</fb>
    <v>10</v>
  </rv>
  <rv s="4">
    <v>https://www.bing.com/search?q=hamm&amp;form=skydnc</v>
    <v>Learn more on Bing</v>
  </rv>
  <rv s="11">
    <v>#VALUE!</v>
    <v>de-DE</v>
    <v>51d31029-81cf-9db5-48a3-5a66e2228423</v>
    <v>536870912</v>
    <v>1</v>
    <v>428</v>
    <v>17</v>
    <v>57</v>
    <v>Hamm</v>
    <v>5</v>
    <v>6</v>
    <v>Map</v>
    <v>7</v>
    <v>14</v>
    <v>1976</v>
    <v>Hamm is a city in North Rhine-Westphalia, Germany. It is located in the northeastern part of the Ruhr area. As of 2016 its population was 179,397. The city is situated between the A1 motorway and A2 motorway. Hamm railway station is an important ...</v>
    <v>1977</v>
    <v>1978</v>
    <v>1979</v>
    <v>1980</v>
    <v>21</v>
    <v>1981</v>
    <v>1982</v>
    <v>Hamm</v>
    <v>Hamm</v>
    <v>mdp/vdpid/7011442572753108993</v>
    <v>412</v>
  </rv>
  <rv s="0">
    <v>536870912</v>
    <v>Hanau</v>
    <v>019216c9-3ffc-72b8-8563-e0d9e68b37bd</v>
    <v>de-DE</v>
    <v>Map</v>
  </rv>
  <rv s="0">
    <v>805306368</v>
    <v>Claus Kaminsky (Mayor)</v>
    <v>2e09349f-96d1-489e-42a2-a59c56c49238</v>
    <v>de-DE</v>
    <v>Generic</v>
  </rv>
  <rv s="1">
    <v>182</v>
  </rv>
  <rv s="2">
    <fb>101364</fb>
    <v>9</v>
  </rv>
  <rv s="3">
    <v>189</v>
    <v>7</v>
    <v>429</v>
    <v>7</v>
    <v>0</v>
    <v>Image of Hanau</v>
  </rv>
  <rv s="2">
    <fb>50.132777777777797</fb>
    <v>10</v>
  </rv>
  <rv s="2">
    <fb>76.47</fb>
    <v>9</v>
  </rv>
  <rv s="2">
    <fb>8.9169444444444395</fb>
    <v>10</v>
  </rv>
  <rv s="4">
    <v>https://www.bing.com/search?q=hanau&amp;form=skydnc</v>
    <v>Learn more on Bing</v>
  </rv>
  <rv s="0">
    <v>536870912</v>
    <v>Main-Kinzig-Kreis</v>
    <v>d74eeda3-a0c3-cf3a-79bb-38603267044b</v>
    <v>de-DE</v>
    <v>Map</v>
  </rv>
  <rv s="6">
    <v>#VALUE!</v>
    <v>de-DE</v>
    <v>019216c9-3ffc-72b8-8563-e0d9e68b37bd</v>
    <v>536870912</v>
    <v>1</v>
    <v>430</v>
    <v>2</v>
    <v>13</v>
    <v>Hanau</v>
    <v>5</v>
    <v>6</v>
    <v>Map</v>
    <v>7</v>
    <v>14</v>
    <v>1986</v>
    <v>Hanau is a city in the Main-Kinzig-Kreis, in Hesse, Germany. It is located 25 km east of Frankfurt am Main and is part of the Frankfurt Rhine-Main Metropolitan Region. Its station is a major railway junction and it has a port on the river Main, ...</v>
    <v>1987</v>
    <v>1988</v>
    <v>1989</v>
    <v>1990</v>
    <v>21</v>
    <v>1991</v>
    <v>1992</v>
    <v>Hanau</v>
    <v>Hanau</v>
    <v>mdp/vdpid/7014947641708511233</v>
    <v>303</v>
    <v>1993</v>
  </rv>
  <rv s="0">
    <v>536870912</v>
    <v>Hannover</v>
    <v>8cbec06b-1881-ae51-6d9c-230e82b37dd8</v>
    <v>de-DE</v>
    <v>Map</v>
  </rv>
  <rv s="0">
    <v>805306368</v>
    <v>Belit Onay (Mayor)</v>
    <v>badae67f-fa74-405c-8aad-0b862c2cb5bd</v>
    <v>de-DE</v>
    <v>Generic</v>
  </rv>
  <rv s="1">
    <v>183</v>
  </rv>
  <rv s="2">
    <fb>552710</fb>
    <v>9</v>
  </rv>
  <rv s="3">
    <v>190</v>
    <v>7</v>
    <v>431</v>
    <v>7</v>
    <v>0</v>
    <v>Image of Hanover</v>
  </rv>
  <rv s="2">
    <fb>52.374444444444002</fb>
    <v>10</v>
  </rv>
  <rv s="2">
    <fb>204.15</fb>
    <v>9</v>
  </rv>
  <rv s="2">
    <fb>9.7386111111110996</fb>
    <v>10</v>
  </rv>
  <rv s="4">
    <v>https://www.bing.com/search?q=hanover+germany&amp;form=skydnc</v>
    <v>Learn more on Bing</v>
  </rv>
  <rv s="0">
    <v>536870912</v>
    <v>Hanover Region</v>
    <v>72426456-eb5d-447a-a76c-c0a66928509f</v>
    <v>de-DE</v>
    <v>Map</v>
  </rv>
  <rv s="6">
    <v>#VALUE!</v>
    <v>de-DE</v>
    <v>8cbec06b-1881-ae51-6d9c-230e82b37dd8</v>
    <v>536870912</v>
    <v>1</v>
    <v>432</v>
    <v>2</v>
    <v>13</v>
    <v>Hanover</v>
    <v>5</v>
    <v>6</v>
    <v>Map</v>
    <v>7</v>
    <v>14</v>
    <v>1997</v>
    <v>Hanover is the capital and largest city of the German state of Lower Saxony. Its 535,932 population makes it the 13th-largest city in Germany as well as the fourth-largest city in northern Germany after Berlin, Hamburg and Bremen. Hanover's ...</v>
    <v>1998</v>
    <v>1999</v>
    <v>2000</v>
    <v>2001</v>
    <v>21</v>
    <v>2002</v>
    <v>2003</v>
    <v>Hanover</v>
    <v>Hanover</v>
    <v>mdp/vdpid/7011770605024313347</v>
    <v>247</v>
    <v>2004</v>
  </rv>
  <rv s="0">
    <v>536870912</v>
    <v>Hattingen</v>
    <v>79ee4620-fa93-92bb-4b1a-6247d9a17705</v>
    <v>de-DE</v>
    <v>Map</v>
  </rv>
  <rv s="0">
    <v>805306368</v>
    <v>Dirk Glaser (Mayor)</v>
    <v>550228bb-13f4-5cae-4477-c6337952e334</v>
    <v>de-DE</v>
    <v>Generic</v>
  </rv>
  <rv s="1">
    <v>184</v>
  </rv>
  <rv s="2">
    <fb>54637</fb>
    <v>9</v>
  </rv>
  <rv s="3">
    <v>191</v>
    <v>7</v>
    <v>433</v>
    <v>7</v>
    <v>0</v>
    <v>Image of Hattingen</v>
  </rv>
  <rv s="2">
    <fb>51.399166666667</fb>
    <v>10</v>
  </rv>
  <rv s="2">
    <fb>71.67</fb>
    <v>9</v>
  </rv>
  <rv s="2">
    <fb>7.1858333333333002</fb>
    <v>10</v>
  </rv>
  <rv s="4">
    <v>https://www.bing.com/search?q=hattingen+germany&amp;form=skydnc</v>
    <v>Learn more on Bing</v>
  </rv>
  <rv s="10">
    <v>#VALUE!</v>
    <v>de-DE</v>
    <v>79ee4620-fa93-92bb-4b1a-6247d9a17705</v>
    <v>536870912</v>
    <v>1</v>
    <v>434</v>
    <v>39</v>
    <v>40</v>
    <v>Hattingen</v>
    <v>5</v>
    <v>6</v>
    <v>Map</v>
    <v>7</v>
    <v>14</v>
    <v>2008</v>
    <v>Hattingen is a town in the northern part of the Ennepe-Ruhr-Kreis district, in North Rhine-Westphalia, Germany.</v>
    <v>2009</v>
    <v>2010</v>
    <v>2011</v>
    <v>2012</v>
    <v>21</v>
    <v>2013</v>
    <v>2014</v>
    <v>Hattingen</v>
    <v>Hattingen</v>
    <v>mdp/vdpid/7011424774140198913</v>
    <v>1291</v>
  </rv>
  <rv s="0">
    <v>536870912</v>
    <v>Heide</v>
    <v>d4fcf4ee-08b1-1234-a118-dea445e5c4e3</v>
    <v>de-DE</v>
    <v>Map</v>
  </rv>
  <rv s="0">
    <v>805306368</v>
    <v>Oliver Schmidt-Gutzat (Mayor)</v>
    <v>cd81e7aa-35b6-f4b7-e11c-7ea0adaf1ed1</v>
    <v>de-DE</v>
    <v>Generic</v>
  </rv>
  <rv s="1">
    <v>185</v>
  </rv>
  <rv s="2">
    <fb>22114</fb>
    <v>9</v>
  </rv>
  <rv s="3">
    <v>192</v>
    <v>7</v>
    <v>435</v>
    <v>7</v>
    <v>0</v>
    <v>Image of Heide</v>
  </rv>
  <rv s="2">
    <fb>54.196111111111001</fb>
    <v>10</v>
  </rv>
  <rv s="2">
    <fb>31.97</fb>
    <v>9</v>
  </rv>
  <rv s="2">
    <fb>9.0933333333333</fb>
    <v>10</v>
  </rv>
  <rv s="4">
    <v>https://www.bing.com/search?q=heide+germany&amp;form=skydnc</v>
    <v>Learn more on Bing</v>
  </rv>
  <rv s="0">
    <v>536870912</v>
    <v>Dithmarschen</v>
    <v>7ca7059c-ba90-d86a-0bd0-7ff9ad1a2009</v>
    <v>de-DE</v>
    <v>Map</v>
  </rv>
  <rv s="6">
    <v>#VALUE!</v>
    <v>de-DE</v>
    <v>d4fcf4ee-08b1-1234-a118-dea445e5c4e3</v>
    <v>536870912</v>
    <v>1</v>
    <v>436</v>
    <v>2</v>
    <v>13</v>
    <v>Heide</v>
    <v>5</v>
    <v>6</v>
    <v>Map</v>
    <v>7</v>
    <v>14</v>
    <v>2018</v>
    <v>Heide is a town in Schleswig-Holstein, Germany. It is the capital of the Kreis Dithmarschen. Population: 22,000. The German word Heide means "heath". In the 15th century four adjoining villages decided to build a church in the "middle of the ...</v>
    <v>2019</v>
    <v>2020</v>
    <v>2021</v>
    <v>2022</v>
    <v>21</v>
    <v>2023</v>
    <v>2024</v>
    <v>Heide</v>
    <v>Heide</v>
    <v>mdp/vdpid/7010755752402878465</v>
    <v>326</v>
    <v>2025</v>
  </rv>
  <rv s="0">
    <v>536870912</v>
    <v>Heidelberg</v>
    <v>0ed4c4ac-d0e9-d557-45fe-d5248ba0c523</v>
    <v>de-DE</v>
    <v>Map</v>
  </rv>
  <rv s="0">
    <v>805306368</v>
    <v>Eckart Würzner (Mayor)</v>
    <v>0cbc88d2-a2bc-97ec-5d95-37b7157dbd0a</v>
    <v>de-DE</v>
    <v>Generic</v>
  </rv>
  <rv s="1">
    <v>186</v>
  </rv>
  <rv s="2">
    <fb>162273</fb>
    <v>9</v>
  </rv>
  <rv s="3">
    <v>193</v>
    <v>7</v>
    <v>437</v>
    <v>7</v>
    <v>0</v>
    <v>Image of Heidelberg</v>
  </rv>
  <rv s="2">
    <fb>49.412222222221999</fb>
    <v>10</v>
  </rv>
  <rv s="2">
    <fb>108.89</fb>
    <v>9</v>
  </rv>
  <rv s="2">
    <fb>8.7100000000000009</fb>
    <v>10</v>
  </rv>
  <rv s="4">
    <v>https://www.bing.com/search?q=heidelberg+germany&amp;form=skydnc</v>
    <v>Learn more on Bing</v>
  </rv>
  <rv s="7">
    <v>#VALUE!</v>
    <v>de-DE</v>
    <v>0ed4c4ac-d0e9-d557-45fe-d5248ba0c523</v>
    <v>536870912</v>
    <v>1</v>
    <v>438</v>
    <v>17</v>
    <v>18</v>
    <v>Heidelberg</v>
    <v>5</v>
    <v>6</v>
    <v>Map</v>
    <v>7</v>
    <v>14</v>
    <v>2029</v>
    <v>Heidelberg is a city in the German state of Baden-Württemberg, situated on the river Neckar in south-west Germany. As of the 2016 census, its population was 159,914, of which roughly a quarter consisted of students.</v>
    <v>2030</v>
    <v>2031</v>
    <v>2032</v>
    <v>2033</v>
    <v>21</v>
    <v>2034</v>
    <v>2035</v>
    <v>Heidelberg</v>
    <v>Heidelberg</v>
    <v>mdp/vdpid/7015010726708248577</v>
    <v>359</v>
    <v>12</v>
  </rv>
  <rv s="0">
    <v>536870912</v>
    <v>Heidenau</v>
    <v>d0f652b1-49b4-31ca-ff38-8bb515b47e3d</v>
    <v>de-DE</v>
    <v>Map</v>
  </rv>
  <rv s="0">
    <v>805306368</v>
    <v>Jürgen Opitz (Mayor)</v>
    <v>80d06bb9-10a0-1f67-9a4f-a07bd929dda1</v>
    <v>de-DE</v>
    <v>Generic</v>
  </rv>
  <rv s="1">
    <v>187</v>
  </rv>
  <rv s="2">
    <fb>16884</fb>
    <v>9</v>
  </rv>
  <rv s="3">
    <v>194</v>
    <v>7</v>
    <v>439</v>
    <v>7</v>
    <v>0</v>
    <v>Image of Heidenau</v>
  </rv>
  <rv s="2">
    <fb>11.07</fb>
    <v>9</v>
  </rv>
  <rv s="2">
    <fb>13.866666666666999</fb>
    <v>10</v>
  </rv>
  <rv s="4">
    <v>https://www.bing.com/search?q=heidenau+germany&amp;form=skydnc</v>
    <v>Learn more on Bing</v>
  </rv>
  <rv s="6">
    <v>#VALUE!</v>
    <v>de-DE</v>
    <v>d0f652b1-49b4-31ca-ff38-8bb515b47e3d</v>
    <v>536870912</v>
    <v>1</v>
    <v>440</v>
    <v>2</v>
    <v>13</v>
    <v>Heidenau</v>
    <v>5</v>
    <v>6</v>
    <v>Map</v>
    <v>7</v>
    <v>14</v>
    <v>2039</v>
    <v>Heidenau is a town in the Sächsische Schweiz-Osterzgebirge district, in Saxony, Germany. The town is situated on the left bank of the Elbe, 13 km southeast of Dresden. In 2015, it became known for riots by local far-right forces against the ...</v>
    <v>2040</v>
    <v>2041</v>
    <v>1277</v>
    <v>2042</v>
    <v>21</v>
    <v>2043</v>
    <v>2044</v>
    <v>Heidenau</v>
    <v>Heidenau</v>
    <v>mdp/vdpid/7018277226638475265</v>
    <v>106</v>
    <v>1556</v>
  </rv>
  <rv s="0">
    <v>536870912</v>
    <v>Heidenheim an der Brenz</v>
    <v>afe520bc-630e-699b-6a0c-800704f78850</v>
    <v>de-DE</v>
    <v>Map</v>
  </rv>
  <rv s="0">
    <v>805306368</v>
    <v>Michael Salomo (Mayor)</v>
    <v>b76647e6-1e2b-4129-0f8d-74598701e020</v>
    <v>de-DE</v>
    <v>Generic</v>
  </rv>
  <rv s="1">
    <v>188</v>
  </rv>
  <rv s="2">
    <fb>50025</fb>
    <v>9</v>
  </rv>
  <rv s="3">
    <v>195</v>
    <v>7</v>
    <v>441</v>
    <v>7</v>
    <v>0</v>
    <v>Image of Heidenheim an der Brenz</v>
  </rv>
  <rv s="2">
    <fb>48.676111111110998</fb>
    <v>10</v>
  </rv>
  <rv s="2">
    <fb>107.1</fb>
    <v>9</v>
  </rv>
  <rv s="2">
    <fb>10.154444444444</fb>
    <v>10</v>
  </rv>
  <rv s="4">
    <v>https://www.bing.com/search?q=heidenheim+an+der+brenz&amp;form=skydnc</v>
    <v>Learn more on Bing</v>
  </rv>
  <rv s="0">
    <v>536870912</v>
    <v>Heidenheim</v>
    <v>12a2d7f7-10f6-4fff-9ee6-b08a11380d0f</v>
    <v>de-DE</v>
    <v>Map</v>
  </rv>
  <rv s="11">
    <v>#VALUE!</v>
    <v>de-DE</v>
    <v>afe520bc-630e-699b-6a0c-800704f78850</v>
    <v>536870912</v>
    <v>1</v>
    <v>442</v>
    <v>17</v>
    <v>57</v>
    <v>Heidenheim an der Brenz</v>
    <v>5</v>
    <v>6</v>
    <v>Map</v>
    <v>7</v>
    <v>14</v>
    <v>2048</v>
    <v>Heidenheim an der Brenz, or just Heidenheim, is a town in Baden-Württemberg in southern Germany. It is located near the border with Bavaria, approximately 17 km south of Aalen and 33 km north of Ulm. Heidenheim is the largest town and the seat ...</v>
    <v>2049</v>
    <v>2050</v>
    <v>2051</v>
    <v>2052</v>
    <v>21</v>
    <v>2053</v>
    <v>2054</v>
    <v>Heidenheim an der Brenz</v>
    <v>Heidenheim an der Brenz</v>
    <v>mdp/vdpid/7015363452877144065</v>
    <v>2055</v>
  </rv>
  <rv s="0">
    <v>536870912</v>
    <v>Heilbronn</v>
    <v>1a2aa141-3978-0d2c-2205-834b220b1aa0</v>
    <v>de-DE</v>
    <v>Map</v>
  </rv>
  <rv s="0">
    <v>805306368</v>
    <v>Harry Mergel (Mayor)</v>
    <v>5753342b-6fe3-bfd9-286d-d787a0677c40</v>
    <v>de-DE</v>
    <v>Generic</v>
  </rv>
  <rv s="1">
    <v>189</v>
  </rv>
  <rv s="2">
    <fb>128334</fb>
    <v>9</v>
  </rv>
  <rv s="3">
    <v>196</v>
    <v>7</v>
    <v>443</v>
    <v>7</v>
    <v>0</v>
    <v>Image of Heilbronn</v>
  </rv>
  <rv s="2">
    <fb>49.140428</fb>
    <v>10</v>
  </rv>
  <rv s="2">
    <fb>99.89</fb>
    <v>9</v>
  </rv>
  <rv s="2">
    <fb>9.2179529999999996</fb>
    <v>10</v>
  </rv>
  <rv s="4">
    <v>https://www.bing.com/search?q=heilbronn&amp;form=skydnc</v>
    <v>Learn more on Bing</v>
  </rv>
  <rv s="6">
    <v>#VALUE!</v>
    <v>de-DE</v>
    <v>1a2aa141-3978-0d2c-2205-834b220b1aa0</v>
    <v>536870912</v>
    <v>1</v>
    <v>444</v>
    <v>2</v>
    <v>13</v>
    <v>Heilbronn</v>
    <v>5</v>
    <v>6</v>
    <v>Map</v>
    <v>7</v>
    <v>14</v>
    <v>2059</v>
    <v>Heilbronn is a city in northern Baden-Württemberg, Germany, surrounded by Heilbronn District. With over 126,000 residents, it is the sixth-largest city in the state. From the late Middle Ages on, it developed into an important trading centre. At ...</v>
    <v>2060</v>
    <v>2061</v>
    <v>2062</v>
    <v>2063</v>
    <v>21</v>
    <v>2064</v>
    <v>2065</v>
    <v>Heilbronn</v>
    <v>Heilbronn</v>
    <v>mdp/vdpid/7015236288391413761</v>
    <v>359</v>
    <v>606</v>
  </rv>
  <rv s="0">
    <v>536870912</v>
    <v>Heiligenhaus</v>
    <v>79cb5145-3939-f24f-5e02-6ea84ee96617</v>
    <v>de-DE</v>
    <v>Map</v>
  </rv>
  <rv s="0">
    <v>805306368</v>
    <v>Michael Beck (Mayor)</v>
    <v>a64fd993-df3c-e6ab-bf6b-ac78348560eb</v>
    <v>de-DE</v>
    <v>Generic</v>
  </rv>
  <rv s="1">
    <v>190</v>
  </rv>
  <rv s="2">
    <fb>26681</fb>
    <v>9</v>
  </rv>
  <rv s="3">
    <v>197</v>
    <v>7</v>
    <v>445</v>
    <v>7</v>
    <v>0</v>
    <v>Image of Heiligenhaus</v>
  </rv>
  <rv s="2">
    <fb>51.326500000000003</fb>
    <v>10</v>
  </rv>
  <rv s="2">
    <fb>27.52</fb>
    <v>9</v>
  </rv>
  <rv s="2">
    <fb>6.9710000000000001</fb>
    <v>10</v>
  </rv>
  <rv s="4">
    <v>https://www.bing.com/search?q=heiligenhaus+germany&amp;form=skydnc</v>
    <v>Learn more on Bing</v>
  </rv>
  <rv s="0">
    <v>536870912</v>
    <v>Mettmann</v>
    <v>1862b6da-3856-6748-efe4-0e001f449a3a</v>
    <v>de-DE</v>
    <v>Map</v>
  </rv>
  <rv s="6">
    <v>#VALUE!</v>
    <v>de-DE</v>
    <v>79cb5145-3939-f24f-5e02-6ea84ee96617</v>
    <v>536870912</v>
    <v>1</v>
    <v>446</v>
    <v>2</v>
    <v>13</v>
    <v>Heiligenhaus</v>
    <v>5</v>
    <v>6</v>
    <v>Map</v>
    <v>7</v>
    <v>14</v>
    <v>2069</v>
    <v>Heiligenhaus is a town in the district of Mettmann, in North Rhine-Westphalia, Germany, in the suburban Rhine-Ruhr area. It lies between Düsseldorf and Essen. Bochum University of Applied Sciences has a branch in Heiligenhaus for the development ...</v>
    <v>2070</v>
    <v>2071</v>
    <v>2072</v>
    <v>2073</v>
    <v>21</v>
    <v>2074</v>
    <v>2075</v>
    <v>Heiligenhaus</v>
    <v>Heiligenhaus</v>
    <v>mdp/vdpid/7011377461032124417</v>
    <v>1029</v>
    <v>2076</v>
  </rv>
  <rv s="0">
    <v>536870912</v>
    <v>Helmstedt</v>
    <v>7bc819d5-995d-501c-2e25-8640bcea0437</v>
    <v>de-DE</v>
    <v>Map</v>
  </rv>
  <rv s="0">
    <v>805306368</v>
    <v>Wittich Schobert (Mayor)</v>
    <v>38cee198-3cd0-f152-bb11-d01fd1abd187</v>
    <v>de-DE</v>
    <v>Generic</v>
  </rv>
  <rv s="1">
    <v>191</v>
  </rv>
  <rv s="2">
    <fb>25779</fb>
    <v>9</v>
  </rv>
  <rv s="3">
    <v>198</v>
    <v>7</v>
    <v>447</v>
    <v>7</v>
    <v>0</v>
    <v>Image of Helmstedt</v>
  </rv>
  <rv s="2">
    <fb>52.228055555555997</fb>
    <v>10</v>
  </rv>
  <rv s="2">
    <fb>66.739999999999995</fb>
    <v>9</v>
  </rv>
  <rv s="2">
    <fb>11.010555555556</fb>
    <v>10</v>
  </rv>
  <rv s="4">
    <v>https://www.bing.com/search?q=helmstedt+germany&amp;form=skydnc</v>
    <v>Learn more on Bing</v>
  </rv>
  <rv s="0">
    <v>536870912</v>
    <v>Helmstedt district</v>
    <v>f33543c8-d508-4b36-976a-efa66434ecc2</v>
    <v>de-DE</v>
    <v>Map</v>
  </rv>
  <rv s="6">
    <v>#VALUE!</v>
    <v>de-DE</v>
    <v>7bc819d5-995d-501c-2e25-8640bcea0437</v>
    <v>536870912</v>
    <v>1</v>
    <v>448</v>
    <v>2</v>
    <v>13</v>
    <v>Helmstedt</v>
    <v>5</v>
    <v>6</v>
    <v>Map</v>
    <v>7</v>
    <v>14</v>
    <v>2080</v>
    <v>Helmstedt is a town on the eastern edge of the German state of Lower Saxony. It is the capital of the District of Helmstedt. The historic university and Hanseatic city conserves an important monumental heritage of Romanesque and Renaissance ...</v>
    <v>2081</v>
    <v>2082</v>
    <v>2083</v>
    <v>2084</v>
    <v>21</v>
    <v>2085</v>
    <v>2086</v>
    <v>Helmstedt</v>
    <v>Helmstedt</v>
    <v>mdp/vdpid/7011816292470489090</v>
    <v>247</v>
    <v>2087</v>
  </rv>
  <rv s="0">
    <v>536870912</v>
    <v>Hemer</v>
    <v>b59f3a0e-7c56-d2ea-684e-b0f67e166613</v>
    <v>de-DE</v>
    <v>Map</v>
  </rv>
  <rv s="0">
    <v>805306368</v>
    <v>Christian Schweitzer (Mayor)</v>
    <v>4fedaa85-54f3-7eb6-a36a-e72908117e42</v>
    <v>de-DE</v>
    <v>Generic</v>
  </rv>
  <rv s="1">
    <v>192</v>
  </rv>
  <rv s="2">
    <fb>34024</fb>
    <v>9</v>
  </rv>
  <rv s="3">
    <v>199</v>
    <v>7</v>
    <v>449</v>
    <v>7</v>
    <v>0</v>
    <v>Image of Hemer</v>
  </rv>
  <rv s="2">
    <fb>51.383333333333297</fb>
    <v>10</v>
  </rv>
  <rv s="2">
    <fb>67.66</fb>
    <v>9</v>
  </rv>
  <rv s="2">
    <fb>7.7666666666666702</fb>
    <v>10</v>
  </rv>
  <rv s="4">
    <v>https://www.bing.com/search?q=hemer+germany&amp;form=skydnc</v>
    <v>Learn more on Bing</v>
  </rv>
  <rv s="0">
    <v>536870912</v>
    <v>Märkischer Kreis</v>
    <v>e9dd1470-3aa8-a01f-8dbc-474b1b65faa3</v>
    <v>de-DE</v>
    <v>Map</v>
  </rv>
  <rv s="10">
    <v>#VALUE!</v>
    <v>de-DE</v>
    <v>b59f3a0e-7c56-d2ea-684e-b0f67e166613</v>
    <v>536870912</v>
    <v>1</v>
    <v>450</v>
    <v>39</v>
    <v>40</v>
    <v>Hemer</v>
    <v>5</v>
    <v>6</v>
    <v>Map</v>
    <v>7</v>
    <v>14</v>
    <v>2091</v>
    <v>Hemer is a town in the Märkischer Kreis district, in North Rhine-Westphalia, Germany.</v>
    <v>2092</v>
    <v>2093</v>
    <v>2094</v>
    <v>2095</v>
    <v>21</v>
    <v>2096</v>
    <v>2097</v>
    <v>Hemer</v>
    <v>Hemer</v>
    <v>mdp/vdpid/7011459648519667713</v>
    <v>2098</v>
  </rv>
  <rv s="0">
    <v>536870912</v>
    <v>Hennigsdorf</v>
    <v>09872712-ce41-e0ca-f138-dbe800196e70</v>
    <v>de-DE</v>
    <v>Map</v>
  </rv>
  <rv s="0">
    <v>805306368</v>
    <v>Thomas Günther (Mayor)</v>
    <v>f38ac48f-e8c7-8b73-d841-b82a74b16f1a</v>
    <v>de-DE</v>
    <v>Generic</v>
  </rv>
  <rv s="1">
    <v>193</v>
  </rv>
  <rv s="2">
    <fb>26728</fb>
    <v>9</v>
  </rv>
  <rv s="3">
    <v>200</v>
    <v>7</v>
    <v>451</v>
    <v>7</v>
    <v>0</v>
    <v>Image of Hennigsdorf</v>
  </rv>
  <rv s="2">
    <fb>52.637777777777998</fb>
    <v>10</v>
  </rv>
  <rv s="2">
    <fb>31.47</fb>
    <v>9</v>
  </rv>
  <rv s="2">
    <fb>13.203611111111</fb>
    <v>10</v>
  </rv>
  <rv s="4">
    <v>https://www.bing.com/search?q=hennigsdorf+germany&amp;form=skydnc</v>
    <v>Learn more on Bing</v>
  </rv>
  <rv s="0">
    <v>536870912</v>
    <v>Oberhavel District</v>
    <v>bcbcb6cd-4374-cb99-cd45-205dc1f68b3e</v>
    <v>de-DE</v>
    <v>Map</v>
  </rv>
  <rv s="6">
    <v>#VALUE!</v>
    <v>de-DE</v>
    <v>09872712-ce41-e0ca-f138-dbe800196e70</v>
    <v>536870912</v>
    <v>1</v>
    <v>452</v>
    <v>2</v>
    <v>13</v>
    <v>Hennigsdorf</v>
    <v>5</v>
    <v>6</v>
    <v>Map</v>
    <v>7</v>
    <v>14</v>
    <v>2102</v>
    <v>Hennigsdorf is a town in the district of Oberhavel, in Brandenburg, in eastern Germany. It is situated north-west of Berlin, just across the city border, which is formed mainly by the Havel river.</v>
    <v>2103</v>
    <v>2104</v>
    <v>2105</v>
    <v>2106</v>
    <v>21</v>
    <v>2107</v>
    <v>2108</v>
    <v>Hennigsdorf</v>
    <v>Hennigsdorf</v>
    <v>mdp/vdpid/7017956617094168577</v>
    <v>488</v>
    <v>2109</v>
  </rv>
  <rv s="0">
    <v>536870912</v>
    <v>Herford</v>
    <v>6dc644ed-4274-2cbd-0b25-7902f9b563a9</v>
    <v>de-DE</v>
    <v>Map</v>
  </rv>
  <rv s="0">
    <v>805306368</v>
    <v>Tim Kähler (Mayor)</v>
    <v>a67e981b-5d26-6053-22c4-010bdf62855f</v>
    <v>de-DE</v>
    <v>Generic</v>
  </rv>
  <rv s="1">
    <v>194</v>
  </rv>
  <rv s="2">
    <fb>67459</fb>
    <v>9</v>
  </rv>
  <rv s="3">
    <v>201</v>
    <v>7</v>
    <v>453</v>
    <v>7</v>
    <v>0</v>
    <v>Image of Herford</v>
  </rv>
  <rv s="2">
    <fb>52.114569444444399</fb>
    <v>10</v>
  </rv>
  <rv s="2">
    <fb>79.16</fb>
    <v>9</v>
  </rv>
  <rv s="2">
    <fb>8.6734305555555604</fb>
    <v>10</v>
  </rv>
  <rv s="4">
    <v>https://www.bing.com/search?q=herford+germany&amp;form=skydnc</v>
    <v>Learn more on Bing</v>
  </rv>
  <rv s="0">
    <v>536870912</v>
    <v>Herford</v>
    <v>bc6af4f2-e345-e265-67e1-4c56a664187e</v>
    <v>de-DE</v>
    <v>Map</v>
  </rv>
  <rv s="10">
    <v>#VALUE!</v>
    <v>de-DE</v>
    <v>6dc644ed-4274-2cbd-0b25-7902f9b563a9</v>
    <v>536870912</v>
    <v>1</v>
    <v>454</v>
    <v>39</v>
    <v>40</v>
    <v>Herford</v>
    <v>5</v>
    <v>6</v>
    <v>Map</v>
    <v>7</v>
    <v>14</v>
    <v>2113</v>
    <v>Herford is a town in North Rhine-Westphalia, Germany, located in the lowlands between the hill chains of the Wiehen Hills and the Teutoburg Forest. It is the capital of the district of Herford.</v>
    <v>2114</v>
    <v>2115</v>
    <v>2116</v>
    <v>2117</v>
    <v>21</v>
    <v>2118</v>
    <v>2119</v>
    <v>Herford</v>
    <v>Herford</v>
    <v>mdp/vdpid/7011637931387387905</v>
    <v>2120</v>
  </rv>
  <rv s="0">
    <v>536870912</v>
    <v>Herleshausen</v>
    <v>78991011-f904-cccc-2b9f-9d2d0103485a</v>
    <v>de-DE</v>
    <v>Map</v>
  </rv>
  <rv s="0">
    <v>805306368</v>
    <v>Lars Böckmann (Mayor)</v>
    <v>b63861df-2e68-273c-232d-0d75058d26b9</v>
    <v>de-DE</v>
    <v>Generic</v>
  </rv>
  <rv s="1">
    <v>195</v>
  </rv>
  <rv s="2">
    <fb>2820</fb>
    <v>9</v>
  </rv>
  <rv s="3">
    <v>202</v>
    <v>7</v>
    <v>455</v>
    <v>7</v>
    <v>0</v>
    <v>Image of Herleshausen</v>
  </rv>
  <rv s="2">
    <fb>51.005000000000003</fb>
    <v>10</v>
  </rv>
  <rv s="2">
    <fb>59.5</fb>
    <v>9</v>
  </rv>
  <rv s="2">
    <fb>10.176299999999999</fb>
    <v>10</v>
  </rv>
  <rv s="4">
    <v>https://www.bing.com/search?q=herleshausen+hesse&amp;form=skydnc</v>
    <v>Learn more on Bing</v>
  </rv>
  <rv s="10">
    <v>#VALUE!</v>
    <v>de-DE</v>
    <v>78991011-f904-cccc-2b9f-9d2d0103485a</v>
    <v>536870912</v>
    <v>1</v>
    <v>456</v>
    <v>39</v>
    <v>40</v>
    <v>Herleshausen</v>
    <v>5</v>
    <v>6</v>
    <v>Map</v>
    <v>7</v>
    <v>14</v>
    <v>2124</v>
    <v>Herleshausen is a municipality in the Werra-Meißner-Kreis in Hesse, Germany.</v>
    <v>2125</v>
    <v>2126</v>
    <v>2127</v>
    <v>2128</v>
    <v>21</v>
    <v>2129</v>
    <v>2130</v>
    <v>Herleshausen</v>
    <v>Herleshausen</v>
    <v>mdp/vdpid/7012048638255824897</v>
    <v>1322</v>
  </rv>
  <rv s="0">
    <v>536870912</v>
    <v>Herne</v>
    <v>18f1b98d-0176-e4f9-f4ee-b843815f884c</v>
    <v>de-DE</v>
    <v>Map</v>
  </rv>
  <rv s="0">
    <v>805306368</v>
    <v>Frank Dudda (Mayor)</v>
    <v>7f3b8887-a173-6e86-f143-0ba5fb915911</v>
    <v>de-DE</v>
    <v>Generic</v>
  </rv>
  <rv s="1">
    <v>196</v>
  </rv>
  <rv s="2">
    <fb>157368</fb>
    <v>9</v>
  </rv>
  <rv s="3">
    <v>203</v>
    <v>7</v>
    <v>457</v>
    <v>7</v>
    <v>0</v>
    <v>Image of Herne, North Rhine-Westphalia</v>
  </rv>
  <rv s="2">
    <fb>51.542580000000001</fb>
    <v>10</v>
  </rv>
  <rv s="2">
    <fb>51.42</fb>
    <v>9</v>
  </rv>
  <rv s="2">
    <fb>7.2189699999999997</fb>
    <v>10</v>
  </rv>
  <rv s="4">
    <v>https://www.bing.com/search?q=herne+germany&amp;form=skydnc</v>
    <v>Learn more on Bing</v>
  </rv>
  <rv s="11">
    <v>#VALUE!</v>
    <v>de-DE</v>
    <v>18f1b98d-0176-e4f9-f4ee-b843815f884c</v>
    <v>536870912</v>
    <v>1</v>
    <v>458</v>
    <v>17</v>
    <v>57</v>
    <v>Herne, North Rhine-Westphalia</v>
    <v>5</v>
    <v>6</v>
    <v>Map</v>
    <v>7</v>
    <v>14</v>
    <v>2134</v>
    <v>Herne is a city in North Rhine-Westphalia, Germany. It is located in the Ruhr area directly between the cities of Bochum, and Gelsenkirchen.</v>
    <v>2135</v>
    <v>2136</v>
    <v>2137</v>
    <v>2138</v>
    <v>21</v>
    <v>2139</v>
    <v>2140</v>
    <v>Herne, North Rhine-Westphalia</v>
    <v>Herne, North Rhine-Westphalia</v>
    <v>mdp/vdpid/7011422667693621249</v>
    <v>412</v>
  </rv>
  <rv s="0">
    <v>536870912</v>
    <v>Herten</v>
    <v>97efec6f-6eb0-4b46-ade1-00df59cb6c30</v>
    <v>de-DE</v>
    <v>Map</v>
  </rv>
  <rv s="0">
    <v>805306368</v>
    <v>Matthias Müller (Mayor)</v>
    <v>78a06d26-35a3-7ff3-b030-e7303b4d5a39</v>
    <v>de-DE</v>
    <v>Generic</v>
  </rv>
  <rv s="1">
    <v>197</v>
  </rv>
  <rv s="2">
    <fb>62473</fb>
    <v>9</v>
  </rv>
  <rv s="3">
    <v>204</v>
    <v>7</v>
    <v>459</v>
    <v>7</v>
    <v>0</v>
    <v>Image of Herten</v>
  </rv>
  <rv s="2">
    <fb>51.6</fb>
    <v>10</v>
  </rv>
  <rv s="2">
    <fb>37.33</fb>
    <v>9</v>
  </rv>
  <rv s="2">
    <fb>7.1333333333333302</fb>
    <v>10</v>
  </rv>
  <rv s="4">
    <v>https://www.bing.com/search?q=herten+north+%22rhine+westphalia%22&amp;form=skydnc</v>
    <v>Learn more on Bing</v>
  </rv>
  <rv s="6">
    <v>#VALUE!</v>
    <v>de-DE</v>
    <v>97efec6f-6eb0-4b46-ade1-00df59cb6c30</v>
    <v>536870912</v>
    <v>1</v>
    <v>460</v>
    <v>2</v>
    <v>13</v>
    <v>Herten</v>
    <v>5</v>
    <v>6</v>
    <v>Map</v>
    <v>7</v>
    <v>14</v>
    <v>2144</v>
    <v>Herten is a town and a municipality in the district of Recklinghausen, in North Rhine-Westphalia, Germany. It is situated in the industrial Ruhr Area, some 5 km west of Recklinghausen.</v>
    <v>2145</v>
    <v>2146</v>
    <v>2147</v>
    <v>2148</v>
    <v>21</v>
    <v>2149</v>
    <v>2150</v>
    <v>Herten</v>
    <v>Herten</v>
    <v>mdp/vdpid/7011420414278631425</v>
    <v>24</v>
    <v>814</v>
  </rv>
  <rv s="0">
    <v>536870912</v>
    <v>Hettstedt</v>
    <v>533bbc4d-31b3-fee4-64f9-49604dc48fa2</v>
    <v>de-DE</v>
    <v>Map</v>
  </rv>
  <rv s="0">
    <v>805306368</v>
    <v>Dirk Fuhlert (Mayor)</v>
    <v>ba2adee5-73b3-0415-7921-f52ac518dc5a</v>
    <v>de-DE</v>
    <v>Generic</v>
  </rv>
  <rv s="1">
    <v>198</v>
  </rv>
  <rv s="2">
    <fb>13678</fb>
    <v>9</v>
  </rv>
  <rv s="3">
    <v>205</v>
    <v>7</v>
    <v>461</v>
    <v>7</v>
    <v>0</v>
    <v>Image of Hettstedt</v>
  </rv>
  <rv s="2">
    <fb>51.633333333332999</fb>
    <v>10</v>
  </rv>
  <rv s="2">
    <fb>36.93</fb>
    <v>9</v>
  </rv>
  <rv s="2">
    <fb>11.5</fb>
    <v>10</v>
  </rv>
  <rv s="4">
    <v>https://www.bing.com/search?q=hettstedt+%22saxony+anhalt%22&amp;form=skydnc</v>
    <v>Learn more on Bing</v>
  </rv>
  <rv s="0">
    <v>536870912</v>
    <v>Mansfeld-Südharz</v>
    <v>108aae2c-11bb-867e-c191-cf3c8ad53ebd</v>
    <v>de-DE</v>
    <v>Map</v>
  </rv>
  <rv s="7">
    <v>#VALUE!</v>
    <v>de-DE</v>
    <v>533bbc4d-31b3-fee4-64f9-49604dc48fa2</v>
    <v>536870912</v>
    <v>1</v>
    <v>462</v>
    <v>17</v>
    <v>18</v>
    <v>Hettstedt</v>
    <v>5</v>
    <v>6</v>
    <v>Map</v>
    <v>7</v>
    <v>14</v>
    <v>2154</v>
    <v>Hettstedt is a town in Mansfeld-Südharz district, Saxony-Anhalt, Germany, on the Wipper. It consists of Hettstedt proper and the Ortschaften Ritterode and Walbeck. The former municipalities Ritterode and Walbeck were absorbed into Hettstedt in ...</v>
    <v>2155</v>
    <v>2156</v>
    <v>2157</v>
    <v>2158</v>
    <v>21</v>
    <v>2159</v>
    <v>2160</v>
    <v>Hettstedt</v>
    <v>Hettstedt</v>
    <v>mdp/vdpid/7018035578809614337</v>
    <v>2161</v>
    <v>62</v>
  </rv>
  <rv s="0">
    <v>536870912</v>
    <v>Hilden</v>
    <v>ff6f52f4-29f4-34c4-f9d8-c330a3216672</v>
    <v>de-DE</v>
    <v>Map</v>
  </rv>
  <rv s="0">
    <v>805306368</v>
    <v>Claus Pommer (Mayor)</v>
    <v>f6c01c2b-121b-0547-d5f3-863e7ebe0fed</v>
    <v>de-DE</v>
    <v>Generic</v>
  </rv>
  <rv s="1">
    <v>199</v>
  </rv>
  <rv s="2">
    <fb>55815</fb>
    <v>9</v>
  </rv>
  <rv s="3">
    <v>206</v>
    <v>7</v>
    <v>463</v>
    <v>7</v>
    <v>0</v>
    <v>Image of Hilden</v>
  </rv>
  <rv s="2">
    <fb>51.171388888888998</fb>
    <v>10</v>
  </rv>
  <rv s="2">
    <fb>25.95</fb>
    <v>9</v>
  </rv>
  <rv s="2">
    <fb>6.9394444444444003</fb>
    <v>10</v>
  </rv>
  <rv s="4">
    <v>https://www.bing.com/search?q=hilden&amp;form=skydnc</v>
    <v>Learn more on Bing</v>
  </rv>
  <rv s="6">
    <v>#VALUE!</v>
    <v>de-DE</v>
    <v>ff6f52f4-29f4-34c4-f9d8-c330a3216672</v>
    <v>536870912</v>
    <v>1</v>
    <v>464</v>
    <v>2</v>
    <v>13</v>
    <v>Hilden</v>
    <v>5</v>
    <v>6</v>
    <v>Map</v>
    <v>7</v>
    <v>14</v>
    <v>2165</v>
    <v>Hilden is a town in the German state of North Rhine-Westphalia. It is situated in the District of Mettmann, 10 km west of Solingen and 15 km east of Düsseldorf on the right side of the Rhine. It is a middle sized industrial town with a forest ...</v>
    <v>2166</v>
    <v>2167</v>
    <v>2168</v>
    <v>2169</v>
    <v>21</v>
    <v>2170</v>
    <v>2171</v>
    <v>Hilden</v>
    <v>Hilden</v>
    <v>mdp/vdpid/7011378801095475201</v>
    <v>1029</v>
    <v>2076</v>
  </rv>
  <rv s="0">
    <v>536870912</v>
    <v>Hildesheim</v>
    <v>61cc493f-6324-ac80-c9b7-75da1ce27eeb</v>
    <v>de-DE</v>
    <v>Map</v>
  </rv>
  <rv s="0">
    <v>805306368</v>
    <v>Ingo Meyer (Mayor)</v>
    <v>2a698ee7-0c68-f033-7d84-b74f3f5d8858</v>
    <v>de-DE</v>
    <v>Generic</v>
  </rv>
  <rv s="1">
    <v>200</v>
  </rv>
  <rv s="2">
    <fb>101858</fb>
    <v>9</v>
  </rv>
  <rv s="3">
    <v>207</v>
    <v>7</v>
    <v>465</v>
    <v>7</v>
    <v>0</v>
    <v>Image of Hildesheim</v>
  </rv>
  <rv s="2">
    <fb>52.15</fb>
    <v>10</v>
  </rv>
  <rv s="2">
    <fb>92.29</fb>
    <v>9</v>
  </rv>
  <rv s="2">
    <fb>9.9499999999999993</fb>
    <v>10</v>
  </rv>
  <rv s="4">
    <v>https://www.bing.com/search?q=hildesheim&amp;form=skydnc</v>
    <v>Learn more on Bing</v>
  </rv>
  <rv s="0">
    <v>536870912</v>
    <v>Hildesheim</v>
    <v>dd8ffd02-e8c9-4084-8f22-55a0f2efa2ea</v>
    <v>de-DE</v>
    <v>Map</v>
  </rv>
  <rv s="6">
    <v>#VALUE!</v>
    <v>de-DE</v>
    <v>61cc493f-6324-ac80-c9b7-75da1ce27eeb</v>
    <v>536870912</v>
    <v>1</v>
    <v>466</v>
    <v>2</v>
    <v>13</v>
    <v>Hildesheim</v>
    <v>5</v>
    <v>6</v>
    <v>Map</v>
    <v>7</v>
    <v>14</v>
    <v>2175</v>
    <v>Hildesheim is a city in Lower Saxony, in north-central Germany with 101,693 inhabitants. It is in the district of Hildesheim, about 30 km southeast of Hanover on the banks of the Innerste River, a small tributary of the Leine River.</v>
    <v>2176</v>
    <v>2177</v>
    <v>2178</v>
    <v>2179</v>
    <v>21</v>
    <v>2180</v>
    <v>2181</v>
    <v>Hildesheim</v>
    <v>Hildesheim</v>
    <v>mdp/vdpid/7011777339566587905</v>
    <v>247</v>
    <v>2182</v>
  </rv>
  <rv s="0">
    <v>536870912</v>
    <v>Höchenschwand</v>
    <v>f142ba5a-666c-826d-ef72-b0ed48a03411</v>
    <v>de-DE</v>
    <v>Map</v>
  </rv>
  <rv s="0">
    <v>805306368</v>
    <v>Sebastian Stiegeler (Mayor)</v>
    <v>5a8490db-686e-207f-3fd7-cb41df5a77e7</v>
    <v>de-DE</v>
    <v>Generic</v>
  </rv>
  <rv s="1">
    <v>201</v>
  </rv>
  <rv s="2">
    <fb>2773</fb>
    <v>9</v>
  </rv>
  <rv s="3">
    <v>208</v>
    <v>7</v>
    <v>467</v>
    <v>7</v>
    <v>0</v>
    <v>Image of Höchenschwand</v>
  </rv>
  <rv s="2">
    <fb>47.733888888888998</fb>
    <v>10</v>
  </rv>
  <rv s="2">
    <fb>29.55</fb>
    <v>9</v>
  </rv>
  <rv s="2">
    <fb>8.1672222222222004</fb>
    <v>10</v>
  </rv>
  <rv s="4">
    <v>https://www.bing.com/search?q=h%c3%b6chenschwand&amp;form=skydnc</v>
    <v>Learn more on Bing</v>
  </rv>
  <rv s="0">
    <v>536870912</v>
    <v>Waldshut</v>
    <v>202f3be2-a0ae-e4bb-32cd-e032741790c4</v>
    <v>de-DE</v>
    <v>Map</v>
  </rv>
  <rv s="11">
    <v>#VALUE!</v>
    <v>de-DE</v>
    <v>f142ba5a-666c-826d-ef72-b0ed48a03411</v>
    <v>536870912</v>
    <v>1</v>
    <v>468</v>
    <v>17</v>
    <v>57</v>
    <v>Höchenschwand</v>
    <v>5</v>
    <v>6</v>
    <v>Map</v>
    <v>7</v>
    <v>14</v>
    <v>2186</v>
    <v>Höchenschwand is a municipality in the district of Waldshut in Baden-Württemberg in Germany.</v>
    <v>2187</v>
    <v>2188</v>
    <v>2189</v>
    <v>2190</v>
    <v>21</v>
    <v>2191</v>
    <v>2192</v>
    <v>Höchenschwand</v>
    <v>Höchenschwand</v>
    <v>mdp/vdpid/7015667570871107585</v>
    <v>2193</v>
  </rv>
  <rv s="0">
    <v>536870912</v>
    <v>Hof</v>
    <v>19331afb-4700-8b1b-04c9-7950017db519</v>
    <v>de-DE</v>
    <v>Map</v>
  </rv>
  <rv s="0">
    <v>805306368</v>
    <v>Eva Döhla (Mayor)</v>
    <v>aecc54a7-2211-cfc1-f6fc-42e9f60b3d60</v>
    <v>de-DE</v>
    <v>Generic</v>
  </rv>
  <rv s="1">
    <v>202</v>
  </rv>
  <rv s="2">
    <fb>46656</fb>
    <v>9</v>
  </rv>
  <rv s="3">
    <v>209</v>
    <v>7</v>
    <v>469</v>
    <v>7</v>
    <v>0</v>
    <v>Image of Hof, Bavaria</v>
  </rv>
  <rv s="2">
    <fb>50.316666666666698</fb>
    <v>10</v>
  </rv>
  <rv s="2">
    <fb>58.02</fb>
    <v>9</v>
  </rv>
  <rv s="2">
    <fb>11.9166666666667</fb>
    <v>10</v>
  </rv>
  <rv s="4">
    <v>https://www.bing.com/search?q=hof+bavaria&amp;form=skydnc</v>
    <v>Learn more on Bing</v>
  </rv>
  <rv s="9">
    <v>#VALUE!</v>
    <v>de-DE</v>
    <v>19331afb-4700-8b1b-04c9-7950017db519</v>
    <v>536870912</v>
    <v>1</v>
    <v>470</v>
    <v>27</v>
    <v>28</v>
    <v>Hof, Bavaria</v>
    <v>5</v>
    <v>6</v>
    <v>Map</v>
    <v>7</v>
    <v>14</v>
    <v>2197</v>
    <v>Hof is a town on the banks of the Saale in the northeastern corner of the German state of Bavaria, in the Franconian region, at the Czech border and the forested Fichtel Mountains and Franconian Forest upland regions. The town has 47,296 ...</v>
    <v>2198</v>
    <v>2199</v>
    <v>2200</v>
    <v>2201</v>
    <v>21</v>
    <v>2202</v>
    <v>2203</v>
    <v>Hof, Bavaria</v>
    <v>Hof, Bavaria</v>
    <v>mdp/vdpid/7021152799903711233</v>
  </rv>
  <rv s="0">
    <v>536870912</v>
    <v>Hofheim am Taunus</v>
    <v>425869b4-3dba-f0bd-ab27-4096ca84253c</v>
    <v>de-DE</v>
    <v>Map</v>
  </rv>
  <rv s="0">
    <v>805306368</v>
    <v>Christian Vogt (Mayor)</v>
    <v>70abda68-e88a-8b3c-09b6-37de0f17b4c4</v>
    <v>de-DE</v>
    <v>Generic</v>
  </rv>
  <rv s="1">
    <v>203</v>
  </rv>
  <rv s="2">
    <fb>40371</fb>
    <v>9</v>
  </rv>
  <rv s="3">
    <v>210</v>
    <v>7</v>
    <v>471</v>
    <v>7</v>
    <v>0</v>
    <v>Image of Hofheim, Hesse</v>
  </rv>
  <rv s="2">
    <fb>50.087569444444398</fb>
    <v>10</v>
  </rv>
  <rv s="2">
    <fb>57.43</fb>
    <v>9</v>
  </rv>
  <rv s="2">
    <fb>8.4447222222222198</fb>
    <v>10</v>
  </rv>
  <rv s="4">
    <v>https://www.bing.com/search?q=hofheim+am+taunus+germany&amp;form=skydnc</v>
    <v>Learn more on Bing</v>
  </rv>
  <rv s="0">
    <v>536870912</v>
    <v>Main-Taunus-Kreis</v>
    <v>00170d7e-95b7-a854-9a6f-77459f697f5a</v>
    <v>de-DE</v>
    <v>Map</v>
  </rv>
  <rv s="6">
    <v>#VALUE!</v>
    <v>de-DE</v>
    <v>425869b4-3dba-f0bd-ab27-4096ca84253c</v>
    <v>536870912</v>
    <v>1</v>
    <v>472</v>
    <v>2</v>
    <v>13</v>
    <v>Hofheim, Hesse</v>
    <v>5</v>
    <v>6</v>
    <v>Map</v>
    <v>7</v>
    <v>14</v>
    <v>2207</v>
    <v>Hofheim is the administrative centre of Main-Taunus-Kreis district, in the south of the German state of Hesse. Its population in September 2020 was 39,946.</v>
    <v>2208</v>
    <v>2209</v>
    <v>2210</v>
    <v>2211</v>
    <v>21</v>
    <v>2212</v>
    <v>2213</v>
    <v>Hofheim, Hesse</v>
    <v>Hofheim, Hesse</v>
    <v>mdp/vdpid/7014938425866321921</v>
    <v>303</v>
    <v>2214</v>
  </rv>
  <rv s="0">
    <v>536870912</v>
    <v>Hohenlimburg</v>
    <v>ea0569c6-bae8-524a-4bc4-dc2abf11974f</v>
    <v>de-DE</v>
    <v>Map</v>
  </rv>
  <rv s="3">
    <v>211</v>
    <v>7</v>
    <v>473</v>
    <v>7</v>
    <v>0</v>
    <v>Image of Hagen-Hohenlimburg</v>
  </rv>
  <rv s="2">
    <fb>51.356113999999998</fb>
    <v>10</v>
  </rv>
  <rv s="2">
    <fb>37</fb>
    <v>9</v>
  </rv>
  <rv s="2">
    <fb>7.5666479999999998</fb>
    <v>10</v>
  </rv>
  <rv s="4">
    <v>https://www.bing.com/search?q=hagen-hohenlimburg+germany&amp;form=skydnc</v>
    <v>Learn more on Bing</v>
  </rv>
  <rv s="17">
    <v>#VALUE!</v>
    <v>de-DE</v>
    <v>ea0569c6-bae8-524a-4bc4-dc2abf11974f</v>
    <v>536870912</v>
    <v>1</v>
    <v>474</v>
    <v>263</v>
    <v>264</v>
    <v>Hagen-Hohenlimburg</v>
    <v>5</v>
    <v>6</v>
    <v>Map</v>
    <v>7</v>
    <v>265</v>
    <v>Hagen-Hohenlimburg, on the Lenne river, is a borough of the city of Hagen in North Rhine-Westphalia, Germany. Hohenlimburg was formerly the chief town of the county of Limburg-Hohenlimburg in medieval Germany, first documented in 1230, and ...</v>
    <v>2217</v>
    <v>2218</v>
    <v>2219</v>
    <v>21</v>
    <v>2220</v>
    <v>2221</v>
    <v>Hagen-Hohenlimburg</v>
    <v>Hagen-Hohenlimburg</v>
    <v>mdp/vdpid/7011433844389707777</v>
    <v>1911</v>
    <v>1911</v>
  </rv>
  <rv s="0">
    <v>536870912</v>
    <v>Hohenpeißenberg</v>
    <v>beba5a56-ad8f-59dc-b8c2-be0f667c98c1</v>
    <v>de-DE</v>
    <v>Map</v>
  </rv>
  <rv s="0">
    <v>805306368</v>
    <v>Thomas Dorsch (Mayor)</v>
    <v>e723e8bd-ed2c-aff3-45e3-11314ebea34e</v>
    <v>de-DE</v>
    <v>Generic</v>
  </rv>
  <rv s="1">
    <v>204</v>
  </rv>
  <rv s="2">
    <fb>3872</fb>
    <v>9</v>
  </rv>
  <rv s="3">
    <v>212</v>
    <v>7</v>
    <v>475</v>
    <v>7</v>
    <v>0</v>
    <v>Image of Hohenpeißenberg</v>
  </rv>
  <rv s="2">
    <fb>47.8</fb>
    <v>10</v>
  </rv>
  <rv s="2">
    <fb>20.52</fb>
    <v>9</v>
  </rv>
  <rv s="2">
    <fb>11</fb>
    <v>10</v>
  </rv>
  <rv s="4">
    <v>https://www.bing.com/search?q=hohenpei%c3%9fenberg+germany&amp;form=skydnc</v>
    <v>Learn more on Bing</v>
  </rv>
  <rv s="0">
    <v>536870912</v>
    <v>Weilheim-Schongau</v>
    <v>a121a9be-297f-b9b7-febf-595fbcd467af</v>
    <v>de-DE</v>
    <v>Map</v>
  </rv>
  <rv s="10">
    <v>#VALUE!</v>
    <v>de-DE</v>
    <v>beba5a56-ad8f-59dc-b8c2-be0f667c98c1</v>
    <v>536870912</v>
    <v>1</v>
    <v>476</v>
    <v>39</v>
    <v>40</v>
    <v>Hohenpeißenberg</v>
    <v>5</v>
    <v>6</v>
    <v>Map</v>
    <v>7</v>
    <v>14</v>
    <v>2225</v>
    <v>Hohenpeißenberg is a municipality in the Weilheim-Schongau district, in Bavaria, Germany. Hohenpeißenberg is situated in the Bavarian Oberland, in the Alpine Foreland. It exists only as a local subdistrict.</v>
    <v>2226</v>
    <v>2227</v>
    <v>2228</v>
    <v>2229</v>
    <v>21</v>
    <v>2230</v>
    <v>2231</v>
    <v>Hohenpeißenberg</v>
    <v>Hohenpeißenberg</v>
    <v>mdp/vdpid/7016230639338782721</v>
    <v>2232</v>
  </rv>
  <rv s="0">
    <v>536870912</v>
    <v>Holzminden</v>
    <v>e1711dd7-29fc-b189-a1bb-526b8c5bc8ea</v>
    <v>de-DE</v>
    <v>Map</v>
  </rv>
  <rv s="0">
    <v>805306368</v>
    <v>Christian Belke (Mayor)</v>
    <v>ce335aad-289f-6f9c-19f3-cd7e9b1ba78c</v>
    <v>de-DE</v>
    <v>Generic</v>
  </rv>
  <rv s="1">
    <v>205</v>
  </rv>
  <rv s="2">
    <fb>20120</fb>
    <v>9</v>
  </rv>
  <rv s="3">
    <v>213</v>
    <v>7</v>
    <v>477</v>
    <v>7</v>
    <v>0</v>
    <v>Image of Holzminden</v>
  </rv>
  <rv s="2">
    <fb>51.829722222222003</fb>
    <v>10</v>
  </rv>
  <rv s="2">
    <fb>88.24</fb>
    <v>9</v>
  </rv>
  <rv s="2">
    <fb>9.4483333333333004</fb>
    <v>10</v>
  </rv>
  <rv s="4">
    <v>https://www.bing.com/search?q=holzminden+germany&amp;form=skydnc</v>
    <v>Learn more on Bing</v>
  </rv>
  <rv s="0">
    <v>536870912</v>
    <v>Holzminden</v>
    <v>eddbe500-11c6-45d1-b0fc-d58df9464888</v>
    <v>de-DE</v>
    <v>Map</v>
  </rv>
  <rv s="6">
    <v>#VALUE!</v>
    <v>de-DE</v>
    <v>e1711dd7-29fc-b189-a1bb-526b8c5bc8ea</v>
    <v>536870912</v>
    <v>1</v>
    <v>478</v>
    <v>2</v>
    <v>13</v>
    <v>Holzminden</v>
    <v>5</v>
    <v>6</v>
    <v>Map</v>
    <v>7</v>
    <v>14</v>
    <v>2236</v>
    <v>Holzminden is a town in southern Lower Saxony, Germany. It is the capital of the district of Holzminden. It is located on the river Weser, which at this point forms the border with the state of North Rhine-Westphalia.</v>
    <v>2237</v>
    <v>2238</v>
    <v>2239</v>
    <v>2240</v>
    <v>21</v>
    <v>2241</v>
    <v>2242</v>
    <v>Holzminden</v>
    <v>Holzminden</v>
    <v>mdp/vdpid/7011865637114871809</v>
    <v>247</v>
    <v>2243</v>
  </rv>
  <rv s="0">
    <v>536870912</v>
    <v>Homberg</v>
    <v>e330cdc2-eb13-cbdd-11a3-a5a50e443dc6</v>
    <v>de-DE</v>
    <v>Map</v>
  </rv>
  <rv s="0">
    <v>805306368</v>
    <v>Nico Ritz (Mayor)</v>
    <v>5d33b183-3a02-b3bb-09a0-0f345f018273</v>
    <v>de-DE</v>
    <v>Generic</v>
  </rv>
  <rv s="1">
    <v>206</v>
  </rv>
  <rv s="2">
    <fb>14458</fb>
    <v>9</v>
  </rv>
  <rv s="3">
    <v>214</v>
    <v>7</v>
    <v>479</v>
    <v>7</v>
    <v>0</v>
    <v>Image of Homberg</v>
  </rv>
  <rv s="2">
    <fb>51.033888888889003</fb>
    <v>10</v>
  </rv>
  <rv s="2">
    <fb>100.11</fb>
    <v>9</v>
  </rv>
  <rv s="2">
    <fb>9.4055555555555994</fb>
    <v>10</v>
  </rv>
  <rv s="4">
    <v>https://www.bing.com/search?q=homberg+germany&amp;form=skydnc</v>
    <v>Learn more on Bing</v>
  </rv>
  <rv s="10">
    <v>#VALUE!</v>
    <v>de-DE</v>
    <v>e330cdc2-eb13-cbdd-11a3-a5a50e443dc6</v>
    <v>536870912</v>
    <v>1</v>
    <v>480</v>
    <v>39</v>
    <v>40</v>
    <v>Homberg</v>
    <v>5</v>
    <v>6</v>
    <v>Map</v>
    <v>7</v>
    <v>14</v>
    <v>2247</v>
    <v>Homberg is a small town in the northern part of Hesse, a state in central Germany, with about 15,000 inhabitants. It is the seat of the Schwalm-Eder district. In 2008, the town hosted the 48th Hessentag state festival.</v>
    <v>2248</v>
    <v>2249</v>
    <v>2250</v>
    <v>2251</v>
    <v>21</v>
    <v>2252</v>
    <v>2253</v>
    <v>Homberg</v>
    <v>Homberg</v>
    <v>mdp/vdpid/7011936659331612673</v>
    <v>1714</v>
  </rv>
  <rv s="0">
    <v>536870912</v>
    <v>Homburg</v>
    <v>b3b510a4-5953-78cb-f0a1-ccff663f5133</v>
    <v>de-DE</v>
    <v>Map</v>
  </rv>
  <rv s="0">
    <v>805306368</v>
    <v>Rüdiger Schneidewind (Mayor)</v>
    <v>063ef47b-1fe1-0fc5-407c-b6c7ae4b7f6c</v>
    <v>de-DE</v>
    <v>Generic</v>
  </rv>
  <rv s="1">
    <v>207</v>
  </rv>
  <rv s="2">
    <fb>42297</fb>
    <v>9</v>
  </rv>
  <rv s="3">
    <v>215</v>
    <v>7</v>
    <v>481</v>
    <v>7</v>
    <v>0</v>
    <v>Image of Homburg, Saarland</v>
  </rv>
  <rv s="2">
    <fb>49.316666666666997</fb>
    <v>10</v>
  </rv>
  <rv s="2">
    <fb>82.61</fb>
    <v>9</v>
  </rv>
  <rv s="2">
    <fb>7.3333333333333002</fb>
    <v>10</v>
  </rv>
  <rv s="4">
    <v>https://www.bing.com/search?q=homburg+germany&amp;form=skydnc</v>
    <v>Learn more on Bing</v>
  </rv>
  <rv s="0">
    <v>536870912</v>
    <v>Saarland</v>
    <v>077b3058-0078-d492-aee0-52b8d21ee39e</v>
    <v>de-DE</v>
    <v>Map</v>
  </rv>
  <rv s="0">
    <v>536870912</v>
    <v>Saarpfalz-Kreis</v>
    <v>98b7e752-b814-4c80-0fb8-1239e4ffaf66</v>
    <v>de-DE</v>
    <v>Map</v>
  </rv>
  <rv s="6">
    <v>#VALUE!</v>
    <v>de-DE</v>
    <v>b3b510a4-5953-78cb-f0a1-ccff663f5133</v>
    <v>536870912</v>
    <v>1</v>
    <v>482</v>
    <v>2</v>
    <v>13</v>
    <v>Homburg, Saarland</v>
    <v>5</v>
    <v>6</v>
    <v>Map</v>
    <v>7</v>
    <v>14</v>
    <v>2257</v>
    <v>Homburg is a town in Saarland, Germany and the administrative seat of the Saarpfalz district. With a population of 43,029 inhabitants, it is the third largest town in the state. The city offers over 30,000 workplaces. The medical department of ...</v>
    <v>2258</v>
    <v>2259</v>
    <v>2260</v>
    <v>2261</v>
    <v>21</v>
    <v>2262</v>
    <v>2263</v>
    <v>Homburg, Saarland</v>
    <v>Homburg, Saarland</v>
    <v>mdp/vdpid/7014592386424635393</v>
    <v>2264</v>
    <v>2265</v>
  </rv>
  <rv s="0">
    <v>536870912</v>
    <v>Hoyerswerda</v>
    <v>1e414c2c-4e54-c4dc-db8f-8b4ce6687670</v>
    <v>de-DE</v>
    <v>Map</v>
  </rv>
  <rv s="0">
    <v>805306368</v>
    <v>Torsten Ruban-Zeh (Mayor)</v>
    <v>3e19946d-6a6e-5c1c-4011-453eb183940d</v>
    <v>de-DE</v>
    <v>Generic</v>
  </rv>
  <rv s="1">
    <v>208</v>
  </rv>
  <rv s="2">
    <fb>31356</fb>
    <v>9</v>
  </rv>
  <rv s="3">
    <v>216</v>
    <v>7</v>
    <v>483</v>
    <v>7</v>
    <v>0</v>
    <v>Image of Hoyerswerda</v>
  </rv>
  <rv s="2">
    <fb>51.433055555556003</fb>
    <v>10</v>
  </rv>
  <rv s="2">
    <fb>95.44</fb>
    <v>9</v>
  </rv>
  <rv s="2">
    <fb>14.25</fb>
    <v>10</v>
  </rv>
  <rv s="4">
    <v>https://www.bing.com/search?q=hoyerswerda&amp;form=skydnc</v>
    <v>Learn more on Bing</v>
  </rv>
  <rv s="6">
    <v>#VALUE!</v>
    <v>de-DE</v>
    <v>1e414c2c-4e54-c4dc-db8f-8b4ce6687670</v>
    <v>536870912</v>
    <v>1</v>
    <v>484</v>
    <v>2</v>
    <v>13</v>
    <v>Hoyerswerda</v>
    <v>5</v>
    <v>6</v>
    <v>Map</v>
    <v>7</v>
    <v>14</v>
    <v>2269</v>
    <v>Hoyerswerda or Wojerecy is a major district town in the district of Bautzen in the German state of Saxony. It is located in the Sorbian settlement area of Upper Lusatia, in which the Upper Sorbian language is spoken in addition to German.</v>
    <v>2270</v>
    <v>2271</v>
    <v>2272</v>
    <v>2273</v>
    <v>21</v>
    <v>2274</v>
    <v>2275</v>
    <v>Hoyerswerda</v>
    <v>Hoyerswerda</v>
    <v>mdp/vdpid/7018603061413150721</v>
    <v>106</v>
    <v>391</v>
  </rv>
  <rv s="0">
    <v>536870912</v>
    <v>Hückelhoven</v>
    <v>fc067ef1-3516-ac61-7426-362af6435582</v>
    <v>de-DE</v>
    <v>Map</v>
  </rv>
  <rv s="0">
    <v>805306368</v>
    <v>Bernd Jansen (Mayor)</v>
    <v>12a713fe-e0ae-6407-e494-c69ec9382d3a</v>
    <v>de-DE</v>
    <v>Generic</v>
  </rv>
  <rv s="1">
    <v>209</v>
  </rv>
  <rv s="2">
    <fb>41301</fb>
    <v>9</v>
  </rv>
  <rv s="3">
    <v>217</v>
    <v>7</v>
    <v>485</v>
    <v>7</v>
    <v>0</v>
    <v>Image of Hückelhoven</v>
  </rv>
  <rv s="2">
    <fb>51.060833333333001</fb>
    <v>10</v>
  </rv>
  <rv s="2">
    <fb>61.27</fb>
    <v>9</v>
  </rv>
  <rv s="2">
    <fb>6.2197222222221997</fb>
    <v>10</v>
  </rv>
  <rv s="4">
    <v>https://www.bing.com/search?q=h%c3%bcckelhoven+germany&amp;form=skydnc</v>
    <v>Learn more on Bing</v>
  </rv>
  <rv s="0">
    <v>536870912</v>
    <v>Heinsberg</v>
    <v>4b7d9371-6102-b75b-d37a-bee2a3d2474f</v>
    <v>de-DE</v>
    <v>Map</v>
  </rv>
  <rv s="6">
    <v>#VALUE!</v>
    <v>de-DE</v>
    <v>fc067ef1-3516-ac61-7426-362af6435582</v>
    <v>536870912</v>
    <v>1</v>
    <v>486</v>
    <v>2</v>
    <v>13</v>
    <v>Hückelhoven</v>
    <v>5</v>
    <v>6</v>
    <v>Map</v>
    <v>7</v>
    <v>14</v>
    <v>2279</v>
    <v>Hückelhoven is a town in the district of Heinsberg, in North Rhine-Westphalia, Germany. It is situated on the river Rur, approx. 10 km east of Heinsberg, 20 km south-west of Mönchengladbach and approximately 15 km from the border with the ...</v>
    <v>2280</v>
    <v>2281</v>
    <v>2282</v>
    <v>2283</v>
    <v>21</v>
    <v>2284</v>
    <v>2285</v>
    <v>Hückelhoven</v>
    <v>Hückelhoven</v>
    <v>mdp/vdpid/7011347842937651201</v>
    <v>10</v>
    <v>2286</v>
  </rv>
  <rv s="0">
    <v>536870912</v>
    <v>Hürth</v>
    <v>85d4e507-00d7-8453-889f-51e2cda562fe</v>
    <v>de-DE</v>
    <v>Map</v>
  </rv>
  <rv s="0">
    <v>805306368</v>
    <v>Dirk Breuer (Mayor)</v>
    <v>1f804f41-ffe8-32d4-cee0-698b4107a5e4</v>
    <v>de-DE</v>
    <v>Generic</v>
  </rv>
  <rv s="1">
    <v>210</v>
  </rv>
  <rv s="2">
    <fb>60969</fb>
    <v>9</v>
  </rv>
  <rv s="3">
    <v>218</v>
    <v>7</v>
    <v>487</v>
    <v>7</v>
    <v>0</v>
    <v>Image of Hürth</v>
  </rv>
  <rv s="2">
    <fb>50.877499999999998</fb>
    <v>10</v>
  </rv>
  <rv s="2">
    <fb>51.22</fb>
    <v>9</v>
  </rv>
  <rv s="2">
    <fb>6.8761111111110997</fb>
    <v>10</v>
  </rv>
  <rv s="4">
    <v>https://www.bing.com/search?q=h%c3%bcrth+germany&amp;form=skydnc</v>
    <v>Learn more on Bing</v>
  </rv>
  <rv s="11">
    <v>#VALUE!</v>
    <v>de-DE</v>
    <v>85d4e507-00d7-8453-889f-51e2cda562fe</v>
    <v>536870912</v>
    <v>1</v>
    <v>488</v>
    <v>17</v>
    <v>57</v>
    <v>Hürth</v>
    <v>5</v>
    <v>6</v>
    <v>Map</v>
    <v>7</v>
    <v>14</v>
    <v>2290</v>
    <v>Hürth is a town in the Rhein-Erft-Kreis, North Rhine-Westphalia, Germany. Hürth shares borders with the city of Cologne and is about 6 km to the southwest of Cologne city centre, at the northeastern slope of the natural preserve ...</v>
    <v>2291</v>
    <v>2292</v>
    <v>2293</v>
    <v>2294</v>
    <v>21</v>
    <v>2295</v>
    <v>2296</v>
    <v>Hürth</v>
    <v>Hürth</v>
    <v>mdp/vdpid/7011394834527158273</v>
    <v>10</v>
  </rv>
  <rv s="0">
    <v>536870912</v>
    <v>Husum</v>
    <v>5f2a1d16-e559-8223-bc30-6497515b8944</v>
    <v>de-DE</v>
    <v>Map</v>
  </rv>
  <rv s="0">
    <v>805306368</v>
    <v>Martin Kindl (Mayor)</v>
    <v>a15dc417-bca1-a363-8ac1-bda45bab77e3</v>
    <v>de-DE</v>
    <v>Generic</v>
  </rv>
  <rv s="1">
    <v>211</v>
  </rv>
  <rv s="2">
    <fb>23735</fb>
    <v>9</v>
  </rv>
  <rv s="3">
    <v>219</v>
    <v>7</v>
    <v>489</v>
    <v>7</v>
    <v>0</v>
    <v>Image of Husum</v>
  </rv>
  <rv s="2">
    <fb>54.476944444444001</fb>
    <v>10</v>
  </rv>
  <rv s="2">
    <fb>25.8</fb>
    <v>9</v>
  </rv>
  <rv s="2">
    <fb>9.0511111111110996</fb>
    <v>10</v>
  </rv>
  <rv s="4">
    <v>https://www.bing.com/search?q=husum+germany&amp;form=skydnc</v>
    <v>Learn more on Bing</v>
  </rv>
  <rv s="0">
    <v>536870912</v>
    <v>Nordfriesland district</v>
    <v>18574a7c-0175-1298-49d8-d35fa14f93ca</v>
    <v>de-DE</v>
    <v>Map</v>
  </rv>
  <rv s="5">
    <v>#VALUE!</v>
    <v>de-DE</v>
    <v>5f2a1d16-e559-8223-bc30-6497515b8944</v>
    <v>536870912</v>
    <v>1</v>
    <v>490</v>
    <v>2</v>
    <v>3</v>
    <v>Husum</v>
    <v>5</v>
    <v>6</v>
    <v>Map</v>
    <v>7</v>
    <v>14</v>
    <v>2300</v>
    <v>Husum is the capital of the Kreis Nordfriesland in Schleswig-Holstein, Germany. The town was the birthplace of the novelist Theodor Storm, who coined the epithet "the grey town by the sea". It is also the home of the annual international piano ...</v>
    <v>2301</v>
    <v>2302</v>
    <v>2303</v>
    <v>2304</v>
    <v>21</v>
    <v>2305</v>
    <v>2306</v>
    <v>Husum</v>
    <v>Husum</v>
    <v>mdp/vdpid/7010714684546351106</v>
    <v>326</v>
    <v>2307</v>
    <v>12</v>
  </rv>
  <rv s="0">
    <v>536870912</v>
    <v>Ibbenbüren</v>
    <v>8202bc37-6f95-7ab5-23e7-01ca1880d270</v>
    <v>de-DE</v>
    <v>Map</v>
  </rv>
  <rv s="0">
    <v>805306368</v>
    <v>Dr. Marc Schrameyer (Mayor)</v>
    <v>af1ea9ed-7c16-0ede-fc91-e29196f60af0</v>
    <v>de-DE</v>
    <v>Generic</v>
  </rv>
  <rv s="1">
    <v>212</v>
  </rv>
  <rv s="2">
    <fb>52421</fb>
    <v>9</v>
  </rv>
  <rv s="3">
    <v>220</v>
    <v>7</v>
    <v>491</v>
    <v>7</v>
    <v>0</v>
    <v>Image of Ibbenbüren</v>
  </rv>
  <rv s="2">
    <fb>52.277777777777999</fb>
    <v>10</v>
  </rv>
  <rv s="2">
    <fb>108.87</fb>
    <v>9</v>
  </rv>
  <rv s="2">
    <fb>7.7166666666666996</fb>
    <v>10</v>
  </rv>
  <rv s="4">
    <v>https://www.bing.com/search?q=ibbenb%c3%bcren+germany&amp;form=skydnc</v>
    <v>Learn more on Bing</v>
  </rv>
  <rv s="6">
    <v>#VALUE!</v>
    <v>de-DE</v>
    <v>8202bc37-6f95-7ab5-23e7-01ca1880d270</v>
    <v>536870912</v>
    <v>1</v>
    <v>492</v>
    <v>2</v>
    <v>13</v>
    <v>Ibbenbüren</v>
    <v>5</v>
    <v>6</v>
    <v>Map</v>
    <v>7</v>
    <v>14</v>
    <v>2311</v>
    <v>Ibbenbüren is a medium-sized town in the district of Steinfurt, in North Rhine-Westphalia, Germany.</v>
    <v>2312</v>
    <v>2313</v>
    <v>2314</v>
    <v>2315</v>
    <v>21</v>
    <v>2316</v>
    <v>2317</v>
    <v>Ibbenbüren</v>
    <v>Ibbenbüren</v>
    <v>mdp/vdpid/7011220322321956865</v>
    <v>24</v>
    <v>1270</v>
  </rv>
  <rv s="0">
    <v>536870912</v>
    <v>Idar-Oberstein</v>
    <v>11d4f5dd-39f5-4912-09a9-9eb039b99ca1</v>
    <v>de-DE</v>
    <v>Map</v>
  </rv>
  <rv s="0">
    <v>805306368</v>
    <v>Frank Frühauf (Mayor)</v>
    <v>9ca73a22-f160-24ce-bcb8-49abc7b004ad</v>
    <v>de-DE</v>
    <v>Generic</v>
  </rv>
  <rv s="1">
    <v>213</v>
  </rv>
  <rv s="2">
    <fb>28851</fb>
    <v>9</v>
  </rv>
  <rv s="3">
    <v>221</v>
    <v>7</v>
    <v>493</v>
    <v>7</v>
    <v>0</v>
    <v>Image of Idar-Oberstein</v>
  </rv>
  <rv s="2">
    <fb>49.701944444444003</fb>
    <v>10</v>
  </rv>
  <rv s="2">
    <fb>91.58</fb>
    <v>9</v>
  </rv>
  <rv s="2">
    <fb>7.3252777777778002</fb>
    <v>10</v>
  </rv>
  <rv s="4">
    <v>https://www.bing.com/search?q=idar-oberstein&amp;form=skydnc</v>
    <v>Learn more on Bing</v>
  </rv>
  <rv s="6">
    <v>#VALUE!</v>
    <v>de-DE</v>
    <v>11d4f5dd-39f5-4912-09a9-9eb039b99ca1</v>
    <v>536870912</v>
    <v>1</v>
    <v>494</v>
    <v>2</v>
    <v>13</v>
    <v>Idar-Oberstein</v>
    <v>5</v>
    <v>6</v>
    <v>Map</v>
    <v>7</v>
    <v>14</v>
    <v>2321</v>
    <v>Idar-Oberstein is a town in the Birkenfeld district in Rhineland-Palatinate, Germany. As a Große kreisangehörige Stadt, it assumes some of the responsibilities that for smaller municipalities in the district are assumed by the district ...</v>
    <v>2322</v>
    <v>2323</v>
    <v>2324</v>
    <v>2325</v>
    <v>21</v>
    <v>2326</v>
    <v>2327</v>
    <v>Idar-Oberstein</v>
    <v>Idar-Oberstein</v>
    <v>mdp/vdpid/7014574319074279425</v>
    <v>60</v>
    <v>563</v>
  </rv>
  <rv s="0">
    <v>536870912</v>
    <v>Ilmenau</v>
    <v>3255464a-bcae-8eb4-dd01-df14945ca7c8</v>
    <v>de-DE</v>
    <v>Map</v>
  </rv>
  <rv s="0">
    <v>805306368</v>
    <v>Daniel Schultheiß (Mayor)</v>
    <v>e0ccf27e-53d5-7fc5-aecb-99471733a4ce</v>
    <v>de-DE</v>
    <v>Generic</v>
  </rv>
  <rv s="1">
    <v>214</v>
  </rv>
  <rv s="2">
    <fb>39127</fb>
    <v>9</v>
  </rv>
  <rv s="3">
    <v>222</v>
    <v>7</v>
    <v>495</v>
    <v>7</v>
    <v>0</v>
    <v>Image of Ilmenau</v>
  </rv>
  <rv s="2">
    <fb>50.687222222221997</fb>
    <v>10</v>
  </rv>
  <rv s="2">
    <fb>168.18</fb>
    <v>9</v>
  </rv>
  <rv s="2">
    <fb>10.914166666667001</fb>
    <v>10</v>
  </rv>
  <rv s="4">
    <v>https://www.bing.com/search?q=ilmenau&amp;form=skydnc</v>
    <v>Learn more on Bing</v>
  </rv>
  <rv s="19">
    <v>#VALUE!</v>
    <v>de-DE</v>
    <v>3255464a-bcae-8eb4-dd01-df14945ca7c8</v>
    <v>536870912</v>
    <v>1</v>
    <v>496</v>
    <v>39</v>
    <v>412</v>
    <v>Ilmenau</v>
    <v>5</v>
    <v>6</v>
    <v>Map</v>
    <v>7</v>
    <v>14</v>
    <v>2331</v>
    <v>Ilmenau is a town in Thuringia, central Germany. It is the largest town within the Ilm district with a population of 38,600, while the district capital is Arnstadt. Ilmenau is located approximately 33 km south of Erfurt and 135 km north of ...</v>
    <v>2332</v>
    <v>2333</v>
    <v>2334</v>
    <v>2335</v>
    <v>21</v>
    <v>2336</v>
    <v>2337</v>
    <v>Ilmenau</v>
    <v>Ilmenau</v>
    <v>mdp/vdpid/7012101338477625345</v>
    <v>150</v>
    <v>708</v>
  </rv>
  <rv s="0">
    <v>536870912</v>
    <v>Ingolstadt</v>
    <v>754c05a5-e77c-5da1-56d1-c2a3eaf7923c</v>
    <v>de-DE</v>
    <v>Map</v>
  </rv>
  <rv s="0">
    <v>805306368</v>
    <v>Christian Scharpf (Mayor)</v>
    <v>9d3bf4df-a205-67ee-4825-c165506a2f82</v>
    <v>de-DE</v>
    <v>Generic</v>
  </rv>
  <rv s="1">
    <v>215</v>
  </rv>
  <rv s="2">
    <fb>138016</fb>
    <v>9</v>
  </rv>
  <rv s="3">
    <v>223</v>
    <v>7</v>
    <v>497</v>
    <v>7</v>
    <v>0</v>
    <v>Image of Ingolstadt</v>
  </rv>
  <rv s="2">
    <fb>48.763055555555603</fb>
    <v>10</v>
  </rv>
  <rv s="2">
    <fb>133.35</fb>
    <v>9</v>
  </rv>
  <rv s="2">
    <fb>11.425000000000001</fb>
    <v>10</v>
  </rv>
  <rv s="4">
    <v>https://www.bing.com/search?q=ingolstadt&amp;form=skydnc</v>
    <v>Learn more on Bing</v>
  </rv>
  <rv s="9">
    <v>#VALUE!</v>
    <v>de-DE</v>
    <v>754c05a5-e77c-5da1-56d1-c2a3eaf7923c</v>
    <v>536870912</v>
    <v>1</v>
    <v>498</v>
    <v>27</v>
    <v>28</v>
    <v>Ingolstadt</v>
    <v>5</v>
    <v>6</v>
    <v>Map</v>
    <v>7</v>
    <v>8</v>
    <v>2341</v>
    <v>Ingolstadt is an independent city on the Danube, in Upper Bavaria, with 139,553 inhabitants. Around half a million people live in the metropolitan area. Ingolstadt is the second largest city in Upper Bavaria after Munich and the fifth largest ...</v>
    <v>2342</v>
    <v>2343</v>
    <v>2344</v>
    <v>2345</v>
    <v>21</v>
    <v>2346</v>
    <v>2347</v>
    <v>Ingolstadt</v>
    <v>Ingolstadt</v>
    <v>mdp/vdpid/7021412775364657153</v>
  </rv>
  <rv s="0">
    <v>536870912</v>
    <v>Iserlohn</v>
    <v>c25063eb-07ae-2063-c221-cd4fa023528a</v>
    <v>de-DE</v>
    <v>Map</v>
  </rv>
  <rv s="0">
    <v>805306368</v>
    <v>Michael Joithe (Mayor)</v>
    <v>2be99980-b9dd-424e-0e74-029f374ee41d</v>
    <v>de-DE</v>
    <v>Generic</v>
  </rv>
  <rv s="1">
    <v>216</v>
  </rv>
  <rv s="2">
    <fb>92540</fb>
    <v>9</v>
  </rv>
  <rv s="3">
    <v>224</v>
    <v>7</v>
    <v>499</v>
    <v>7</v>
    <v>0</v>
    <v>Image of Iserlohn</v>
  </rv>
  <rv s="2">
    <fb>125.49</fb>
    <v>9</v>
  </rv>
  <rv s="2">
    <fb>7.6666666666666696</fb>
    <v>10</v>
  </rv>
  <rv s="4">
    <v>https://www.bing.com/search?q=iserlohn+germany&amp;form=skydnc</v>
    <v>Learn more on Bing</v>
  </rv>
  <rv s="10">
    <v>#VALUE!</v>
    <v>de-DE</v>
    <v>c25063eb-07ae-2063-c221-cd4fa023528a</v>
    <v>536870912</v>
    <v>1</v>
    <v>500</v>
    <v>39</v>
    <v>40</v>
    <v>Iserlohn</v>
    <v>5</v>
    <v>6</v>
    <v>Map</v>
    <v>7</v>
    <v>14</v>
    <v>2351</v>
    <v>Iserlohn is a city in the Märkischer Kreis district, in North Rhine-Westphalia, Germany. It is the largest city by population and area within the district and the Sauerland region.</v>
    <v>2352</v>
    <v>2353</v>
    <v>2094</v>
    <v>2354</v>
    <v>21</v>
    <v>2355</v>
    <v>2356</v>
    <v>Iserlohn</v>
    <v>Iserlohn</v>
    <v>mdp/vdpid/7011459226488799233</v>
    <v>2098</v>
  </rv>
  <rv s="0">
    <v>536870912</v>
    <v>Itzehoe</v>
    <v>8f8ef4a7-8078-f3f4-956f-ec154c79c5fd</v>
    <v>de-DE</v>
    <v>Map</v>
  </rv>
  <rv s="0">
    <v>805306368</v>
    <v>Ralf Hoppe (Mayor)</v>
    <v>5060577d-d666-ecde-8a3c-6edaf0acfd15</v>
    <v>de-DE</v>
    <v>Generic</v>
  </rv>
  <rv s="1">
    <v>217</v>
  </rv>
  <rv s="2">
    <fb>32258</fb>
    <v>9</v>
  </rv>
  <rv s="3">
    <v>225</v>
    <v>7</v>
    <v>501</v>
    <v>7</v>
    <v>0</v>
    <v>Image of Itzehoe</v>
  </rv>
  <rv s="2">
    <fb>53.924999999999997</fb>
    <v>10</v>
  </rv>
  <rv s="2">
    <fb>28.03</fb>
    <v>9</v>
  </rv>
  <rv s="2">
    <fb>9.5163888888888994</fb>
    <v>10</v>
  </rv>
  <rv s="4">
    <v>https://www.bing.com/search?q=itzehoe+germany&amp;form=skydnc</v>
    <v>Learn more on Bing</v>
  </rv>
  <rv s="6">
    <v>#VALUE!</v>
    <v>de-DE</v>
    <v>8f8ef4a7-8078-f3f4-956f-ec154c79c5fd</v>
    <v>536870912</v>
    <v>1</v>
    <v>502</v>
    <v>2</v>
    <v>13</v>
    <v>Itzehoe</v>
    <v>5</v>
    <v>6</v>
    <v>Map</v>
    <v>7</v>
    <v>14</v>
    <v>2360</v>
    <v>Itzehoe is a town in Schleswig-Holstein in northern Germany. As the capital of the district Steinburg, Itzehoe is located on the Stör, a navigable tributary of the Elbe, 51 km northwest of Hamburg and 24 km north of Glückstadt. The population is ...</v>
    <v>2361</v>
    <v>2362</v>
    <v>2363</v>
    <v>2364</v>
    <v>21</v>
    <v>2365</v>
    <v>2366</v>
    <v>Itzehoe</v>
    <v>Itzehoe</v>
    <v>mdp/vdpid/7010816012002000897</v>
    <v>326</v>
    <v>1745</v>
  </rv>
  <rv s="0">
    <v>536870912</v>
    <v>Jena</v>
    <v>838f2bde-29b5-788d-aee7-d703bba721b8</v>
    <v>de-DE</v>
    <v>Map</v>
  </rv>
  <rv s="0">
    <v>805306368</v>
    <v>Thomas Nitzsche (Mayor)</v>
    <v>806df45a-7d35-355e-4ee8-c4a4ebbd6d13</v>
    <v>de-DE</v>
    <v>Generic</v>
  </rv>
  <rv s="1">
    <v>218</v>
  </rv>
  <rv s="2">
    <fb>111191</fb>
    <v>9</v>
  </rv>
  <rv s="3">
    <v>226</v>
    <v>7</v>
    <v>503</v>
    <v>7</v>
    <v>0</v>
    <v>Image of Jena</v>
  </rv>
  <rv s="2">
    <fb>50.927222222221999</fb>
    <v>10</v>
  </rv>
  <rv s="2">
    <fb>114.76</fb>
    <v>9</v>
  </rv>
  <rv s="2">
    <fb>11.586388888888999</fb>
    <v>10</v>
  </rv>
  <rv s="4">
    <v>https://www.bing.com/search?q=jena&amp;form=skydnc</v>
    <v>Learn more on Bing</v>
  </rv>
  <rv s="9">
    <v>#VALUE!</v>
    <v>de-DE</v>
    <v>838f2bde-29b5-788d-aee7-d703bba721b8</v>
    <v>536870912</v>
    <v>1</v>
    <v>504</v>
    <v>27</v>
    <v>28</v>
    <v>Jena</v>
    <v>5</v>
    <v>6</v>
    <v>Map</v>
    <v>7</v>
    <v>14</v>
    <v>2370</v>
    <v>Jena is a city in Germany and the second largest city in Thuringia. Together with the nearby cities of Erfurt and Weimar, it forms the central metropolitan area of Thuringia with approximately 500,000 inhabitants, while the city itself has a ...</v>
    <v>2371</v>
    <v>2372</v>
    <v>2373</v>
    <v>2374</v>
    <v>21</v>
    <v>2375</v>
    <v>2376</v>
    <v>Jena</v>
    <v>Jena</v>
    <v>mdp/vdpid/7018112377186942977</v>
  </rv>
  <rv s="0">
    <v>536870912</v>
    <v>Kahl am Main</v>
    <v>aa3dccbe-8c71-3e5f-2f79-8f73833c86d0</v>
    <v>de-DE</v>
    <v>Map</v>
  </rv>
  <rv s="0">
    <v>805306368</v>
    <v>Jürgen Seitz (Mayor)</v>
    <v>b8ee5567-8dd3-d9f8-f5f0-45e5c12ef8f8</v>
    <v>de-DE</v>
    <v>Generic</v>
  </rv>
  <rv s="1">
    <v>219</v>
  </rv>
  <rv s="2">
    <fb>8437</fb>
    <v>9</v>
  </rv>
  <rv s="3">
    <v>227</v>
    <v>7</v>
    <v>505</v>
    <v>7</v>
    <v>0</v>
    <v>Image of Kahl am Main</v>
  </rv>
  <rv s="2">
    <fb>50.068055555556001</fb>
    <v>10</v>
  </rv>
  <rv s="2">
    <fb>10.64</fb>
    <v>9</v>
  </rv>
  <rv s="2">
    <fb>9.0066666666666997</fb>
    <v>10</v>
  </rv>
  <rv s="4">
    <v>https://www.bing.com/search?q=kahl+am+main+germany&amp;form=skydnc</v>
    <v>Learn more on Bing</v>
  </rv>
  <rv s="0">
    <v>536870912</v>
    <v>Aschaffenburg</v>
    <v>acad21fa-847a-badb-0409-a45d84fff9f8</v>
    <v>de-DE</v>
    <v>Map</v>
  </rv>
  <rv s="10">
    <v>#VALUE!</v>
    <v>de-DE</v>
    <v>aa3dccbe-8c71-3e5f-2f79-8f73833c86d0</v>
    <v>536870912</v>
    <v>1</v>
    <v>506</v>
    <v>39</v>
    <v>40</v>
    <v>Kahl am Main</v>
    <v>5</v>
    <v>6</v>
    <v>Map</v>
    <v>7</v>
    <v>14</v>
    <v>2380</v>
    <v>Kahl am Main is a community in the Aschaffenburg district in the Regierungsbezirk of Lower Franconia in Bavaria, Germany. It has around 7,500 inhabitants.</v>
    <v>2381</v>
    <v>2382</v>
    <v>2383</v>
    <v>2384</v>
    <v>21</v>
    <v>2385</v>
    <v>2386</v>
    <v>Kahl am Main</v>
    <v>Kahl am Main</v>
    <v>mdp/vdpid/7014949555149996033</v>
    <v>2387</v>
  </rv>
  <rv s="0">
    <v>536870912</v>
    <v>Kaiserslautern</v>
    <v>5057f97c-27da-ee51-ef8f-ff3290eefe0b</v>
    <v>de-DE</v>
    <v>Map</v>
  </rv>
  <rv s="0">
    <v>805306368</v>
    <v>Beate Kimmel (Mayor)</v>
    <v>b289f5b8-da63-b74c-9fcf-4f3e9353f3e7</v>
    <v>de-DE</v>
    <v>Generic</v>
  </rv>
  <rv s="1">
    <v>220</v>
  </rv>
  <rv s="2">
    <fb>101228</fb>
    <v>9</v>
  </rv>
  <rv s="3">
    <v>228</v>
    <v>7</v>
    <v>507</v>
    <v>7</v>
    <v>0</v>
    <v>Image of Kaiserslautern</v>
  </rv>
  <rv s="2">
    <fb>49.444722222221998</fb>
    <v>10</v>
  </rv>
  <rv s="2">
    <fb>139.69999999999999</fb>
    <v>9</v>
  </rv>
  <rv s="2">
    <fb>7.7688888888888998</fb>
    <v>10</v>
  </rv>
  <rv s="4">
    <v>https://www.bing.com/search?q=kaiserslautern&amp;form=skydnc</v>
    <v>Learn more on Bing</v>
  </rv>
  <rv s="11">
    <v>#VALUE!</v>
    <v>de-DE</v>
    <v>5057f97c-27da-ee51-ef8f-ff3290eefe0b</v>
    <v>536870912</v>
    <v>1</v>
    <v>508</v>
    <v>17</v>
    <v>57</v>
    <v>Kaiserslautern</v>
    <v>5</v>
    <v>6</v>
    <v>Map</v>
    <v>7</v>
    <v>14</v>
    <v>2391</v>
    <v>Kaiserslautern is a town in southwest Germany, located in the state of Rhineland-Palatinate at the edge of the Palatinate Forest. The historic centre dates to the 9th century. It is 459 kilometres from Paris, 117 km from Frankfurt am Main, 666 ...</v>
    <v>2392</v>
    <v>2393</v>
    <v>2394</v>
    <v>2395</v>
    <v>21</v>
    <v>2396</v>
    <v>2397</v>
    <v>Kaiserslautern</v>
    <v>Kaiserslautern</v>
    <v>mdp/vdpid/7014598030129102849</v>
    <v>60</v>
  </rv>
  <rv s="0">
    <v>536870912</v>
    <v>Kamen</v>
    <v>e4a202e4-c1ab-295e-5a85-63d7b5f36ebd</v>
    <v>de-DE</v>
    <v>Map</v>
  </rv>
  <rv s="0">
    <v>805306368</v>
    <v>Elke Kappen (Mayor)</v>
    <v>9aec0e8c-d454-004a-0481-787748e6150d</v>
    <v>de-DE</v>
    <v>Generic</v>
  </rv>
  <rv s="1">
    <v>221</v>
  </rv>
  <rv s="2">
    <fb>43058</fb>
    <v>9</v>
  </rv>
  <rv s="3">
    <v>229</v>
    <v>7</v>
    <v>509</v>
    <v>7</v>
    <v>0</v>
    <v>Image of Kamen</v>
  </rv>
  <rv s="2">
    <fb>51.591666666667003</fb>
    <v>10</v>
  </rv>
  <rv s="2">
    <fb>40.950000000000003</fb>
    <v>9</v>
  </rv>
  <rv s="2">
    <fb>7.6652777777778001</fb>
    <v>10</v>
  </rv>
  <rv s="4">
    <v>https://www.bing.com/search?q=kamen+germany&amp;form=skydnc</v>
    <v>Learn more on Bing</v>
  </rv>
  <rv s="0">
    <v>536870912</v>
    <v>Unna</v>
    <v>2b2894df-bba6-ab42-944e-070aca3810ba</v>
    <v>de-DE</v>
    <v>Map</v>
  </rv>
  <rv s="10">
    <v>#VALUE!</v>
    <v>de-DE</v>
    <v>e4a202e4-c1ab-295e-5a85-63d7b5f36ebd</v>
    <v>536870912</v>
    <v>1</v>
    <v>510</v>
    <v>39</v>
    <v>40</v>
    <v>Kamen</v>
    <v>5</v>
    <v>6</v>
    <v>Map</v>
    <v>7</v>
    <v>14</v>
    <v>2401</v>
    <v>Kamen is a town in North Rhine-Westphalia, Germany, in the district Unna.</v>
    <v>2402</v>
    <v>2403</v>
    <v>2404</v>
    <v>2405</v>
    <v>21</v>
    <v>2406</v>
    <v>2407</v>
    <v>Kamen</v>
    <v>Kamen</v>
    <v>mdp/vdpid/7011430441785753601</v>
    <v>2408</v>
  </rv>
  <rv s="0">
    <v>536870912</v>
    <v>Kamenz</v>
    <v>21ee01e6-be42-e15d-0b4c-1a6647abca04</v>
    <v>de-DE</v>
    <v>Map</v>
  </rv>
  <rv s="0">
    <v>805306368</v>
    <v>Roland Dantz (Mayor)</v>
    <v>09d515d2-c999-3e27-14f6-21dd8c1958e2</v>
    <v>de-DE</v>
    <v>Generic</v>
  </rv>
  <rv s="1">
    <v>222</v>
  </rv>
  <rv s="2">
    <fb>17015</fb>
    <v>9</v>
  </rv>
  <rv s="3">
    <v>230</v>
    <v>7</v>
    <v>511</v>
    <v>7</v>
    <v>0</v>
    <v>Image of Kamenz</v>
  </rv>
  <rv s="2">
    <fb>51.266666666667</fb>
    <v>10</v>
  </rv>
  <rv s="2">
    <fb>53.25</fb>
    <v>9</v>
  </rv>
  <rv s="2">
    <fb>14.1</fb>
    <v>10</v>
  </rv>
  <rv s="4">
    <v>https://www.bing.com/search?q=kamenz+germany&amp;form=skydnc</v>
    <v>Learn more on Bing</v>
  </rv>
  <rv s="6">
    <v>#VALUE!</v>
    <v>de-DE</v>
    <v>21ee01e6-be42-e15d-0b4c-1a6647abca04</v>
    <v>536870912</v>
    <v>1</v>
    <v>512</v>
    <v>2</v>
    <v>13</v>
    <v>Kamenz</v>
    <v>5</v>
    <v>6</v>
    <v>Map</v>
    <v>7</v>
    <v>14</v>
    <v>2412</v>
    <v>Kamenz or Kamjenc is a town in the district of Bautzen in Saxony, Germany. Until 2008 it was the administrative seat of Kamenz District. The town is known as the birthplace of the philosopher and poet Gotthold Ephraim Lessing and Bruno ...</v>
    <v>2413</v>
    <v>2414</v>
    <v>2415</v>
    <v>2416</v>
    <v>21</v>
    <v>2417</v>
    <v>2418</v>
    <v>Kamenz</v>
    <v>Kamenz</v>
    <v>mdp/vdpid/7018649213504323585</v>
    <v>106</v>
    <v>391</v>
  </rv>
  <rv s="0">
    <v>536870912</v>
    <v>Kamp-Lintfort</v>
    <v>baaaff3a-c52d-7b80-61b8-da97d6a045ae</v>
    <v>de-DE</v>
    <v>Map</v>
  </rv>
  <rv s="0">
    <v>805306368</v>
    <v>Christoph Landscheidt (Mayor)</v>
    <v>8e2a83ca-4f82-5dc1-62b5-cac08a88f4f0</v>
    <v>de-DE</v>
    <v>Generic</v>
  </rv>
  <rv s="1">
    <v>223</v>
  </rv>
  <rv s="2">
    <fb>38665</fb>
    <v>9</v>
  </rv>
  <rv s="3">
    <v>231</v>
    <v>7</v>
    <v>513</v>
    <v>7</v>
    <v>0</v>
    <v>Image of Kamp-Lintfort</v>
  </rv>
  <rv s="2">
    <fb>51.5</fb>
    <v>10</v>
  </rv>
  <rv s="2">
    <fb>63.14</fb>
    <v>9</v>
  </rv>
  <rv s="2">
    <fb>6.5333333333333297</fb>
    <v>10</v>
  </rv>
  <rv s="4">
    <v>https://www.bing.com/search?q=kamp-lintfort+germany&amp;form=skydnc</v>
    <v>Learn more on Bing</v>
  </rv>
  <rv s="6">
    <v>#VALUE!</v>
    <v>de-DE</v>
    <v>baaaff3a-c52d-7b80-61b8-da97d6a045ae</v>
    <v>536870912</v>
    <v>1</v>
    <v>514</v>
    <v>2</v>
    <v>13</v>
    <v>Kamp-Lintfort</v>
    <v>5</v>
    <v>6</v>
    <v>Map</v>
    <v>7</v>
    <v>14</v>
    <v>2422</v>
    <v>Kamp-Lintfort is a town in Wesel District, in North Rhine-Westphalia, Germany. It is located 8 kilometres north-west of Moers.</v>
    <v>2423</v>
    <v>2424</v>
    <v>2425</v>
    <v>2426</v>
    <v>21</v>
    <v>2427</v>
    <v>2428</v>
    <v>Kamp-Lintfort</v>
    <v>Kamp-Lintfort</v>
    <v>mdp/vdpid/7011316779804786690</v>
    <v>1029</v>
    <v>1030</v>
  </rv>
  <rv s="0">
    <v>536870912</v>
    <v>Karlshuld</v>
    <v>bd3e87bf-0358-2caa-28bc-1bf53d6b1b95</v>
    <v>de-DE</v>
    <v>Map</v>
  </rv>
  <rv s="0">
    <v>805306368</v>
    <v>Michael Lederer (Mayor)</v>
    <v>26418cf6-5b19-bbd3-2ad8-fecee2a726a9</v>
    <v>de-DE</v>
    <v>Generic</v>
  </rv>
  <rv s="1">
    <v>224</v>
  </rv>
  <rv s="2">
    <fb>6091</fb>
    <v>9</v>
  </rv>
  <rv s="3">
    <v>232</v>
    <v>7</v>
    <v>515</v>
    <v>7</v>
    <v>0</v>
    <v>Image of Karlshuld</v>
  </rv>
  <rv s="2">
    <fb>48.683333333333003</fb>
    <v>10</v>
  </rv>
  <rv s="2">
    <fb>29.09</fb>
    <v>9</v>
  </rv>
  <rv s="2">
    <fb>11.3</fb>
    <v>10</v>
  </rv>
  <rv s="4">
    <v>https://www.bing.com/search?q=karlshuld+germany&amp;form=skydnc</v>
    <v>Learn more on Bing</v>
  </rv>
  <rv s="0">
    <v>536870912</v>
    <v>Neuburg-Schrobenhausen</v>
    <v>64ae2723-98fb-306f-fc4a-4f70b0675d6b</v>
    <v>de-DE</v>
    <v>Map</v>
  </rv>
  <rv s="10">
    <v>#VALUE!</v>
    <v>de-DE</v>
    <v>bd3e87bf-0358-2caa-28bc-1bf53d6b1b95</v>
    <v>536870912</v>
    <v>1</v>
    <v>516</v>
    <v>39</v>
    <v>40</v>
    <v>Karlshuld</v>
    <v>5</v>
    <v>6</v>
    <v>Map</v>
    <v>7</v>
    <v>14</v>
    <v>2432</v>
    <v>Karlshuld is a municipality in the district of Neuburg-Schrobenhausen in Bavaria in Germany.</v>
    <v>2433</v>
    <v>2434</v>
    <v>2435</v>
    <v>2436</v>
    <v>21</v>
    <v>2437</v>
    <v>2438</v>
    <v>Karlshuld</v>
    <v>Karlshuld</v>
    <v>mdp/vdpid/7021412382123491329</v>
    <v>2439</v>
  </rv>
  <rv s="0">
    <v>536870912</v>
    <v>Karlsruhe</v>
    <v>2ea25709-b80f-40c5-32b8-354fbd6f9ce0</v>
    <v>de-DE</v>
    <v>Map</v>
  </rv>
  <rv s="0">
    <v>805306368</v>
    <v>Frank Mentrup (Mayor)</v>
    <v>4c0c3c3f-9ec5-9a3b-de44-acb68095bf01</v>
    <v>de-DE</v>
    <v>Generic</v>
  </rv>
  <rv s="1">
    <v>225</v>
  </rv>
  <rv s="2">
    <fb>308707</fb>
    <v>9</v>
  </rv>
  <rv s="3">
    <v>233</v>
    <v>7</v>
    <v>517</v>
    <v>7</v>
    <v>0</v>
    <v>Image of Karlsruhe</v>
  </rv>
  <rv s="2">
    <fb>49.016666666667</fb>
    <v>10</v>
  </rv>
  <rv s="2">
    <fb>173.42</fb>
    <v>9</v>
  </rv>
  <rv s="4">
    <v>https://www.bing.com/search?q=karlsruhe&amp;form=skydnc</v>
    <v>Learn more on Bing</v>
  </rv>
  <rv s="11">
    <v>#VALUE!</v>
    <v>de-DE</v>
    <v>2ea25709-b80f-40c5-32b8-354fbd6f9ce0</v>
    <v>536870912</v>
    <v>1</v>
    <v>518</v>
    <v>17</v>
    <v>57</v>
    <v>Karlsruhe</v>
    <v>5</v>
    <v>6</v>
    <v>Map</v>
    <v>7</v>
    <v>14</v>
    <v>2443</v>
    <v>Karlsruhe is the third-largest city of the German state of Baden-Württemberg after its capital Stuttgart and Mannheim, and the 22nd-largest city in the nation, with 308,436 inhabitants. It is also a former capital of Baden, a historic region ...</v>
    <v>2444</v>
    <v>2445</v>
    <v>2446</v>
    <v>2447</v>
    <v>21</v>
    <v>1363</v>
    <v>2448</v>
    <v>Karlsruhe</v>
    <v>Karlsruhe</v>
    <v>mdp/vdpid/7014829784618237953</v>
    <v>359</v>
  </rv>
  <rv s="0">
    <v>536870912</v>
    <v>Kassel</v>
    <v>a5d3cf21-c4c8-0e81-1fd4-1948ce2fee8e</v>
    <v>de-DE</v>
    <v>Map</v>
  </rv>
  <rv s="0">
    <v>805306368</v>
    <v>Sven Schoeller (Mayor)</v>
    <v>9be24c5b-0a39-5eca-3b4f-5adaa788c513</v>
    <v>de-DE</v>
    <v>Generic</v>
  </rv>
  <rv s="1">
    <v>226</v>
  </rv>
  <rv s="2">
    <fb>204202</fb>
    <v>9</v>
  </rv>
  <rv s="3">
    <v>234</v>
    <v>7</v>
    <v>519</v>
    <v>7</v>
    <v>0</v>
    <v>Image of Kassel</v>
  </rv>
  <rv s="2">
    <fb>51.315777777778003</fb>
    <v>10</v>
  </rv>
  <rv s="2">
    <fb>106.78</fb>
    <v>9</v>
  </rv>
  <rv s="2">
    <fb>9.4979166666667005</fb>
    <v>10</v>
  </rv>
  <rv s="4">
    <v>https://www.bing.com/search?q=kassel&amp;form=skydnc</v>
    <v>Learn more on Bing</v>
  </rv>
  <rv s="11">
    <v>#VALUE!</v>
    <v>de-DE</v>
    <v>a5d3cf21-c4c8-0e81-1fd4-1948ce2fee8e</v>
    <v>536870912</v>
    <v>1</v>
    <v>520</v>
    <v>17</v>
    <v>57</v>
    <v>Kassel</v>
    <v>5</v>
    <v>6</v>
    <v>Map</v>
    <v>7</v>
    <v>14</v>
    <v>2452</v>
    <v>Kassel is a city on the Fulda River in northern Hesse, in central Germany. It is the administrative seat of the Regierungsbezirk Kassel and the district of the same name and had 201,048 inhabitants in December 2020. The former capital of the ...</v>
    <v>2453</v>
    <v>2454</v>
    <v>2455</v>
    <v>2456</v>
    <v>21</v>
    <v>2457</v>
    <v>2458</v>
    <v>Kassel</v>
    <v>Kassel</v>
    <v>mdp/vdpid/7011890517071888385</v>
    <v>946</v>
  </rv>
  <rv s="0">
    <v>536870912</v>
    <v>Kaufbeuren</v>
    <v>de5f03d5-d44e-0572-c243-780d0f8a3c94</v>
    <v>de-DE</v>
    <v>Map</v>
  </rv>
  <rv s="0">
    <v>805306368</v>
    <v>Stefan Bosse (Mayor)</v>
    <v>9ee9f5fe-50eb-21fa-8c25-b69f372fab04</v>
    <v>de-DE</v>
    <v>Generic</v>
  </rv>
  <rv s="1">
    <v>227</v>
  </rv>
  <rv s="2">
    <fb>45792</fb>
    <v>9</v>
  </rv>
  <rv s="3">
    <v>235</v>
    <v>7</v>
    <v>521</v>
    <v>7</v>
    <v>0</v>
    <v>Image of Kaufbeuren</v>
  </rv>
  <rv s="2">
    <fb>47.88</fb>
    <v>10</v>
  </rv>
  <rv s="2">
    <fb>40.020000000000003</fb>
    <v>9</v>
  </rv>
  <rv s="2">
    <fb>10.6225</fb>
    <v>10</v>
  </rv>
  <rv s="4">
    <v>https://www.bing.com/search?q=kaufbeuren+germany&amp;form=skydnc</v>
    <v>Learn more on Bing</v>
  </rv>
  <rv s="9">
    <v>#VALUE!</v>
    <v>de-DE</v>
    <v>de5f03d5-d44e-0572-c243-780d0f8a3c94</v>
    <v>536870912</v>
    <v>1</v>
    <v>522</v>
    <v>27</v>
    <v>28</v>
    <v>Kaufbeuren</v>
    <v>5</v>
    <v>6</v>
    <v>Map</v>
    <v>7</v>
    <v>14</v>
    <v>2462</v>
    <v>Kaufbeuren is an independent town in the Regierungsbezirk of Swabia, Bavaria. The town is an enclave within the district of Ostallgäu.</v>
    <v>2463</v>
    <v>2464</v>
    <v>2465</v>
    <v>2466</v>
    <v>21</v>
    <v>2467</v>
    <v>2468</v>
    <v>Kaufbeuren</v>
    <v>Kaufbeuren</v>
    <v>mdp/vdpid/7015471104319815681</v>
  </rv>
  <rv s="0">
    <v>536870912</v>
    <v>Kempten</v>
    <v>d4cee57c-16f3-24c6-0db2-490003e855f5</v>
    <v>de-DE</v>
    <v>Map</v>
  </rv>
  <rv s="0">
    <v>805306368</v>
    <v>Thomas Kiechle (Mayor)</v>
    <v>e2cc80f9-b19a-8e79-8456-844fbe150372</v>
    <v>de-DE</v>
    <v>Generic</v>
  </rv>
  <rv s="1">
    <v>228</v>
  </rv>
  <rv s="2">
    <fb>70056</fb>
    <v>9</v>
  </rv>
  <rv s="3">
    <v>236</v>
    <v>7</v>
    <v>523</v>
    <v>7</v>
    <v>0</v>
    <v>Image of Kempten</v>
  </rv>
  <rv s="2">
    <fb>47.733333333333299</fb>
    <v>10</v>
  </rv>
  <rv s="2">
    <fb>63.28</fb>
    <v>9</v>
  </rv>
  <rv s="2">
    <fb>10.3166666666667</fb>
    <v>10</v>
  </rv>
  <rv s="4">
    <v>https://www.bing.com/search?q=kempten+germany&amp;form=skydnc</v>
    <v>Learn more on Bing</v>
  </rv>
  <rv s="9">
    <v>#VALUE!</v>
    <v>de-DE</v>
    <v>d4cee57c-16f3-24c6-0db2-490003e855f5</v>
    <v>536870912</v>
    <v>1</v>
    <v>524</v>
    <v>27</v>
    <v>28</v>
    <v>Kempten</v>
    <v>5</v>
    <v>6</v>
    <v>Map</v>
    <v>7</v>
    <v>14</v>
    <v>2472</v>
    <v>Kempten is the largest town of Allgäu, in Swabia, Bavaria, Germany. The population was about 68,000 in 2016. The area was possibly settled originally by Celts, but was later taken over by the Romans, who called the town Cambodunum. Kempten is ...</v>
    <v>2473</v>
    <v>2474</v>
    <v>2475</v>
    <v>2476</v>
    <v>21</v>
    <v>2477</v>
    <v>2478</v>
    <v>Kempten</v>
    <v>Kempten</v>
    <v>mdp/vdpid/7016197308060532737</v>
  </rv>
  <rv s="0">
    <v>536870912</v>
    <v>Kiel</v>
    <v>f2218f64-d98f-3cab-60d5-8f0d625f9ddf</v>
    <v>de-DE</v>
    <v>Map</v>
  </rv>
  <rv s="0">
    <v>805306368</v>
    <v>Ulf Kämpfer (Mayor)</v>
    <v>8a73536d-eb56-5bfb-2266-5bbc34f257f5</v>
    <v>de-DE</v>
    <v>Generic</v>
  </rv>
  <rv s="1">
    <v>229</v>
  </rv>
  <rv s="2">
    <fb>247717</fb>
    <v>9</v>
  </rv>
  <rv s="3">
    <v>237</v>
    <v>7</v>
    <v>525</v>
    <v>7</v>
    <v>0</v>
    <v>Image of Kiel</v>
  </rv>
  <rv s="2">
    <fb>54.323333333332997</fb>
    <v>10</v>
  </rv>
  <rv s="2">
    <fb>118.65</fb>
    <v>9</v>
  </rv>
  <rv s="2">
    <fb>10.139444444444001</fb>
    <v>10</v>
  </rv>
  <rv s="4">
    <v>https://www.bing.com/search?q=kiel&amp;form=skydnc</v>
    <v>Learn more on Bing</v>
  </rv>
  <rv s="11">
    <v>#VALUE!</v>
    <v>de-DE</v>
    <v>f2218f64-d98f-3cab-60d5-8f0d625f9ddf</v>
    <v>536870912</v>
    <v>1</v>
    <v>526</v>
    <v>17</v>
    <v>57</v>
    <v>Kiel</v>
    <v>5</v>
    <v>6</v>
    <v>Map</v>
    <v>7</v>
    <v>14</v>
    <v>2482</v>
    <v>Kiel is the capital and most populous city in the northern German state of Schleswig-Holstein, with a population of 246,243. Kiel lies approximately 90 kilometres north of Hamburg. Due to its geographic location in the southeast of the Jutland ...</v>
    <v>2483</v>
    <v>2484</v>
    <v>2485</v>
    <v>2486</v>
    <v>21</v>
    <v>2487</v>
    <v>2488</v>
    <v>Kiel</v>
    <v>Kiel</v>
    <v>mdp/vdpid/7010859148002721793</v>
    <v>326</v>
  </rv>
  <rv s="0">
    <v>536870912</v>
    <v>Kirchberg am Walde</v>
    <v>c8df59fe-a120-c6c0-4f2e-ed3719c800a4</v>
    <v>de-DE</v>
    <v>Map</v>
  </rv>
  <rv s="0">
    <v>805306368</v>
    <v>Karl Schützenhofer (Mayor)</v>
    <v>60882200-de21-8f8b-e988-60ac119b652a</v>
    <v>de-DE</v>
    <v>Generic</v>
  </rv>
  <rv s="1">
    <v>230</v>
  </rv>
  <rv s="2">
    <fb>1313</fb>
    <v>9</v>
  </rv>
  <rv s="3">
    <v>238</v>
    <v>7</v>
    <v>527</v>
    <v>7</v>
    <v>0</v>
    <v>Image of Kirchberg am Walde</v>
  </rv>
  <rv s="2">
    <fb>48.716666666667003</fb>
    <v>10</v>
  </rv>
  <rv s="2">
    <fb>37.78</fb>
    <v>9</v>
  </rv>
  <rv s="0">
    <v>536870912</v>
    <v>Austria</v>
    <v>c3f78b59-5e8d-133a-d0e2-ff2e71c4a5d5</v>
    <v>de-DE</v>
    <v>Map</v>
  </rv>
  <rv s="2">
    <fb>15.083333333333</fb>
    <v>10</v>
  </rv>
  <rv s="4">
    <v>https://www.bing.com/search?q=kirchberg+am+walde+austria&amp;form=skydnc</v>
    <v>Learn more on Bing</v>
  </rv>
  <rv s="0">
    <v>536870912</v>
    <v>Lower Austria</v>
    <v>4dcd6132-5fe3-19ce-a37c-ff75732178e2</v>
    <v>de-DE</v>
    <v>Map</v>
  </rv>
  <rv s="0">
    <v>536870912</v>
    <v>Gmünd District</v>
    <v>1aed5eba-be64-78ca-cd21-bea70a1422a3</v>
    <v>de-DE</v>
    <v>Map</v>
  </rv>
  <rv s="6">
    <v>#VALUE!</v>
    <v>de-DE</v>
    <v>c8df59fe-a120-c6c0-4f2e-ed3719c800a4</v>
    <v>536870912</v>
    <v>1</v>
    <v>528</v>
    <v>2</v>
    <v>13</v>
    <v>Kirchberg am Walde</v>
    <v>5</v>
    <v>6</v>
    <v>Map</v>
    <v>7</v>
    <v>529</v>
    <v>2492</v>
    <v>Kirchberg am Walde is a town in the district of Gmünd in Lower Austria, Austria. The Austrian operatic bass Johann Michael Weinkopf was born here in 1780.</v>
    <v>2493</v>
    <v>2494</v>
    <v>2495</v>
    <v>2496</v>
    <v>2497</v>
    <v>2498</v>
    <v>2499</v>
    <v>Kirchberg am Walde</v>
    <v>Kirchberg am Walde</v>
    <v>mdp/vdpid/7022013308832055297</v>
    <v>2500</v>
    <v>2501</v>
  </rv>
  <rv s="0">
    <v>536870912</v>
    <v>Kirchheim unter Teck</v>
    <v>b06026e3-87ee-c155-cfc2-3d771e09e9e5</v>
    <v>de-DE</v>
    <v>Map</v>
  </rv>
  <rv s="0">
    <v>805306368</v>
    <v>Pascal Bader (Mayor)</v>
    <v>bb5b6fb0-fcc9-1126-515b-466b2ef907bd</v>
    <v>de-DE</v>
    <v>Generic</v>
  </rv>
  <rv s="1">
    <v>231</v>
  </rv>
  <rv s="2">
    <fb>41907</fb>
    <v>9</v>
  </rv>
  <rv s="3">
    <v>239</v>
    <v>7</v>
    <v>530</v>
    <v>7</v>
    <v>0</v>
    <v>Image of Kirchheim unter Teck</v>
  </rv>
  <rv s="2">
    <fb>48.648333333332999</fb>
    <v>10</v>
  </rv>
  <rv s="2">
    <fb>40.47</fb>
    <v>9</v>
  </rv>
  <rv s="2">
    <fb>9.4511111111110999</fb>
    <v>10</v>
  </rv>
  <rv s="4">
    <v>https://www.bing.com/search?q=kirchheim+unter+teck+germany&amp;form=skydnc</v>
    <v>Learn more on Bing</v>
  </rv>
  <rv s="11">
    <v>#VALUE!</v>
    <v>de-DE</v>
    <v>b06026e3-87ee-c155-cfc2-3d771e09e9e5</v>
    <v>536870912</v>
    <v>1</v>
    <v>531</v>
    <v>17</v>
    <v>57</v>
    <v>Kirchheim unter Teck</v>
    <v>5</v>
    <v>6</v>
    <v>Map</v>
    <v>7</v>
    <v>14</v>
    <v>2505</v>
    <v>Kirchheim unter Teck is a town in Baden-Württemberg, Germany, in the district of Esslingen. It is located on the small river Lauter, a tributary of the Neckar. It is 10 km near the Teck castle, approximately 35 kilometres southeast of Stuttgart. ...</v>
    <v>2506</v>
    <v>2507</v>
    <v>2508</v>
    <v>2509</v>
    <v>21</v>
    <v>2510</v>
    <v>2511</v>
    <v>Kirchheim unter Teck</v>
    <v>Kirchheim unter Teck</v>
    <v>mdp/vdpid/7015260899292217345</v>
    <v>1354</v>
  </rv>
  <rv s="0">
    <v>536870912</v>
    <v>Kleve</v>
    <v>66c8fc64-01cd-af97-a124-fea8898ee25f</v>
    <v>de-DE</v>
    <v>Map</v>
  </rv>
  <rv s="0">
    <v>805306368</v>
    <v>Wolfgang Gebing (Mayor)</v>
    <v>0a2e945d-9bc9-24b8-2853-6a44b561d9ce</v>
    <v>de-DE</v>
    <v>Generic</v>
  </rv>
  <rv s="1">
    <v>232</v>
  </rv>
  <rv s="2">
    <fb>53388</fb>
    <v>9</v>
  </rv>
  <rv s="3">
    <v>240</v>
    <v>7</v>
    <v>532</v>
    <v>7</v>
    <v>0</v>
    <v>Image of Kleve</v>
  </rv>
  <rv s="2">
    <fb>51.79</fb>
    <v>10</v>
  </rv>
  <rv s="2">
    <fb>97.76</fb>
    <v>9</v>
  </rv>
  <rv s="2">
    <fb>6.14</fb>
    <v>10</v>
  </rv>
  <rv s="4">
    <v>https://www.bing.com/search?q=kleve+germany&amp;form=skydnc</v>
    <v>Learn more on Bing</v>
  </rv>
  <rv s="0">
    <v>536870912</v>
    <v>Kleve</v>
    <v>c2cf5b72-e145-4f3d-57af-3c6912fdd986</v>
    <v>de-DE</v>
    <v>Map</v>
  </rv>
  <rv s="6">
    <v>#VALUE!</v>
    <v>de-DE</v>
    <v>66c8fc64-01cd-af97-a124-fea8898ee25f</v>
    <v>536870912</v>
    <v>1</v>
    <v>533</v>
    <v>2</v>
    <v>13</v>
    <v>Kleve</v>
    <v>5</v>
    <v>6</v>
    <v>Map</v>
    <v>7</v>
    <v>14</v>
    <v>2515</v>
    <v>Kleve is a town in the Lower Rhine region of northwestern Germany near the Dutch border and the River Rhine. From the 11th century onwards, Cleves was capital of a county and later a duchy. Today, Cleves is the capital of the district of Kleve ...</v>
    <v>2516</v>
    <v>2517</v>
    <v>2518</v>
    <v>2519</v>
    <v>21</v>
    <v>2520</v>
    <v>2521</v>
    <v>Kleve</v>
    <v>Kleve</v>
    <v>mdp/vdpid/7011274209330462721</v>
    <v>1029</v>
    <v>2522</v>
  </rv>
  <rv s="0">
    <v>536870912</v>
    <v>Koblenz</v>
    <v>f031923b-b2ca-92eb-93f4-17e2e1e2d520</v>
    <v>de-DE</v>
    <v>Map</v>
  </rv>
  <rv s="0">
    <v>805306368</v>
    <v>David Langner (Mayor)</v>
    <v>d884f934-1969-77f7-0ca6-0db74d5a6dd5</v>
    <v>de-DE</v>
    <v>Generic</v>
  </rv>
  <rv s="1">
    <v>233</v>
  </rv>
  <rv s="2">
    <fb>115268</fb>
    <v>9</v>
  </rv>
  <rv s="3">
    <v>241</v>
    <v>7</v>
    <v>534</v>
    <v>7</v>
    <v>0</v>
    <v>Image of Koblenz</v>
  </rv>
  <rv s="2">
    <fb>50.359722222221997</fb>
    <v>10</v>
  </rv>
  <rv s="2">
    <fb>105.25</fb>
    <v>9</v>
  </rv>
  <rv s="2">
    <fb>7.5977777777778002</fb>
    <v>10</v>
  </rv>
  <rv s="4">
    <v>https://www.bing.com/search?q=koblenz&amp;form=skydnc</v>
    <v>Learn more on Bing</v>
  </rv>
  <rv s="11">
    <v>#VALUE!</v>
    <v>de-DE</v>
    <v>f031923b-b2ca-92eb-93f4-17e2e1e2d520</v>
    <v>536870912</v>
    <v>1</v>
    <v>535</v>
    <v>17</v>
    <v>57</v>
    <v>Koblenz</v>
    <v>5</v>
    <v>6</v>
    <v>Map</v>
    <v>7</v>
    <v>14</v>
    <v>2526</v>
    <v>Koblenz is a German city on the banks of the Rhine and the Moselle, a multinational tributary. Koblenz was established as a Roman military post by Drusus around 8 B.C. Its name originates from the Latin cōnfluentēs, meaning " confluence". The ...</v>
    <v>2527</v>
    <v>2528</v>
    <v>2529</v>
    <v>2530</v>
    <v>21</v>
    <v>2531</v>
    <v>2532</v>
    <v>Koblenz</v>
    <v>Koblenz</v>
    <v>mdp/vdpid/7014512852270579713</v>
    <v>60</v>
  </rv>
  <rv s="0">
    <v>536870912</v>
    <v>Köln</v>
    <v>3d208265-8862-6a4c-8a0e-9c0291fae4ee</v>
    <v>de-DE</v>
    <v>Map</v>
  </rv>
  <rv s="0">
    <v>805306368</v>
    <v>Henriette Reker (Mayor)</v>
    <v>169b8421-109b-101b-610e-6da78bbfdd70</v>
    <v>de-DE</v>
    <v>Generic</v>
  </rv>
  <rv s="1">
    <v>234</v>
  </rv>
  <rv s="2">
    <fb>1084831</fb>
    <v>9</v>
  </rv>
  <rv s="3">
    <v>242</v>
    <v>7</v>
    <v>536</v>
    <v>7</v>
    <v>0</v>
    <v>Image of Cologne</v>
  </rv>
  <rv s="2">
    <fb>50.942222222222</fb>
    <v>10</v>
  </rv>
  <rv s="2">
    <fb>405.01</fb>
    <v>9</v>
  </rv>
  <rv s="2">
    <fb>6.9577777777777996</fb>
    <v>10</v>
  </rv>
  <rv s="4">
    <v>https://www.bing.com/search?q=cologne&amp;form=skydnc</v>
    <v>Learn more on Bing</v>
  </rv>
  <rv s="6">
    <v>#VALUE!</v>
    <v>de-DE</v>
    <v>3d208265-8862-6a4c-8a0e-9c0291fae4ee</v>
    <v>536870912</v>
    <v>1</v>
    <v>537</v>
    <v>2</v>
    <v>13</v>
    <v>Cologne</v>
    <v>5</v>
    <v>6</v>
    <v>Map</v>
    <v>7</v>
    <v>14</v>
    <v>2536</v>
    <v>Cologne is the largest city of the German state of North Rhine-Westphalia and the fourth-most populous city of Germany with nearly 1.1 million inhabitants in the city proper and over 3.1 million people in the Cologne Bonn urban region. Cologne ...</v>
    <v>2537</v>
    <v>2538</v>
    <v>2539</v>
    <v>2540</v>
    <v>21</v>
    <v>2541</v>
    <v>2542</v>
    <v>Cologne</v>
    <v>Cologne</v>
    <v>mdp/vdpid/7011382368753680385</v>
    <v>412</v>
    <v>10</v>
  </rv>
  <rv s="0">
    <v>536870912</v>
    <v>Köln-Porz</v>
    <v>c3a8db36-b779-dc5b-fe27-578bb129aadc</v>
    <v>de-DE</v>
    <v>Map</v>
  </rv>
  <rv s="2">
    <fb>113670</fb>
    <v>9</v>
  </rv>
  <rv s="3">
    <v>243</v>
    <v>7</v>
    <v>538</v>
    <v>7</v>
    <v>0</v>
    <v>Image of Porz</v>
  </rv>
  <rv s="2">
    <fb>50.887777777777998</fb>
    <v>10</v>
  </rv>
  <rv s="2">
    <fb>78.8</fb>
    <v>9</v>
  </rv>
  <rv s="2">
    <fb>7.0552777777777997</fb>
    <v>10</v>
  </rv>
  <rv s="4">
    <v>https://www.bing.com/search?q=porz&amp;form=skydnc</v>
    <v>Learn more on Bing</v>
  </rv>
  <rv s="0">
    <v>536870912</v>
    <v>Cologne</v>
    <v>3d208265-8862-6a4c-8a0e-9c0291fae4ee</v>
    <v>de-DE</v>
    <v>Map</v>
  </rv>
  <rv s="8">
    <v>#VALUE!</v>
    <v>de-DE</v>
    <v>c3a8db36-b779-dc5b-fe27-578bb129aadc</v>
    <v>536870912</v>
    <v>1</v>
    <v>539</v>
    <v>2</v>
    <v>22</v>
    <v>Porz</v>
    <v>5</v>
    <v>6</v>
    <v>Map</v>
    <v>7</v>
    <v>540</v>
    <v>Porz is a borough or Stadtbezirk of Cologne, Germany. It is situated on the east side of the Rhine in the south-east of the city. Porz is the largest borough of Cologne by area at 78.92 km² and has 113,500 inhabitants.</v>
    <v>2545</v>
    <v>2546</v>
    <v>2547</v>
    <v>2548</v>
    <v>21</v>
    <v>2549</v>
    <v>2550</v>
    <v>Porz</v>
    <v>Porz</v>
    <v>mdp/vdpid/7011490060361007105</v>
    <v>10</v>
    <v>2551</v>
  </rv>
  <rv s="0">
    <v>536870912</v>
    <v>Köln-Rodenkirchen</v>
    <v>e13a71c6-eecd-1a6d-be46-2b90dab3f82d</v>
    <v>de-DE</v>
    <v>Map</v>
  </rv>
  <rv s="2">
    <fb>110158</fb>
    <v>9</v>
  </rv>
  <rv s="3">
    <v>244</v>
    <v>7</v>
    <v>541</v>
    <v>7</v>
    <v>0</v>
    <v>Image of Rodenkirchen</v>
  </rv>
  <rv s="2">
    <fb>50.891388888888997</fb>
    <v>10</v>
  </rv>
  <rv s="2">
    <fb>54.6</fb>
    <v>9</v>
  </rv>
  <rv s="2">
    <fb>6.9911111111111</fb>
    <v>10</v>
  </rv>
  <rv s="4">
    <v>https://www.bing.com/search?q=rodenkirchen+cologne+germany&amp;form=skydnc</v>
    <v>Learn more on Bing</v>
  </rv>
  <rv s="8">
    <v>#VALUE!</v>
    <v>de-DE</v>
    <v>e13a71c6-eecd-1a6d-be46-2b90dab3f82d</v>
    <v>536870912</v>
    <v>1</v>
    <v>543</v>
    <v>2</v>
    <v>22</v>
    <v>Rodenkirchen</v>
    <v>5</v>
    <v>6</v>
    <v>Map</v>
    <v>7</v>
    <v>244</v>
    <v>Rodenkirchen is a southern borough of Cologne in Germany. It has about 110,000 inhabitants and covers an area of 54.55 square kilometres. The borough includes the quarters Bayenthal, Godorf, Hahnwald, Immendorf, Marienburg, Meschenich, ...</v>
    <v>2554</v>
    <v>2555</v>
    <v>2556</v>
    <v>2557</v>
    <v>21</v>
    <v>2558</v>
    <v>2559</v>
    <v>Rodenkirchen</v>
    <v>Rodenkirchen</v>
    <v>mdp/vdpid/7011395385608372225</v>
    <v>10</v>
    <v>2551</v>
  </rv>
  <rv s="0">
    <v>536870912</v>
    <v>Königs Wusterhausen</v>
    <v>b9a9cfa5-e111-f4b2-c65a-ad9fa63bb57b</v>
    <v>de-DE</v>
    <v>Map</v>
  </rv>
  <rv s="0">
    <v>805306368</v>
    <v>Michaela Wiezorek (Mayor)</v>
    <v>e786eae1-c9fa-4772-3b87-9e99d207abdf</v>
    <v>de-DE</v>
    <v>Generic</v>
  </rv>
  <rv s="1">
    <v>235</v>
  </rv>
  <rv s="2">
    <fb>38929</fb>
    <v>9</v>
  </rv>
  <rv s="3">
    <v>245</v>
    <v>7</v>
    <v>544</v>
    <v>7</v>
    <v>0</v>
    <v>Image of Königs Wusterhausen</v>
  </rv>
  <rv s="2">
    <fb>52.291666666666998</fb>
    <v>10</v>
  </rv>
  <rv s="2">
    <fb>96.04</fb>
    <v>9</v>
  </rv>
  <rv s="2">
    <fb>13.625</fb>
    <v>10</v>
  </rv>
  <rv s="4">
    <v>https://www.bing.com/search?q=k%c3%b6nigs+wusterhausen&amp;form=skydnc</v>
    <v>Learn more on Bing</v>
  </rv>
  <rv s="0">
    <v>536870912</v>
    <v>Dahme-Spreewald District</v>
    <v>a0ce2af1-39be-76f1-b3b9-fdd71b082890</v>
    <v>de-DE</v>
    <v>Map</v>
  </rv>
  <rv s="6">
    <v>#VALUE!</v>
    <v>de-DE</v>
    <v>b9a9cfa5-e111-f4b2-c65a-ad9fa63bb57b</v>
    <v>536870912</v>
    <v>1</v>
    <v>545</v>
    <v>2</v>
    <v>13</v>
    <v>Königs Wusterhausen</v>
    <v>5</v>
    <v>6</v>
    <v>Map</v>
    <v>7</v>
    <v>14</v>
    <v>2563</v>
    <v>Königs Wusterhausen is a town in the Dahme-Spreewald district of the state of Brandenburg in Germany a few kilometers outside Berlin.</v>
    <v>2564</v>
    <v>2565</v>
    <v>2566</v>
    <v>2567</v>
    <v>21</v>
    <v>2568</v>
    <v>2569</v>
    <v>Königs Wusterhausen</v>
    <v>Königs Wusterhausen</v>
    <v>mdp/vdpid/7018007031202185217</v>
    <v>488</v>
    <v>2570</v>
  </rv>
  <rv s="0">
    <v>536870912</v>
    <v>Königstein im Taunus</v>
    <v>c4968d10-ddcf-32c6-fc82-8b84fd0ee27e</v>
    <v>de-DE</v>
    <v>Map</v>
  </rv>
  <rv s="0">
    <v>805306368</v>
    <v>Leonhard Helm (Mayor)</v>
    <v>cc160134-131f-f8f8-0273-422738c4acc7</v>
    <v>de-DE</v>
    <v>Generic</v>
  </rv>
  <rv s="1">
    <v>236</v>
  </rv>
  <rv s="2">
    <fb>16744</fb>
    <v>9</v>
  </rv>
  <rv s="3">
    <v>246</v>
    <v>7</v>
    <v>546</v>
    <v>7</v>
    <v>0</v>
    <v>Image of Königstein im Taunus</v>
  </rv>
  <rv s="2">
    <fb>50.183124999999997</fb>
    <v>10</v>
  </rv>
  <rv s="2">
    <fb>25.05</fb>
    <v>9</v>
  </rv>
  <rv s="2">
    <fb>8.4635416666666696</fb>
    <v>10</v>
  </rv>
  <rv s="4">
    <v>https://www.bing.com/search?q=k%c3%b6nigstein+im+taunus+germany&amp;form=skydnc</v>
    <v>Learn more on Bing</v>
  </rv>
  <rv s="0">
    <v>536870912</v>
    <v>Hochtaunuskreis</v>
    <v>31ea3b92-8013-a314-807d-98d6923a585c</v>
    <v>de-DE</v>
    <v>Map</v>
  </rv>
  <rv s="6">
    <v>#VALUE!</v>
    <v>de-DE</v>
    <v>c4968d10-ddcf-32c6-fc82-8b84fd0ee27e</v>
    <v>536870912</v>
    <v>1</v>
    <v>547</v>
    <v>2</v>
    <v>13</v>
    <v>Königstein im Taunus</v>
    <v>5</v>
    <v>6</v>
    <v>Map</v>
    <v>7</v>
    <v>14</v>
    <v>2574</v>
    <v>Königstein im Taunus is a health spa and lies on the thickly wooded slopes of the Taunus in Hesse, Germany. The town is part of the Frankfurt Rhein-Main urban area. Owing to its advantageous location for both scenery and transport on the edge of ...</v>
    <v>2575</v>
    <v>2576</v>
    <v>2577</v>
    <v>2578</v>
    <v>21</v>
    <v>2579</v>
    <v>2580</v>
    <v>Königstein im Taunus</v>
    <v>Königstein im Taunus</v>
    <v>mdp/vdpid/7014937371065974785</v>
    <v>303</v>
    <v>2581</v>
  </rv>
  <rv s="0">
    <v>536870912</v>
    <v>Konstanz</v>
    <v>eab80407-0d2e-4d05-1f39-cecc9c81d232</v>
    <v>de-DE</v>
    <v>Map</v>
  </rv>
  <rv s="0">
    <v>805306368</v>
    <v>Ulrich Burchardt (Mayor)</v>
    <v>9bfeb393-8c93-26da-35a0-4e1a0865fa62</v>
    <v>de-DE</v>
    <v>Generic</v>
  </rv>
  <rv s="1">
    <v>237</v>
  </rv>
  <rv s="2">
    <fb>85859</fb>
    <v>9</v>
  </rv>
  <rv s="3">
    <v>247</v>
    <v>7</v>
    <v>548</v>
    <v>7</v>
    <v>0</v>
    <v>Image of Konstanz</v>
  </rv>
  <rv s="2">
    <fb>47.663333333333</fb>
    <v>10</v>
  </rv>
  <rv s="2">
    <fb>54.11</fb>
    <v>9</v>
  </rv>
  <rv s="2">
    <fb>9.1752777777778007</fb>
    <v>10</v>
  </rv>
  <rv s="4">
    <v>https://www.bing.com/search?q=konstanz&amp;form=skydnc</v>
    <v>Learn more on Bing</v>
  </rv>
  <rv s="9">
    <v>#VALUE!</v>
    <v>de-DE</v>
    <v>eab80407-0d2e-4d05-1f39-cecc9c81d232</v>
    <v>536870912</v>
    <v>1</v>
    <v>549</v>
    <v>27</v>
    <v>28</v>
    <v>Konstanz</v>
    <v>5</v>
    <v>6</v>
    <v>Map</v>
    <v>7</v>
    <v>14</v>
    <v>2585</v>
    <v>Konstanz, also known as Constance in English, is a university city with approximately 83,000 inhabitants located at the western end of Lake Constance in the south of Germany. The city houses the University of Konstanz and was the residence of ...</v>
    <v>2586</v>
    <v>2587</v>
    <v>2588</v>
    <v>2589</v>
    <v>21</v>
    <v>2590</v>
    <v>2591</v>
    <v>Konstanz</v>
    <v>Konstanz</v>
    <v>mdp/vdpid/7016081641084813313</v>
  </rv>
  <rv s="0">
    <v>536870912</v>
    <v>Kornwestheim</v>
    <v>99363ec0-23ba-fab1-5df0-b6a2ff6a4e81</v>
    <v>de-DE</v>
    <v>Map</v>
  </rv>
  <rv s="0">
    <v>805306368</v>
    <v>Ursula Keck (Mayor)</v>
    <v>0c16f117-3671-7b92-6220-37b2b0627800</v>
    <v>de-DE</v>
    <v>Generic</v>
  </rv>
  <rv s="1">
    <v>238</v>
  </rv>
  <rv s="2">
    <fb>34130</fb>
    <v>9</v>
  </rv>
  <rv s="3">
    <v>248</v>
    <v>7</v>
    <v>550</v>
    <v>7</v>
    <v>0</v>
    <v>Image of Kornwestheim</v>
  </rv>
  <rv s="2">
    <fb>48.859722222221997</fb>
    <v>10</v>
  </rv>
  <rv s="2">
    <fb>14.65</fb>
    <v>9</v>
  </rv>
  <rv s="2">
    <fb>9.1850000000000005</fb>
    <v>10</v>
  </rv>
  <rv s="4">
    <v>https://www.bing.com/search?q=kornwestheim&amp;form=skydnc</v>
    <v>Learn more on Bing</v>
  </rv>
  <rv s="0">
    <v>536870912</v>
    <v>Ludwigsburg</v>
    <v>03317b34-3cfd-4c5e-b764-5a487bb03c17</v>
    <v>de-DE</v>
    <v>Map</v>
  </rv>
  <rv s="6">
    <v>#VALUE!</v>
    <v>de-DE</v>
    <v>99363ec0-23ba-fab1-5df0-b6a2ff6a4e81</v>
    <v>536870912</v>
    <v>1</v>
    <v>551</v>
    <v>2</v>
    <v>13</v>
    <v>Kornwestheim</v>
    <v>5</v>
    <v>6</v>
    <v>Map</v>
    <v>7</v>
    <v>14</v>
    <v>2595</v>
    <v>Kornwestheim is a town in the district of Ludwigsburg, Baden-Württemberg, Germany. It is situated about 10 kilometres north of Stuttgart, and 5 kilometres south of Ludwigsburg.</v>
    <v>2596</v>
    <v>2597</v>
    <v>2598</v>
    <v>2599</v>
    <v>21</v>
    <v>2600</v>
    <v>2601</v>
    <v>Kornwestheim</v>
    <v>Kornwestheim</v>
    <v>mdp/vdpid/7015253683680051201</v>
    <v>606</v>
    <v>2602</v>
  </rv>
  <rv s="0">
    <v>536870912</v>
    <v>Köthen</v>
    <v>ab7858ba-13b7-a568-ca4c-b1bcadebbea4</v>
    <v>de-DE</v>
    <v>Map</v>
  </rv>
  <rv s="0">
    <v>805306368</v>
    <v>Christina Buchheim (Mayor)</v>
    <v>b3f677f1-e8b4-070c-ad6f-0d179af036c2</v>
    <v>de-DE</v>
    <v>Generic</v>
  </rv>
  <rv s="1">
    <v>239</v>
  </rv>
  <rv s="2">
    <fb>25116</fb>
    <v>9</v>
  </rv>
  <rv s="3">
    <v>249</v>
    <v>7</v>
    <v>552</v>
    <v>7</v>
    <v>0</v>
    <v>Image of Köthen</v>
  </rv>
  <rv s="2">
    <fb>51.751111111111101</fb>
    <v>10</v>
  </rv>
  <rv s="2">
    <fb>78.44</fb>
    <v>9</v>
  </rv>
  <rv s="0">
    <v>536870912</v>
    <v>Saxony-Anhalt</v>
    <v>6af91c75-020d-7d63-0e2d-ab73f9f73280</v>
    <v>de-DE</v>
    <v>Map</v>
  </rv>
  <rv s="2">
    <fb>11.973611111111101</fb>
    <v>10</v>
  </rv>
  <rv s="4">
    <v>https://www.bing.com/search?q=k%c3%b6then+germany&amp;form=skydnc</v>
    <v>Learn more on Bing</v>
  </rv>
  <rv s="7">
    <v>#VALUE!</v>
    <v>de-DE</v>
    <v>ab7858ba-13b7-a568-ca4c-b1bcadebbea4</v>
    <v>536870912</v>
    <v>1</v>
    <v>553</v>
    <v>17</v>
    <v>18</v>
    <v>Köthen</v>
    <v>5</v>
    <v>6</v>
    <v>Map</v>
    <v>7</v>
    <v>14</v>
    <v>2606</v>
    <v>Köthen is a town in Germany. It is the capital of the district of Anhalt-Bitterfeld in Saxony-Anhalt, about 30 km north of Halle. Köthen is the location of the main campus and the administrative centre of the regional university, Anhalt ...</v>
    <v>2607</v>
    <v>2608</v>
    <v>2609</v>
    <v>2610</v>
    <v>2611</v>
    <v>2612</v>
    <v>2613</v>
    <v>Köthen</v>
    <v>Köthen</v>
    <v>mdp/vdpid/7018032832882671617</v>
    <v>572</v>
    <v>62</v>
  </rv>
  <rv s="0">
    <v>536870912</v>
    <v>Krefeld</v>
    <v>83a81113-b728-2f3a-1d74-d03b1544d245</v>
    <v>de-DE</v>
    <v>Map</v>
  </rv>
  <rv s="0">
    <v>805306368</v>
    <v>Frank Meyer (Mayor)</v>
    <v>e103fed4-9236-4081-dfa5-dc55008fbac9</v>
    <v>de-DE</v>
    <v>Generic</v>
  </rv>
  <rv s="1">
    <v>240</v>
  </rv>
  <rv s="2">
    <fb>228426</fb>
    <v>9</v>
  </rv>
  <rv s="3">
    <v>250</v>
    <v>7</v>
    <v>554</v>
    <v>7</v>
    <v>0</v>
    <v>Image of Krefeld</v>
  </rv>
  <rv s="2">
    <fb>51.333333333333002</fb>
    <v>10</v>
  </rv>
  <rv s="2">
    <fb>137.77000000000001</fb>
    <v>9</v>
  </rv>
  <rv s="4">
    <v>https://www.bing.com/search?q=krefeld&amp;form=skydnc</v>
    <v>Learn more on Bing</v>
  </rv>
  <rv s="6">
    <v>#VALUE!</v>
    <v>de-DE</v>
    <v>83a81113-b728-2f3a-1d74-d03b1544d245</v>
    <v>536870912</v>
    <v>1</v>
    <v>555</v>
    <v>2</v>
    <v>13</v>
    <v>Krefeld</v>
    <v>5</v>
    <v>6</v>
    <v>Map</v>
    <v>7</v>
    <v>14</v>
    <v>2617</v>
    <v>Krefeld, also spelled Crefeld until 1925, is a city in North Rhine-Westphalia, Germany. It is located northwest of Düsseldorf, its center lying just a few kilometers to the west of the river Rhine; the borough of Uerdingen is situated directly ...</v>
    <v>2618</v>
    <v>2619</v>
    <v>2620</v>
    <v>2621</v>
    <v>21</v>
    <v>1248</v>
    <v>2622</v>
    <v>Krefeld</v>
    <v>Krefeld</v>
    <v>mdp/vdpid/7011327662731821057</v>
    <v>412</v>
    <v>1029</v>
  </rv>
  <rv s="0">
    <v>536870912</v>
    <v>Kreis Soest</v>
    <v>d5c89324-34eb-3092-d086-5a32ac5e4179</v>
    <v>de-DE</v>
    <v>Map</v>
  </rv>
  <rv s="2">
    <fb>301902</fb>
    <v>9</v>
  </rv>
  <rv s="3">
    <v>251</v>
    <v>7</v>
    <v>556</v>
    <v>7</v>
    <v>0</v>
    <v>Image of Soest</v>
  </rv>
  <rv s="2">
    <fb>1328.63</fb>
    <v>9</v>
  </rv>
  <rv s="0">
    <v>536870912</v>
    <v>Lippstadt</v>
    <v>cf2d07fe-b1b9-f3b6-9c33-22b259a7af2c</v>
    <v>de-DE</v>
    <v>Map</v>
  </rv>
  <rv s="4">
    <v>https://www.bing.com/search?q=soest+germany&amp;form=skydnc</v>
    <v>Learn more on Bing</v>
  </rv>
  <rv s="14">
    <v>#VALUE!</v>
    <v>de-DE</v>
    <v>d5c89324-34eb-3092-d086-5a32ac5e4179</v>
    <v>536870912</v>
    <v>1</v>
    <v>557</v>
    <v>151</v>
    <v>152</v>
    <v>Soest</v>
    <v>5</v>
    <v>6</v>
    <v>Map</v>
    <v>7</v>
    <v>529</v>
    <v>Soest is a Kreis in the middle of North Rhine-Westphalia, Germany. Neighbouring districts are Warendorf, Gütersloh, Paderborn, Hochsauerland, Märkischer Kreis, Unna and the independent town of Hamm.</v>
    <v>2625</v>
    <v>2626</v>
    <v>2627</v>
    <v>2628</v>
    <v>21</v>
    <v>2629</v>
    <v>Soest</v>
    <v>Soest</v>
    <v>mdp/vdpid/10570851</v>
    <v>412</v>
  </rv>
  <rv s="0">
    <v>805306368</v>
    <v>Arne Moritz (Mayor)</v>
    <v>b61b9c4c-4575-6cad-6301-cc03829d1be2</v>
    <v>de-DE</v>
    <v>Generic</v>
  </rv>
  <rv s="1">
    <v>241</v>
  </rv>
  <rv s="2">
    <fb>68890</fb>
    <v>9</v>
  </rv>
  <rv s="3">
    <v>252</v>
    <v>7</v>
    <v>558</v>
    <v>7</v>
    <v>0</v>
    <v>Image of Lippstadt</v>
  </rv>
  <rv s="2">
    <fb>51.6666666666667</fb>
    <v>10</v>
  </rv>
  <rv s="2">
    <fb>113.68</fb>
    <v>9</v>
  </rv>
  <rv s="4">
    <v>https://www.bing.com/search?q=lippstadt+germany&amp;form=skydnc</v>
    <v>Learn more on Bing</v>
  </rv>
  <rv s="0">
    <v>536870912</v>
    <v>Soest</v>
    <v>d5c89324-34eb-3092-d086-5a32ac5e4179</v>
    <v>de-DE</v>
    <v>Map</v>
  </rv>
  <rv s="10">
    <v>#VALUE!</v>
    <v>de-DE</v>
    <v>cf2d07fe-b1b9-f3b6-9c33-22b259a7af2c</v>
    <v>536870912</v>
    <v>1</v>
    <v>559</v>
    <v>39</v>
    <v>40</v>
    <v>Lippstadt</v>
    <v>5</v>
    <v>6</v>
    <v>Map</v>
    <v>7</v>
    <v>14</v>
    <v>2632</v>
    <v>Lippstadt is a town in North Rhine-Westphalia, Germany. It is the largest town within the district of Soest. Lippstadt is situated about 60 kilometres east of Dortmund, 40 kilometres south of Bielefeld and 30 kilometres west of Paderborn.</v>
    <v>2633</v>
    <v>2634</v>
    <v>2635</v>
    <v>2636</v>
    <v>21</v>
    <v>1483</v>
    <v>2637</v>
    <v>Lippstadt</v>
    <v>Lippstadt</v>
    <v>mdp/vdpid/7011453532888891393</v>
    <v>2638</v>
  </rv>
  <rv s="0">
    <v>536870912</v>
    <v>Kronach</v>
    <v>3bad6932-5a88-4177-316f-009d8e4f066d</v>
    <v>de-DE</v>
    <v>Map</v>
  </rv>
  <rv s="0">
    <v>805306368</v>
    <v>Angela Hofmann (Mayor)</v>
    <v>e8fd37d2-f2b1-5fbb-2a56-0f13f239419a</v>
    <v>de-DE</v>
    <v>Generic</v>
  </rv>
  <rv s="1">
    <v>242</v>
  </rv>
  <rv s="2">
    <fb>16906</fb>
    <v>9</v>
  </rv>
  <rv s="3">
    <v>253</v>
    <v>7</v>
    <v>560</v>
    <v>7</v>
    <v>0</v>
    <v>Image of Kronach</v>
  </rv>
  <rv s="2">
    <fb>50.241111111111003</fb>
    <v>10</v>
  </rv>
  <rv s="2">
    <fb>66.98</fb>
    <v>9</v>
  </rv>
  <rv s="2">
    <fb>11.328055555556</fb>
    <v>10</v>
  </rv>
  <rv s="4">
    <v>https://www.bing.com/search?q=kronach+germany&amp;form=skydnc</v>
    <v>Learn more on Bing</v>
  </rv>
  <rv s="0">
    <v>536870912</v>
    <v>Kronach</v>
    <v>52f82f82-a781-5e01-5f3f-e3068faca2e3</v>
    <v>de-DE</v>
    <v>Map</v>
  </rv>
  <rv s="10">
    <v>#VALUE!</v>
    <v>de-DE</v>
    <v>3bad6932-5a88-4177-316f-009d8e4f066d</v>
    <v>536870912</v>
    <v>1</v>
    <v>561</v>
    <v>39</v>
    <v>40</v>
    <v>Kronach</v>
    <v>5</v>
    <v>6</v>
    <v>Map</v>
    <v>7</v>
    <v>14</v>
    <v>2642</v>
    <v>Kronach is a town in Upper Franconia, Germany, located in the Franconian Forest area. It is the capital of the district Kronach. The town is equipped with a nearly complete city wall and Germany's biggest and most complete early modern fortress, ...</v>
    <v>2643</v>
    <v>2644</v>
    <v>2645</v>
    <v>2646</v>
    <v>21</v>
    <v>2647</v>
    <v>2648</v>
    <v>Kronach</v>
    <v>Kronach</v>
    <v>mdp/vdpid/7021130506204872705</v>
    <v>2649</v>
  </rv>
  <rv s="0">
    <v>536870912</v>
    <v>Kulmbach</v>
    <v>41e28ced-de95-fbcd-e676-a6464e43c184</v>
    <v>de-DE</v>
    <v>Map</v>
  </rv>
  <rv s="0">
    <v>805306368</v>
    <v>Ingo Lehmann (Mayor)</v>
    <v>31e15f11-c6bd-79b6-04ea-01e2c9f9db2d</v>
    <v>de-DE</v>
    <v>Generic</v>
  </rv>
  <rv s="1">
    <v>243</v>
  </rv>
  <rv s="2">
    <fb>25724</fb>
    <v>9</v>
  </rv>
  <rv s="3">
    <v>254</v>
    <v>7</v>
    <v>562</v>
    <v>7</v>
    <v>0</v>
    <v>Image of Kulmbach</v>
  </rv>
  <rv s="2">
    <fb>50.1</fb>
    <v>10</v>
  </rv>
  <rv s="2">
    <fb>92.77</fb>
    <v>9</v>
  </rv>
  <rv s="2">
    <fb>11.4333333333333</fb>
    <v>10</v>
  </rv>
  <rv s="4">
    <v>https://www.bing.com/search?q=kulmbach+germany&amp;form=skydnc</v>
    <v>Learn more on Bing</v>
  </rv>
  <rv s="0">
    <v>536870912</v>
    <v>Kulmbach</v>
    <v>6cf86efb-8630-4d1f-8338-d46ce5326481</v>
    <v>de-DE</v>
    <v>Map</v>
  </rv>
  <rv s="10">
    <v>#VALUE!</v>
    <v>de-DE</v>
    <v>41e28ced-de95-fbcd-e676-a6464e43c184</v>
    <v>536870912</v>
    <v>1</v>
    <v>563</v>
    <v>39</v>
    <v>40</v>
    <v>Kulmbach</v>
    <v>5</v>
    <v>6</v>
    <v>Map</v>
    <v>7</v>
    <v>8</v>
    <v>2653</v>
    <v>Kulmbach is the capital of the district of Kulmbach in Bavaria in Germany. The town, once a stronghold of the Principality of Bayreuth, is renowned for its University of Life Sciences, a branch of the University of Bayreuth, the massive ...</v>
    <v>2654</v>
    <v>2655</v>
    <v>2656</v>
    <v>2657</v>
    <v>21</v>
    <v>2658</v>
    <v>2659</v>
    <v>Kulmbach</v>
    <v>Kulmbach</v>
    <v>mdp/vdpid/7021133078957391873</v>
    <v>2660</v>
  </rv>
  <rv s="0">
    <v>536870912</v>
    <v>Künzelsau</v>
    <v>7cefef03-d76d-f7d3-7d97-d9ff25f7de3a</v>
    <v>de-DE</v>
    <v>Map</v>
  </rv>
  <rv s="0">
    <v>805306368</v>
    <v>Stefan Neumann (Mayor)</v>
    <v>80159650-50d2-3e87-d1e8-8a901f70e6d9</v>
    <v>de-DE</v>
    <v>Generic</v>
  </rv>
  <rv s="1">
    <v>244</v>
  </rv>
  <rv s="2">
    <fb>16228</fb>
    <v>9</v>
  </rv>
  <rv s="3">
    <v>255</v>
    <v>7</v>
    <v>564</v>
    <v>7</v>
    <v>0</v>
    <v>Image of Künzelsau</v>
  </rv>
  <rv s="2">
    <fb>49.280376500000003</fb>
    <v>10</v>
  </rv>
  <rv s="2">
    <fb>75.17</fb>
    <v>9</v>
  </rv>
  <rv s="2">
    <fb>9.6901512000000007</fb>
    <v>10</v>
  </rv>
  <rv s="4">
    <v>https://www.bing.com/search?q=k%c3%bcnzelsau+germany&amp;form=skydnc</v>
    <v>Learn more on Bing</v>
  </rv>
  <rv s="0">
    <v>536870912</v>
    <v>Hohenlohe</v>
    <v>bf366eae-34af-ca07-f0fc-c10336f1e106</v>
    <v>de-DE</v>
    <v>Map</v>
  </rv>
  <rv s="11">
    <v>#VALUE!</v>
    <v>de-DE</v>
    <v>7cefef03-d76d-f7d3-7d97-d9ff25f7de3a</v>
    <v>536870912</v>
    <v>1</v>
    <v>565</v>
    <v>17</v>
    <v>57</v>
    <v>Künzelsau</v>
    <v>5</v>
    <v>6</v>
    <v>Map</v>
    <v>7</v>
    <v>14</v>
    <v>2664</v>
    <v>Künzelsau is a town in Baden-Württemberg, in south central Germany. It is the capital of the Hohenlohe district. It is located on the river Kocher, 19 km north of Schwäbisch Hall, and 37 km northeast of Heilbronn.</v>
    <v>2665</v>
    <v>2666</v>
    <v>2667</v>
    <v>2668</v>
    <v>21</v>
    <v>2669</v>
    <v>2670</v>
    <v>Künzelsau</v>
    <v>Künzelsau</v>
    <v>mdp/vdpid/7015059040510148609</v>
    <v>2671</v>
  </rv>
  <rv s="0">
    <v>536870912</v>
    <v>Lahr/Schwarzwald</v>
    <v>2a9a6751-c7f8-1a70-23c2-dd61310ce455</v>
    <v>de-DE</v>
    <v>Map</v>
  </rv>
  <rv s="0">
    <v>805306368</v>
    <v>Markus Ibert (Mayor)</v>
    <v>fdceff39-7f9b-5f80-76af-f2ec18e53eb3</v>
    <v>de-DE</v>
    <v>Generic</v>
  </rv>
  <rv s="1">
    <v>245</v>
  </rv>
  <rv s="2">
    <fb>49074</fb>
    <v>9</v>
  </rv>
  <rv s="3">
    <v>256</v>
    <v>7</v>
    <v>566</v>
    <v>7</v>
    <v>0</v>
    <v>Image of Lahr</v>
  </rv>
  <rv s="2">
    <fb>48.339166666666998</fb>
    <v>10</v>
  </rv>
  <rv s="2">
    <fb>69.86</fb>
    <v>9</v>
  </rv>
  <rv s="2">
    <fb>7.8722222222221996</fb>
    <v>10</v>
  </rv>
  <rv s="4">
    <v>https://www.bing.com/search?q=lahr&amp;form=skydnc</v>
    <v>Learn more on Bing</v>
  </rv>
  <rv s="0">
    <v>536870912</v>
    <v>Ortenau</v>
    <v>1ba30d40-b368-09c9-56ff-aa2c922ebefe</v>
    <v>de-DE</v>
    <v>Map</v>
  </rv>
  <rv s="11">
    <v>#VALUE!</v>
    <v>de-DE</v>
    <v>2a9a6751-c7f8-1a70-23c2-dd61310ce455</v>
    <v>536870912</v>
    <v>1</v>
    <v>567</v>
    <v>17</v>
    <v>57</v>
    <v>Lahr</v>
    <v>5</v>
    <v>6</v>
    <v>Map</v>
    <v>7</v>
    <v>14</v>
    <v>2675</v>
    <v>Lahr ; Low Alemannic: Lohr) is a town in western Baden-Württemberg, Germany, approximately 50 km north of Freiburg im Breisgau, 40 km southeast of Strasbourg, and 95 km southwest of Karlsruhe. It is the second largest city in Ortenau after ...</v>
    <v>2676</v>
    <v>2677</v>
    <v>2678</v>
    <v>2679</v>
    <v>21</v>
    <v>2680</v>
    <v>2681</v>
    <v>Lahr</v>
    <v>Lahr</v>
    <v>mdp/vdpid/7014889151854018561</v>
    <v>2682</v>
  </rv>
  <rv s="0">
    <v>536870912</v>
    <v>Lampertheim</v>
    <v>71206712-2c46-d54c-a393-7cef0bec22d3</v>
    <v>de-DE</v>
    <v>Map</v>
  </rv>
  <rv s="0">
    <v>805306368</v>
    <v>Gottfried Störmer (Mayor)</v>
    <v>a1b82d07-e6e9-4d0d-a495-4170dbe5a43e</v>
    <v>de-DE</v>
    <v>Generic</v>
  </rv>
  <rv s="1">
    <v>246</v>
  </rv>
  <rv s="2">
    <fb>32870</fb>
    <v>9</v>
  </rv>
  <rv s="3">
    <v>257</v>
    <v>7</v>
    <v>568</v>
    <v>7</v>
    <v>0</v>
    <v>Image of Lampertheim</v>
  </rv>
  <rv s="2">
    <fb>49.594166666667</fb>
    <v>10</v>
  </rv>
  <rv s="2">
    <fb>72.27</fb>
    <v>9</v>
  </rv>
  <rv s="2">
    <fb>8.4670833333332993</fb>
    <v>10</v>
  </rv>
  <rv s="4">
    <v>https://www.bing.com/search?q=lampertheim+germany&amp;form=skydnc</v>
    <v>Learn more on Bing</v>
  </rv>
  <rv s="6">
    <v>#VALUE!</v>
    <v>de-DE</v>
    <v>71206712-2c46-d54c-a393-7cef0bec22d3</v>
    <v>536870912</v>
    <v>1</v>
    <v>569</v>
    <v>2</v>
    <v>13</v>
    <v>Lampertheim</v>
    <v>5</v>
    <v>6</v>
    <v>Map</v>
    <v>7</v>
    <v>14</v>
    <v>2686</v>
    <v>Lampertheim is a town in the Bergstraße district in Hesse, Germany. In 1984, the town hosted the 24th Hessentag state festival.</v>
    <v>2687</v>
    <v>2688</v>
    <v>2689</v>
    <v>2690</v>
    <v>21</v>
    <v>2691</v>
    <v>2692</v>
    <v>Lampertheim</v>
    <v>Lampertheim</v>
    <v>mdp/vdpid/7014620011771723777</v>
    <v>303</v>
    <v>432</v>
  </rv>
  <rv s="0">
    <v>536870912</v>
    <v>Landau in der Pfalz</v>
    <v>1e012e74-0b7a-7f2d-01d6-fc7456da0761</v>
    <v>de-DE</v>
    <v>Map</v>
  </rv>
  <rv s="0">
    <v>805306368</v>
    <v>Dominik Geißler (Mayor)</v>
    <v>e227e66a-9c4f-17b9-a844-ff8647b69c6a</v>
    <v>de-DE</v>
    <v>Generic</v>
  </rv>
  <rv s="1">
    <v>247</v>
  </rv>
  <rv s="2">
    <fb>47610</fb>
    <v>9</v>
  </rv>
  <rv s="3">
    <v>258</v>
    <v>7</v>
    <v>570</v>
    <v>7</v>
    <v>0</v>
    <v>Image of Landau</v>
  </rv>
  <rv s="2">
    <fb>49.199444444443998</fb>
    <v>10</v>
  </rv>
  <rv s="2">
    <fb>82.94</fb>
    <v>9</v>
  </rv>
  <rv s="2">
    <fb>8.1230555555556005</fb>
    <v>10</v>
  </rv>
  <rv s="4">
    <v>https://www.bing.com/search?q=landau+germany&amp;form=skydnc</v>
    <v>Learn more on Bing</v>
  </rv>
  <rv s="11">
    <v>#VALUE!</v>
    <v>de-DE</v>
    <v>1e012e74-0b7a-7f2d-01d6-fc7456da0761</v>
    <v>536870912</v>
    <v>1</v>
    <v>571</v>
    <v>17</v>
    <v>57</v>
    <v>Landau</v>
    <v>5</v>
    <v>6</v>
    <v>Map</v>
    <v>7</v>
    <v>14</v>
    <v>2696</v>
    <v>Landau, officially Landau in der Pfalz, is an autonomous town surrounded by the Südliche Weinstraße district of southern Rhineland-Palatinate, Germany. It is a university town, a long-standing cultural centre, and a market and shopping town, ...</v>
    <v>2697</v>
    <v>2698</v>
    <v>2699</v>
    <v>2700</v>
    <v>21</v>
    <v>2701</v>
    <v>2702</v>
    <v>Landau</v>
    <v>Landau</v>
    <v>mdp/vdpid/7014822777009995777</v>
    <v>60</v>
  </rv>
  <rv s="0">
    <v>536870912</v>
    <v>Landkreis Biberach</v>
    <v>01a5881c-7762-1b92-cda3-79a4d6c6874c</v>
    <v>de-DE</v>
    <v>Map</v>
  </rv>
  <rv s="2">
    <fb>199742</fb>
    <v>9</v>
  </rv>
  <rv s="3">
    <v>259</v>
    <v>7</v>
    <v>572</v>
    <v>7</v>
    <v>0</v>
    <v>Image of Biberach</v>
  </rv>
  <rv s="2">
    <fb>1409.82</fb>
    <v>9</v>
  </rv>
  <rv s="0">
    <v>536870912</v>
    <v>Laupheim</v>
    <v>ba76aaf6-9b08-6b12-a864-61d30534194f</v>
    <v>de-DE</v>
    <v>Map</v>
  </rv>
  <rv s="4">
    <v>https://www.bing.com/search?q=biberach+germany&amp;form=skydnc</v>
    <v>Learn more on Bing</v>
  </rv>
  <rv s="14">
    <v>#VALUE!</v>
    <v>de-DE</v>
    <v>01a5881c-7762-1b92-cda3-79a4d6c6874c</v>
    <v>536870912</v>
    <v>1</v>
    <v>573</v>
    <v>151</v>
    <v>152</v>
    <v>Biberach</v>
    <v>5</v>
    <v>6</v>
    <v>Map</v>
    <v>7</v>
    <v>153</v>
    <v>Biberach is a Landkreis in Baden-Württemberg, Germany. It is bounded by the districts of Ravensburg, Sigmaringen, Reutlingen and Alb-Donau, and the Bavarian districts Neu-Ulm, Unterallgäu and the district-free city Memmingen. The major towns in ...</v>
    <v>2705</v>
    <v>2706</v>
    <v>2707</v>
    <v>2708</v>
    <v>21</v>
    <v>2709</v>
    <v>Biberach</v>
    <v>Biberach</v>
    <v>mdp/vdpid/10570578</v>
    <v>359</v>
  </rv>
  <rv s="0">
    <v>536870912</v>
    <v>Landkreis Güstrow</v>
    <v>f8e86dcf-7418-47c4-bfa0-c7f268b50169</v>
    <v>de-DE</v>
    <v>Map</v>
  </rv>
  <rv s="2">
    <fb>98992</fb>
    <v>9</v>
  </rv>
  <rv s="3">
    <v>260</v>
    <v>7</v>
    <v>574</v>
    <v>7</v>
    <v>0</v>
    <v>Image of Güstrow</v>
  </rv>
  <rv s="2">
    <fb>2058</fb>
    <v>9</v>
  </rv>
  <rv s="0">
    <v>536870912</v>
    <v>Gutow</v>
    <v>777352ee-e3f8-8a40-e017-77f242a050cf</v>
    <v>de-DE</v>
    <v>Map</v>
  </rv>
  <rv s="4">
    <v>https://www.bing.com/search?q=g%c3%bcstrow&amp;form=skydnc</v>
    <v>Learn more on Bing</v>
  </rv>
  <rv s="14">
    <v>#VALUE!</v>
    <v>de-DE</v>
    <v>f8e86dcf-7418-47c4-bfa0-c7f268b50169</v>
    <v>536870912</v>
    <v>1</v>
    <v>576</v>
    <v>151</v>
    <v>152</v>
    <v>Güstrow</v>
    <v>5</v>
    <v>6</v>
    <v>Map</v>
    <v>7</v>
    <v>123</v>
    <v>Güstrow is a former district in Mecklenburg-Vorpommern, Germany. It was bounded by the districts of Bad Doberan, Nordvorpommern, Demmin, Müritz, Parchim and Nordwestmecklenburg. The district was disbanded at the district reform of September ...</v>
    <v>2712</v>
    <v>2713</v>
    <v>2714</v>
    <v>2715</v>
    <v>21</v>
    <v>2716</v>
    <v>Güstrow</v>
    <v>Güstrow</v>
    <v>mdp/vdpid/10570968</v>
    <v>94</v>
  </rv>
  <rv s="0">
    <v>536870912</v>
    <v>Landkreis Leer</v>
    <v>773a7d87-7894-5e0c-98d9-68c6e87bb4a0</v>
    <v>de-DE</v>
    <v>Map</v>
  </rv>
  <rv s="0">
    <v>536870912</v>
    <v>Landkreis Regensburg</v>
    <v>ecff51e6-4ff8-e8b8-1a14-51cc2e57519b</v>
    <v>de-DE</v>
    <v>Map</v>
  </rv>
  <rv s="2">
    <fb>192200</fb>
    <v>9</v>
  </rv>
  <rv s="3">
    <v>261</v>
    <v>7</v>
    <v>577</v>
    <v>7</v>
    <v>0</v>
    <v>Image of Regensburg</v>
  </rv>
  <rv s="2">
    <fb>1396</fb>
    <v>9</v>
  </rv>
  <rv s="0">
    <v>536870912</v>
    <v>Regenstauf</v>
    <v>b7415418-dca8-d8c5-097c-95e7ab3fda2f</v>
    <v>de-DE</v>
    <v>Map</v>
  </rv>
  <rv s="4">
    <v>https://www.bing.com/search?q=regensburg+germany&amp;form=skydnc</v>
    <v>Learn more on Bing</v>
  </rv>
  <rv s="21">
    <v>#VALUE!</v>
    <v>de-DE</v>
    <v>ecff51e6-4ff8-e8b8-1a14-51cc2e57519b</v>
    <v>536870912</v>
    <v>1</v>
    <v>578</v>
    <v>579</v>
    <v>580</v>
    <v>Regensburg</v>
    <v>5</v>
    <v>6</v>
    <v>Map</v>
    <v>7</v>
    <v>540</v>
    <v>Regensburg is a Landkreis in Bavaria, Germany. It is bounded by the districts of Schwandorf, Cham, Straubing-Bogen, Kelheim and Neumarkt. The city of Regensburg is enclosed by it, but is not part of the district; nonetheless it is its ...</v>
    <v>2720</v>
    <v>2721</v>
    <v>2722</v>
    <v>2723</v>
    <v>21</v>
    <v>2724</v>
    <v>Regensburg</v>
    <v>Regensburg</v>
    <v>mdp/vdpid/10570634</v>
  </rv>
  <rv s="0">
    <v>536870912</v>
    <v>Landkreis Reutlingen</v>
    <v>e16dfb27-1337-4ca9-8d85-3c299057f4b9</v>
    <v>de-DE</v>
    <v>Map</v>
  </rv>
  <rv s="2">
    <fb>286748</fb>
    <v>9</v>
  </rv>
  <rv s="3">
    <v>262</v>
    <v>7</v>
    <v>581</v>
    <v>7</v>
    <v>0</v>
    <v>Image of Reutlingen</v>
  </rv>
  <rv s="2">
    <fb>1027.8399999999999</fb>
    <v>9</v>
  </rv>
  <rv s="0">
    <v>536870912</v>
    <v>Metzingen</v>
    <v>5be4d311-afa2-6882-7294-de49cea78026</v>
    <v>de-DE</v>
    <v>Map</v>
  </rv>
  <rv s="4">
    <v>https://www.bing.com/search?q=reutlingen+germany&amp;form=skydnc</v>
    <v>Learn more on Bing</v>
  </rv>
  <rv s="14">
    <v>#VALUE!</v>
    <v>de-DE</v>
    <v>e16dfb27-1337-4ca9-8d85-3c299057f4b9</v>
    <v>536870912</v>
    <v>1</v>
    <v>582</v>
    <v>151</v>
    <v>152</v>
    <v>Reutlingen</v>
    <v>5</v>
    <v>6</v>
    <v>Map</v>
    <v>7</v>
    <v>153</v>
    <v>Reutlingen, nicknamed "The Gate to the Swabian Alb", is a Landkreis in the middle of Baden-Württemberg, Germany. The former free imperial city reached the limit of 100,000 residents in 1989. It is the ninth-largest city in Baden-Württemberg. ...</v>
    <v>2727</v>
    <v>2728</v>
    <v>2729</v>
    <v>2730</v>
    <v>21</v>
    <v>2731</v>
    <v>Reutlingen</v>
    <v>Reutlingen</v>
    <v>mdp/vdpid/10570592</v>
    <v>359</v>
  </rv>
  <rv s="0">
    <v>536870912</v>
    <v>Landkreis Schweinfurt</v>
    <v>ebc1bfe2-2368-45b7-9a72-5c7bc89cd5ef</v>
    <v>de-DE</v>
    <v>Map</v>
  </rv>
  <rv s="2">
    <fb>115106</fb>
    <v>9</v>
  </rv>
  <rv s="3">
    <v>263</v>
    <v>7</v>
    <v>583</v>
    <v>7</v>
    <v>0</v>
    <v>Image of Schweinfurt</v>
  </rv>
  <rv s="2">
    <fb>842</fb>
    <v>9</v>
  </rv>
  <rv s="0">
    <v>536870912</v>
    <v>Werneck</v>
    <v>b0cdfe3e-b001-057d-7ccb-1cc8e732ebec</v>
    <v>de-DE</v>
    <v>Map</v>
  </rv>
  <rv s="4">
    <v>https://www.bing.com/search?q=schweinfurt+germany&amp;form=skydnc</v>
    <v>Learn more on Bing</v>
  </rv>
  <rv s="21">
    <v>#VALUE!</v>
    <v>de-DE</v>
    <v>ebc1bfe2-2368-45b7-9a72-5c7bc89cd5ef</v>
    <v>536870912</v>
    <v>1</v>
    <v>584</v>
    <v>579</v>
    <v>580</v>
    <v>Schweinfurt</v>
    <v>5</v>
    <v>6</v>
    <v>Map</v>
    <v>7</v>
    <v>153</v>
    <v>Schweinfurt is a Landkreis in the northwestern part of Bavaria, Germany. Neighboring districts are Bad Kissingen, Rhön-Grabfeld, Haßberge, Bamberg, Kitzingen, Würzburg and Main-Spessart. The district-free city Schweinfurt is surrounded by the ...</v>
    <v>2734</v>
    <v>2735</v>
    <v>2736</v>
    <v>2737</v>
    <v>21</v>
    <v>2738</v>
    <v>Schweinfurt</v>
    <v>Schweinfurt</v>
    <v>mdp/vdpid/10570389</v>
  </rv>
  <rv s="0">
    <v>536870912</v>
    <v>Landshut</v>
    <v>e823071b-1e4b-33f8-0e90-bc6cdc43a266</v>
    <v>de-DE</v>
    <v>Map</v>
  </rv>
  <rv s="0">
    <v>805306368</v>
    <v>Alexander Putz (Mayor)</v>
    <v>00af526e-aa18-1516-99bc-7082ba5ea981</v>
    <v>de-DE</v>
    <v>Generic</v>
  </rv>
  <rv s="1">
    <v>248</v>
  </rv>
  <rv s="2">
    <fb>75457</fb>
    <v>9</v>
  </rv>
  <rv s="3">
    <v>264</v>
    <v>7</v>
    <v>585</v>
    <v>7</v>
    <v>0</v>
    <v>Image of Landshut</v>
  </rv>
  <rv s="2">
    <fb>48.539722222221997</fb>
    <v>10</v>
  </rv>
  <rv s="2">
    <fb>65.83</fb>
    <v>9</v>
  </rv>
  <rv s="2">
    <fb>12.150833333333001</fb>
    <v>10</v>
  </rv>
  <rv s="4">
    <v>https://www.bing.com/search?q=landshut&amp;form=skydnc</v>
    <v>Learn more on Bing</v>
  </rv>
  <rv s="9">
    <v>#VALUE!</v>
    <v>de-DE</v>
    <v>e823071b-1e4b-33f8-0e90-bc6cdc43a266</v>
    <v>536870912</v>
    <v>1</v>
    <v>586</v>
    <v>27</v>
    <v>28</v>
    <v>Landshut</v>
    <v>5</v>
    <v>6</v>
    <v>Map</v>
    <v>7</v>
    <v>14</v>
    <v>2742</v>
    <v>Landshut is a town in Bavaria in the south-east of Germany. Situated on the banks of the River Isar, Landshut is the capital of Lower Bavaria, one of the seven administrative regions of the Free State of Bavaria. It is also the seat of the ...</v>
    <v>2743</v>
    <v>2744</v>
    <v>2745</v>
    <v>2746</v>
    <v>21</v>
    <v>2747</v>
    <v>2748</v>
    <v>Landshut</v>
    <v>Landshut</v>
    <v>mdp/vdpid/7021454482634440706</v>
  </rv>
  <rv s="0">
    <v>536870912</v>
    <v>Langen</v>
    <v>170160a3-bdd2-6366-8f78-2caa60ae6b72</v>
    <v>de-DE</v>
    <v>Map</v>
  </rv>
  <rv s="0">
    <v>805306368</v>
    <v>Jan Werner (Mayor)</v>
    <v>18047c51-dc30-7463-8a15-1410309b8242</v>
    <v>de-DE</v>
    <v>Generic</v>
  </rv>
  <rv s="1">
    <v>249</v>
  </rv>
  <rv s="2">
    <fb>39217</fb>
    <v>9</v>
  </rv>
  <rv s="3">
    <v>265</v>
    <v>7</v>
    <v>587</v>
    <v>7</v>
    <v>0</v>
    <v>Image of Langen, Hesse</v>
  </rv>
  <rv s="2">
    <fb>49.989305555555603</fb>
    <v>10</v>
  </rv>
  <rv s="2">
    <fb>29.12</fb>
    <v>9</v>
  </rv>
  <rv s="2">
    <fb>8.6803472222222204</fb>
    <v>10</v>
  </rv>
  <rv s="4">
    <v>https://www.bing.com/search?q=langen+germany&amp;form=skydnc</v>
    <v>Learn more on Bing</v>
  </rv>
  <rv s="0">
    <v>536870912</v>
    <v>Offenbach</v>
    <v>8c342bda-6718-47a2-7639-c3a1bc3834a2</v>
    <v>de-DE</v>
    <v>Map</v>
  </rv>
  <rv s="6">
    <v>#VALUE!</v>
    <v>de-DE</v>
    <v>170160a3-bdd2-6366-8f78-2caa60ae6b72</v>
    <v>536870912</v>
    <v>1</v>
    <v>588</v>
    <v>2</v>
    <v>13</v>
    <v>Langen, Hesse</v>
    <v>5</v>
    <v>6</v>
    <v>Map</v>
    <v>7</v>
    <v>14</v>
    <v>2752</v>
    <v>Langen is a town of roughly 39,000 in the Offenbach district in the Regierungsbezirk of Darmstadt in Hesse, Germany. The town is between Darmstadt and Frankfurt am Main and part of the Frankfurt Rhein-Main urban area. Langen is headquarters to ...</v>
    <v>2753</v>
    <v>2754</v>
    <v>2755</v>
    <v>2756</v>
    <v>21</v>
    <v>2757</v>
    <v>2758</v>
    <v>Langen, Hesse</v>
    <v>Langen, Hesse</v>
    <v>mdp/vdpid/7014943963756888065</v>
    <v>303</v>
    <v>2759</v>
  </rv>
  <rv s="0">
    <v>536870912</v>
    <v>Langenfeld</v>
    <v>0f5ab597-3590-0ea8-8c97-9f216016a5d7</v>
    <v>de-DE</v>
    <v>Map</v>
  </rv>
  <rv s="0">
    <v>805306368</v>
    <v>Frank Schneider (Mayor)</v>
    <v>db65b4ac-d5e3-f2db-896a-8c59bb35f773</v>
    <v>de-DE</v>
    <v>Generic</v>
  </rv>
  <rv s="1">
    <v>250</v>
  </rv>
  <rv s="2">
    <fb>59783</fb>
    <v>9</v>
  </rv>
  <rv s="3">
    <v>266</v>
    <v>7</v>
    <v>589</v>
    <v>7</v>
    <v>0</v>
    <v>Image of Langenfeld, Rhineland</v>
  </rv>
  <rv s="2">
    <fb>41.15</fb>
    <v>9</v>
  </rv>
  <rv s="2">
    <fb>6.95</fb>
    <v>10</v>
  </rv>
  <rv s="4">
    <v>https://www.bing.com/search?q=langenfeld+germany&amp;form=skydnc</v>
    <v>Learn more on Bing</v>
  </rv>
  <rv s="6">
    <v>#VALUE!</v>
    <v>de-DE</v>
    <v>0f5ab597-3590-0ea8-8c97-9f216016a5d7</v>
    <v>536870912</v>
    <v>1</v>
    <v>590</v>
    <v>2</v>
    <v>13</v>
    <v>Langenfeld, Rhineland</v>
    <v>5</v>
    <v>6</v>
    <v>Map</v>
    <v>7</v>
    <v>14</v>
    <v>2763</v>
    <v>Langenfeld is a town in North Rhine-Westphalia in the district of Mettmann. The suburban city is located between Düsseldorf and Cologne. Langenfeld was formed from the two localities of Richrath and Reusrath and received city rights in 1948.</v>
    <v>2764</v>
    <v>2765</v>
    <v>662</v>
    <v>2766</v>
    <v>21</v>
    <v>2767</v>
    <v>2768</v>
    <v>Langenfeld, Rhineland</v>
    <v>Langenfeld, Rhineland</v>
    <v>mdp/vdpid/7011381917161357313</v>
    <v>1029</v>
    <v>2076</v>
  </rv>
  <rv s="0">
    <v>536870912</v>
    <v>Langenhagen</v>
    <v>31157179-4124-f880-8509-13d510f961a8</v>
    <v>de-DE</v>
    <v>Map</v>
  </rv>
  <rv s="0">
    <v>805306368</v>
    <v>Mirko Heuer (Mayor)</v>
    <v>b405403e-c9da-a771-a61d-ac7415574458</v>
    <v>de-DE</v>
    <v>Generic</v>
  </rv>
  <rv s="1">
    <v>251</v>
  </rv>
  <rv s="2">
    <fb>55367</fb>
    <v>9</v>
  </rv>
  <rv s="3">
    <v>267</v>
    <v>7</v>
    <v>591</v>
    <v>7</v>
    <v>0</v>
    <v>Image of Langenhagen</v>
  </rv>
  <rv s="2">
    <fb>52.439444444444</fb>
    <v>10</v>
  </rv>
  <rv s="2">
    <fb>71.97</fb>
    <v>9</v>
  </rv>
  <rv s="2">
    <fb>9.74</fb>
    <v>10</v>
  </rv>
  <rv s="4">
    <v>https://www.bing.com/search?q=langenhagen+germany&amp;form=skydnc</v>
    <v>Learn more on Bing</v>
  </rv>
  <rv s="6">
    <v>#VALUE!</v>
    <v>de-DE</v>
    <v>31157179-4124-f880-8509-13d510f961a8</v>
    <v>536870912</v>
    <v>1</v>
    <v>592</v>
    <v>2</v>
    <v>13</v>
    <v>Langenhagen</v>
    <v>5</v>
    <v>6</v>
    <v>Map</v>
    <v>7</v>
    <v>14</v>
    <v>2772</v>
    <v>Langenhagen is a town in the Hanover district of Lower Saxony, Germany.</v>
    <v>2773</v>
    <v>2774</v>
    <v>2775</v>
    <v>2776</v>
    <v>21</v>
    <v>2777</v>
    <v>2778</v>
    <v>Langenhagen</v>
    <v>Langenhagen</v>
    <v>mdp/vdpid/7011663885304332289</v>
    <v>247</v>
    <v>2004</v>
  </rv>
  <rv s="0">
    <v>536870912</v>
    <v>Langeoog</v>
    <v>2ec0dff3-67d6-dcc9-ea18-b0dbeb3eaf16</v>
    <v>de-DE</v>
    <v>Map</v>
  </rv>
  <rv s="0">
    <v>805306368</v>
    <v>Heike Horn (Mayor)</v>
    <v>7135f78a-ccb5-12c9-b856-215e7ec4fa34</v>
    <v>de-DE</v>
    <v>Generic</v>
  </rv>
  <rv s="1">
    <v>252</v>
  </rv>
  <rv s="2">
    <fb>1747</fb>
    <v>9</v>
  </rv>
  <rv s="3">
    <v>268</v>
    <v>7</v>
    <v>593</v>
    <v>7</v>
    <v>0</v>
    <v>Image of Langeoog</v>
  </rv>
  <rv s="2">
    <fb>53.748333333333001</fb>
    <v>10</v>
  </rv>
  <rv s="2">
    <fb>19.73</fb>
    <v>9</v>
  </rv>
  <rv s="2">
    <fb>7.4797222222222004</fb>
    <v>10</v>
  </rv>
  <rv s="4">
    <v>https://www.bing.com/search?q=langeoog&amp;form=skydnc</v>
    <v>Learn more on Bing</v>
  </rv>
  <rv s="0">
    <v>536870912</v>
    <v>Wittmund</v>
    <v>a9557e41-5912-4836-a005-c51e1eac920f</v>
    <v>de-DE</v>
    <v>Map</v>
  </rv>
  <rv s="6">
    <v>#VALUE!</v>
    <v>de-DE</v>
    <v>2ec0dff3-67d6-dcc9-ea18-b0dbeb3eaf16</v>
    <v>536870912</v>
    <v>1</v>
    <v>594</v>
    <v>2</v>
    <v>13</v>
    <v>Langeoog</v>
    <v>5</v>
    <v>6</v>
    <v>Map</v>
    <v>7</v>
    <v>14</v>
    <v>2782</v>
    <v>Langeoog is one of the seven inhabited East Frisian Islands at the edge of the Lower Saxon Wadden Sea in the southern North Sea, located between Baltrum Island, and Spiekeroog. It is also a municipality in the district of Wittmund in Lower ...</v>
    <v>2783</v>
    <v>2784</v>
    <v>2785</v>
    <v>2786</v>
    <v>21</v>
    <v>2787</v>
    <v>2788</v>
    <v>Langeoog</v>
    <v>Langeoog</v>
    <v>mdp/vdpid/7010372641454292993</v>
    <v>247</v>
    <v>2789</v>
  </rv>
  <rv s="0">
    <v>536870912</v>
    <v>Lauchhammer</v>
    <v>c68f6af9-052e-e16e-bc38-76662ee06f00</v>
    <v>de-DE</v>
    <v>Map</v>
  </rv>
  <rv s="0">
    <v>805306368</v>
    <v>Mirko Buhr (Mayor)</v>
    <v>6a234472-401b-9542-01ef-5b401bb9cd72</v>
    <v>de-DE</v>
    <v>Generic</v>
  </rv>
  <rv s="1">
    <v>253</v>
  </rv>
  <rv s="2">
    <fb>14143</fb>
    <v>9</v>
  </rv>
  <rv s="3">
    <v>269</v>
    <v>7</v>
    <v>595</v>
    <v>7</v>
    <v>0</v>
    <v>Image of Lauchhammer</v>
  </rv>
  <rv s="2">
    <fb>51.469302999999996</fb>
    <v>10</v>
  </rv>
  <rv s="2">
    <fb>88.89</fb>
    <v>9</v>
  </rv>
  <rv s="2">
    <fb>13.763192</fb>
    <v>10</v>
  </rv>
  <rv s="4">
    <v>https://www.bing.com/search?q=stadt+lauchhammer&amp;form=skydnc</v>
    <v>Learn more on Bing</v>
  </rv>
  <rv s="0">
    <v>536870912</v>
    <v>Oberspreewald-Lausitz District</v>
    <v>9e31a846-3b11-b4ab-160c-34733e288aee</v>
    <v>de-DE</v>
    <v>Map</v>
  </rv>
  <rv s="6">
    <v>#VALUE!</v>
    <v>de-DE</v>
    <v>c68f6af9-052e-e16e-bc38-76662ee06f00</v>
    <v>536870912</v>
    <v>1</v>
    <v>596</v>
    <v>2</v>
    <v>13</v>
    <v>Lauchhammer</v>
    <v>5</v>
    <v>6</v>
    <v>Map</v>
    <v>7</v>
    <v>14</v>
    <v>2793</v>
    <v>Lauchhammer is a town in the Oberspreewald-Lausitz district, in southern Brandenburg, Germany. It is situated on the Black Elster river, approx. 17 km west of Senftenberg, and 50 km north of Dresden.</v>
    <v>2794</v>
    <v>2795</v>
    <v>2796</v>
    <v>2797</v>
    <v>21</v>
    <v>2798</v>
    <v>2799</v>
    <v>Lauchhammer</v>
    <v>Lauchhammer</v>
    <v>mdp/vdpid/7018220056278466561</v>
    <v>488</v>
    <v>2800</v>
  </rv>
  <rv s="0">
    <v>536870912</v>
    <v>Lauda-Königshofen</v>
    <v>5b3675ae-f0e9-b178-b362-e8c50e01f4fb</v>
    <v>de-DE</v>
    <v>Map</v>
  </rv>
  <rv s="0">
    <v>805306368</v>
    <v>Lukas Braun (Mayor)</v>
    <v>0bf977e4-880f-ad30-dff3-c2af6005c830</v>
    <v>de-DE</v>
    <v>Generic</v>
  </rv>
  <rv s="1">
    <v>254</v>
  </rv>
  <rv s="2">
    <fb>14578</fb>
    <v>9</v>
  </rv>
  <rv s="3">
    <v>270</v>
    <v>7</v>
    <v>597</v>
    <v>7</v>
    <v>0</v>
    <v>Image of Lauda-Königshofen</v>
  </rv>
  <rv s="2">
    <fb>49.568611111110997</fb>
    <v>10</v>
  </rv>
  <rv s="2">
    <fb>94.47</fb>
    <v>9</v>
  </rv>
  <rv s="2">
    <fb>9.7038888888888994</fb>
    <v>10</v>
  </rv>
  <rv s="4">
    <v>https://www.bing.com/search?q=lauda-k%c3%b6nigshofen+germany&amp;form=skydnc</v>
    <v>Learn more on Bing</v>
  </rv>
  <rv s="0">
    <v>536870912</v>
    <v>Main-Tauber-Kreis</v>
    <v>d304c49c-fe6f-a04b-16b1-6f7930b8e0a1</v>
    <v>de-DE</v>
    <v>Map</v>
  </rv>
  <rv s="6">
    <v>#VALUE!</v>
    <v>de-DE</v>
    <v>5b3675ae-f0e9-b178-b362-e8c50e01f4fb</v>
    <v>536870912</v>
    <v>1</v>
    <v>598</v>
    <v>2</v>
    <v>13</v>
    <v>Lauda-Königshofen</v>
    <v>5</v>
    <v>6</v>
    <v>Map</v>
    <v>7</v>
    <v>14</v>
    <v>2804</v>
    <v>Lauda-Königshofen is a town in the Main-Tauber district in Baden-Württemberg, Germany. It is situated on the river Tauber, 7 km southeast of Tauberbischofsheim, and 30 km southwest of Würzburg. Most of the roughly 300 houses in the traditional ...</v>
    <v>2805</v>
    <v>2806</v>
    <v>2807</v>
    <v>2808</v>
    <v>21</v>
    <v>2809</v>
    <v>2810</v>
    <v>Lauda-Königshofen</v>
    <v>Lauda-Königshofen</v>
    <v>mdp/vdpid/7015054216775335937</v>
    <v>606</v>
    <v>2811</v>
  </rv>
  <rv s="0">
    <v>536870912</v>
    <v>Lehrte</v>
    <v>a9e00e23-f5f3-acdc-222d-bedf12966678</v>
    <v>de-DE</v>
    <v>Map</v>
  </rv>
  <rv s="0">
    <v>805306368</v>
    <v>Frank Prüße (Mayor)</v>
    <v>c5c3dc99-f8a5-26e6-4945-2d309859cb16</v>
    <v>de-DE</v>
    <v>Generic</v>
  </rv>
  <rv s="1">
    <v>255</v>
  </rv>
  <rv s="2">
    <fb>44823</fb>
    <v>9</v>
  </rv>
  <rv s="3">
    <v>271</v>
    <v>7</v>
    <v>599</v>
    <v>7</v>
    <v>0</v>
    <v>Image of Lehrte</v>
  </rv>
  <rv s="2">
    <fb>52.372500000000002</fb>
    <v>10</v>
  </rv>
  <rv s="2">
    <fb>127.67</fb>
    <v>9</v>
  </rv>
  <rv s="2">
    <fb>9.9769444444444009</fb>
    <v>10</v>
  </rv>
  <rv s="4">
    <v>https://www.bing.com/search?q=lehrte+germany&amp;form=skydnc</v>
    <v>Learn more on Bing</v>
  </rv>
  <rv s="6">
    <v>#VALUE!</v>
    <v>de-DE</v>
    <v>a9e00e23-f5f3-acdc-222d-bedf12966678</v>
    <v>536870912</v>
    <v>1</v>
    <v>600</v>
    <v>2</v>
    <v>13</v>
    <v>Lehrte</v>
    <v>5</v>
    <v>6</v>
    <v>Map</v>
    <v>7</v>
    <v>14</v>
    <v>2815</v>
    <v>Lehrte is a town in the district of Hanover, in Lower Saxony, Germany. It is situated approximately 17 km east of Hanover. In the 19th century Lehrte was the most important railway junction in the former Kingdom of Hanover. As of the 21st ...</v>
    <v>2816</v>
    <v>2817</v>
    <v>2818</v>
    <v>2819</v>
    <v>21</v>
    <v>2820</v>
    <v>2821</v>
    <v>Lehrte</v>
    <v>Lehrte</v>
    <v>mdp/vdpid/7011759330936487937</v>
    <v>247</v>
    <v>2004</v>
  </rv>
  <rv s="0">
    <v>536870912</v>
    <v>Leipzig</v>
    <v>ff50f94c-10e8-9487-0ea8-49b8334c589c</v>
    <v>de-DE</v>
    <v>Map</v>
  </rv>
  <rv s="0">
    <v>805306368</v>
    <v>Burkhard Jung (Mayor)</v>
    <v>48fd14b6-339c-40d0-9840-5c8df4554004</v>
    <v>de-DE</v>
    <v>Generic</v>
  </rv>
  <rv s="1">
    <v>256</v>
  </rv>
  <rv s="2">
    <fb>625341</fb>
    <v>9</v>
  </rv>
  <rv s="3">
    <v>272</v>
    <v>7</v>
    <v>601</v>
    <v>7</v>
    <v>0</v>
    <v>Image of Leipzig</v>
  </rv>
  <rv s="2">
    <fb>51.34</fb>
    <v>10</v>
  </rv>
  <rv s="2">
    <fb>297.8</fb>
    <v>9</v>
  </rv>
  <rv s="2">
    <fb>12.375</fb>
    <v>10</v>
  </rv>
  <rv s="4">
    <v>https://www.bing.com/search?q=leipzig&amp;form=skydnc</v>
    <v>Learn more on Bing</v>
  </rv>
  <rv s="11">
    <v>#VALUE!</v>
    <v>de-DE</v>
    <v>ff50f94c-10e8-9487-0ea8-49b8334c589c</v>
    <v>536870912</v>
    <v>1</v>
    <v>602</v>
    <v>17</v>
    <v>57</v>
    <v>Leipzig</v>
    <v>5</v>
    <v>6</v>
    <v>Map</v>
    <v>7</v>
    <v>260</v>
    <v>2825</v>
    <v>Leipzig is the most populous city in the German state of Saxony. The city has a population of 628,718 inhabitants as of 2023. It is the eighth-largest city in Germany and is part of the Central German Metropolitan Region. The name of the city ...</v>
    <v>2826</v>
    <v>2827</v>
    <v>2828</v>
    <v>2829</v>
    <v>1070</v>
    <v>2830</v>
    <v>2831</v>
    <v>Leipzig</v>
    <v>Leipzig</v>
    <v>mdp/vdpid/7018132236914393089</v>
    <v>106</v>
  </rv>
  <rv s="0">
    <v>536870912</v>
    <v>Lemgo</v>
    <v>1421f7e8-4ae5-d598-1d08-717ebb624bef</v>
    <v>de-DE</v>
    <v>Map</v>
  </rv>
  <rv s="0">
    <v>805306368</v>
    <v>Markus Baier (Mayor)</v>
    <v>a8b1b4b5-7fe3-1cb0-e23b-85b959012452</v>
    <v>de-DE</v>
    <v>Generic</v>
  </rv>
  <rv s="1">
    <v>257</v>
  </rv>
  <rv s="2">
    <fb>40594</fb>
    <v>9</v>
  </rv>
  <rv s="3">
    <v>273</v>
    <v>7</v>
    <v>603</v>
    <v>7</v>
    <v>0</v>
    <v>Image of Lemgo</v>
  </rv>
  <rv s="2">
    <fb>52.027680555555598</fb>
    <v>10</v>
  </rv>
  <rv s="2">
    <fb>100.85</fb>
    <v>9</v>
  </rv>
  <rv s="2">
    <fb>8.9042999999999992</fb>
    <v>10</v>
  </rv>
  <rv s="4">
    <v>https://www.bing.com/search?q=lemgo+germany&amp;form=skydnc</v>
    <v>Learn more on Bing</v>
  </rv>
  <rv s="10">
    <v>#VALUE!</v>
    <v>de-DE</v>
    <v>1421f7e8-4ae5-d598-1d08-717ebb624bef</v>
    <v>536870912</v>
    <v>1</v>
    <v>604</v>
    <v>39</v>
    <v>40</v>
    <v>Lemgo</v>
    <v>5</v>
    <v>6</v>
    <v>Map</v>
    <v>7</v>
    <v>14</v>
    <v>2835</v>
    <v>Lemgo is a University and Old Hanseatic town in the Lippe district of North Rhine-Westphalia, Germany. It is situated between the Teutoburg Forest and the Weser Uplands, 25 km east of Bielefeld and 70 km west of Hannover.</v>
    <v>2836</v>
    <v>2837</v>
    <v>2838</v>
    <v>2839</v>
    <v>21</v>
    <v>2840</v>
    <v>2841</v>
    <v>Lemgo</v>
    <v>Lemgo</v>
    <v>mdp/vdpid/7011834204799369217</v>
    <v>996</v>
  </rv>
  <rv s="0">
    <v>536870912</v>
    <v>Lengerich</v>
    <v>ef8fff28-60b4-aaf2-5b5c-207b4c57f1bf</v>
    <v>de-DE</v>
    <v>Map</v>
  </rv>
  <rv s="0">
    <v>805306368</v>
    <v>Wilhelm Möhrke (Mayor)</v>
    <v>973fcc7d-26e4-9937-7829-1200aab4f729</v>
    <v>de-DE</v>
    <v>Generic</v>
  </rv>
  <rv s="1">
    <v>258</v>
  </rv>
  <rv s="2">
    <fb>22980</fb>
    <v>9</v>
  </rv>
  <rv s="3">
    <v>274</v>
    <v>7</v>
    <v>605</v>
    <v>7</v>
    <v>0</v>
    <v>Image of Lengerich, Westphalia</v>
  </rv>
  <rv s="2">
    <fb>52.174999999999997</fb>
    <v>10</v>
  </rv>
  <rv s="2">
    <fb>90.79</fb>
    <v>9</v>
  </rv>
  <rv s="2">
    <fb>7.8666666666667</fb>
    <v>10</v>
  </rv>
  <rv s="4">
    <v>https://www.bing.com/search?q=lengerich+steinfurt&amp;form=skydnc</v>
    <v>Learn more on Bing</v>
  </rv>
  <rv s="6">
    <v>#VALUE!</v>
    <v>de-DE</v>
    <v>ef8fff28-60b4-aaf2-5b5c-207b4c57f1bf</v>
    <v>536870912</v>
    <v>1</v>
    <v>606</v>
    <v>2</v>
    <v>13</v>
    <v>Lengerich, Westphalia</v>
    <v>5</v>
    <v>6</v>
    <v>Map</v>
    <v>7</v>
    <v>14</v>
    <v>2845</v>
    <v>Lengerich is a town in the district of Steinfurt, in North Rhine-Westphalia, Germany. It is situated on the southern slope of the Teutoburg Forest, approx. 15 km south-west of Osnabrück and 30 km north-east of Münster.</v>
    <v>2846</v>
    <v>2847</v>
    <v>2848</v>
    <v>2849</v>
    <v>21</v>
    <v>2850</v>
    <v>2851</v>
    <v>Lengerich, Westphalia</v>
    <v>Lengerich, Westphalia</v>
    <v>mdp/vdpid/7011249291440160769</v>
    <v>24</v>
    <v>1270</v>
  </rv>
  <rv s="0">
    <v>536870912</v>
    <v>Leonberg</v>
    <v>8d12578f-c04f-6d7c-32c1-0573d59ac85b</v>
    <v>de-DE</v>
    <v>Map</v>
  </rv>
  <rv s="0">
    <v>805306368</v>
    <v>Martin Kaufmann (Mayor)</v>
    <v>22f051ad-cd93-d33b-036a-3c850aa585f6</v>
    <v>de-DE</v>
    <v>Generic</v>
  </rv>
  <rv s="1">
    <v>259</v>
  </rv>
  <rv s="2">
    <fb>49512</fb>
    <v>9</v>
  </rv>
  <rv s="3">
    <v>275</v>
    <v>7</v>
    <v>607</v>
    <v>7</v>
    <v>0</v>
    <v>Image of Leonberg</v>
  </rv>
  <rv s="2">
    <fb>48.801388888889001</fb>
    <v>10</v>
  </rv>
  <rv s="2">
    <fb>48.74</fb>
    <v>9</v>
  </rv>
  <rv s="2">
    <fb>9.0130555555555993</fb>
    <v>10</v>
  </rv>
  <rv s="4">
    <v>https://www.bing.com/search?q=leonberg&amp;form=skydnc</v>
    <v>Learn more on Bing</v>
  </rv>
  <rv s="6">
    <v>#VALUE!</v>
    <v>de-DE</v>
    <v>8d12578f-c04f-6d7c-32c1-0573d59ac85b</v>
    <v>536870912</v>
    <v>1</v>
    <v>608</v>
    <v>2</v>
    <v>13</v>
    <v>Leonberg</v>
    <v>5</v>
    <v>6</v>
    <v>Map</v>
    <v>7</v>
    <v>14</v>
    <v>2855</v>
    <v>Leonberg is a town in the German federal state of Baden-Württemberg about 16 km to the west of Stuttgart, the state capital. About 45,000 people live in Leonberg, making it the third-largest borough in the rural district of Böblingen.</v>
    <v>2856</v>
    <v>2857</v>
    <v>2858</v>
    <v>2859</v>
    <v>21</v>
    <v>2860</v>
    <v>2861</v>
    <v>Leonberg</v>
    <v>Leonberg</v>
    <v>mdp/vdpid/7015231168085753857</v>
    <v>606</v>
    <v>607</v>
  </rv>
  <rv s="0">
    <v>536870912</v>
    <v>Leverkusen</v>
    <v>30771ef7-3a2b-fe26-3d89-d9dec7099155</v>
    <v>de-DE</v>
    <v>Map</v>
  </rv>
  <rv s="0">
    <v>805306368</v>
    <v>Uwe Richrath (Mayor)</v>
    <v>9701a1b1-a7ab-f444-0e4f-c55230b8205b</v>
    <v>de-DE</v>
    <v>Generic</v>
  </rv>
  <rv s="1">
    <v>260</v>
  </rv>
  <rv s="2">
    <fb>165748</fb>
    <v>9</v>
  </rv>
  <rv s="3">
    <v>276</v>
    <v>7</v>
    <v>609</v>
    <v>7</v>
    <v>0</v>
    <v>Image of Leverkusen</v>
  </rv>
  <rv s="2">
    <fb>51.033333333332997</fb>
    <v>10</v>
  </rv>
  <rv s="2">
    <fb>78.87</fb>
    <v>9</v>
  </rv>
  <rv s="2">
    <fb>6.9833333333332996</fb>
    <v>10</v>
  </rv>
  <rv s="4">
    <v>https://www.bing.com/search?q=leverkusen+germany&amp;form=skydnc</v>
    <v>Learn more on Bing</v>
  </rv>
  <rv s="6">
    <v>#VALUE!</v>
    <v>de-DE</v>
    <v>30771ef7-3a2b-fe26-3d89-d9dec7099155</v>
    <v>536870912</v>
    <v>1</v>
    <v>610</v>
    <v>2</v>
    <v>13</v>
    <v>Leverkusen</v>
    <v>5</v>
    <v>6</v>
    <v>Map</v>
    <v>7</v>
    <v>14</v>
    <v>2865</v>
    <v>Leverkusen is a city in North Rhine-Westphalia, Germany, on the eastern bank of the Rhine. To the south, Leverkusen borders the city of Cologne, and to the north the state capital, Düsseldorf. With about 163,000 inhabitants, Leverkusen is one of ...</v>
    <v>2866</v>
    <v>2867</v>
    <v>2868</v>
    <v>2869</v>
    <v>21</v>
    <v>2870</v>
    <v>2871</v>
    <v>Leverkusen</v>
    <v>Leverkusen</v>
    <v>mdp/vdpid/7011476034423881729</v>
    <v>412</v>
    <v>10</v>
  </rv>
  <rv s="0">
    <v>536870912</v>
    <v>Limbach-Oberfrohna</v>
    <v>1e840982-b549-5f83-6e84-f2a5f5252d2e</v>
    <v>de-DE</v>
    <v>Map</v>
  </rv>
  <rv s="0">
    <v>805306368</v>
    <v>Gerd Härtig (Mayor)</v>
    <v>8e2bf4f5-ddad-ed97-c4e6-de56d859f026</v>
    <v>de-DE</v>
    <v>Generic</v>
  </rv>
  <rv s="1">
    <v>261</v>
  </rv>
  <rv s="2">
    <fb>23833</fb>
    <v>9</v>
  </rv>
  <rv s="3">
    <v>277</v>
    <v>7</v>
    <v>611</v>
    <v>7</v>
    <v>0</v>
    <v>Image of Limbach-Oberfrohna</v>
  </rv>
  <rv s="2">
    <fb>50.866666666667001</fb>
    <v>10</v>
  </rv>
  <rv s="2">
    <fb>50.21</fb>
    <v>9</v>
  </rv>
  <rv s="2">
    <fb>12.75</fb>
    <v>10</v>
  </rv>
  <rv s="4">
    <v>https://www.bing.com/search?q=limbach-oberfrohna&amp;form=skydnc</v>
    <v>Learn more on Bing</v>
  </rv>
  <rv s="11">
    <v>#VALUE!</v>
    <v>de-DE</v>
    <v>1e840982-b549-5f83-6e84-f2a5f5252d2e</v>
    <v>536870912</v>
    <v>1</v>
    <v>612</v>
    <v>17</v>
    <v>57</v>
    <v>Limbach-Oberfrohna</v>
    <v>5</v>
    <v>6</v>
    <v>Map</v>
    <v>7</v>
    <v>14</v>
    <v>2875</v>
    <v>Limbach-Oberfrohna is a town in the district of Zwickau in Saxony, Germany.</v>
    <v>2876</v>
    <v>2877</v>
    <v>2878</v>
    <v>2879</v>
    <v>21</v>
    <v>2880</v>
    <v>2881</v>
    <v>Limbach-Oberfrohna</v>
    <v>Limbach-Oberfrohna</v>
    <v>mdp/vdpid/7018245584859430913</v>
    <v>913</v>
  </rv>
  <rv s="0">
    <v>536870912</v>
    <v>Lindau</v>
    <v>40fd9835-63a1-e5a3-da50-d1c4fe84ac11</v>
    <v>de-DE</v>
    <v>Map</v>
  </rv>
  <rv s="0">
    <v>805306368</v>
    <v>Dr. Claudia Alfons (Mayor)</v>
    <v>eced77d3-004e-1b86-264a-e45a17d16191</v>
    <v>de-DE</v>
    <v>Generic</v>
  </rv>
  <rv s="1">
    <v>262</v>
  </rv>
  <rv s="2">
    <fb>25846</fb>
    <v>9</v>
  </rv>
  <rv s="3">
    <v>278</v>
    <v>7</v>
    <v>613</v>
    <v>7</v>
    <v>0</v>
    <v>Image of Lindau</v>
  </rv>
  <rv s="2">
    <fb>47.545833333333</fb>
    <v>10</v>
  </rv>
  <rv s="2">
    <fb>33.06</fb>
    <v>9</v>
  </rv>
  <rv s="2">
    <fb>9.6838888888888999</fb>
    <v>10</v>
  </rv>
  <rv s="4">
    <v>https://www.bing.com/search?q=lindau&amp;form=skydnc</v>
    <v>Learn more on Bing</v>
  </rv>
  <rv s="0">
    <v>536870912</v>
    <v>Lindau</v>
    <v>8a1e0136-2a17-c29b-00cc-6eb31099fb41</v>
    <v>de-DE</v>
    <v>Map</v>
  </rv>
  <rv s="10">
    <v>#VALUE!</v>
    <v>de-DE</v>
    <v>40fd9835-63a1-e5a3-da50-d1c4fe84ac11</v>
    <v>536870912</v>
    <v>1</v>
    <v>614</v>
    <v>39</v>
    <v>40</v>
    <v>Lindau</v>
    <v>5</v>
    <v>6</v>
    <v>Map</v>
    <v>7</v>
    <v>14</v>
    <v>2885</v>
    <v>Lindau is a major town and island on the eastern side of Lake Constance in Bavaria, Germany. It is the capital of the county of Lindau, Bavaria and is near the borders of the Austrian state of Vorarlberg, and the Swiss cantons of St. Gallen and ...</v>
    <v>2886</v>
    <v>2887</v>
    <v>2888</v>
    <v>2889</v>
    <v>21</v>
    <v>2890</v>
    <v>2891</v>
    <v>Lindau</v>
    <v>Lindau</v>
    <v>mdp/vdpid/7016096980090748929</v>
    <v>2892</v>
  </rv>
  <rv s="0">
    <v>536870912</v>
    <v>Lingen</v>
    <v>f25e6aec-e7dc-37ce-a8b2-9bba56db1534</v>
    <v>de-DE</v>
    <v>Map</v>
  </rv>
  <rv s="0">
    <v>805306368</v>
    <v>Dieter Krone (Mayor)</v>
    <v>11d5949f-fde4-977c-fb6f-367e3d18ff78</v>
    <v>de-DE</v>
    <v>Generic</v>
  </rv>
  <rv s="1">
    <v>263</v>
  </rv>
  <rv s="2">
    <fb>56542</fb>
    <v>9</v>
  </rv>
  <rv s="3">
    <v>279</v>
    <v>7</v>
    <v>615</v>
    <v>7</v>
    <v>0</v>
    <v>Image of Lingen, Germany</v>
  </rv>
  <rv s="2">
    <fb>52.523333333332999</fb>
    <v>10</v>
  </rv>
  <rv s="2">
    <fb>176.19</fb>
    <v>9</v>
  </rv>
  <rv s="2">
    <fb>7.3172222222221999</fb>
    <v>10</v>
  </rv>
  <rv s="4">
    <v>https://www.bing.com/search?q=lingen+germany&amp;form=skydnc</v>
    <v>Learn more on Bing</v>
  </rv>
  <rv s="0">
    <v>536870912</v>
    <v>Emsland</v>
    <v>18e83a52-8c08-7680-8646-a240f621c8d1</v>
    <v>de-DE</v>
    <v>Map</v>
  </rv>
  <rv s="6">
    <v>#VALUE!</v>
    <v>de-DE</v>
    <v>f25e6aec-e7dc-37ce-a8b2-9bba56db1534</v>
    <v>536870912</v>
    <v>1</v>
    <v>616</v>
    <v>2</v>
    <v>13</v>
    <v>Lingen, Germany</v>
    <v>5</v>
    <v>6</v>
    <v>Map</v>
    <v>7</v>
    <v>14</v>
    <v>2896</v>
    <v>Lingen, officially Lingen, is a town in Lower Saxony, Germany. In 2008, its population was 52,353, and in addition there were about 5,000 people who registered the city as their secondary residence. Lingen, specifically "Lingen " is located on ...</v>
    <v>2897</v>
    <v>2898</v>
    <v>2899</v>
    <v>2900</v>
    <v>21</v>
    <v>2901</v>
    <v>2902</v>
    <v>Lingen, Germany</v>
    <v>Lingen, Germany</v>
    <v>mdp/vdpid/7011197102420131841</v>
    <v>247</v>
    <v>2903</v>
  </rv>
  <rv s="0">
    <v>536870912</v>
    <v>Löbau</v>
    <v>b5e110ba-2fbe-ea5f-70de-3e9468c7279a</v>
    <v>de-DE</v>
    <v>Map</v>
  </rv>
  <rv s="0">
    <v>805306368</v>
    <v>Albrecht Gubsch (Mayor)</v>
    <v>ad652eb4-1091-c847-3ffc-8177655a6cf4</v>
    <v>de-DE</v>
    <v>Generic</v>
  </rv>
  <rv s="1">
    <v>264</v>
  </rv>
  <rv s="2">
    <fb>14352</fb>
    <v>9</v>
  </rv>
  <rv s="3">
    <v>280</v>
    <v>7</v>
    <v>617</v>
    <v>7</v>
    <v>0</v>
    <v>Image of Löbau</v>
  </rv>
  <rv s="2">
    <fb>51.094444444444001</fb>
    <v>10</v>
  </rv>
  <rv s="2">
    <fb>78.900000000000006</fb>
    <v>9</v>
  </rv>
  <rv s="2">
    <fb>14.666666666667</fb>
    <v>10</v>
  </rv>
  <rv s="4">
    <v>https://www.bing.com/search?q=l%c3%b6bau+germany&amp;form=skydnc</v>
    <v>Learn more on Bing</v>
  </rv>
  <rv s="6">
    <v>#VALUE!</v>
    <v>de-DE</v>
    <v>b5e110ba-2fbe-ea5f-70de-3e9468c7279a</v>
    <v>536870912</v>
    <v>1</v>
    <v>618</v>
    <v>2</v>
    <v>13</v>
    <v>Löbau</v>
    <v>5</v>
    <v>6</v>
    <v>Map</v>
    <v>7</v>
    <v>14</v>
    <v>2907</v>
    <v>Löbau is a city in the east of Saxony, Germany, in the traditional region of Upper Lusatia. It is situated between the slopes of the Löbauer Berg and the fertile hilly area of the Upper Lusatian Mountains. It is the gateway to this volcanic ...</v>
    <v>2908</v>
    <v>2909</v>
    <v>2910</v>
    <v>2911</v>
    <v>21</v>
    <v>2912</v>
    <v>2913</v>
    <v>Löbau</v>
    <v>Löbau</v>
    <v>mdp/vdpid/7018664530867650561</v>
    <v>106</v>
    <v>1766</v>
  </rv>
  <rv s="0">
    <v>536870912</v>
    <v>Lorch</v>
    <v>09f3ede7-925f-dba2-8a6a-6018a3f405f7</v>
    <v>de-DE</v>
    <v>Map</v>
  </rv>
  <rv s="0">
    <v>805306368</v>
    <v>Ivo Reßler (Mayor)</v>
    <v>9db3594c-33e4-d2d4-d03c-322481f174e7</v>
    <v>de-DE</v>
    <v>Generic</v>
  </rv>
  <rv s="1">
    <v>265</v>
  </rv>
  <rv s="2">
    <fb>4017</fb>
    <v>9</v>
  </rv>
  <rv s="3">
    <v>281</v>
    <v>7</v>
    <v>619</v>
    <v>7</v>
    <v>0</v>
    <v>Image of Lorch am Rhein</v>
  </rv>
  <rv s="2">
    <fb>50.044097222222</fb>
    <v>10</v>
  </rv>
  <rv s="2">
    <fb>54.43</fb>
    <v>9</v>
  </rv>
  <rv s="2">
    <fb>7.80375</fb>
    <v>10</v>
  </rv>
  <rv s="4">
    <v>https://www.bing.com/search?q=lorch+am+rhein+hesse&amp;form=skydnc</v>
    <v>Learn more on Bing</v>
  </rv>
  <rv s="0">
    <v>536870912</v>
    <v>Rheingau-Taunus-Kreis</v>
    <v>8d3d2cf9-2516-a58d-0c07-3ed12ffc5aa7</v>
    <v>de-DE</v>
    <v>Map</v>
  </rv>
  <rv s="6">
    <v>#VALUE!</v>
    <v>de-DE</v>
    <v>09f3ede7-925f-dba2-8a6a-6018a3f405f7</v>
    <v>536870912</v>
    <v>1</v>
    <v>620</v>
    <v>2</v>
    <v>13</v>
    <v>Lorch am Rhein</v>
    <v>5</v>
    <v>6</v>
    <v>Map</v>
    <v>7</v>
    <v>14</v>
    <v>2917</v>
    <v>Lorch am Rhein is a small town in the Rheingau-Taunus-Kreis in the Regierungsbezirk of Darmstadt in Hesse, Germany. It belongs to the Rhine Gorge World Heritage Site.</v>
    <v>2918</v>
    <v>2919</v>
    <v>2920</v>
    <v>2921</v>
    <v>21</v>
    <v>2922</v>
    <v>2923</v>
    <v>Lorch am Rhein</v>
    <v>Lorch am Rhein</v>
    <v>mdp/vdpid/7014554801182605313</v>
    <v>303</v>
    <v>2924</v>
  </rv>
  <rv s="0">
    <v>536870912</v>
    <v>Lörrach</v>
    <v>14583d3e-5fb9-8027-741f-df02a1363a91</v>
    <v>de-DE</v>
    <v>Map</v>
  </rv>
  <rv s="0">
    <v>805306368</v>
    <v>Jörg Lutz (Mayor)</v>
    <v>685adb83-23d4-47e0-99f4-1e958fe0ddd5</v>
    <v>de-DE</v>
    <v>Generic</v>
  </rv>
  <rv s="1">
    <v>266</v>
  </rv>
  <rv s="2">
    <fb>49876</fb>
    <v>9</v>
  </rv>
  <rv s="3">
    <v>282</v>
    <v>7</v>
    <v>621</v>
    <v>7</v>
    <v>0</v>
    <v>Image of Lörrach</v>
  </rv>
  <rv s="2">
    <fb>47.615555555556</fb>
    <v>10</v>
  </rv>
  <rv s="2">
    <fb>39.42</fb>
    <v>9</v>
  </rv>
  <rv s="2">
    <fb>7.6613888888888999</fb>
    <v>10</v>
  </rv>
  <rv s="4">
    <v>https://www.bing.com/search?q=l%c3%b6rrach&amp;form=skydnc</v>
    <v>Learn more on Bing</v>
  </rv>
  <rv s="11">
    <v>#VALUE!</v>
    <v>de-DE</v>
    <v>14583d3e-5fb9-8027-741f-df02a1363a91</v>
    <v>536870912</v>
    <v>1</v>
    <v>622</v>
    <v>17</v>
    <v>57</v>
    <v>Lörrach</v>
    <v>5</v>
    <v>6</v>
    <v>Map</v>
    <v>7</v>
    <v>14</v>
    <v>2928</v>
    <v>Lörrach is a town in southwest Germany, in the valley of the Wiese, close to the French and the Swiss borders. It is the capital of the district of Lörrach in Baden-Württemberg. It is the home of a number of large employers, including the Milka ...</v>
    <v>2929</v>
    <v>2930</v>
    <v>2931</v>
    <v>2932</v>
    <v>21</v>
    <v>2933</v>
    <v>2934</v>
    <v>Lörrach</v>
    <v>Lörrach</v>
    <v>mdp/vdpid/7015639018717052930</v>
    <v>370</v>
  </rv>
  <rv s="0">
    <v>536870912</v>
    <v>Lübbenau/Spreewald</v>
    <v>86a858bb-d436-da11-ccd1-b1a8909775d0</v>
    <v>de-DE</v>
    <v>Map</v>
  </rv>
  <rv s="0">
    <v>805306368</v>
    <v>Helmut Wenzel (Mayor)</v>
    <v>b452902a-940e-ae1b-aedd-3d7f2281e84f</v>
    <v>de-DE</v>
    <v>Generic</v>
  </rv>
  <rv s="1">
    <v>267</v>
  </rv>
  <rv s="2">
    <fb>15726</fb>
    <v>9</v>
  </rv>
  <rv s="3">
    <v>283</v>
    <v>7</v>
    <v>623</v>
    <v>7</v>
    <v>0</v>
    <v>Image of Lübbenau</v>
  </rv>
  <rv s="2">
    <fb>51.867874</fb>
    <v>10</v>
  </rv>
  <rv s="2">
    <fb>139.4</fb>
    <v>9</v>
  </rv>
  <rv s="2">
    <fb>13.968828</fb>
    <v>10</v>
  </rv>
  <rv s="4">
    <v>https://www.bing.com/search?q=l%c3%bcbbenau+germany&amp;form=skydnc</v>
    <v>Learn more on Bing</v>
  </rv>
  <rv s="6">
    <v>#VALUE!</v>
    <v>de-DE</v>
    <v>86a858bb-d436-da11-ccd1-b1a8909775d0</v>
    <v>536870912</v>
    <v>1</v>
    <v>624</v>
    <v>2</v>
    <v>13</v>
    <v>Lübbenau</v>
    <v>5</v>
    <v>6</v>
    <v>Map</v>
    <v>7</v>
    <v>14</v>
    <v>2938</v>
    <v>Lübbenau is a town in the Upper Spree Forest-Lusatia District of Brandenburg, Germany. It is located in the bilingual German/Sorbian region of Lusatia, on the river Spree, where this forms a large inland delta surrounded by woodland, called ...</v>
    <v>2939</v>
    <v>2940</v>
    <v>2941</v>
    <v>2942</v>
    <v>21</v>
    <v>2943</v>
    <v>2944</v>
    <v>Lübbenau</v>
    <v>Lübbenau</v>
    <v>mdp/vdpid/7018204154011058177</v>
    <v>488</v>
    <v>2800</v>
  </rv>
  <rv s="0">
    <v>536870912</v>
    <v>Lübeck</v>
    <v>b0d060cd-606f-7424-ebdf-4d05fbdc1d9a</v>
    <v>de-DE</v>
    <v>Map</v>
  </rv>
  <rv s="0">
    <v>805306368</v>
    <v>Jan Lindenau (Mayor)</v>
    <v>93913762-97f1-1608-d59c-a7e6c547bbb8</v>
    <v>de-DE</v>
    <v>Generic</v>
  </rv>
  <rv s="1">
    <v>268</v>
  </rv>
  <rv s="2">
    <fb>218095</fb>
    <v>9</v>
  </rv>
  <rv s="3">
    <v>284</v>
    <v>7</v>
    <v>625</v>
    <v>7</v>
    <v>0</v>
    <v>Image of Lübeck</v>
  </rv>
  <rv s="2">
    <fb>53.869722222222002</fb>
    <v>10</v>
  </rv>
  <rv s="2">
    <fb>214.21</fb>
    <v>9</v>
  </rv>
  <rv s="2">
    <fb>10.686388888889001</fb>
    <v>10</v>
  </rv>
  <rv s="4">
    <v>https://www.bing.com/search?q=l%c3%bcbeck&amp;form=skydnc</v>
    <v>Learn more on Bing</v>
  </rv>
  <rv s="11">
    <v>#VALUE!</v>
    <v>de-DE</v>
    <v>b0d060cd-606f-7424-ebdf-4d05fbdc1d9a</v>
    <v>536870912</v>
    <v>1</v>
    <v>626</v>
    <v>17</v>
    <v>57</v>
    <v>Lübeck</v>
    <v>5</v>
    <v>6</v>
    <v>Map</v>
    <v>7</v>
    <v>14</v>
    <v>2948</v>
    <v>Lübeck, officially the Hanseatic City of Lübeck, is a city in Northern Germany. With around 220,000 inhabitants, it is the second-largest city on the German Baltic coast and the second-largest city in the state of Schleswig-Holstein, after its ...</v>
    <v>2949</v>
    <v>2950</v>
    <v>2951</v>
    <v>2952</v>
    <v>21</v>
    <v>2953</v>
    <v>2954</v>
    <v>Lübeck</v>
    <v>Lübeck</v>
    <v>mdp/vdpid/7010961697057800193</v>
    <v>326</v>
  </rv>
  <rv s="0">
    <v>536870912</v>
    <v>Luckenwalde</v>
    <v>eb92b49e-dad2-988f-ca66-e59d7ca7cdb7</v>
    <v>de-DE</v>
    <v>Map</v>
  </rv>
  <rv s="0">
    <v>805306368</v>
    <v>Elisabeth Herzog-von der Heide (Mayor)</v>
    <v>30cb85e1-5c17-4b51-0fcd-4dcda40ca80a</v>
    <v>de-DE</v>
    <v>Generic</v>
  </rv>
  <rv s="1">
    <v>269</v>
  </rv>
  <rv s="2">
    <fb>20839</fb>
    <v>9</v>
  </rv>
  <rv s="3">
    <v>285</v>
    <v>7</v>
    <v>627</v>
    <v>7</v>
    <v>0</v>
    <v>Image of Luckenwalde</v>
  </rv>
  <rv s="2">
    <fb>52.083055555556001</fb>
    <v>10</v>
  </rv>
  <rv s="2">
    <fb>46.61</fb>
    <v>9</v>
  </rv>
  <rv s="2">
    <fb>13.166666666667</fb>
    <v>10</v>
  </rv>
  <rv s="4">
    <v>https://www.bing.com/search?q=luckenwalde+germany&amp;form=skydnc</v>
    <v>Learn more on Bing</v>
  </rv>
  <rv s="0">
    <v>536870912</v>
    <v>Teltow-Fläming District</v>
    <v>3d115a2c-5748-a0d2-661e-bd72f9766695</v>
    <v>de-DE</v>
    <v>Map</v>
  </rv>
  <rv s="6">
    <v>#VALUE!</v>
    <v>de-DE</v>
    <v>eb92b49e-dad2-988f-ca66-e59d7ca7cdb7</v>
    <v>536870912</v>
    <v>1</v>
    <v>628</v>
    <v>2</v>
    <v>13</v>
    <v>Luckenwalde</v>
    <v>5</v>
    <v>6</v>
    <v>Map</v>
    <v>7</v>
    <v>14</v>
    <v>2958</v>
    <v>Luckenwalde is the capital of the Teltow-Fläming district in the German state of Brandenburg. It is situated on the Nuthe river north of the Fläming Heath, at the eastern rim of the Nuthe-Nieplitz Nature Park, about 50 km south of Berlin. The ...</v>
    <v>2959</v>
    <v>2960</v>
    <v>2961</v>
    <v>2962</v>
    <v>21</v>
    <v>2963</v>
    <v>2964</v>
    <v>Luckenwalde</v>
    <v>Luckenwalde</v>
    <v>mdp/vdpid/7017979331196485633</v>
    <v>488</v>
    <v>2965</v>
  </rv>
  <rv s="0">
    <v>536870912</v>
    <v>Lüdenscheid</v>
    <v>f83cb9c8-ebf4-9fe3-4650-efdf0c177322</v>
    <v>de-DE</v>
    <v>Map</v>
  </rv>
  <rv s="0">
    <v>805306368</v>
    <v>Sebastian Wagemeyer (Mayor)</v>
    <v>9507236b-8b68-4b16-88e5-9a4ac75cdc86</v>
    <v>de-DE</v>
    <v>Generic</v>
  </rv>
  <rv s="1">
    <v>270</v>
  </rv>
  <rv s="2">
    <fb>71865</fb>
    <v>9</v>
  </rv>
  <rv s="3">
    <v>286</v>
    <v>7</v>
    <v>629</v>
    <v>7</v>
    <v>0</v>
    <v>Image of Lüdenscheid</v>
  </rv>
  <rv s="2">
    <fb>51.219769999999997</fb>
    <v>10</v>
  </rv>
  <rv s="2">
    <fb>87.02</fb>
    <v>9</v>
  </rv>
  <rv s="2">
    <fb>7.6273</fb>
    <v>10</v>
  </rv>
  <rv s="4">
    <v>https://www.bing.com/search?q=l%c3%bcdenscheid&amp;form=skydnc</v>
    <v>Learn more on Bing</v>
  </rv>
  <rv s="10">
    <v>#VALUE!</v>
    <v>de-DE</v>
    <v>f83cb9c8-ebf4-9fe3-4650-efdf0c177322</v>
    <v>536870912</v>
    <v>1</v>
    <v>630</v>
    <v>39</v>
    <v>40</v>
    <v>Lüdenscheid</v>
    <v>5</v>
    <v>6</v>
    <v>Map</v>
    <v>7</v>
    <v>14</v>
    <v>2969</v>
    <v>Lüdenscheid is a city in the Märkischer Kreis district, in North Rhine-Westphalia, Germany. It is located in the Sauerland region.</v>
    <v>2970</v>
    <v>2971</v>
    <v>2972</v>
    <v>2973</v>
    <v>21</v>
    <v>2974</v>
    <v>2975</v>
    <v>Lüdenscheid</v>
    <v>Lüdenscheid</v>
    <v>mdp/vdpid/7011483562880794625</v>
    <v>2098</v>
  </rv>
  <rv s="0">
    <v>536870912</v>
    <v>Ludwigsburg</v>
    <v>5ed4e8cf-7210-5db5-0a23-ebe74adb0c69</v>
    <v>de-DE</v>
    <v>Map</v>
  </rv>
  <rv s="0">
    <v>805306368</v>
    <v>Matthias Knecht (Mayor)</v>
    <v>42ed42f0-2cb8-9463-9002-97c3bab35095</v>
    <v>de-DE</v>
    <v>Generic</v>
  </rv>
  <rv s="1">
    <v>271</v>
  </rv>
  <rv s="2">
    <fb>94157</fb>
    <v>9</v>
  </rv>
  <rv s="3">
    <v>287</v>
    <v>7</v>
    <v>631</v>
    <v>7</v>
    <v>0</v>
    <v>Image of Ludwigsburg</v>
  </rv>
  <rv s="2">
    <fb>48.897500000000001</fb>
    <v>10</v>
  </rv>
  <rv s="2">
    <fb>43.35</fb>
    <v>9</v>
  </rv>
  <rv s="2">
    <fb>9.1919444444444007</fb>
    <v>10</v>
  </rv>
  <rv s="4">
    <v>https://www.bing.com/search?q=ludwigsburg&amp;form=skydnc</v>
    <v>Learn more on Bing</v>
  </rv>
  <rv s="6">
    <v>#VALUE!</v>
    <v>de-DE</v>
    <v>5ed4e8cf-7210-5db5-0a23-ebe74adb0c69</v>
    <v>536870912</v>
    <v>1</v>
    <v>632</v>
    <v>2</v>
    <v>13</v>
    <v>Ludwigsburg</v>
    <v>5</v>
    <v>6</v>
    <v>Map</v>
    <v>7</v>
    <v>14</v>
    <v>2979</v>
    <v>Ludwigsburg is a city in Baden-Württemberg, Germany, about 12 kilometres north of Stuttgart city centre, near the river Neckar. It is the largest and primary city of the Ludwigsburg district with about 94,000 inhabitants. It is situated within ...</v>
    <v>2980</v>
    <v>2981</v>
    <v>2982</v>
    <v>2983</v>
    <v>21</v>
    <v>2984</v>
    <v>2985</v>
    <v>Ludwigsburg</v>
    <v>Ludwigsburg</v>
    <v>mdp/vdpid/7015241991973765121</v>
    <v>606</v>
    <v>2602</v>
  </rv>
  <rv s="0">
    <v>536870912</v>
    <v>Ludwigsfelde</v>
    <v>d3748a45-4ce5-a47a-77ad-07a9c2a99bb1</v>
    <v>de-DE</v>
    <v>Map</v>
  </rv>
  <rv s="0">
    <v>805306368</v>
    <v>Andreas Igel (Mayor)</v>
    <v>40e7ac45-4c36-973e-a8f7-afe9d08faf74</v>
    <v>de-DE</v>
    <v>Generic</v>
  </rv>
  <rv s="1">
    <v>272</v>
  </rv>
  <rv s="2">
    <fb>28424</fb>
    <v>9</v>
  </rv>
  <rv s="3">
    <v>288</v>
    <v>7</v>
    <v>633</v>
    <v>7</v>
    <v>0</v>
    <v>Image of Ludwigsfelde</v>
  </rv>
  <rv s="2">
    <fb>52.299722222222201</fb>
    <v>10</v>
  </rv>
  <rv s="2">
    <fb>109.98</fb>
    <v>9</v>
  </rv>
  <rv s="2">
    <fb>13.266666666666699</fb>
    <v>10</v>
  </rv>
  <rv s="4">
    <v>https://www.bing.com/search?q=ludwigsfelde+germany&amp;form=skydnc</v>
    <v>Learn more on Bing</v>
  </rv>
  <rv s="6">
    <v>#VALUE!</v>
    <v>de-DE</v>
    <v>d3748a45-4ce5-a47a-77ad-07a9c2a99bb1</v>
    <v>536870912</v>
    <v>1</v>
    <v>634</v>
    <v>2</v>
    <v>13</v>
    <v>Ludwigsfelde</v>
    <v>5</v>
    <v>6</v>
    <v>Map</v>
    <v>7</v>
    <v>14</v>
    <v>2989</v>
    <v>Ludwigsfelde is a town in the north of the district Teltow-Fläming in Brandenburg.</v>
    <v>2990</v>
    <v>2991</v>
    <v>2992</v>
    <v>2993</v>
    <v>21</v>
    <v>2994</v>
    <v>2995</v>
    <v>Ludwigsfelde</v>
    <v>Ludwigsfelde</v>
    <v>mdp/vdpid/7017999169365213185</v>
    <v>488</v>
    <v>2965</v>
  </rv>
  <rv s="0">
    <v>536870912</v>
    <v>Ludwigshafen am Rhein</v>
    <v>315bbe31-a66b-c7db-b527-8c78b10a3852</v>
    <v>de-DE</v>
    <v>Map</v>
  </rv>
  <rv s="0">
    <v>805306368</v>
    <v>Jutta Steinruck (Mayor)</v>
    <v>f652f222-605d-52e5-953c-0de3377d5423</v>
    <v>de-DE</v>
    <v>Generic</v>
  </rv>
  <rv s="1">
    <v>273</v>
  </rv>
  <rv s="2">
    <fb>174265</fb>
    <v>9</v>
  </rv>
  <rv s="3">
    <v>289</v>
    <v>7</v>
    <v>635</v>
    <v>7</v>
    <v>0</v>
    <v>Image of Ludwigshafen</v>
  </rv>
  <rv s="2">
    <fb>49.481111111110998</fb>
    <v>10</v>
  </rv>
  <rv s="2">
    <fb>77.430000000000007</fb>
    <v>9</v>
  </rv>
  <rv s="2">
    <fb>8.4352777777778005</fb>
    <v>10</v>
  </rv>
  <rv s="4">
    <v>https://www.bing.com/search?q=ludwigshafen&amp;form=skydnc</v>
    <v>Learn more on Bing</v>
  </rv>
  <rv s="11">
    <v>#VALUE!</v>
    <v>de-DE</v>
    <v>315bbe31-a66b-c7db-b527-8c78b10a3852</v>
    <v>536870912</v>
    <v>1</v>
    <v>636</v>
    <v>17</v>
    <v>57</v>
    <v>Ludwigshafen</v>
    <v>5</v>
    <v>6</v>
    <v>Map</v>
    <v>7</v>
    <v>14</v>
    <v>2999</v>
    <v>Ludwigshafen, officially Ludwigshafen am Rhein, is a city in the German state of Rhineland-Palatinate, on the river Rhine, opposite Mannheim. With Mannheim, Heidelberg, and the surrounding region, it forms the Rhine Neckar Area.</v>
    <v>3000</v>
    <v>3001</v>
    <v>3002</v>
    <v>3003</v>
    <v>21</v>
    <v>3004</v>
    <v>3005</v>
    <v>Ludwigshafen</v>
    <v>Ludwigshafen</v>
    <v>mdp/vdpid/7014632080529162241</v>
    <v>60</v>
  </rv>
  <rv s="0">
    <v>536870912</v>
    <v>Lüneburg</v>
    <v>6addf88b-eccd-4465-bdb8-7ecd86ff4311</v>
    <v>de-DE</v>
    <v>Map</v>
  </rv>
  <rv s="0">
    <v>805306368</v>
    <v>Claudia Kalisch (Mayor)</v>
    <v>c45944ab-61ae-fe03-2366-9c377c6b4d16</v>
    <v>de-DE</v>
    <v>Generic</v>
  </rv>
  <rv s="1">
    <v>274</v>
  </rv>
  <rv s="2">
    <fb>76837</fb>
    <v>9</v>
  </rv>
  <rv s="3">
    <v>290</v>
    <v>7</v>
    <v>637</v>
    <v>7</v>
    <v>0</v>
    <v>Image of Lüneburg</v>
  </rv>
  <rv s="2">
    <fb>53.252499999999998</fb>
    <v>10</v>
  </rv>
  <rv s="2">
    <fb>70.5</fb>
    <v>9</v>
  </rv>
  <rv s="2">
    <fb>10.414444444443999</fb>
    <v>10</v>
  </rv>
  <rv s="4">
    <v>https://www.bing.com/search?q=luneburg&amp;form=skydnc</v>
    <v>Learn more on Bing</v>
  </rv>
  <rv s="0">
    <v>536870912</v>
    <v>Lüneburg</v>
    <v>ee44efdf-9a0d-26f8-db04-d1c88e48442e</v>
    <v>de-DE</v>
    <v>Map</v>
  </rv>
  <rv s="6">
    <v>#VALUE!</v>
    <v>de-DE</v>
    <v>6addf88b-eccd-4465-bdb8-7ecd86ff4311</v>
    <v>536870912</v>
    <v>1</v>
    <v>638</v>
    <v>2</v>
    <v>13</v>
    <v>Lüneburg</v>
    <v>5</v>
    <v>6</v>
    <v>Map</v>
    <v>7</v>
    <v>14</v>
    <v>3009</v>
    <v>Lüneburg, officially the Hanseatic City of Lüneburg and also known in English as Lunenburg, is a town in the German state of Lower Saxony. It is located about 50 km southeast of another Hanseatic city, Hamburg, and belongs to that city's wider ...</v>
    <v>3010</v>
    <v>3011</v>
    <v>3012</v>
    <v>3013</v>
    <v>21</v>
    <v>3014</v>
    <v>3015</v>
    <v>Lüneburg</v>
    <v>Lüneburg</v>
    <v>mdp/vdpid/7011695017324445697</v>
    <v>247</v>
    <v>3016</v>
  </rv>
  <rv s="0">
    <v>536870912</v>
    <v>Lünen</v>
    <v>269989de-e7db-37b0-d03a-26752f3e197f</v>
    <v>de-DE</v>
    <v>Map</v>
  </rv>
  <rv s="0">
    <v>805306368</v>
    <v>Jürgen Kleine-Frauns (Mayor)</v>
    <v>18d9d08f-369d-ee4f-3483-294dddd735e8</v>
    <v>de-DE</v>
    <v>Generic</v>
  </rv>
  <rv s="1">
    <v>275</v>
  </rv>
  <rv s="2">
    <fb>86868</fb>
    <v>9</v>
  </rv>
  <rv s="3">
    <v>291</v>
    <v>7</v>
    <v>639</v>
    <v>7</v>
    <v>0</v>
    <v>Image of Lünen</v>
  </rv>
  <rv s="2">
    <fb>51.616666666666703</fb>
    <v>10</v>
  </rv>
  <rv s="2">
    <fb>59.39</fb>
    <v>9</v>
  </rv>
  <rv s="2">
    <fb>7.5166666666666702</fb>
    <v>10</v>
  </rv>
  <rv s="4">
    <v>https://www.bing.com/search?q=l%c3%bcnen&amp;form=skydnc</v>
    <v>Learn more on Bing</v>
  </rv>
  <rv s="10">
    <v>#VALUE!</v>
    <v>de-DE</v>
    <v>269989de-e7db-37b0-d03a-26752f3e197f</v>
    <v>536870912</v>
    <v>1</v>
    <v>640</v>
    <v>39</v>
    <v>40</v>
    <v>Lünen</v>
    <v>5</v>
    <v>6</v>
    <v>Map</v>
    <v>7</v>
    <v>14</v>
    <v>3020</v>
    <v>Lünen is a town in North Rhine-Westphalia, Germany. It is located north of Dortmund, on both banks of the River Lippe. It is the largest town of the Unna district and part of the Ruhr Area. In 2009 a biogas plant was built to provide electric ...</v>
    <v>3021</v>
    <v>3022</v>
    <v>3023</v>
    <v>3024</v>
    <v>21</v>
    <v>3025</v>
    <v>3026</v>
    <v>Lünen</v>
    <v>Lünen</v>
    <v>mdp/vdpid/7011428106850271233</v>
    <v>2408</v>
  </rv>
  <rv s="0">
    <v>536870912</v>
    <v>Lutherstadt Eisleben</v>
    <v>77fc866b-27bf-8246-d051-612008c22801</v>
    <v>de-DE</v>
    <v>Map</v>
  </rv>
  <rv s="0">
    <v>805306368</v>
    <v>Carsten Staub (Mayor)</v>
    <v>9ce5c38c-6cef-a1b4-6c26-8fea2dcdf488</v>
    <v>de-DE</v>
    <v>Generic</v>
  </rv>
  <rv s="1">
    <v>276</v>
  </rv>
  <rv s="2">
    <fb>22639</fb>
    <v>9</v>
  </rv>
  <rv s="3">
    <v>292</v>
    <v>7</v>
    <v>641</v>
    <v>7</v>
    <v>0</v>
    <v>Image of Eisleben</v>
  </rv>
  <rv s="2">
    <fb>143.87</fb>
    <v>9</v>
  </rv>
  <rv s="2">
    <fb>11.55</fb>
    <v>10</v>
  </rv>
  <rv s="4">
    <v>https://www.bing.com/search?q=eisleben+germany&amp;form=skydnc</v>
    <v>Learn more on Bing</v>
  </rv>
  <rv s="11">
    <v>#VALUE!</v>
    <v>de-DE</v>
    <v>77fc866b-27bf-8246-d051-612008c22801</v>
    <v>536870912</v>
    <v>1</v>
    <v>642</v>
    <v>17</v>
    <v>57</v>
    <v>Eisleben</v>
    <v>5</v>
    <v>6</v>
    <v>Map</v>
    <v>7</v>
    <v>14</v>
    <v>3030</v>
    <v>Eisleben is a town in Saxony-Anhalt, Germany. It is famous as both the hometown of the influential theologian Martin Luther and the place where he died; hence, its official name is Lutherstadt Eisleben.</v>
    <v>3031</v>
    <v>3032</v>
    <v>1659</v>
    <v>3033</v>
    <v>21</v>
    <v>3034</v>
    <v>3035</v>
    <v>Eisleben</v>
    <v>Eisleben</v>
    <v>mdp/vdpid/7018037377092288513</v>
    <v>2161</v>
  </rv>
  <rv s="0">
    <v>536870912</v>
    <v>Magdeburg</v>
    <v>6b436202-9997-300f-81f6-a3a14c1faf6f</v>
    <v>de-DE</v>
    <v>Map</v>
  </rv>
  <rv s="0">
    <v>805306368</v>
    <v>Simone Borris (Mayor)</v>
    <v>eed064b2-64ff-eb3c-5536-1b8cacc0c4f6</v>
    <v>de-DE</v>
    <v>Generic</v>
  </rv>
  <rv s="1">
    <v>277</v>
  </rv>
  <rv s="2">
    <fb>239364</fb>
    <v>9</v>
  </rv>
  <rv s="3">
    <v>293</v>
    <v>7</v>
    <v>643</v>
    <v>7</v>
    <v>0</v>
    <v>Image of Magdeburg</v>
  </rv>
  <rv s="2">
    <fb>52.131666666666703</fb>
    <v>10</v>
  </rv>
  <rv s="2">
    <fb>201.01</fb>
    <v>9</v>
  </rv>
  <rv s="2">
    <fb>11.6391666666667</fb>
    <v>10</v>
  </rv>
  <rv s="4">
    <v>https://www.bing.com/search?q=magdeburg&amp;form=skydnc</v>
    <v>Learn more on Bing</v>
  </rv>
  <rv s="9">
    <v>#VALUE!</v>
    <v>de-DE</v>
    <v>6b436202-9997-300f-81f6-a3a14c1faf6f</v>
    <v>536870912</v>
    <v>1</v>
    <v>644</v>
    <v>27</v>
    <v>28</v>
    <v>Magdeburg</v>
    <v>5</v>
    <v>6</v>
    <v>Map</v>
    <v>7</v>
    <v>14</v>
    <v>3039</v>
    <v>Magdeburg is the capital of the German state Saxony-Anhalt. The city is situated at the Elbe river. Otto I, the first Holy Roman Emperor and founder of the Archdiocese of Magdeburg, was buried in the city's cathedral after his death. Magdeburg's ...</v>
    <v>3040</v>
    <v>3041</v>
    <v>3042</v>
    <v>3043</v>
    <v>21</v>
    <v>3044</v>
    <v>3045</v>
    <v>Magdeburg</v>
    <v>Magdeburg</v>
    <v>mdp/vdpid/7017832520154611713</v>
  </rv>
  <rv s="0">
    <v>536870912</v>
    <v>Mainz</v>
    <v>06b36c22-b533-291b-5735-d911574f1fc7</v>
    <v>de-DE</v>
    <v>Map</v>
  </rv>
  <rv s="0">
    <v>805306368</v>
    <v>Nino Haase (Mayor)</v>
    <v>34abccdd-08d1-2145-a940-d9315fae58dd</v>
    <v>de-DE</v>
    <v>Generic</v>
  </rv>
  <rv s="1">
    <v>278</v>
  </rv>
  <rv s="2">
    <fb>220552</fb>
    <v>9</v>
  </rv>
  <rv s="3">
    <v>294</v>
    <v>7</v>
    <v>645</v>
    <v>7</v>
    <v>0</v>
    <v>Image of Mainz</v>
  </rv>
  <rv s="2">
    <fb>49.9994444444444</fb>
    <v>10</v>
  </rv>
  <rv s="2">
    <fb>97.73</fb>
    <v>9</v>
  </rv>
  <rv s="2">
    <fb>8.2736111111111104</fb>
    <v>10</v>
  </rv>
  <rv s="4">
    <v>https://www.bing.com/search?q=mainz&amp;form=skydnc</v>
    <v>Learn more on Bing</v>
  </rv>
  <rv s="11">
    <v>#VALUE!</v>
    <v>de-DE</v>
    <v>06b36c22-b533-291b-5735-d911574f1fc7</v>
    <v>536870912</v>
    <v>1</v>
    <v>646</v>
    <v>17</v>
    <v>57</v>
    <v>Mainz</v>
    <v>5</v>
    <v>6</v>
    <v>Map</v>
    <v>7</v>
    <v>14</v>
    <v>3049</v>
    <v>Mainz is the capital and largest city of the German state of Rhineland-Palatinate, and with around 221,000 inhabitants, it is Germany's 35th-largest city. It lies in the Rhine-Main Metropolitan Region—Germany's second-largest metropolitan region ...</v>
    <v>3050</v>
    <v>3051</v>
    <v>3052</v>
    <v>3053</v>
    <v>21</v>
    <v>3054</v>
    <v>3055</v>
    <v>Mainz</v>
    <v>Mainz</v>
    <v>mdp/vdpid/7014566968455856129</v>
    <v>60</v>
  </rv>
  <rv s="0">
    <v>536870912</v>
    <v>Mannheim</v>
    <v>02fa5652-c081-a5c1-7819-e42824afe365</v>
    <v>de-DE</v>
    <v>Map</v>
  </rv>
  <rv s="0">
    <v>805306368</v>
    <v>Christian Specht (Mayor)</v>
    <v>b7c72ddf-517a-c628-ab36-992f629f1647</v>
    <v>de-DE</v>
    <v>Generic</v>
  </rv>
  <rv s="1">
    <v>279</v>
  </rv>
  <rv s="2">
    <fb>315554</fb>
    <v>9</v>
  </rv>
  <rv s="3">
    <v>295</v>
    <v>7</v>
    <v>647</v>
    <v>7</v>
    <v>0</v>
    <v>Image of Mannheim</v>
  </rv>
  <rv s="2">
    <fb>49.487777777777801</fb>
    <v>10</v>
  </rv>
  <rv s="2">
    <fb>144.97</fb>
    <v>9</v>
  </rv>
  <rv s="2">
    <fb>8.4661111111111094</fb>
    <v>10</v>
  </rv>
  <rv s="4">
    <v>https://www.bing.com/search?q=mannheim+germany&amp;form=skydnc</v>
    <v>Learn more on Bing</v>
  </rv>
  <rv s="11">
    <v>#VALUE!</v>
    <v>de-DE</v>
    <v>02fa5652-c081-a5c1-7819-e42824afe365</v>
    <v>536870912</v>
    <v>1</v>
    <v>648</v>
    <v>17</v>
    <v>57</v>
    <v>Mannheim</v>
    <v>5</v>
    <v>6</v>
    <v>Map</v>
    <v>7</v>
    <v>14</v>
    <v>3059</v>
    <v>Mannheim, officially the University City of Mannheim, is the second-largest city in the German state of Baden-Württemberg, after the state capital of Stuttgart, and Germany's 21st-largest city, with a 2021 population of 311,831 inhabitants. The ...</v>
    <v>3060</v>
    <v>3061</v>
    <v>3062</v>
    <v>3063</v>
    <v>21</v>
    <v>3064</v>
    <v>3065</v>
    <v>Mannheim</v>
    <v>Mannheim</v>
    <v>mdp/vdpid/7015007668657979393</v>
    <v>359</v>
  </rv>
  <rv s="0">
    <v>536870912</v>
    <v>Marburg</v>
    <v>eb4a0d91-fe86-c2d8-e711-a0ecd89238ad</v>
    <v>de-DE</v>
    <v>Map</v>
  </rv>
  <rv s="0">
    <v>805306368</v>
    <v>Thomas Spies (Mayor)</v>
    <v>c8a3b316-c2b7-bbb8-f640-7ae0d3037ba7</v>
    <v>de-DE</v>
    <v>Generic</v>
  </rv>
  <rv s="1">
    <v>280</v>
  </rv>
  <rv s="2">
    <fb>77845</fb>
    <v>9</v>
  </rv>
  <rv s="3">
    <v>296</v>
    <v>7</v>
    <v>649</v>
    <v>7</v>
    <v>0</v>
    <v>Image of Marburg</v>
  </rv>
  <rv s="2">
    <fb>123.91</fb>
    <v>9</v>
  </rv>
  <rv s="2">
    <fb>8.7666666666666995</fb>
    <v>10</v>
  </rv>
  <rv s="4">
    <v>https://www.bing.com/search?q=marburg&amp;form=skydnc</v>
    <v>Learn more on Bing</v>
  </rv>
  <rv s="10">
    <v>#VALUE!</v>
    <v>de-DE</v>
    <v>eb4a0d91-fe86-c2d8-e711-a0ecd89238ad</v>
    <v>536870912</v>
    <v>1</v>
    <v>650</v>
    <v>39</v>
    <v>40</v>
    <v>Marburg</v>
    <v>5</v>
    <v>6</v>
    <v>Map</v>
    <v>7</v>
    <v>14</v>
    <v>3069</v>
    <v>Marburg is a university town in the German federal state of Hesse, capital of the Marburg-Biedenkopf district. The town area spreads along the valley of the river Lahn and has a population of approximately 76,000.</v>
    <v>3070</v>
    <v>3071</v>
    <v>1329</v>
    <v>3072</v>
    <v>21</v>
    <v>3073</v>
    <v>3074</v>
    <v>Marburg</v>
    <v>Marburg</v>
    <v>mdp/vdpid/7011915187179487233</v>
    <v>531</v>
  </rv>
  <rv s="0">
    <v>536870912</v>
    <v>Markkleeberg</v>
    <v>79d55dec-720a-aa30-d029-a22fbdc84d0d</v>
    <v>de-DE</v>
    <v>Map</v>
  </rv>
  <rv s="0">
    <v>805306368</v>
    <v>Karsten Schütze (Mayor)</v>
    <v>86a8cefb-4e03-a749-e3e3-bd9782a29ea5</v>
    <v>de-DE</v>
    <v>Generic</v>
  </rv>
  <rv s="1">
    <v>281</v>
  </rv>
  <rv s="2">
    <fb>24523</fb>
    <v>9</v>
  </rv>
  <rv s="3">
    <v>297</v>
    <v>7</v>
    <v>651</v>
    <v>7</v>
    <v>0</v>
    <v>Image of Markkleeberg</v>
  </rv>
  <rv s="2">
    <fb>51.275554999999997</fb>
    <v>10</v>
  </rv>
  <rv s="2">
    <fb>31.36</fb>
    <v>9</v>
  </rv>
  <rv s="2">
    <fb>12.369166</fb>
    <v>10</v>
  </rv>
  <rv s="4">
    <v>https://www.bing.com/search?q=markkleeberg+germany&amp;form=skydnc</v>
    <v>Learn more on Bing</v>
  </rv>
  <rv s="6">
    <v>#VALUE!</v>
    <v>de-DE</v>
    <v>79d55dec-720a-aa30-d029-a22fbdc84d0d</v>
    <v>536870912</v>
    <v>1</v>
    <v>652</v>
    <v>2</v>
    <v>13</v>
    <v>Markkleeberg</v>
    <v>5</v>
    <v>6</v>
    <v>Map</v>
    <v>7</v>
    <v>14</v>
    <v>3078</v>
    <v>Markkleeberg is an affluent suburb of Leipzig, located in the Leipzig district of the Free State of Saxony, Germany. The river Pleiße runs through the city, which borders Leipzig to the north and to the west.</v>
    <v>3079</v>
    <v>3080</v>
    <v>3081</v>
    <v>3082</v>
    <v>21</v>
    <v>3083</v>
    <v>3084</v>
    <v>Markkleeberg</v>
    <v>Markkleeberg</v>
    <v>mdp/vdpid/7018130802143657986</v>
    <v>106</v>
    <v>666</v>
  </rv>
  <rv s="0">
    <v>536870912</v>
    <v>Marl</v>
    <v>0756b869-6a52-0b75-b232-1739b877fe99</v>
    <v>de-DE</v>
    <v>Map</v>
  </rv>
  <rv s="0">
    <v>805306368</v>
    <v>Werner Arndt (Mayor)</v>
    <v>31bc5211-e607-23ad-bc9a-83001afdf9f4</v>
    <v>de-DE</v>
    <v>Generic</v>
  </rv>
  <rv s="1">
    <v>282</v>
  </rv>
  <rv s="2">
    <fb>84331</fb>
    <v>9</v>
  </rv>
  <rv s="3">
    <v>298</v>
    <v>7</v>
    <v>653</v>
    <v>7</v>
    <v>0</v>
    <v>Image of Marl, North Rhine-Westphalia</v>
  </rv>
  <rv s="2">
    <fb>87.76</fb>
    <v>9</v>
  </rv>
  <rv s="2">
    <fb>7.1166666666667</fb>
    <v>10</v>
  </rv>
  <rv s="4">
    <v>https://www.bing.com/search?q=marl+recklinghausen&amp;form=skydnc</v>
    <v>Learn more on Bing</v>
  </rv>
  <rv s="6">
    <v>#VALUE!</v>
    <v>de-DE</v>
    <v>0756b869-6a52-0b75-b232-1739b877fe99</v>
    <v>536870912</v>
    <v>1</v>
    <v>654</v>
    <v>2</v>
    <v>13</v>
    <v>Marl, North Rhine-Westphalia</v>
    <v>5</v>
    <v>6</v>
    <v>Map</v>
    <v>7</v>
    <v>14</v>
    <v>3088</v>
    <v>Marl is a town and a municipality in the district of Recklinghausen, in North Rhine-Westphalia, Germany. It is situated near the Wesel-Datteln Canal, approx. 10 km north-west of Recklinghausen. It has about 90,000 people.</v>
    <v>3089</v>
    <v>3090</v>
    <v>1979</v>
    <v>3091</v>
    <v>21</v>
    <v>3092</v>
    <v>3093</v>
    <v>Marl, North Rhine-Westphalia</v>
    <v>Marl, North Rhine-Westphalia</v>
    <v>mdp/vdpid/7011407514914783233</v>
    <v>24</v>
    <v>814</v>
  </rv>
  <rv s="0">
    <v>536870912</v>
    <v>Meerane</v>
    <v>d1841f8a-ff75-e6f5-da11-ee72a78de1a8</v>
    <v>de-DE</v>
    <v>Map</v>
  </rv>
  <rv s="0">
    <v>805306368</v>
    <v>Jörg Schmeißer (Mayor)</v>
    <v>b9e8d40c-0569-028f-b17e-edf60ca2008d</v>
    <v>de-DE</v>
    <v>Generic</v>
  </rv>
  <rv s="1">
    <v>283</v>
  </rv>
  <rv s="2">
    <fb>13883</fb>
    <v>9</v>
  </rv>
  <rv s="3">
    <v>299</v>
    <v>7</v>
    <v>655</v>
    <v>7</v>
    <v>0</v>
    <v>Image of Meerane</v>
  </rv>
  <rv s="2">
    <fb>50.851944444444001</fb>
    <v>10</v>
  </rv>
  <rv s="2">
    <fb>19.809999999999999</fb>
    <v>9</v>
  </rv>
  <rv s="2">
    <fb>12.463611111111</fb>
    <v>10</v>
  </rv>
  <rv s="4">
    <v>https://www.bing.com/search?q=meerane+germany&amp;form=skydnc</v>
    <v>Learn more on Bing</v>
  </rv>
  <rv s="6">
    <v>#VALUE!</v>
    <v>de-DE</v>
    <v>d1841f8a-ff75-e6f5-da11-ee72a78de1a8</v>
    <v>536870912</v>
    <v>1</v>
    <v>656</v>
    <v>2</v>
    <v>13</v>
    <v>Meerane</v>
    <v>5</v>
    <v>6</v>
    <v>Map</v>
    <v>7</v>
    <v>14</v>
    <v>3097</v>
    <v>Meerane is a town in the Zwickau district of Saxony, Germany. It lies midway between the towns of Altenburg and Zwickau, west of Chemnitz. As of 31 December 2015, there were 14,851 inhabitants. The population has declined from a peak of over ...</v>
    <v>3098</v>
    <v>3099</v>
    <v>3100</v>
    <v>3101</v>
    <v>21</v>
    <v>3102</v>
    <v>3103</v>
    <v>Meerane</v>
    <v>Meerane</v>
    <v>mdp/vdpid/7018150964699856897</v>
    <v>913</v>
    <v>913</v>
  </rv>
  <rv s="0">
    <v>536870912</v>
    <v>Meersburg</v>
    <v>aca70161-a798-6b31-09d5-1b8a22aab849</v>
    <v>de-DE</v>
    <v>Map</v>
  </rv>
  <rv s="0">
    <v>805306368</v>
    <v>Robert Scherer (Mayor)</v>
    <v>7716b828-4707-1aba-2a05-4e1aa3bdfd53</v>
    <v>de-DE</v>
    <v>Generic</v>
  </rv>
  <rv s="1">
    <v>284</v>
  </rv>
  <rv s="2">
    <fb>6142</fb>
    <v>9</v>
  </rv>
  <rv s="3">
    <v>300</v>
    <v>7</v>
    <v>657</v>
    <v>7</v>
    <v>0</v>
    <v>Image of Meersburg</v>
  </rv>
  <rv s="2">
    <fb>47.695833333332999</fb>
    <v>10</v>
  </rv>
  <rv s="2">
    <fb>12.07</fb>
    <v>9</v>
  </rv>
  <rv s="2">
    <fb>9.2708333333333002</fb>
    <v>10</v>
  </rv>
  <rv s="4">
    <v>https://www.bing.com/search?q=meersburg+germany&amp;form=skydnc</v>
    <v>Learn more on Bing</v>
  </rv>
  <rv s="10">
    <v>#VALUE!</v>
    <v>de-DE</v>
    <v>aca70161-a798-6b31-09d5-1b8a22aab849</v>
    <v>536870912</v>
    <v>1</v>
    <v>658</v>
    <v>39</v>
    <v>40</v>
    <v>Meersburg</v>
    <v>5</v>
    <v>6</v>
    <v>Map</v>
    <v>7</v>
    <v>14</v>
    <v>3107</v>
    <v>Meersburg is a town in Baden-Württemberg in the southwest of Germany. It is on Lake Constance. It is known for its medieval city. The lower town and upper town are reserved for pedestrians only, and connected by two stairways and a steep street.</v>
    <v>3108</v>
    <v>3109</v>
    <v>3110</v>
    <v>3111</v>
    <v>21</v>
    <v>3112</v>
    <v>3113</v>
    <v>Meersburg</v>
    <v>Meersburg</v>
    <v>mdp/vdpid/7016082236608872449</v>
    <v>1578</v>
  </rv>
  <rv s="0">
    <v>536870912</v>
    <v>Meiningen</v>
    <v>d52d6be1-381e-5ae3-c90b-0349e495699a</v>
    <v>de-DE</v>
    <v>Map</v>
  </rv>
  <rv s="0">
    <v>805306368</v>
    <v>Fabian Giesder (Mayor)</v>
    <v>4466e48e-b73f-1edd-4d52-169d7a99ba0b</v>
    <v>de-DE</v>
    <v>Generic</v>
  </rv>
  <rv s="1">
    <v>285</v>
  </rv>
  <rv s="2">
    <fb>24745</fb>
    <v>9</v>
  </rv>
  <rv s="3">
    <v>301</v>
    <v>7</v>
    <v>659</v>
    <v>7</v>
    <v>0</v>
    <v>Image of Meiningen</v>
  </rv>
  <rv s="2">
    <fb>50.55</fb>
    <v>10</v>
  </rv>
  <rv s="2">
    <fb>59.46</fb>
    <v>9</v>
  </rv>
  <rv s="2">
    <fb>10.416666666667</fb>
    <v>10</v>
  </rv>
  <rv s="4">
    <v>https://www.bing.com/search?q=meiningen&amp;form=skydnc</v>
    <v>Learn more on Bing</v>
  </rv>
  <rv s="0">
    <v>536870912</v>
    <v>Schmalkalden-Meiningen</v>
    <v>25b78b42-5604-aca3-9583-12d2d6f99ef2</v>
    <v>de-DE</v>
    <v>Map</v>
  </rv>
  <rv s="10">
    <v>#VALUE!</v>
    <v>de-DE</v>
    <v>d52d6be1-381e-5ae3-c90b-0349e495699a</v>
    <v>536870912</v>
    <v>1</v>
    <v>660</v>
    <v>39</v>
    <v>40</v>
    <v>Meiningen</v>
    <v>5</v>
    <v>6</v>
    <v>Map</v>
    <v>7</v>
    <v>14</v>
    <v>3117</v>
    <v>Meiningen is a town in the southern part of the state of Thuringia, Germany. It is located in the region of Franconia and has a population of around 26,000. Meiningen is the capital and the largest town of the Schmalkalden-Meiningen district. ...</v>
    <v>3118</v>
    <v>3119</v>
    <v>3120</v>
    <v>3121</v>
    <v>21</v>
    <v>3122</v>
    <v>3123</v>
    <v>Meiningen</v>
    <v>Meiningen</v>
    <v>mdp/vdpid/7015071231288279041</v>
    <v>3124</v>
  </rv>
  <rv s="0">
    <v>536870912</v>
    <v>Meißen</v>
    <v>bd56fb4b-7cb2-c69c-60c7-21f01d0b104c</v>
    <v>de-DE</v>
    <v>Map</v>
  </rv>
  <rv s="0">
    <v>805306368</v>
    <v>Olaf Raschke (Mayor)</v>
    <v>609f0ae1-249a-f000-5feb-90c7189a3e99</v>
    <v>de-DE</v>
    <v>Generic</v>
  </rv>
  <rv s="1">
    <v>286</v>
  </rv>
  <rv s="2">
    <fb>29011</fb>
    <v>9</v>
  </rv>
  <rv s="3">
    <v>302</v>
    <v>7</v>
    <v>661</v>
    <v>7</v>
    <v>0</v>
    <v>Image of Meissen</v>
  </rv>
  <rv s="2">
    <fb>51.163611111111003</fb>
    <v>10</v>
  </rv>
  <rv s="2">
    <fb>30.92</fb>
    <v>9</v>
  </rv>
  <rv s="2">
    <fb>13.477499999999999</fb>
    <v>10</v>
  </rv>
  <rv s="4">
    <v>https://www.bing.com/search?q=meissen+germany&amp;form=skydnc</v>
    <v>Learn more on Bing</v>
  </rv>
  <rv s="6">
    <v>#VALUE!</v>
    <v>de-DE</v>
    <v>bd56fb4b-7cb2-c69c-60c7-21f01d0b104c</v>
    <v>536870912</v>
    <v>1</v>
    <v>662</v>
    <v>2</v>
    <v>13</v>
    <v>Meissen</v>
    <v>5</v>
    <v>6</v>
    <v>Map</v>
    <v>7</v>
    <v>14</v>
    <v>3128</v>
    <v>Meissen, is a town of approximately 30,000 about 25 km northwest of Dresden on both banks of the Elbe river in the Free State of Saxony, in eastern Germany. Meissen is the home of Meissen porcelain, the Albrechtsburg castle, the Gothic Meissen ...</v>
    <v>3129</v>
    <v>3130</v>
    <v>3131</v>
    <v>3132</v>
    <v>21</v>
    <v>3133</v>
    <v>3134</v>
    <v>Meissen</v>
    <v>Meissen</v>
    <v>mdp/vdpid/7018265558235742209</v>
    <v>106</v>
    <v>876</v>
  </rv>
  <rv s="0">
    <v>536870912</v>
    <v>Memmingen</v>
    <v>7e9c72fd-ec82-9646-eb7f-19be35e931d3</v>
    <v>de-DE</v>
    <v>Map</v>
  </rv>
  <rv s="0">
    <v>805306368</v>
    <v>Manfred Schilder (Mayor)</v>
    <v>f135f755-7fac-8ee0-8b63-a070f432565b</v>
    <v>de-DE</v>
    <v>Generic</v>
  </rv>
  <rv s="1">
    <v>287</v>
  </rv>
  <rv s="2">
    <fb>45857</fb>
    <v>9</v>
  </rv>
  <rv s="3">
    <v>303</v>
    <v>7</v>
    <v>663</v>
    <v>7</v>
    <v>0</v>
    <v>Image of Memmingen</v>
  </rv>
  <rv s="2">
    <fb>47.987777777778</fb>
    <v>10</v>
  </rv>
  <rv s="2">
    <fb>70</fb>
    <v>9</v>
  </rv>
  <rv s="2">
    <fb>10.181111111111001</fb>
    <v>10</v>
  </rv>
  <rv s="4">
    <v>https://www.bing.com/search?q=memmingen+germany&amp;form=skydnc</v>
    <v>Learn more on Bing</v>
  </rv>
  <rv s="9">
    <v>#VALUE!</v>
    <v>de-DE</v>
    <v>7e9c72fd-ec82-9646-eb7f-19be35e931d3</v>
    <v>536870912</v>
    <v>1</v>
    <v>664</v>
    <v>27</v>
    <v>28</v>
    <v>Memmingen</v>
    <v>5</v>
    <v>6</v>
    <v>Map</v>
    <v>7</v>
    <v>14</v>
    <v>3138</v>
    <v>Memmingen is a town in Swabia, Bavaria, Germany. It is the economic, educational and administrative centre of the Danube-Iller region. To the west the town is flanked by the Iller, the river that marks the Baden-Württemberg border. To the north, ...</v>
    <v>3139</v>
    <v>3140</v>
    <v>3141</v>
    <v>3142</v>
    <v>21</v>
    <v>3143</v>
    <v>3144</v>
    <v>Memmingen</v>
    <v>Memmingen</v>
    <v>mdp/vdpid/7015433924314660865</v>
  </rv>
  <rv s="0">
    <v>536870912</v>
    <v>Menden</v>
    <v>4236cd48-54b4-549d-1061-9de39f64c88a</v>
    <v>de-DE</v>
    <v>Map</v>
  </rv>
  <rv s="0">
    <v>805306368</v>
    <v>Roland Schröder (Mayor)</v>
    <v>06ff5861-5887-65b5-5dba-b8998240fd40</v>
    <v>de-DE</v>
    <v>Generic</v>
  </rv>
  <rv s="1">
    <v>288</v>
  </rv>
  <rv s="2">
    <fb>52485</fb>
    <v>9</v>
  </rv>
  <rv s="3">
    <v>304</v>
    <v>7</v>
    <v>665</v>
    <v>7</v>
    <v>0</v>
    <v>Image of Menden</v>
  </rv>
  <rv s="2">
    <fb>51.433333333333003</fb>
    <v>10</v>
  </rv>
  <rv s="2">
    <fb>86.1</fb>
    <v>9</v>
  </rv>
  <rv s="2">
    <fb>7.8</fb>
    <v>10</v>
  </rv>
  <rv s="4">
    <v>https://www.bing.com/search?q=menden+germany&amp;form=skydnc</v>
    <v>Learn more on Bing</v>
  </rv>
  <rv s="10">
    <v>#VALUE!</v>
    <v>de-DE</v>
    <v>4236cd48-54b4-549d-1061-9de39f64c88a</v>
    <v>536870912</v>
    <v>1</v>
    <v>666</v>
    <v>39</v>
    <v>40</v>
    <v>Menden</v>
    <v>5</v>
    <v>6</v>
    <v>Map</v>
    <v>7</v>
    <v>14</v>
    <v>3148</v>
    <v>Menden is a city in the district Märkischer Kreis, in North Rhine-Westphalia, Germany. It is located at the north end of the Sauerland near the Ruhr river.</v>
    <v>3149</v>
    <v>3150</v>
    <v>3151</v>
    <v>3152</v>
    <v>21</v>
    <v>3153</v>
    <v>3154</v>
    <v>Menden</v>
    <v>Menden</v>
    <v>mdp/vdpid/7011458647859396609</v>
    <v>2098</v>
  </rv>
  <rv s="0">
    <v>536870912</v>
    <v>Mengen</v>
    <v>a912a91e-f820-7ec4-4d2d-ef2f3284d84c</v>
    <v>de-DE</v>
    <v>Map</v>
  </rv>
  <rv s="0">
    <v>805306368</v>
    <v>Stefan Bubeck (Mayor)</v>
    <v>c28289be-ebb2-07fe-fed2-6432a8eeb5b8</v>
    <v>de-DE</v>
    <v>Generic</v>
  </rv>
  <rv s="1">
    <v>289</v>
  </rv>
  <rv s="2">
    <fb>9995</fb>
    <v>9</v>
  </rv>
  <rv s="3">
    <v>305</v>
    <v>7</v>
    <v>667</v>
    <v>7</v>
    <v>0</v>
    <v>Image of Mengen, Germany</v>
  </rv>
  <rv s="2">
    <fb>48.049722222222002</fb>
    <v>10</v>
  </rv>
  <rv s="2">
    <fb>49.8</fb>
    <v>9</v>
  </rv>
  <rv s="2">
    <fb>9.33</fb>
    <v>10</v>
  </rv>
  <rv s="4">
    <v>https://www.bing.com/search?q=mengen+germany&amp;form=skydnc</v>
    <v>Learn more on Bing</v>
  </rv>
  <rv s="0">
    <v>536870912</v>
    <v>Landkreis Sigmaringen</v>
    <v>5cdaca95-5226-4271-9945-6126c091e1b5</v>
    <v>de-DE</v>
    <v>Map</v>
  </rv>
  <rv s="11">
    <v>#VALUE!</v>
    <v>de-DE</v>
    <v>a912a91e-f820-7ec4-4d2d-ef2f3284d84c</v>
    <v>536870912</v>
    <v>1</v>
    <v>668</v>
    <v>17</v>
    <v>57</v>
    <v>Mengen, Germany</v>
    <v>5</v>
    <v>6</v>
    <v>Map</v>
    <v>7</v>
    <v>14</v>
    <v>3158</v>
    <v>Mengen is a town in the district of Sigmaringen, in Baden-Württemberg, Germany. It is situated 9 km southeast of Sigmaringen.</v>
    <v>3159</v>
    <v>3160</v>
    <v>3161</v>
    <v>3162</v>
    <v>21</v>
    <v>3163</v>
    <v>3164</v>
    <v>Mengen, Germany</v>
    <v>Mengen, Germany</v>
    <v>mdp/vdpid/7015327320995004417</v>
    <v>3165</v>
  </rv>
  <rv s="0">
    <v>536870912</v>
    <v>Merklingen</v>
    <v>87b7c3db-876a-dff9-9fc8-fed5cdcfdf1c</v>
    <v>de-DE</v>
    <v>Map</v>
  </rv>
  <rv s="0">
    <v>805306368</v>
    <v>Sven Kneipp (Mayor)</v>
    <v>5bc16358-f358-9032-8eeb-4f99fd4d0111</v>
    <v>de-DE</v>
    <v>Generic</v>
  </rv>
  <rv s="1">
    <v>290</v>
  </rv>
  <rv s="2">
    <fb>2085</fb>
    <v>9</v>
  </rv>
  <rv s="3">
    <v>306</v>
    <v>7</v>
    <v>669</v>
    <v>7</v>
    <v>0</v>
    <v>Image of Merklingen</v>
  </rv>
  <rv s="2">
    <fb>48.508611111111001</fb>
    <v>10</v>
  </rv>
  <rv s="2">
    <fb>21.31</fb>
    <v>9</v>
  </rv>
  <rv s="2">
    <fb>9.7541666666667002</fb>
    <v>10</v>
  </rv>
  <rv s="4">
    <v>https://www.bing.com/search?q=merklingen+germany&amp;form=skydnc</v>
    <v>Learn more on Bing</v>
  </rv>
  <rv s="0">
    <v>536870912</v>
    <v>Alb-Donau-Kreis</v>
    <v>32afd69b-1572-4d95-5fc9-80e78c9fadbe</v>
    <v>de-DE</v>
    <v>Map</v>
  </rv>
  <rv s="11">
    <v>#VALUE!</v>
    <v>de-DE</v>
    <v>87b7c3db-876a-dff9-9fc8-fed5cdcfdf1c</v>
    <v>536870912</v>
    <v>1</v>
    <v>670</v>
    <v>17</v>
    <v>57</v>
    <v>Merklingen</v>
    <v>5</v>
    <v>6</v>
    <v>Map</v>
    <v>7</v>
    <v>14</v>
    <v>3169</v>
    <v>Merklingen is a municipality in the district of Alb-Donau in Baden-Württemberg in Germany.</v>
    <v>3170</v>
    <v>3171</v>
    <v>3172</v>
    <v>3173</v>
    <v>21</v>
    <v>3174</v>
    <v>3175</v>
    <v>Merklingen</v>
    <v>Merklingen</v>
    <v>mdp/vdpid/7015317973837545473</v>
    <v>3176</v>
  </rv>
  <rv s="0">
    <v>536870912</v>
    <v>Metten</v>
    <v>eb50b2f8-0993-cc18-c761-507cb06f08cf</v>
    <v>de-DE</v>
    <v>Map</v>
  </rv>
  <rv s="0">
    <v>805306368</v>
    <v>Andreas Moser (Mayor)</v>
    <v>dda08039-b1a2-ee3c-9fc5-44b4dd30f165</v>
    <v>de-DE</v>
    <v>Generic</v>
  </rv>
  <rv s="1">
    <v>291</v>
  </rv>
  <rv s="2">
    <fb>4216</fb>
    <v>9</v>
  </rv>
  <rv s="3">
    <v>307</v>
    <v>7</v>
    <v>671</v>
    <v>7</v>
    <v>0</v>
    <v>Image of Metten</v>
  </rv>
  <rv s="2">
    <fb>48.866666666667001</fb>
    <v>10</v>
  </rv>
  <rv s="2">
    <fb>11.89</fb>
    <v>9</v>
  </rv>
  <rv s="4">
    <v>https://www.bing.com/search?q=metten+germany&amp;form=skydnc</v>
    <v>Learn more on Bing</v>
  </rv>
  <rv s="0">
    <v>536870912</v>
    <v>Deggendorf</v>
    <v>7b4136bb-6182-4cdc-a73a-0cfdccc672e9</v>
    <v>de-DE</v>
    <v>Map</v>
  </rv>
  <rv s="10">
    <v>#VALUE!</v>
    <v>de-DE</v>
    <v>eb50b2f8-0993-cc18-c761-507cb06f08cf</v>
    <v>536870912</v>
    <v>1</v>
    <v>672</v>
    <v>39</v>
    <v>40</v>
    <v>Metten</v>
    <v>5</v>
    <v>6</v>
    <v>Map</v>
    <v>7</v>
    <v>14</v>
    <v>3180</v>
    <v>Metten is a municipality in the district of Deggendorf in Bavaria in Germany. The town grew up around the Benedictine Metten Abbey, founded in 766. Metten is also the birthplace of former Bayern Munich goalkeeper Sepp Maier.</v>
    <v>3181</v>
    <v>3182</v>
    <v>3183</v>
    <v>3184</v>
    <v>21</v>
    <v>833</v>
    <v>3185</v>
    <v>Metten</v>
    <v>Metten</v>
    <v>mdp/vdpid/7021554012109406210</v>
    <v>3186</v>
  </rv>
  <rv s="0">
    <v>536870912</v>
    <v>Mettmann</v>
    <v>81fa9387-7afb-6075-3e4a-1fa711e9d8b0</v>
    <v>de-DE</v>
    <v>Map</v>
  </rv>
  <rv s="0">
    <v>805306368</v>
    <v>Sandra Pietschmann (Mayor)</v>
    <v>667a29aa-5d8b-a69b-a0cf-0e32a999376a</v>
    <v>de-DE</v>
    <v>Generic</v>
  </rv>
  <rv s="1">
    <v>292</v>
  </rv>
  <rv s="2">
    <fb>39134</fb>
    <v>9</v>
  </rv>
  <rv s="3">
    <v>308</v>
    <v>7</v>
    <v>673</v>
    <v>7</v>
    <v>0</v>
    <v>Image of Mettmann</v>
  </rv>
  <rv s="2">
    <fb>51.25</fb>
    <v>10</v>
  </rv>
  <rv s="2">
    <fb>42.56</fb>
    <v>9</v>
  </rv>
  <rv s="2">
    <fb>6.9666666666666703</fb>
    <v>10</v>
  </rv>
  <rv s="4">
    <v>https://www.bing.com/search?q=mettmann+germany&amp;form=skydnc</v>
    <v>Learn more on Bing</v>
  </rv>
  <rv s="6">
    <v>#VALUE!</v>
    <v>de-DE</v>
    <v>81fa9387-7afb-6075-3e4a-1fa711e9d8b0</v>
    <v>536870912</v>
    <v>1</v>
    <v>674</v>
    <v>2</v>
    <v>13</v>
    <v>Mettmann</v>
    <v>5</v>
    <v>6</v>
    <v>Map</v>
    <v>7</v>
    <v>14</v>
    <v>3190</v>
    <v>Mettmann is a town in the northern part of the Bergisches Land, in North Rhine-Westphalia, Germany. It is the administrative centre of the district of Mettmann, Germany's most densely populated rural district. The town lies east of Düsseldorf ...</v>
    <v>3191</v>
    <v>3192</v>
    <v>3193</v>
    <v>3194</v>
    <v>21</v>
    <v>3195</v>
    <v>3196</v>
    <v>Mettmann</v>
    <v>Mettmann</v>
    <v>mdp/vdpid/7011377631035654145</v>
    <v>1029</v>
    <v>2076</v>
  </rv>
  <rv s="0">
    <v>536870912</v>
    <v>Minden</v>
    <v>9bb61036-aead-b78d-5121-09cf150da81a</v>
    <v>de-DE</v>
    <v>Map</v>
  </rv>
  <rv s="0">
    <v>805306368</v>
    <v>Michael Jäcke (Mayor)</v>
    <v>da01ace8-13bf-0d20-4787-508304159cb8</v>
    <v>de-DE</v>
    <v>Generic</v>
  </rv>
  <rv s="1">
    <v>293</v>
  </rv>
  <rv s="2">
    <fb>83076</fb>
    <v>9</v>
  </rv>
  <rv s="3">
    <v>309</v>
    <v>7</v>
    <v>675</v>
    <v>7</v>
    <v>0</v>
    <v>Image of Minden</v>
  </rv>
  <rv s="2">
    <fb>52.288333333333298</fb>
    <v>10</v>
  </rv>
  <rv s="2">
    <fb>101.12</fb>
    <v>9</v>
  </rv>
  <rv s="2">
    <fb>8.9166666666666696</fb>
    <v>10</v>
  </rv>
  <rv s="4">
    <v>https://www.bing.com/search?q=minden+germany&amp;form=skydnc</v>
    <v>Learn more on Bing</v>
  </rv>
  <rv s="0">
    <v>536870912</v>
    <v>Minden-Lübbecke District</v>
    <v>7096afce-7c51-1187-036f-51ba819cbd0f</v>
    <v>de-DE</v>
    <v>Map</v>
  </rv>
  <rv s="10">
    <v>#VALUE!</v>
    <v>de-DE</v>
    <v>9bb61036-aead-b78d-5121-09cf150da81a</v>
    <v>536870912</v>
    <v>1</v>
    <v>676</v>
    <v>39</v>
    <v>40</v>
    <v>Minden</v>
    <v>5</v>
    <v>6</v>
    <v>Map</v>
    <v>7</v>
    <v>14</v>
    <v>3200</v>
    <v>Minden is a middle-sized town in the very north-east of North Rhine-Westphalia, Germany, the largest town in population between Bielefeld and Hanover. It is the capital of the district of Minden-Lübbecke, which is part of the region of Detmold. ...</v>
    <v>3201</v>
    <v>3202</v>
    <v>3203</v>
    <v>3204</v>
    <v>21</v>
    <v>3205</v>
    <v>3206</v>
    <v>Minden</v>
    <v>Minden</v>
    <v>mdp/vdpid/7011641814071377922</v>
    <v>3207</v>
  </rv>
  <rv s="0">
    <v>536870912</v>
    <v>Mittenwald</v>
    <v>890b83a8-dadc-ae46-e630-59fa696c0552</v>
    <v>de-DE</v>
    <v>Map</v>
  </rv>
  <rv s="0">
    <v>805306368</v>
    <v>Enrico Corongiu (Mayor)</v>
    <v>7f876ffe-11ad-3ec1-7f2e-a7fd3227635b</v>
    <v>de-DE</v>
    <v>Generic</v>
  </rv>
  <rv s="1">
    <v>294</v>
  </rv>
  <rv s="2">
    <fb>7251</fb>
    <v>9</v>
  </rv>
  <rv s="3">
    <v>310</v>
    <v>7</v>
    <v>677</v>
    <v>7</v>
    <v>0</v>
    <v>Image of Mittenwald</v>
  </rv>
  <rv s="2">
    <fb>47.416666666666998</fb>
    <v>10</v>
  </rv>
  <rv s="2">
    <fb>132.84</fb>
    <v>9</v>
  </rv>
  <rv s="2">
    <fb>11.25</fb>
    <v>10</v>
  </rv>
  <rv s="4">
    <v>https://www.bing.com/search?q=mittenwald&amp;form=skydnc</v>
    <v>Learn more on Bing</v>
  </rv>
  <rv s="10">
    <v>#VALUE!</v>
    <v>de-DE</v>
    <v>890b83a8-dadc-ae46-e630-59fa696c0552</v>
    <v>536870912</v>
    <v>1</v>
    <v>678</v>
    <v>39</v>
    <v>40</v>
    <v>Mittenwald</v>
    <v>5</v>
    <v>6</v>
    <v>Map</v>
    <v>7</v>
    <v>14</v>
    <v>3211</v>
    <v>Mittenwald is a German municipality in the district of Garmisch-Partenkirchen, in Bavaria.</v>
    <v>3212</v>
    <v>3213</v>
    <v>3214</v>
    <v>3215</v>
    <v>21</v>
    <v>3216</v>
    <v>3217</v>
    <v>Mittenwald</v>
    <v>Mittenwald</v>
    <v>mdp/vdpid/7022243621671796737</v>
    <v>292</v>
  </rv>
  <rv s="0">
    <v>536870912</v>
    <v>Mittweida</v>
    <v>224a79b9-6aa3-0f18-97da-9011dc8dc2f8</v>
    <v>de-DE</v>
    <v>Map</v>
  </rv>
  <rv s="0">
    <v>805306368</v>
    <v>Ralf Schreiber (Mayor)</v>
    <v>052a4ed3-d273-7aa2-0998-fbc3140915dd</v>
    <v>de-DE</v>
    <v>Generic</v>
  </rv>
  <rv s="1">
    <v>295</v>
  </rv>
  <rv s="2">
    <fb>14332</fb>
    <v>9</v>
  </rv>
  <rv s="3">
    <v>311</v>
    <v>7</v>
    <v>679</v>
    <v>7</v>
    <v>0</v>
    <v>Image of Mittweida</v>
  </rv>
  <rv s="2">
    <fb>50.985555555555997</fb>
    <v>10</v>
  </rv>
  <rv s="2">
    <fb>41.26</fb>
    <v>9</v>
  </rv>
  <rv s="2">
    <fb>12.981111111111</fb>
    <v>10</v>
  </rv>
  <rv s="4">
    <v>https://www.bing.com/search?q=mittweida+germany&amp;form=skydnc</v>
    <v>Learn more on Bing</v>
  </rv>
  <rv s="6">
    <v>#VALUE!</v>
    <v>de-DE</v>
    <v>224a79b9-6aa3-0f18-97da-9011dc8dc2f8</v>
    <v>536870912</v>
    <v>1</v>
    <v>680</v>
    <v>2</v>
    <v>13</v>
    <v>Mittweida</v>
    <v>5</v>
    <v>6</v>
    <v>Map</v>
    <v>7</v>
    <v>14</v>
    <v>3221</v>
    <v>Mittweida is a town in Saxony, Germany, in the Mittelsachsen district.</v>
    <v>3222</v>
    <v>3223</v>
    <v>3224</v>
    <v>3225</v>
    <v>21</v>
    <v>3226</v>
    <v>3227</v>
    <v>Mittweida</v>
    <v>Mittweida</v>
    <v>mdp/vdpid/7018235453887217665</v>
    <v>106</v>
    <v>1041</v>
  </rv>
  <rv s="0">
    <v>536870912</v>
    <v>Moers</v>
    <v>4a22300a-e0f1-78ee-9143-750abfeafb9c</v>
    <v>de-DE</v>
    <v>Map</v>
  </rv>
  <rv s="0">
    <v>805306368</v>
    <v>Christoph Fleischhauer (Mayor)</v>
    <v>acd0b64c-b7dd-96ed-8f8a-edf6eb9afcc0</v>
    <v>de-DE</v>
    <v>Generic</v>
  </rv>
  <rv s="1">
    <v>296</v>
  </rv>
  <rv s="2">
    <fb>105287</fb>
    <v>9</v>
  </rv>
  <rv s="3">
    <v>312</v>
    <v>7</v>
    <v>681</v>
    <v>7</v>
    <v>0</v>
    <v>Image of Moers</v>
  </rv>
  <rv s="2">
    <fb>51.459166666667002</fb>
    <v>10</v>
  </rv>
  <rv s="2">
    <fb>67.680000000000007</fb>
    <v>9</v>
  </rv>
  <rv s="2">
    <fb>6.6197222222222001</fb>
    <v>10</v>
  </rv>
  <rv s="4">
    <v>https://www.bing.com/search?q=moers+germany&amp;form=skydnc</v>
    <v>Learn more on Bing</v>
  </rv>
  <rv s="6">
    <v>#VALUE!</v>
    <v>de-DE</v>
    <v>4a22300a-e0f1-78ee-9143-750abfeafb9c</v>
    <v>536870912</v>
    <v>1</v>
    <v>682</v>
    <v>2</v>
    <v>13</v>
    <v>Moers</v>
    <v>5</v>
    <v>6</v>
    <v>Map</v>
    <v>7</v>
    <v>14</v>
    <v>3231</v>
    <v>Moers is a German city on the western bank of the Rhine, close to Duisburg. Moers belongs to the district of Wesel.</v>
    <v>3232</v>
    <v>3233</v>
    <v>3234</v>
    <v>3235</v>
    <v>21</v>
    <v>3236</v>
    <v>3237</v>
    <v>Moers</v>
    <v>Moers</v>
    <v>mdp/vdpid/7011321340623847425</v>
    <v>1029</v>
    <v>1030</v>
  </rv>
  <rv s="0">
    <v>536870912</v>
    <v>Mönchengladbach</v>
    <v>e1d849e1-ffc3-b6fc-aa4f-09122b65f536</v>
    <v>de-DE</v>
    <v>Map</v>
  </rv>
  <rv s="0">
    <v>805306368</v>
    <v>Felix Heinrichs (Mayor)</v>
    <v>c4a2f59f-3501-f44c-53e2-b202b8603810</v>
    <v>de-DE</v>
    <v>Generic</v>
  </rv>
  <rv s="1">
    <v>297</v>
  </rv>
  <rv s="2">
    <fb>268465</fb>
    <v>9</v>
  </rv>
  <rv s="3">
    <v>313</v>
    <v>7</v>
    <v>683</v>
    <v>7</v>
    <v>0</v>
    <v>Image of Mönchengladbach</v>
  </rv>
  <rv s="2">
    <fb>51.2</fb>
    <v>10</v>
  </rv>
  <rv s="2">
    <fb>170.47</fb>
    <v>9</v>
  </rv>
  <rv s="2">
    <fb>6.4333333333332998</fb>
    <v>10</v>
  </rv>
  <rv s="4">
    <v>https://www.bing.com/search?q=m%c3%b6nchengladbach&amp;form=skydnc</v>
    <v>Learn more on Bing</v>
  </rv>
  <rv s="6">
    <v>#VALUE!</v>
    <v>de-DE</v>
    <v>e1d849e1-ffc3-b6fc-aa4f-09122b65f536</v>
    <v>536870912</v>
    <v>1</v>
    <v>684</v>
    <v>2</v>
    <v>13</v>
    <v>Mönchengladbach</v>
    <v>5</v>
    <v>6</v>
    <v>Map</v>
    <v>7</v>
    <v>14</v>
    <v>3241</v>
    <v>Mönchengladbach is a city in North Rhine-Westphalia, Germany. It is located west of the Rhine, halfway between Düsseldorf and the Dutch border.</v>
    <v>3242</v>
    <v>3243</v>
    <v>3244</v>
    <v>3245</v>
    <v>21</v>
    <v>3246</v>
    <v>3247</v>
    <v>Mönchengladbach</v>
    <v>Mönchengladbach</v>
    <v>mdp/vdpid/7011372410117029889</v>
    <v>412</v>
    <v>1029</v>
  </rv>
  <rv s="0">
    <v>536870912</v>
    <v>Monheim am Rhein</v>
    <v>b57930e7-54fa-9447-4c30-c71b80eda173</v>
    <v>de-DE</v>
    <v>Map</v>
  </rv>
  <rv s="0">
    <v>805306368</v>
    <v>Daniel Zimmermann (Mayor)</v>
    <v>7d1faa78-3aa0-9cbc-2224-8d3712d20214</v>
    <v>de-DE</v>
    <v>Generic</v>
  </rv>
  <rv s="1">
    <v>298</v>
  </rv>
  <rv s="2">
    <fb>43050</fb>
    <v>9</v>
  </rv>
  <rv s="3">
    <v>314</v>
    <v>7</v>
    <v>685</v>
    <v>7</v>
    <v>0</v>
    <v>Image of Monheim am Rhein</v>
  </rv>
  <rv s="2">
    <fb>51.1</fb>
    <v>10</v>
  </rv>
  <rv s="2">
    <fb>23.05</fb>
    <v>9</v>
  </rv>
  <rv s="4">
    <v>https://www.bing.com/search?q=monheim+am+rhein&amp;form=skydnc</v>
    <v>Learn more on Bing</v>
  </rv>
  <rv s="6">
    <v>#VALUE!</v>
    <v>de-DE</v>
    <v>b57930e7-54fa-9447-4c30-c71b80eda173</v>
    <v>536870912</v>
    <v>1</v>
    <v>686</v>
    <v>2</v>
    <v>13</v>
    <v>Monheim am Rhein</v>
    <v>5</v>
    <v>6</v>
    <v>Map</v>
    <v>7</v>
    <v>14</v>
    <v>3251</v>
    <v>Monheim am Rhein is a town on the right bank of the river Rhine in North Rhine-Westphalia, Germany. Monheim belongs to the district of Mettmann – with the southern suburbs of Düsseldorf to the north, and the Bergisches Land to the south. It ...</v>
    <v>3252</v>
    <v>3253</v>
    <v>3254</v>
    <v>3255</v>
    <v>21</v>
    <v>769</v>
    <v>3256</v>
    <v>Monheim am Rhein</v>
    <v>Monheim am Rhein</v>
    <v>mdp/vdpid/7011381483889754114</v>
    <v>1029</v>
    <v>2076</v>
  </rv>
  <rv s="0">
    <v>536870912</v>
    <v>Mühlhausen/Thüringen</v>
    <v>1b0b78f0-2dd9-5a05-3d99-7f73c9c4510d</v>
    <v>de-DE</v>
    <v>Map</v>
  </rv>
  <rv s="0">
    <v>805306368</v>
    <v>Dr. Johannes Bruns (Mayor)</v>
    <v>4924269e-bc44-3ce3-c899-fc28c88083a6</v>
    <v>de-DE</v>
    <v>Generic</v>
  </rv>
  <rv s="1">
    <v>299</v>
  </rv>
  <rv s="2">
    <fb>36226</fb>
    <v>9</v>
  </rv>
  <rv s="3">
    <v>315</v>
    <v>7</v>
    <v>687</v>
    <v>7</v>
    <v>0</v>
    <v>Image of Mühlhausen</v>
  </rv>
  <rv s="2">
    <fb>51.216666666667003</fb>
    <v>10</v>
  </rv>
  <rv s="2">
    <fb>130.71</fb>
    <v>9</v>
  </rv>
  <rv s="2">
    <fb>10.45</fb>
    <v>10</v>
  </rv>
  <rv s="4">
    <v>https://www.bing.com/search?q=www+m%c3%bchlhausen+de&amp;form=skydnc</v>
    <v>Learn more on Bing</v>
  </rv>
  <rv s="0">
    <v>536870912</v>
    <v>Unstrut-Hainich-Kreis</v>
    <v>2de056f3-ff75-2dff-bc25-544fb5aa9bea</v>
    <v>de-DE</v>
    <v>Map</v>
  </rv>
  <rv s="10">
    <v>#VALUE!</v>
    <v>de-DE</v>
    <v>1b0b78f0-2dd9-5a05-3d99-7f73c9c4510d</v>
    <v>536870912</v>
    <v>1</v>
    <v>688</v>
    <v>39</v>
    <v>40</v>
    <v>Mühlhausen</v>
    <v>5</v>
    <v>6</v>
    <v>Map</v>
    <v>7</v>
    <v>14</v>
    <v>3260</v>
    <v>Mühlhausen is a town in the north-west of Thuringia, Germany, 5 km north of Niederdorla, the country's geographical centre, 50 km north-west of Erfurt, 65 km east of Kassel and 50 km south-east of Göttingen.</v>
    <v>3261</v>
    <v>3262</v>
    <v>3263</v>
    <v>3264</v>
    <v>21</v>
    <v>3265</v>
    <v>3266</v>
    <v>Mühlhausen</v>
    <v>Mühlhausen</v>
    <v>mdp/vdpid/7012069531090681857</v>
    <v>3267</v>
  </rv>
  <rv s="0">
    <v>536870912</v>
    <v>Mühlheim an der Donau</v>
    <v>d83596bc-402e-0ca4-d64e-cedbce581db8</v>
    <v>de-DE</v>
    <v>Map</v>
  </rv>
  <rv s="0">
    <v>805306368</v>
    <v>Jörg Kaltenbach (Mayor)</v>
    <v>c3594496-fa04-ecae-141c-12f7e7aeaa57</v>
    <v>de-DE</v>
    <v>Generic</v>
  </rv>
  <rv s="1">
    <v>300</v>
  </rv>
  <rv s="2">
    <fb>3627</fb>
    <v>9</v>
  </rv>
  <rv s="3">
    <v>316</v>
    <v>7</v>
    <v>689</v>
    <v>7</v>
    <v>0</v>
    <v>Image of Mühlheim an der Donau</v>
  </rv>
  <rv s="2">
    <fb>48.030555555555999</fb>
    <v>10</v>
  </rv>
  <rv s="2">
    <fb>21.73</fb>
    <v>9</v>
  </rv>
  <rv s="2">
    <fb>8.8858333333333004</fb>
    <v>10</v>
  </rv>
  <rv s="4">
    <v>https://www.bing.com/search?q=m%c3%bchlheim+an+der+donau+germany&amp;form=skydnc</v>
    <v>Learn more on Bing</v>
  </rv>
  <rv s="11">
    <v>#VALUE!</v>
    <v>de-DE</v>
    <v>d83596bc-402e-0ca4-d64e-cedbce581db8</v>
    <v>536870912</v>
    <v>1</v>
    <v>690</v>
    <v>17</v>
    <v>57</v>
    <v>Mühlheim an der Donau</v>
    <v>5</v>
    <v>6</v>
    <v>Map</v>
    <v>7</v>
    <v>14</v>
    <v>3271</v>
    <v>Mühlheim an der Donau is a town in the district Tuttlingen in Baden-Württemberg, Germany. It is situated on the Danube, 7 km northeast of Tuttlingen.</v>
    <v>3272</v>
    <v>3273</v>
    <v>3274</v>
    <v>3275</v>
    <v>21</v>
    <v>3276</v>
    <v>3277</v>
    <v>Mühlheim an der Donau</v>
    <v>Mühlheim an der Donau</v>
    <v>mdp/vdpid/7015299344014245889</v>
    <v>370</v>
  </rv>
  <rv s="0">
    <v>536870912</v>
    <v>München</v>
    <v>7f38f401-452d-d25b-059c-487e14b70a85</v>
    <v>de-DE</v>
    <v>Map</v>
  </rv>
  <rv s="0">
    <v>805306368</v>
    <v>Dieter Reiter (Mayor)</v>
    <v>acfb7447-f4f8-7b17-3e8a-8a0d8e31ceb9</v>
    <v>de-DE</v>
    <v>Generic</v>
  </rv>
  <rv s="1">
    <v>301</v>
  </rv>
  <rv s="2">
    <fb>1487708</fb>
    <v>9</v>
  </rv>
  <rv s="3">
    <v>317</v>
    <v>7</v>
    <v>691</v>
    <v>7</v>
    <v>0</v>
    <v>Image of Munich</v>
  </rv>
  <rv s="2">
    <fb>48.137500000000003</fb>
    <v>10</v>
  </rv>
  <rv s="2">
    <fb>310.70999999999998</fb>
    <v>9</v>
  </rv>
  <rv s="2">
    <fb>11.574999999999999</fb>
    <v>10</v>
  </rv>
  <rv s="4">
    <v>https://www.bing.com/search?q=munich+germany&amp;form=skydnc</v>
    <v>Learn more on Bing</v>
  </rv>
  <rv s="9">
    <v>#VALUE!</v>
    <v>de-DE</v>
    <v>7f38f401-452d-d25b-059c-487e14b70a85</v>
    <v>536870912</v>
    <v>1</v>
    <v>692</v>
    <v>27</v>
    <v>28</v>
    <v>Munich</v>
    <v>5</v>
    <v>6</v>
    <v>Map</v>
    <v>7</v>
    <v>8</v>
    <v>3281</v>
    <v>Munich is the capital and most populous city of the Free State of Bavaria, Germany. With a population of 1,589,706 inhabitants as of 29 February 2024, it is the third-largest city in Germany, after Berlin and Hamburg, and thus the largest which ...</v>
    <v>3282</v>
    <v>3283</v>
    <v>3284</v>
    <v>3285</v>
    <v>1341</v>
    <v>3286</v>
    <v>3287</v>
    <v>Munich</v>
    <v>Munich</v>
    <v>mdp/vdpid/7021484408976703489</v>
  </rv>
  <rv s="0">
    <v>536870912</v>
    <v>Münsingen</v>
    <v>92360117-d136-1abc-d462-bb54a144f0db</v>
    <v>de-DE</v>
    <v>Map</v>
  </rv>
  <rv s="0">
    <v>805306368</v>
    <v>Mike Münzing (Mayor)</v>
    <v>fda0cd36-8605-ff7d-e00a-c30aa36924f8</v>
    <v>de-DE</v>
    <v>Generic</v>
  </rv>
  <rv s="1">
    <v>302</v>
  </rv>
  <rv s="2">
    <fb>14755</fb>
    <v>9</v>
  </rv>
  <rv s="3">
    <v>318</v>
    <v>7</v>
    <v>693</v>
    <v>7</v>
    <v>0</v>
    <v>Image of Münsingen, Germany</v>
  </rv>
  <rv s="2">
    <fb>48.412777777777997</fb>
    <v>10</v>
  </rv>
  <rv s="2">
    <fb>116.99</fb>
    <v>9</v>
  </rv>
  <rv s="2">
    <fb>9.4952777777777992</fb>
    <v>10</v>
  </rv>
  <rv s="4">
    <v>https://www.bing.com/search?q=m%c3%bcnsingen+germany&amp;form=skydnc</v>
    <v>Learn more on Bing</v>
  </rv>
  <rv s="0">
    <v>536870912</v>
    <v>Reutlingen</v>
    <v>e16dfb27-1337-4ca9-8d85-3c299057f4b9</v>
    <v>de-DE</v>
    <v>Map</v>
  </rv>
  <rv s="11">
    <v>#VALUE!</v>
    <v>de-DE</v>
    <v>92360117-d136-1abc-d462-bb54a144f0db</v>
    <v>536870912</v>
    <v>1</v>
    <v>694</v>
    <v>17</v>
    <v>57</v>
    <v>Münsingen, Germany</v>
    <v>5</v>
    <v>6</v>
    <v>Map</v>
    <v>7</v>
    <v>14</v>
    <v>3291</v>
    <v>Münsingen is a town in the district of Reutlingen, Baden-Württemberg, Germany. It is situated 23 km southeast of Reutlingen, and 37 km west of Ulm.</v>
    <v>3292</v>
    <v>3293</v>
    <v>3294</v>
    <v>3295</v>
    <v>21</v>
    <v>3296</v>
    <v>3297</v>
    <v>Münsingen, Germany</v>
    <v>Münsingen, Germany</v>
    <v>mdp/vdpid/7015316325090197505</v>
    <v>3298</v>
  </rv>
  <rv s="0">
    <v>536870912</v>
    <v>Münster</v>
    <v>38b7b248-8220-7d91-b35f-1b5b7c4cda5f</v>
    <v>de-DE</v>
    <v>Map</v>
  </rv>
  <rv s="0">
    <v>805306368</v>
    <v>Markus Lewe (Mayor)</v>
    <v>4a73377b-43f7-6968-f85a-94aa5c4a4984</v>
    <v>de-DE</v>
    <v>Generic</v>
  </rv>
  <rv s="1">
    <v>303</v>
  </rv>
  <rv s="2">
    <fb>320946</fb>
    <v>9</v>
  </rv>
  <rv s="3">
    <v>319</v>
    <v>7</v>
    <v>695</v>
    <v>7</v>
    <v>0</v>
    <v>Image of Münster</v>
  </rv>
  <rv s="2">
    <fb>51.962499999999999</fb>
    <v>10</v>
  </rv>
  <rv s="2">
    <fb>303.27999999999997</fb>
    <v>9</v>
  </rv>
  <rv s="2">
    <fb>7.6255555555556001</fb>
    <v>10</v>
  </rv>
  <rv s="4">
    <v>https://www.bing.com/search?q=m%c3%bcnster&amp;form=skydnc</v>
    <v>Learn more on Bing</v>
  </rv>
  <rv s="6">
    <v>#VALUE!</v>
    <v>de-DE</v>
    <v>38b7b248-8220-7d91-b35f-1b5b7c4cda5f</v>
    <v>536870912</v>
    <v>1</v>
    <v>696</v>
    <v>2</v>
    <v>13</v>
    <v>Münster</v>
    <v>5</v>
    <v>6</v>
    <v>Map</v>
    <v>7</v>
    <v>14</v>
    <v>3302</v>
    <v>Münster is an independent city in North Rhine-Westphalia, Germany. It is in the northern part of the state and is considered to be the cultural centre of the Westphalia region. It is also a state district capital. Münster was the location of the ...</v>
    <v>3303</v>
    <v>3304</v>
    <v>3305</v>
    <v>3306</v>
    <v>21</v>
    <v>3307</v>
    <v>3308</v>
    <v>Münster</v>
    <v>Münster</v>
    <v>mdp/vdpid/7011437281571504129</v>
    <v>412</v>
    <v>24</v>
  </rv>
  <rv s="0">
    <v>536870912</v>
    <v>Neubrandenburg</v>
    <v>a232b0f3-0cf8-50a1-a1cd-29c19de690e1</v>
    <v>de-DE</v>
    <v>Map</v>
  </rv>
  <rv s="0">
    <v>805306368</v>
    <v>Silvio Witt (Mayor)</v>
    <v>11b95189-b27f-795a-65c8-570c477feb2b</v>
    <v>de-DE</v>
    <v>Generic</v>
  </rv>
  <rv s="1">
    <v>304</v>
  </rv>
  <rv s="2">
    <fb>63989</fb>
    <v>9</v>
  </rv>
  <rv s="3">
    <v>320</v>
    <v>7</v>
    <v>697</v>
    <v>7</v>
    <v>0</v>
    <v>Image of Neubrandenburg</v>
  </rv>
  <rv s="2">
    <fb>53.556944444443999</fb>
    <v>10</v>
  </rv>
  <rv s="2">
    <fb>86.11</fb>
    <v>9</v>
  </rv>
  <rv s="2">
    <fb>13.260833333333</fb>
    <v>10</v>
  </rv>
  <rv s="4">
    <v>https://www.bing.com/search?q=neubrandenburg+germany&amp;form=skydnc</v>
    <v>Learn more on Bing</v>
  </rv>
  <rv s="0">
    <v>536870912</v>
    <v>Mecklenburgische Seenplatte District</v>
    <v>5259464a-bdcd-4c31-4b8a-1f4bcf5e789a</v>
    <v>de-DE</v>
    <v>Map</v>
  </rv>
  <rv s="6">
    <v>#VALUE!</v>
    <v>de-DE</v>
    <v>a232b0f3-0cf8-50a1-a1cd-29c19de690e1</v>
    <v>536870912</v>
    <v>1</v>
    <v>698</v>
    <v>2</v>
    <v>13</v>
    <v>Neubrandenburg</v>
    <v>5</v>
    <v>6</v>
    <v>Map</v>
    <v>7</v>
    <v>14</v>
    <v>3312</v>
    <v>Neubrandenburg is a city in the southeast of Mecklenburg-Vorpommern, Germany. It is located on the shore of a lake called Tollensesee and forms the urban centre of the Mecklenburg Lakeland. The city is famous for its rich medieval heritage of ...</v>
    <v>3313</v>
    <v>3314</v>
    <v>3315</v>
    <v>3316</v>
    <v>21</v>
    <v>3317</v>
    <v>3318</v>
    <v>Neubrandenburg</v>
    <v>Neubrandenburg</v>
    <v>mdp/vdpid/7017134423048978433</v>
    <v>94</v>
    <v>3319</v>
  </rv>
  <rv s="0">
    <v>536870912</v>
    <v>Neu-Isenburg</v>
    <v>b6ca8d5b-8d88-14aa-ee88-6e14727b89ff</v>
    <v>de-DE</v>
    <v>Map</v>
  </rv>
  <rv s="0">
    <v>805306368</v>
    <v>Dirk Gene Hagelstein (Mayor)</v>
    <v>2aeb3943-f1e1-650a-7131-c144e21041c3</v>
    <v>de-DE</v>
    <v>Generic</v>
  </rv>
  <rv s="1">
    <v>305</v>
  </rv>
  <rv s="2">
    <fb>39287</fb>
    <v>9</v>
  </rv>
  <rv s="3">
    <v>321</v>
    <v>7</v>
    <v>699</v>
    <v>7</v>
    <v>0</v>
    <v>Image of Neu-Isenburg</v>
  </rv>
  <rv s="2">
    <fb>50.055763888888897</fb>
    <v>10</v>
  </rv>
  <rv s="2">
    <fb>24.29</fb>
    <v>9</v>
  </rv>
  <rv s="2">
    <fb>8.6970833333333299</fb>
    <v>10</v>
  </rv>
  <rv s="4">
    <v>https://www.bing.com/search?q=neu-isenburg&amp;form=skydnc</v>
    <v>Learn more on Bing</v>
  </rv>
  <rv s="6">
    <v>#VALUE!</v>
    <v>de-DE</v>
    <v>b6ca8d5b-8d88-14aa-ee88-6e14727b89ff</v>
    <v>536870912</v>
    <v>1</v>
    <v>700</v>
    <v>2</v>
    <v>13</v>
    <v>Neu-Isenburg</v>
    <v>5</v>
    <v>6</v>
    <v>Map</v>
    <v>7</v>
    <v>14</v>
    <v>3323</v>
    <v>Neu-Isenburg is a town in Germany, located in the Offenbach district of Hesse. It is part of the Frankfurt Rhein-Main urban area and has a population of 38,204. The town is known nowadays mainly for its regionally used shopping centre, the ...</v>
    <v>3324</v>
    <v>3325</v>
    <v>3326</v>
    <v>3327</v>
    <v>21</v>
    <v>3328</v>
    <v>3329</v>
    <v>Neu-Isenburg</v>
    <v>Neu-Isenburg</v>
    <v>mdp/vdpid/7014944208351920129</v>
    <v>303</v>
    <v>2759</v>
  </rv>
  <rv s="0">
    <v>536870912</v>
    <v>Neukirchen-Vluyn</v>
    <v>1fdba885-60ac-f440-fac8-be64f6fcd225</v>
    <v>de-DE</v>
    <v>Map</v>
  </rv>
  <rv s="0">
    <v>805306368</v>
    <v>Ralf Köpke (Mayor)</v>
    <v>ac743732-ff02-9f3f-04cf-41acb61f4973</v>
    <v>de-DE</v>
    <v>Generic</v>
  </rv>
  <rv s="1">
    <v>306</v>
  </rv>
  <rv s="2">
    <fb>27956</fb>
    <v>9</v>
  </rv>
  <rv s="3">
    <v>322</v>
    <v>7</v>
    <v>701</v>
    <v>7</v>
    <v>0</v>
    <v>Image of Neukirchen-Vluyn</v>
  </rv>
  <rv s="2">
    <fb>51.441666666666997</fb>
    <v>10</v>
  </rv>
  <rv s="2">
    <fb>43.5</fb>
    <v>9</v>
  </rv>
  <rv s="2">
    <fb>6.5583333333332998</fb>
    <v>10</v>
  </rv>
  <rv s="4">
    <v>https://www.bing.com/search?q=neukirchen-vluyn+germany&amp;form=skydnc</v>
    <v>Learn more on Bing</v>
  </rv>
  <rv s="6">
    <v>#VALUE!</v>
    <v>de-DE</v>
    <v>1fdba885-60ac-f440-fac8-be64f6fcd225</v>
    <v>536870912</v>
    <v>1</v>
    <v>702</v>
    <v>2</v>
    <v>13</v>
    <v>Neukirchen-Vluyn</v>
    <v>5</v>
    <v>6</v>
    <v>Map</v>
    <v>7</v>
    <v>14</v>
    <v>3333</v>
    <v>Neukirchen-Vluyn is a town in the district of Wesel, in North Rhine-Westphalia, Germany. It is situated approximately 5 km west of Moers, and 15 km north of Krefeld.</v>
    <v>3334</v>
    <v>3335</v>
    <v>3336</v>
    <v>3337</v>
    <v>21</v>
    <v>3338</v>
    <v>3339</v>
    <v>Neukirchen-Vluyn</v>
    <v>Neukirchen-Vluyn</v>
    <v>mdp/vdpid/7011319837502734337</v>
    <v>1029</v>
    <v>1030</v>
  </rv>
  <rv s="0">
    <v>536870912</v>
    <v>Neumünster</v>
    <v>6a6483c6-d9ee-a35d-5066-1e408a3d530f</v>
    <v>de-DE</v>
    <v>Map</v>
  </rv>
  <rv s="0">
    <v>805306368</v>
    <v>Tobias Bergmann (Mayor)</v>
    <v>bf98bab8-198f-5ce1-56a0-d52883770919</v>
    <v>de-DE</v>
    <v>Generic</v>
  </rv>
  <rv s="1">
    <v>307</v>
  </rv>
  <rv s="2">
    <fb>79502</fb>
    <v>9</v>
  </rv>
  <rv s="3">
    <v>323</v>
    <v>7</v>
    <v>703</v>
    <v>7</v>
    <v>0</v>
    <v>Image of Neumünster</v>
  </rv>
  <rv s="2">
    <fb>54.071388888888997</fb>
    <v>10</v>
  </rv>
  <rv s="2">
    <fb>71.66</fb>
    <v>9</v>
  </rv>
  <rv s="2">
    <fb>9.99</fb>
    <v>10</v>
  </rv>
  <rv s="4">
    <v>https://www.bing.com/search?q=neumunster&amp;form=skydnc</v>
    <v>Learn more on Bing</v>
  </rv>
  <rv s="11">
    <v>#VALUE!</v>
    <v>de-DE</v>
    <v>6a6483c6-d9ee-a35d-5066-1e408a3d530f</v>
    <v>536870912</v>
    <v>1</v>
    <v>704</v>
    <v>17</v>
    <v>57</v>
    <v>Neumünster</v>
    <v>5</v>
    <v>6</v>
    <v>Map</v>
    <v>7</v>
    <v>14</v>
    <v>3343</v>
    <v>Neumünster is a city in the middle of Schleswig-Holstein, Germany. With more than 79,000 registered inhabitants, it is the fourth-largest municipality in Schleswig-Holstein. The Holstenhallen and the Stadthalle make the city an important trade ...</v>
    <v>3344</v>
    <v>3345</v>
    <v>3346</v>
    <v>3347</v>
    <v>21</v>
    <v>3348</v>
    <v>3349</v>
    <v>Neumünster</v>
    <v>Neumünster</v>
    <v>mdp/vdpid/7010909092264804353</v>
    <v>326</v>
  </rv>
  <rv s="0">
    <v>536870912</v>
    <v>Neunkirchen</v>
    <v>6d5a1a7d-ac39-75ad-2f39-dbb5e502dee6</v>
    <v>de-DE</v>
    <v>Map</v>
  </rv>
  <rv s="0">
    <v>805306368</v>
    <v>Jörg Aumann (Mayor)</v>
    <v>4701707c-7a6b-dc6c-8f27-97b92c6de8f4</v>
    <v>de-DE</v>
    <v>Generic</v>
  </rv>
  <rv s="1">
    <v>308</v>
  </rv>
  <rv s="2">
    <fb>46882</fb>
    <v>9</v>
  </rv>
  <rv s="3">
    <v>324</v>
    <v>7</v>
    <v>705</v>
    <v>7</v>
    <v>0</v>
    <v>Image of Neunkirchen, Saarland</v>
  </rv>
  <rv s="2">
    <fb>49.344799999999999</fb>
    <v>10</v>
  </rv>
  <rv s="2">
    <fb>75.260000000000005</fb>
    <v>9</v>
  </rv>
  <rv s="2">
    <fb>7.1798611111111104</fb>
    <v>10</v>
  </rv>
  <rv s="4">
    <v>https://www.bing.com/search?q=neunkirchen+saarland&amp;form=skydnc</v>
    <v>Learn more on Bing</v>
  </rv>
  <rv s="0">
    <v>536870912</v>
    <v>Neunkirchen</v>
    <v>85b3c90f-5daf-4fd3-a72e-e1e9b144b791</v>
    <v>de-DE</v>
    <v>Map</v>
  </rv>
  <rv s="6">
    <v>#VALUE!</v>
    <v>de-DE</v>
    <v>6d5a1a7d-ac39-75ad-2f39-dbb5e502dee6</v>
    <v>536870912</v>
    <v>1</v>
    <v>706</v>
    <v>2</v>
    <v>13</v>
    <v>Neunkirchen, Saarland</v>
    <v>5</v>
    <v>6</v>
    <v>Map</v>
    <v>7</v>
    <v>14</v>
    <v>3353</v>
    <v>Neunkirchen is a town and a municipality in Saarland, Germany. It is the largest town in, and the seat of the district of Neunkirchen. It is situated on the river Blies, approx. 20 km northeast of Saarbrücken. With about 50,000 inhabitants, ...</v>
    <v>3354</v>
    <v>3355</v>
    <v>3356</v>
    <v>3357</v>
    <v>21</v>
    <v>3358</v>
    <v>3359</v>
    <v>Neunkirchen, Saarland</v>
    <v>Neunkirchen, Saarland</v>
    <v>mdp/vdpid/7014590297812238337</v>
    <v>2264</v>
    <v>3360</v>
  </rv>
  <rv s="0">
    <v>536870912</v>
    <v>Neuruppin</v>
    <v>6b48026b-9e24-8a1c-8b9e-d7a98995e3f6</v>
    <v>de-DE</v>
    <v>Map</v>
  </rv>
  <rv s="0">
    <v>805306368</v>
    <v>Nico Ruhle (Mayor)</v>
    <v>10143358-2712-9561-28a2-5a944a25aa1a</v>
    <v>de-DE</v>
    <v>Generic</v>
  </rv>
  <rv s="1">
    <v>309</v>
  </rv>
  <rv s="2">
    <fb>31422</fb>
    <v>9</v>
  </rv>
  <rv s="3">
    <v>325</v>
    <v>7</v>
    <v>707</v>
    <v>7</v>
    <v>0</v>
    <v>Image of Neuruppin</v>
  </rv>
  <rv s="2">
    <fb>52.922222222221997</fb>
    <v>10</v>
  </rv>
  <rv s="2">
    <fb>305.24</fb>
    <v>9</v>
  </rv>
  <rv s="2">
    <fb>12.8</fb>
    <v>10</v>
  </rv>
  <rv s="4">
    <v>https://www.bing.com/search?q=neuruppin+germany&amp;form=skydnc</v>
    <v>Learn more on Bing</v>
  </rv>
  <rv s="0">
    <v>536870912</v>
    <v>Ostprignitz-Ruppin District</v>
    <v>c445b595-982c-6a96-b5ad-acba5a009afb</v>
    <v>de-DE</v>
    <v>Map</v>
  </rv>
  <rv s="6">
    <v>#VALUE!</v>
    <v>de-DE</v>
    <v>6b48026b-9e24-8a1c-8b9e-d7a98995e3f6</v>
    <v>536870912</v>
    <v>1</v>
    <v>708</v>
    <v>2</v>
    <v>13</v>
    <v>Neuruppin</v>
    <v>5</v>
    <v>6</v>
    <v>Map</v>
    <v>7</v>
    <v>14</v>
    <v>3364</v>
    <v>Neuruppin is a town in Brandenburg, Germany, the administrative seat of Ostprignitz-Ruppin district. It is the birthplace of the novelist Theodor Fontane and therefore also referred to as Fontanestadt. A garrison town since 1688 and largely ...</v>
    <v>3365</v>
    <v>3366</v>
    <v>3367</v>
    <v>3368</v>
    <v>21</v>
    <v>3369</v>
    <v>3370</v>
    <v>Neuruppin</v>
    <v>Neuruppin</v>
    <v>mdp/vdpid/7017900097421705217</v>
    <v>488</v>
    <v>3371</v>
  </rv>
  <rv s="0">
    <v>536870912</v>
    <v>Neuss</v>
    <v>e536253a-d162-200d-3e58-050dcb9397f4</v>
    <v>de-DE</v>
    <v>Map</v>
  </rv>
  <rv s="0">
    <v>805306368</v>
    <v>Reiner Breuer (Mayor)</v>
    <v>fa36c36a-de03-76e0-c9bc-9a7536d97996</v>
    <v>de-DE</v>
    <v>Generic</v>
  </rv>
  <rv s="1">
    <v>310</v>
  </rv>
  <rv s="2">
    <fb>154139</fb>
    <v>9</v>
  </rv>
  <rv s="3">
    <v>326</v>
    <v>7</v>
    <v>709</v>
    <v>7</v>
    <v>0</v>
    <v>Image of Neuss</v>
  </rv>
  <rv s="2">
    <fb>51.200277777777998</fb>
    <v>10</v>
  </rv>
  <rv s="2">
    <fb>99.52</fb>
    <v>9</v>
  </rv>
  <rv s="2">
    <fb>6.6938888888888997</fb>
    <v>10</v>
  </rv>
  <rv s="4">
    <v>https://www.bing.com/search?q=neuss&amp;form=skydnc</v>
    <v>Learn more on Bing</v>
  </rv>
  <rv s="11">
    <v>#VALUE!</v>
    <v>de-DE</v>
    <v>e536253a-d162-200d-3e58-050dcb9397f4</v>
    <v>536870912</v>
    <v>1</v>
    <v>710</v>
    <v>17</v>
    <v>57</v>
    <v>Neuss</v>
    <v>5</v>
    <v>6</v>
    <v>Map</v>
    <v>7</v>
    <v>14</v>
    <v>3375</v>
    <v>Neuss is a city in North Rhine-Westphalia, Germany. It is located on the west bank of the Rhine opposite Düsseldorf. Neuss is the largest city within the Rhein-Kreis Neuss district. It is primarily known for its historic Roman sites, as well as ...</v>
    <v>3376</v>
    <v>3377</v>
    <v>3378</v>
    <v>3379</v>
    <v>21</v>
    <v>3380</v>
    <v>3381</v>
    <v>Neuss</v>
    <v>Neuss</v>
    <v>mdp/vdpid/7011375666289442817</v>
    <v>1029</v>
  </rv>
  <rv s="0">
    <v>536870912</v>
    <v>Neustadt an der Weinstraße</v>
    <v>e7c04288-f7e4-8f23-8678-305cece4a152</v>
    <v>de-DE</v>
    <v>Map</v>
  </rv>
  <rv s="0">
    <v>805306368</v>
    <v>Marc Weigel (Mayor)</v>
    <v>6949c30e-50d6-782b-9163-ca3d84dc563d</v>
    <v>de-DE</v>
    <v>Generic</v>
  </rv>
  <rv s="1">
    <v>311</v>
  </rv>
  <rv s="2">
    <fb>53981</fb>
    <v>9</v>
  </rv>
  <rv s="3">
    <v>327</v>
    <v>7</v>
    <v>711</v>
    <v>7</v>
    <v>0</v>
    <v>Image of Neustadt an der Weinstraße</v>
  </rv>
  <rv s="2">
    <fb>49.353620999999997</fb>
    <v>10</v>
  </rv>
  <rv s="2">
    <fb>117.09</fb>
    <v>9</v>
  </rv>
  <rv s="2">
    <fb>8.1360700000000001</fb>
    <v>10</v>
  </rv>
  <rv s="4">
    <v>https://www.bing.com/search?q=neustadt+weinstrasse&amp;form=skydnc</v>
    <v>Learn more on Bing</v>
  </rv>
  <rv s="11">
    <v>#VALUE!</v>
    <v>de-DE</v>
    <v>e7c04288-f7e4-8f23-8678-305cece4a152</v>
    <v>536870912</v>
    <v>1</v>
    <v>712</v>
    <v>17</v>
    <v>57</v>
    <v>Neustadt an der Weinstraße</v>
    <v>5</v>
    <v>6</v>
    <v>Map</v>
    <v>7</v>
    <v>14</v>
    <v>3385</v>
    <v>Neustadt an der Weinstraße is a town in Rhineland-Palatinate, Germany. With 53,300 inhabitants as of 2020, it is the largest town called Neustadt.</v>
    <v>3386</v>
    <v>3387</v>
    <v>3388</v>
    <v>3389</v>
    <v>21</v>
    <v>3390</v>
    <v>3391</v>
    <v>Neustadt an der Weinstraße</v>
    <v>Neustadt an der Weinstraße</v>
    <v>mdp/vdpid/7014633970448990209</v>
    <v>60</v>
  </rv>
  <rv s="0">
    <v>536870912</v>
    <v>Neustrelitz</v>
    <v>9fe85dcc-5084-aec4-43c3-e4856b521df6</v>
    <v>de-DE</v>
    <v>Map</v>
  </rv>
  <rv s="0">
    <v>805306368</v>
    <v>Andreas Grund (Mayor)</v>
    <v>287b640c-9558-a235-824d-5f1b58dee92e</v>
    <v>de-DE</v>
    <v>Generic</v>
  </rv>
  <rv s="1">
    <v>312</v>
  </rv>
  <rv s="2">
    <fb>20340</fb>
    <v>9</v>
  </rv>
  <rv s="3">
    <v>328</v>
    <v>7</v>
    <v>713</v>
    <v>7</v>
    <v>0</v>
    <v>Image of Neustrelitz</v>
  </rv>
  <rv s="2">
    <fb>53.364722222221999</fb>
    <v>10</v>
  </rv>
  <rv s="2">
    <fb>139.86000000000001</fb>
    <v>9</v>
  </rv>
  <rv s="2">
    <fb>13.063611111110999</fb>
    <v>10</v>
  </rv>
  <rv s="4">
    <v>https://www.bing.com/search?q=neustrelitz+germany&amp;form=skydnc</v>
    <v>Learn more on Bing</v>
  </rv>
  <rv s="6">
    <v>#VALUE!</v>
    <v>de-DE</v>
    <v>9fe85dcc-5084-aec4-43c3-e4856b521df6</v>
    <v>536870912</v>
    <v>1</v>
    <v>714</v>
    <v>2</v>
    <v>13</v>
    <v>Neustrelitz</v>
    <v>5</v>
    <v>6</v>
    <v>Map</v>
    <v>7</v>
    <v>14</v>
    <v>3395</v>
    <v>Neustrelitz is a town in the Mecklenburgische Seenplatte district in the state of Mecklenburg-Vorpommern, Germany. It is situated on the shore of the Zierker See in the Mecklenburg Lake District. From 1738 until 1918 it was the capital of the ...</v>
    <v>3396</v>
    <v>3397</v>
    <v>3398</v>
    <v>3399</v>
    <v>21</v>
    <v>3400</v>
    <v>3401</v>
    <v>Neustrelitz</v>
    <v>Neustrelitz</v>
    <v>mdp/vdpid/7017883989364965377</v>
    <v>94</v>
    <v>3319</v>
  </rv>
  <rv s="0">
    <v>536870912</v>
    <v>Neu-Ulm</v>
    <v>416ae1bb-1463-8957-7a2d-f00ab17ac71e</v>
    <v>de-DE</v>
    <v>Map</v>
  </rv>
  <rv s="0">
    <v>805306368</v>
    <v>Katrin Albsteiger (Mayor)</v>
    <v>f2d98e96-13bd-6147-dd71-70c45e15429c</v>
    <v>de-DE</v>
    <v>Generic</v>
  </rv>
  <rv s="1">
    <v>313</v>
  </rv>
  <rv s="2">
    <fb>61043</fb>
    <v>9</v>
  </rv>
  <rv s="3">
    <v>329</v>
    <v>7</v>
    <v>715</v>
    <v>7</v>
    <v>0</v>
    <v>Image of Neu-Ulm</v>
  </rv>
  <rv s="2">
    <fb>48.383333333332999</fb>
    <v>10</v>
  </rv>
  <rv s="2">
    <fb>80.989999999999995</fb>
    <v>9</v>
  </rv>
  <rv s="2">
    <fb>10</fb>
    <v>10</v>
  </rv>
  <rv s="4">
    <v>https://www.bing.com/search?q=neu-ulm+germany&amp;form=skydnc</v>
    <v>Learn more on Bing</v>
  </rv>
  <rv s="0">
    <v>536870912</v>
    <v>Neu-Ulm</v>
    <v>b103b865-b03f-334a-b87e-161cb72bdc04</v>
    <v>de-DE</v>
    <v>Map</v>
  </rv>
  <rv s="10">
    <v>#VALUE!</v>
    <v>de-DE</v>
    <v>416ae1bb-1463-8957-7a2d-f00ab17ac71e</v>
    <v>536870912</v>
    <v>1</v>
    <v>716</v>
    <v>39</v>
    <v>40</v>
    <v>Neu-Ulm</v>
    <v>5</v>
    <v>6</v>
    <v>Map</v>
    <v>7</v>
    <v>14</v>
    <v>3405</v>
    <v>Neu-Ulm is the seat of the Neu-Ulm district and a town in Swabia, Bavaria. Neighbouring towns include Ulm, Senden, Pfaffenhofen an der Roth, Holzheim, Nersingen and Elchingen. The population is 58,978.</v>
    <v>3406</v>
    <v>3407</v>
    <v>3408</v>
    <v>3409</v>
    <v>21</v>
    <v>3410</v>
    <v>3411</v>
    <v>Neu-Ulm</v>
    <v>Neu-Ulm</v>
    <v>mdp/vdpid/7015415922613551105</v>
    <v>3412</v>
  </rv>
  <rv s="0">
    <v>536870912</v>
    <v>Neuwied</v>
    <v>9928063d-f880-4fcc-fa81-6febca1f721c</v>
    <v>de-DE</v>
    <v>Map</v>
  </rv>
  <rv s="0">
    <v>805306368</v>
    <v>Jan Einig (Mayor)</v>
    <v>00815643-12a2-10d3-fc38-15f79c433af9</v>
    <v>de-DE</v>
    <v>Generic</v>
  </rv>
  <rv s="1">
    <v>314</v>
  </rv>
  <rv s="2">
    <fb>65986</fb>
    <v>9</v>
  </rv>
  <rv s="3">
    <v>330</v>
    <v>7</v>
    <v>717</v>
    <v>7</v>
    <v>0</v>
    <v>Image of Neuwied</v>
  </rv>
  <rv s="2">
    <fb>50.428611111111003</fb>
    <v>10</v>
  </rv>
  <rv s="2">
    <fb>86.5</fb>
    <v>9</v>
  </rv>
  <rv s="2">
    <fb>7.4613888888888997</fb>
    <v>10</v>
  </rv>
  <rv s="4">
    <v>https://www.bing.com/search?q=neuwied+germany&amp;form=skydnc</v>
    <v>Learn more on Bing</v>
  </rv>
  <rv s="0">
    <v>536870912</v>
    <v>Neuwied</v>
    <v>7364cb07-0d44-4482-aac8-cce02c8d9a22</v>
    <v>de-DE</v>
    <v>Map</v>
  </rv>
  <rv s="6">
    <v>#VALUE!</v>
    <v>de-DE</v>
    <v>9928063d-f880-4fcc-fa81-6febca1f721c</v>
    <v>536870912</v>
    <v>1</v>
    <v>718</v>
    <v>2</v>
    <v>13</v>
    <v>Neuwied</v>
    <v>5</v>
    <v>6</v>
    <v>Map</v>
    <v>7</v>
    <v>14</v>
    <v>3416</v>
    <v>Neuwied is a town in the north of the German state of Rhineland-Palatinate, capital of the District of Neuwied. Neuwied lies on the east bank of the Rhine, 12 km northwest of Koblenz, on the railway from Frankfurt am Main to Cologne. The town ...</v>
    <v>3417</v>
    <v>3418</v>
    <v>3419</v>
    <v>3420</v>
    <v>21</v>
    <v>3421</v>
    <v>3422</v>
    <v>Neuwied</v>
    <v>Neuwied</v>
    <v>mdp/vdpid/7014507594626629633</v>
    <v>60</v>
    <v>3423</v>
  </rv>
  <rv s="0">
    <v>536870912</v>
    <v>Nienburg/Weser</v>
    <v>7165f1ce-9311-38a3-602b-9bfc247bfc41</v>
    <v>de-DE</v>
    <v>Map</v>
  </rv>
  <rv s="0">
    <v>805306368</v>
    <v>Jan Wendorf (Mayor)</v>
    <v>a6c22fd7-7a16-85e7-c399-bb58f0fb7b17</v>
    <v>de-DE</v>
    <v>Generic</v>
  </rv>
  <rv s="1">
    <v>315</v>
  </rv>
  <rv s="2">
    <fb>32126</fb>
    <v>9</v>
  </rv>
  <rv s="3">
    <v>331</v>
    <v>7</v>
    <v>719</v>
    <v>7</v>
    <v>0</v>
    <v>Image of Nienburg, Lower Saxony</v>
  </rv>
  <rv s="2">
    <fb>52.641111111111002</fb>
    <v>10</v>
  </rv>
  <rv s="2">
    <fb>64.53</fb>
    <v>9</v>
  </rv>
  <rv s="2">
    <fb>9.2069444444443995</fb>
    <v>10</v>
  </rv>
  <rv s="4">
    <v>https://www.bing.com/search?q=nienburg+germany&amp;form=skydnc</v>
    <v>Learn more on Bing</v>
  </rv>
  <rv s="11">
    <v>#VALUE!</v>
    <v>de-DE</v>
    <v>7165f1ce-9311-38a3-602b-9bfc247bfc41</v>
    <v>536870912</v>
    <v>1</v>
    <v>720</v>
    <v>17</v>
    <v>57</v>
    <v>Nienburg, Lower Saxony</v>
    <v>5</v>
    <v>6</v>
    <v>Map</v>
    <v>7</v>
    <v>14</v>
    <v>3427</v>
    <v>Nienburg is a town and capital of the district Nienburg, in Lower Saxony, Germany.</v>
    <v>3428</v>
    <v>3429</v>
    <v>3430</v>
    <v>3431</v>
    <v>21</v>
    <v>3432</v>
    <v>3433</v>
    <v>Nienburg, Lower Saxony</v>
    <v>Nienburg, Lower Saxony</v>
    <v>mdp/vdpid/7011648520729919490</v>
    <v>247</v>
  </rv>
  <rv s="0">
    <v>536870912</v>
    <v>Nordenham</v>
    <v>52c0a771-0881-eef2-06cc-5f42317e7d94</v>
    <v>de-DE</v>
    <v>Map</v>
  </rv>
  <rv s="0">
    <v>805306368</v>
    <v>Nils Siemen (Mayor)</v>
    <v>a8756834-142a-31ad-d8ab-4f2103470293</v>
    <v>de-DE</v>
    <v>Generic</v>
  </rv>
  <rv s="1">
    <v>316</v>
  </rv>
  <rv s="2">
    <fb>26308</fb>
    <v>9</v>
  </rv>
  <rv s="3">
    <v>332</v>
    <v>7</v>
    <v>721</v>
    <v>7</v>
    <v>0</v>
    <v>Image of Nordenham</v>
  </rv>
  <rv s="2">
    <fb>53.5</fb>
    <v>10</v>
  </rv>
  <rv s="2">
    <fb>87.77</fb>
    <v>9</v>
  </rv>
  <rv s="2">
    <fb>8.4666666666667005</fb>
    <v>10</v>
  </rv>
  <rv s="4">
    <v>https://www.bing.com/search?q=nordenham+germany&amp;form=skydnc</v>
    <v>Learn more on Bing</v>
  </rv>
  <rv s="0">
    <v>536870912</v>
    <v>Wesermarsch</v>
    <v>075a12e8-6ce4-4196-a57e-b383692411d7</v>
    <v>de-DE</v>
    <v>Map</v>
  </rv>
  <rv s="6">
    <v>#VALUE!</v>
    <v>de-DE</v>
    <v>52c0a771-0881-eef2-06cc-5f42317e7d94</v>
    <v>536870912</v>
    <v>1</v>
    <v>722</v>
    <v>2</v>
    <v>13</v>
    <v>Nordenham</v>
    <v>5</v>
    <v>6</v>
    <v>Map</v>
    <v>7</v>
    <v>14</v>
    <v>3437</v>
    <v>Nordenham is a town in the Wesermarsch district, in Lower Saxony, Germany. It is located at the mouth of the Weser river on the Butjadingen peninsula on the coast of the North Sea. The seaport city of Bremerhaven is located on the other side of ...</v>
    <v>3438</v>
    <v>3439</v>
    <v>3440</v>
    <v>3441</v>
    <v>21</v>
    <v>3442</v>
    <v>3443</v>
    <v>Nordenham</v>
    <v>Nordenham</v>
    <v>mdp/vdpid/7010790871494819841</v>
    <v>247</v>
    <v>3444</v>
  </rv>
  <rv s="0">
    <v>536870912</v>
    <v>Norderney</v>
    <v>02b8438e-7cec-4f58-976b-3bd211cbcb59</v>
    <v>de-DE</v>
    <v>Map</v>
  </rv>
  <rv s="0">
    <v>805306368</v>
    <v>Frank Ulrichs (Mayor)</v>
    <v>abe08607-0d9e-3049-628a-73b89489b03d</v>
    <v>de-DE</v>
    <v>Generic</v>
  </rv>
  <rv s="1">
    <v>317</v>
  </rv>
  <rv s="2">
    <fb>5992</fb>
    <v>9</v>
  </rv>
  <rv s="3">
    <v>333</v>
    <v>7</v>
    <v>723</v>
    <v>7</v>
    <v>0</v>
    <v>Image of Norderney</v>
  </rv>
  <rv s="2">
    <fb>53.707222222222001</fb>
    <v>10</v>
  </rv>
  <rv s="2">
    <fb>26.31</fb>
    <v>9</v>
  </rv>
  <rv s="2">
    <fb>7.1469444444443999</fb>
    <v>10</v>
  </rv>
  <rv s="4">
    <v>https://www.bing.com/search?q=norderney&amp;form=skydnc</v>
    <v>Learn more on Bing</v>
  </rv>
  <rv s="0">
    <v>536870912</v>
    <v>Aurich</v>
    <v>072a389b-f0c1-42f6-8c6a-192faffde2f9</v>
    <v>de-DE</v>
    <v>Map</v>
  </rv>
  <rv s="6">
    <v>#VALUE!</v>
    <v>de-DE</v>
    <v>02b8438e-7cec-4f58-976b-3bd211cbcb59</v>
    <v>536870912</v>
    <v>1</v>
    <v>724</v>
    <v>2</v>
    <v>13</v>
    <v>Norderney</v>
    <v>5</v>
    <v>6</v>
    <v>Map</v>
    <v>7</v>
    <v>14</v>
    <v>3448</v>
    <v>Norderney is one of the seven populated East Frisian Islands off the North Sea coast of Germany. The island is 14 by 2.5 kilometres, having a total area of about 26.3 square kilometres and is therefore Germany's ninth-largest island. Norderney's ...</v>
    <v>3449</v>
    <v>3450</v>
    <v>3451</v>
    <v>3452</v>
    <v>21</v>
    <v>3453</v>
    <v>3454</v>
    <v>Norderney</v>
    <v>Norderney</v>
    <v>mdp/vdpid/7010363939095576577</v>
    <v>247</v>
    <v>3455</v>
  </rv>
  <rv s="0">
    <v>536870912</v>
    <v>Nordhorn</v>
    <v>6fa9e705-26e4-7505-a796-37890fd1f2ab</v>
    <v>de-DE</v>
    <v>Map</v>
  </rv>
  <rv s="0">
    <v>805306368</v>
    <v>Thomas Berling (Mayor)</v>
    <v>17fd6bb7-6749-5b4c-b6ba-2accaad347c9</v>
    <v>de-DE</v>
    <v>Generic</v>
  </rv>
  <rv s="1">
    <v>318</v>
  </rv>
  <rv s="2">
    <fb>55242</fb>
    <v>9</v>
  </rv>
  <rv s="3">
    <v>334</v>
    <v>7</v>
    <v>725</v>
    <v>7</v>
    <v>0</v>
    <v>Image of Nordhorn</v>
  </rv>
  <rv s="2">
    <fb>52.433333333333003</fb>
    <v>10</v>
  </rv>
  <rv s="2">
    <fb>149.87</fb>
    <v>9</v>
  </rv>
  <rv s="2">
    <fb>7.0666666666667002</fb>
    <v>10</v>
  </rv>
  <rv s="4">
    <v>https://www.bing.com/search?q=nordhorn+germany&amp;form=skydnc</v>
    <v>Learn more on Bing</v>
  </rv>
  <rv s="7">
    <v>#VALUE!</v>
    <v>de-DE</v>
    <v>6fa9e705-26e4-7505-a796-37890fd1f2ab</v>
    <v>536870912</v>
    <v>1</v>
    <v>726</v>
    <v>17</v>
    <v>18</v>
    <v>Nordhorn</v>
    <v>5</v>
    <v>6</v>
    <v>Map</v>
    <v>7</v>
    <v>14</v>
    <v>3459</v>
    <v>Nordhorn is a town in Lower Saxony, Germany. It is the district seat of Grafschaft Bentheim in Lower Saxony's southwesternmost corner near the border with the Netherlands and the boundary with North Rhine-Westphalia.</v>
    <v>3460</v>
    <v>3461</v>
    <v>3462</v>
    <v>3463</v>
    <v>21</v>
    <v>3464</v>
    <v>3465</v>
    <v>Nordhorn</v>
    <v>Nordhorn</v>
    <v>mdp/vdpid/7011195377655218178</v>
    <v>247</v>
    <v>708</v>
  </rv>
  <rv s="0">
    <v>536870912</v>
    <v>Nördlingen</v>
    <v>ea9790c9-c630-1799-cded-392df3025af1</v>
    <v>de-DE</v>
    <v>Map</v>
  </rv>
  <rv s="0">
    <v>805306368</v>
    <v>David Wittner (Mayor)</v>
    <v>96f706fa-549e-1df0-645b-25e304fb9727</v>
    <v>de-DE</v>
    <v>Generic</v>
  </rv>
  <rv s="1">
    <v>319</v>
  </rv>
  <rv s="2">
    <fb>21009</fb>
    <v>9</v>
  </rv>
  <rv s="3">
    <v>335</v>
    <v>7</v>
    <v>727</v>
    <v>7</v>
    <v>0</v>
    <v>Image of Nördlingen</v>
  </rv>
  <rv s="2">
    <fb>48.85</fb>
    <v>10</v>
  </rv>
  <rv s="2">
    <fb>68.09</fb>
    <v>9</v>
  </rv>
  <rv s="2">
    <fb>10.5</fb>
    <v>10</v>
  </rv>
  <rv s="4">
    <v>https://www.bing.com/search?q=n%c3%b6rdlingen&amp;form=skydnc</v>
    <v>Learn more on Bing</v>
  </rv>
  <rv s="0">
    <v>536870912</v>
    <v>Donau-Ries</v>
    <v>6a462434-8d47-dc32-babc-b13ac5d21b9a</v>
    <v>de-DE</v>
    <v>Map</v>
  </rv>
  <rv s="10">
    <v>#VALUE!</v>
    <v>de-DE</v>
    <v>ea9790c9-c630-1799-cded-392df3025af1</v>
    <v>536870912</v>
    <v>1</v>
    <v>728</v>
    <v>39</v>
    <v>40</v>
    <v>Nördlingen</v>
    <v>5</v>
    <v>6</v>
    <v>Map</v>
    <v>7</v>
    <v>14</v>
    <v>3469</v>
    <v>Nördlingen is a town in the Donau-Ries district, in Swabia, Bavaria, Germany, with a population of approximately 20,674. It is located approximately 115 km east of Stuttgart, and 145 km northwest of Munich. It was built in an impact crater 15 ...</v>
    <v>3470</v>
    <v>3471</v>
    <v>3472</v>
    <v>3473</v>
    <v>21</v>
    <v>3474</v>
    <v>3475</v>
    <v>Nördlingen</v>
    <v>Nördlingen</v>
    <v>mdp/vdpid/7015359138968371201</v>
    <v>3476</v>
  </rv>
  <rv s="0">
    <v>536870912</v>
    <v>Nürnberg</v>
    <v>13e48dcf-1a01-465e-14ad-dd8862edec1d</v>
    <v>de-DE</v>
    <v>Map</v>
  </rv>
  <rv s="0">
    <v>805306368</v>
    <v>Marcus König (Mayor)</v>
    <v>e64e6eef-6b5a-247c-c964-7a3eea63d2f9</v>
    <v>de-DE</v>
    <v>Generic</v>
  </rv>
  <rv s="1">
    <v>320</v>
  </rv>
  <rv s="2">
    <fb>523026</fb>
    <v>9</v>
  </rv>
  <rv s="3">
    <v>336</v>
    <v>7</v>
    <v>729</v>
    <v>7</v>
    <v>0</v>
    <v>Image of Nuremberg</v>
  </rv>
  <rv s="2">
    <fb>49.453888888888898</fb>
    <v>10</v>
  </rv>
  <rv s="2">
    <fb>186.45</fb>
    <v>9</v>
  </rv>
  <rv s="2">
    <fb>11.077500000000001</fb>
    <v>10</v>
  </rv>
  <rv s="4">
    <v>https://www.bing.com/search?q=nuremberg&amp;form=skydnc</v>
    <v>Learn more on Bing</v>
  </rv>
  <rv s="22">
    <v>#VALUE!</v>
    <v>de-DE</v>
    <v>13e48dcf-1a01-465e-14ad-dd8862edec1d</v>
    <v>536870912</v>
    <v>1</v>
    <v>730</v>
    <v>27</v>
    <v>731</v>
    <v>Nuremberg</v>
    <v>5</v>
    <v>6</v>
    <v>Map</v>
    <v>7</v>
    <v>14</v>
    <v>3480</v>
    <v>Nuremberg is the largest city in Franconia, the second-largest city in the German state of Bavaria, and its 545,000 inhabitants make it the 14th-largest city in Germany. Nuremberg sits on the Pegnitz, which carries the name Regnitz from its ...</v>
    <v>3481</v>
    <v>3482</v>
    <v>3483</v>
    <v>3484</v>
    <v>21</v>
    <v>3485</v>
    <v>3486</v>
    <v>Nuremberg</v>
    <v>Nuremberg</v>
    <v>mdp/vdpid/7015194654840717313</v>
    <v>708</v>
  </rv>
  <rv s="0">
    <v>536870912</v>
    <v>Nürtingen</v>
    <v>f40e700c-cfbe-09a1-ea4a-ff1510d90c19</v>
    <v>de-DE</v>
    <v>Map</v>
  </rv>
  <rv s="0">
    <v>805306368</v>
    <v>Johannes Fridrich (Mayor)</v>
    <v>6510b357-4f04-d299-a471-0d71ab09e494</v>
    <v>de-DE</v>
    <v>Generic</v>
  </rv>
  <rv s="1">
    <v>321</v>
  </rv>
  <rv s="2">
    <fb>41403</fb>
    <v>9</v>
  </rv>
  <rv s="3">
    <v>337</v>
    <v>7</v>
    <v>732</v>
    <v>7</v>
    <v>0</v>
    <v>Image of Nürtingen</v>
  </rv>
  <rv s="2">
    <fb>48.626666666666999</fb>
    <v>10</v>
  </rv>
  <rv s="2">
    <fb>46.9</fb>
    <v>9</v>
  </rv>
  <rv s="2">
    <fb>9.3352777777778009</fb>
    <v>10</v>
  </rv>
  <rv s="4">
    <v>https://www.bing.com/search?q=n%c3%bcrtingen+germany&amp;form=skydnc</v>
    <v>Learn more on Bing</v>
  </rv>
  <rv s="11">
    <v>#VALUE!</v>
    <v>de-DE</v>
    <v>f40e700c-cfbe-09a1-ea4a-ff1510d90c19</v>
    <v>536870912</v>
    <v>1</v>
    <v>733</v>
    <v>17</v>
    <v>57</v>
    <v>Nürtingen</v>
    <v>5</v>
    <v>6</v>
    <v>Map</v>
    <v>7</v>
    <v>14</v>
    <v>3490</v>
    <v>Nürtingen is a town on the river Neckar in the district of Esslingen in the state of Baden-Württemberg in southern Germany.</v>
    <v>3491</v>
    <v>3492</v>
    <v>3493</v>
    <v>3494</v>
    <v>21</v>
    <v>3495</v>
    <v>3496</v>
    <v>Nürtingen</v>
    <v>Nürtingen</v>
    <v>mdp/vdpid/7015260589198934017</v>
    <v>1354</v>
  </rv>
  <rv s="0">
    <v>536870912</v>
    <v>Oberaudorf</v>
    <v>9d442fc2-785e-cb62-8092-4632614ef6e5</v>
    <v>de-DE</v>
    <v>Map</v>
  </rv>
  <rv s="0">
    <v>805306368</v>
    <v>Matthias Bernhard (Mayor)</v>
    <v>b708bfb4-10cd-a95a-3841-e57c1e811d93</v>
    <v>de-DE</v>
    <v>Generic</v>
  </rv>
  <rv s="1">
    <v>322</v>
  </rv>
  <rv s="2">
    <fb>5324</fb>
    <v>9</v>
  </rv>
  <rv s="3">
    <v>338</v>
    <v>7</v>
    <v>734</v>
    <v>7</v>
    <v>0</v>
    <v>Image of Oberaudorf</v>
  </rv>
  <rv s="2">
    <fb>47.647500000000001</fb>
    <v>10</v>
  </rv>
  <rv s="2">
    <fb>59.29</fb>
    <v>9</v>
  </rv>
  <rv s="2">
    <fb>12.171944444444</fb>
    <v>10</v>
  </rv>
  <rv s="4">
    <v>https://www.bing.com/search?q=oberaudorf+germany&amp;form=skydnc</v>
    <v>Learn more on Bing</v>
  </rv>
  <rv s="0">
    <v>536870912</v>
    <v>Rosenheim</v>
    <v>4c81ef35-2b27-4985-6ff2-c601f4aa1555</v>
    <v>de-DE</v>
    <v>Map</v>
  </rv>
  <rv s="10">
    <v>#VALUE!</v>
    <v>de-DE</v>
    <v>9d442fc2-785e-cb62-8092-4632614ef6e5</v>
    <v>536870912</v>
    <v>1</v>
    <v>735</v>
    <v>39</v>
    <v>40</v>
    <v>Oberaudorf</v>
    <v>5</v>
    <v>6</v>
    <v>Map</v>
    <v>7</v>
    <v>14</v>
    <v>3500</v>
    <v>Oberaudorf is a municipality in the district of Rosenheim in Bavaria, Germany. It lies on the river Inn. Oberaudorf is the birthplace of the mother of German Pope Benedict XVI, of German politician Edmund Stoiber and footballer Bastian ...</v>
    <v>3501</v>
    <v>3502</v>
    <v>3503</v>
    <v>3504</v>
    <v>21</v>
    <v>3505</v>
    <v>3506</v>
    <v>Oberaudorf</v>
    <v>Oberaudorf</v>
    <v>mdp/vdpid/7022276702214553601</v>
    <v>3507</v>
  </rv>
  <rv s="0">
    <v>536870912</v>
    <v>Oberhausen</v>
    <v>a977948f-e764-c478-589b-d42a85cdff84</v>
    <v>de-DE</v>
    <v>Map</v>
  </rv>
  <rv s="0">
    <v>805306368</v>
    <v>Daniel Schranz (Mayor)</v>
    <v>de86f7c8-64cf-950a-d547-0d1859b6d1ee</v>
    <v>de-DE</v>
    <v>Generic</v>
  </rv>
  <rv s="1">
    <v>323</v>
  </rv>
  <rv s="2">
    <fb>210824</fb>
    <v>9</v>
  </rv>
  <rv s="3">
    <v>339</v>
    <v>7</v>
    <v>736</v>
    <v>7</v>
    <v>0</v>
    <v>Image of Oberhausen</v>
  </rv>
  <rv s="2">
    <fb>51.469900000000003</fb>
    <v>10</v>
  </rv>
  <rv s="2">
    <fb>77.09</fb>
    <v>9</v>
  </rv>
  <rv s="2">
    <fb>6.8513999999999999</fb>
    <v>10</v>
  </rv>
  <rv s="4">
    <v>https://www.bing.com/search?q=oberhausen&amp;form=skydnc</v>
    <v>Learn more on Bing</v>
  </rv>
  <rv s="6">
    <v>#VALUE!</v>
    <v>de-DE</v>
    <v>a977948f-e764-c478-589b-d42a85cdff84</v>
    <v>536870912</v>
    <v>1</v>
    <v>737</v>
    <v>2</v>
    <v>13</v>
    <v>Oberhausen</v>
    <v>5</v>
    <v>6</v>
    <v>Map</v>
    <v>7</v>
    <v>14</v>
    <v>3511</v>
    <v>Oberhausen is a city on the river Emscher in the Ruhr Area, Germany, located between Duisburg and Essen. The city hosts the International Short Film Festival Oberhausen and its Gasometer Oberhausen is an anchor point of the European Route of ...</v>
    <v>3512</v>
    <v>3513</v>
    <v>3514</v>
    <v>3515</v>
    <v>21</v>
    <v>3516</v>
    <v>3517</v>
    <v>Oberhausen</v>
    <v>Oberhausen</v>
    <v>mdp/vdpid/7011323653564399617</v>
    <v>412</v>
    <v>1029</v>
  </rv>
  <rv s="0">
    <v>536870912</v>
    <v>Oberstdorf</v>
    <v>31f448ef-80da-3def-9472-20e492dc787a</v>
    <v>de-DE</v>
    <v>Map</v>
  </rv>
  <rv s="0">
    <v>805306368</v>
    <v>Klaus King (Mayor)</v>
    <v>f51c3c23-16c3-f8d9-d590-086274512b8f</v>
    <v>de-DE</v>
    <v>Generic</v>
  </rv>
  <rv s="1">
    <v>324</v>
  </rv>
  <rv s="2">
    <fb>9753</fb>
    <v>9</v>
  </rv>
  <rv s="3">
    <v>340</v>
    <v>7</v>
    <v>738</v>
    <v>7</v>
    <v>0</v>
    <v>Image of Oberstdorf</v>
  </rv>
  <rv s="2">
    <fb>47.409722222222001</fb>
    <v>10</v>
  </rv>
  <rv s="2">
    <fb>229.91</fb>
    <v>9</v>
  </rv>
  <rv s="2">
    <fb>10.279166666667001</fb>
    <v>10</v>
  </rv>
  <rv s="4">
    <v>https://www.bing.com/search?q=oberstdorf&amp;form=skydnc</v>
    <v>Learn more on Bing</v>
  </rv>
  <rv s="0">
    <v>536870912</v>
    <v>Oberallgäu</v>
    <v>81de44ff-3152-b3b5-0e21-02a1f5ca59ec</v>
    <v>de-DE</v>
    <v>Map</v>
  </rv>
  <rv s="10">
    <v>#VALUE!</v>
    <v>de-DE</v>
    <v>31f448ef-80da-3def-9472-20e492dc787a</v>
    <v>536870912</v>
    <v>1</v>
    <v>739</v>
    <v>39</v>
    <v>40</v>
    <v>Oberstdorf</v>
    <v>5</v>
    <v>6</v>
    <v>Map</v>
    <v>7</v>
    <v>14</v>
    <v>3521</v>
    <v>Oberstdorf is a municipality and skiing and hiking town in Germany, located in the Allgäu region of the Bavarian Alps. It is the southernmost settlement in Germany and one of its highest towns. At the center of Oberstdorf is a church whose tall ...</v>
    <v>3522</v>
    <v>3523</v>
    <v>3524</v>
    <v>3525</v>
    <v>21</v>
    <v>3526</v>
    <v>3527</v>
    <v>Oberstdorf</v>
    <v>Oberstdorf</v>
    <v>mdp/vdpid/7016212663743021057</v>
    <v>3528</v>
  </rv>
  <rv s="0">
    <v>536870912</v>
    <v>Oberursel</v>
    <v>6ca3f48c-9d13-a185-1397-e35fd32238ce</v>
    <v>de-DE</v>
    <v>Map</v>
  </rv>
  <rv s="0">
    <v>805306368</v>
    <v>Antje Runge (Mayor)</v>
    <v>c0b87243-c762-3b28-83c2-239615fa18ec</v>
    <v>de-DE</v>
    <v>Generic</v>
  </rv>
  <rv s="1">
    <v>325</v>
  </rv>
  <rv s="2">
    <fb>47042</fb>
    <v>9</v>
  </rv>
  <rv s="3">
    <v>341</v>
    <v>7</v>
    <v>740</v>
    <v>7</v>
    <v>0</v>
    <v>Image of Oberursel</v>
  </rv>
  <rv s="2">
    <fb>50.202777777778003</fb>
    <v>10</v>
  </rv>
  <rv s="2">
    <fb>45.34</fb>
    <v>9</v>
  </rv>
  <rv s="2">
    <fb>8.5769444444444005</fb>
    <v>10</v>
  </rv>
  <rv s="4">
    <v>https://www.bing.com/search?q=oberursel+(taunus)+germany&amp;form=skydnc</v>
    <v>Learn more on Bing</v>
  </rv>
  <rv s="6">
    <v>#VALUE!</v>
    <v>de-DE</v>
    <v>6ca3f48c-9d13-a185-1397-e35fd32238ce</v>
    <v>536870912</v>
    <v>1</v>
    <v>741</v>
    <v>2</v>
    <v>13</v>
    <v>Oberursel</v>
    <v>5</v>
    <v>6</v>
    <v>Map</v>
    <v>7</v>
    <v>14</v>
    <v>3532</v>
    <v>Oberursel is a town in Germany and part of the Frankfurt Rhein-Main urban area. It is located to the north west of Frankfurt, in the Hochtaunuskreis county. It is the 13th largest town in Hesse. In 2011, the town hosted the 51st Hessentag state ...</v>
    <v>3533</v>
    <v>3534</v>
    <v>3535</v>
    <v>3536</v>
    <v>21</v>
    <v>3537</v>
    <v>3538</v>
    <v>Oberursel</v>
    <v>Oberursel</v>
    <v>mdp/vdpid/7014939556969447425</v>
    <v>303</v>
    <v>2581</v>
  </rv>
  <rv s="0">
    <v>536870912</v>
    <v>Oberviechtach</v>
    <v>acd824e7-f788-0d3d-509a-37afb2032533</v>
    <v>de-DE</v>
    <v>Map</v>
  </rv>
  <rv s="0">
    <v>805306368</v>
    <v>Rudolf Teplitzky (Mayor)</v>
    <v>d6523674-0caa-57c8-5abe-3705e8a50f9a</v>
    <v>de-DE</v>
    <v>Generic</v>
  </rv>
  <rv s="1">
    <v>326</v>
  </rv>
  <rv s="2">
    <fb>4994</fb>
    <v>9</v>
  </rv>
  <rv s="3">
    <v>342</v>
    <v>7</v>
    <v>742</v>
    <v>7</v>
    <v>0</v>
    <v>Image of Oberviechtach</v>
  </rv>
  <rv s="2">
    <fb>49.466666666667003</fb>
    <v>10</v>
  </rv>
  <rv s="2">
    <fb>62.42</fb>
    <v>9</v>
  </rv>
  <rv s="2">
    <fb>12.416666666667</fb>
    <v>10</v>
  </rv>
  <rv s="4">
    <v>https://www.bing.com/search?q=oberviechtach+germany&amp;form=skydnc</v>
    <v>Learn more on Bing</v>
  </rv>
  <rv s="0">
    <v>536870912</v>
    <v>Schwandorf</v>
    <v>350612c0-6ec5-4f84-a8a5-78fac5a8a424</v>
    <v>de-DE</v>
    <v>Map</v>
  </rv>
  <rv s="10">
    <v>#VALUE!</v>
    <v>de-DE</v>
    <v>acd824e7-f788-0d3d-509a-37afb2032533</v>
    <v>536870912</v>
    <v>1</v>
    <v>743</v>
    <v>39</v>
    <v>40</v>
    <v>Oberviechtach</v>
    <v>5</v>
    <v>6</v>
    <v>Map</v>
    <v>7</v>
    <v>14</v>
    <v>3542</v>
    <v>Oberviechtach is a town in the district of Schwandorf, in Bavaria, Germany. It is situated 31 km southeast of Weiden in der Oberpfalz, and 27 km northeast of Schwandorf. It is famous for being the birthplace of Johann Andreas Eisenbarth. The ...</v>
    <v>3543</v>
    <v>3544</v>
    <v>3545</v>
    <v>3546</v>
    <v>21</v>
    <v>3547</v>
    <v>3548</v>
    <v>Oberviechtach</v>
    <v>Oberviechtach</v>
    <v>mdp/vdpid/7021245462178955265</v>
    <v>3549</v>
  </rv>
  <rv s="0">
    <v>536870912</v>
    <v>Oberwiesenthal</v>
    <v>4c1003ff-04c3-58a3-5d6c-b0a6510880a9</v>
    <v>de-DE</v>
    <v>Map</v>
  </rv>
  <rv s="0">
    <v>805306368</v>
    <v>Jens Benedict (Mayor)</v>
    <v>d6867cdd-aef8-a429-c642-70c02b894c53</v>
    <v>de-DE</v>
    <v>Generic</v>
  </rv>
  <rv s="1">
    <v>327</v>
  </rv>
  <rv s="2">
    <fb>2045</fb>
    <v>9</v>
  </rv>
  <rv s="3">
    <v>343</v>
    <v>7</v>
    <v>744</v>
    <v>7</v>
    <v>0</v>
    <v>Image of Oberwiesenthal</v>
  </rv>
  <rv s="2">
    <fb>50.419166666667003</fb>
    <v>10</v>
  </rv>
  <rv s="2">
    <fb>12.970833333332999</fb>
    <v>10</v>
  </rv>
  <rv s="4">
    <v>https://www.bing.com/search?q=oberwiesenthal+germany&amp;form=skydnc</v>
    <v>Learn more on Bing</v>
  </rv>
  <rv s="6">
    <v>#VALUE!</v>
    <v>de-DE</v>
    <v>4c1003ff-04c3-58a3-5d6c-b0a6510880a9</v>
    <v>536870912</v>
    <v>1</v>
    <v>745</v>
    <v>2</v>
    <v>13</v>
    <v>Oberwiesenthal</v>
    <v>5</v>
    <v>6</v>
    <v>Map</v>
    <v>7</v>
    <v>14</v>
    <v>3553</v>
    <v>Oberwiesenthal is a town and a ski resort in the district of Erzgebirgskreis in Saxony in Germany. It is situated in the Ore Mountains, on the border with the Czech Republic, 19 km south of Annaberg-Buchholz, and 23 km northeast of Karlovy Vary. ...</v>
    <v>3554</v>
    <v>3555</v>
    <v>3556</v>
    <v>2466</v>
    <v>21</v>
    <v>3557</v>
    <v>3558</v>
    <v>Oberwiesenthal</v>
    <v>Oberwiesenthal</v>
    <v>mdp/vdpid/7021259935883198465</v>
    <v>106</v>
    <v>107</v>
  </rv>
  <rv s="0">
    <v>536870912</v>
    <v>Oer-Erkenschwick</v>
    <v>208a3552-28b1-1360-b84a-f4f8ddf87665</v>
    <v>de-DE</v>
    <v>Map</v>
  </rv>
  <rv s="0">
    <v>805306368</v>
    <v>Carsten Wewers (Mayor)</v>
    <v>70aaef96-d6e4-b27c-b689-bffd11399566</v>
    <v>de-DE</v>
    <v>Generic</v>
  </rv>
  <rv s="1">
    <v>328</v>
  </rv>
  <rv s="2">
    <fb>31838</fb>
    <v>9</v>
  </rv>
  <rv s="3">
    <v>344</v>
    <v>7</v>
    <v>746</v>
    <v>7</v>
    <v>0</v>
    <v>Image of Oer-Erkenschwick</v>
  </rv>
  <rv s="2">
    <fb>51.642222222222003</fb>
    <v>10</v>
  </rv>
  <rv s="2">
    <fb>38.659999999999997</fb>
    <v>9</v>
  </rv>
  <rv s="2">
    <fb>7.2508333333332997</fb>
    <v>10</v>
  </rv>
  <rv s="4">
    <v>https://www.bing.com/search?q=oer-erkenschwick+germany&amp;form=skydnc</v>
    <v>Learn more on Bing</v>
  </rv>
  <rv s="6">
    <v>#VALUE!</v>
    <v>de-DE</v>
    <v>208a3552-28b1-1360-b84a-f4f8ddf87665</v>
    <v>536870912</v>
    <v>1</v>
    <v>747</v>
    <v>2</v>
    <v>13</v>
    <v>Oer-Erkenschwick</v>
    <v>5</v>
    <v>6</v>
    <v>Map</v>
    <v>7</v>
    <v>14</v>
    <v>3562</v>
    <v>Oer-Erkenschwick is a town in the district of Recklinghausen, in North Rhine-Westphalia, Germany. It is situated approximately 5 km north-east of Recklinghausen, on the northern periphery of the Ruhrgebiet. When pronouncing the name, “Oer” ...</v>
    <v>3563</v>
    <v>3564</v>
    <v>3565</v>
    <v>3566</v>
    <v>21</v>
    <v>3567</v>
    <v>3568</v>
    <v>Oer-Erkenschwick</v>
    <v>Oer-Erkenschwick</v>
    <v>mdp/vdpid/7011420850989563905</v>
    <v>24</v>
    <v>814</v>
  </rv>
  <rv s="0">
    <v>536870912</v>
    <v>Offenbach am Main</v>
    <v>fa6ded47-c10e-e22a-a7c0-abace67499e4</v>
    <v>de-DE</v>
    <v>Map</v>
  </rv>
  <rv s="0">
    <v>805306368</v>
    <v>Felix Schwenke (Mayor)</v>
    <v>058fbb39-b36d-83b1-2e69-1821bbd67070</v>
    <v>de-DE</v>
    <v>Generic</v>
  </rv>
  <rv s="1">
    <v>329</v>
  </rv>
  <rv s="2">
    <fb>134170</fb>
    <v>9</v>
  </rv>
  <rv s="3">
    <v>345</v>
    <v>7</v>
    <v>748</v>
    <v>7</v>
    <v>0</v>
    <v>Image of Offenbach am Main</v>
  </rv>
  <rv s="2">
    <fb>44.88</fb>
    <v>9</v>
  </rv>
  <rv s="4">
    <v>https://www.bing.com/search?q=offenbach+germany&amp;form=skydnc</v>
    <v>Learn more on Bing</v>
  </rv>
  <rv s="6">
    <v>#VALUE!</v>
    <v>de-DE</v>
    <v>fa6ded47-c10e-e22a-a7c0-abace67499e4</v>
    <v>536870912</v>
    <v>1</v>
    <v>749</v>
    <v>2</v>
    <v>13</v>
    <v>Offenbach am Main</v>
    <v>5</v>
    <v>6</v>
    <v>Map</v>
    <v>7</v>
    <v>14</v>
    <v>3572</v>
    <v>Offenbach am Main is a city in Hesse, Germany, on the left bank of the river Main. It borders Frankfurt and is part of the Frankfurt urban area and the larger Frankfurt Rhein-Main urban area. It has a population of 138,335.</v>
    <v>3573</v>
    <v>3574</v>
    <v>2656</v>
    <v>3575</v>
    <v>21</v>
    <v>3073</v>
    <v>3576</v>
    <v>Offenbach am Main</v>
    <v>Offenbach am Main</v>
    <v>mdp/vdpid/7014941217393737729</v>
    <v>946</v>
    <v>303</v>
  </rv>
  <rv s="0">
    <v>536870912</v>
    <v>Öhringen</v>
    <v>b5529d39-b56e-d515-ed40-bb34655bb1b7</v>
    <v>de-DE</v>
    <v>Map</v>
  </rv>
  <rv s="0">
    <v>805306368</v>
    <v>Thilo Michler (Mayor)</v>
    <v>ccc8b815-d751-c84c-770f-6f030cf1c7d5</v>
    <v>de-DE</v>
    <v>Generic</v>
  </rv>
  <rv s="1">
    <v>330</v>
  </rv>
  <rv s="2">
    <fb>25388</fb>
    <v>9</v>
  </rv>
  <rv s="3">
    <v>346</v>
    <v>7</v>
    <v>750</v>
    <v>7</v>
    <v>0</v>
    <v>Image of Öhringen</v>
  </rv>
  <rv s="2">
    <fb>49.2</fb>
    <v>10</v>
  </rv>
  <rv s="2">
    <fb>67.78</fb>
    <v>9</v>
  </rv>
  <rv s="2">
    <fb>9.5</fb>
    <v>10</v>
  </rv>
  <rv s="4">
    <v>https://www.bing.com/search?q=%c3%b6hringen&amp;form=skydnc</v>
    <v>Learn more on Bing</v>
  </rv>
  <rv s="11">
    <v>#VALUE!</v>
    <v>de-DE</v>
    <v>b5529d39-b56e-d515-ed40-bb34655bb1b7</v>
    <v>536870912</v>
    <v>1</v>
    <v>751</v>
    <v>17</v>
    <v>57</v>
    <v>Öhringen</v>
    <v>5</v>
    <v>6</v>
    <v>Map</v>
    <v>7</v>
    <v>14</v>
    <v>3580</v>
    <v>Öhringen is the largest town in Hohenlohe in the state of Baden-Württemberg, in southwest Germany, near Heilbronn. Öhringen is on the railline to Schwäbisch Hall and Crailsheim. With a population of 24,374, the town is diverse. It is a quaint ...</v>
    <v>3581</v>
    <v>3582</v>
    <v>3583</v>
    <v>3584</v>
    <v>21</v>
    <v>3585</v>
    <v>3586</v>
    <v>Öhringen</v>
    <v>Öhringen</v>
    <v>mdp/vdpid/7015245704939438081</v>
    <v>2671</v>
  </rv>
  <rv s="0">
    <v>536870912</v>
    <v>Oldenburg</v>
    <v>0abee226-01e5-0eb6-7624-bd7ed135d306</v>
    <v>de-DE</v>
    <v>Map</v>
  </rv>
  <rv s="0">
    <v>805306368</v>
    <v>Jürgen Krogmann (Mayor)</v>
    <v>92b4a2e3-9ecb-9f63-2e51-351406b435a4</v>
    <v>de-DE</v>
    <v>Generic</v>
  </rv>
  <rv s="1">
    <v>331</v>
  </rv>
  <rv s="2">
    <fb>172830</fb>
    <v>9</v>
  </rv>
  <rv s="3">
    <v>347</v>
    <v>7</v>
    <v>752</v>
    <v>7</v>
    <v>0</v>
    <v>Image of Oldenburg</v>
  </rv>
  <rv s="2">
    <fb>53.143888888889002</fb>
    <v>10</v>
  </rv>
  <rv s="2">
    <fb>103.09</fb>
    <v>9</v>
  </rv>
  <rv s="2">
    <fb>8.2138888888888992</fb>
    <v>10</v>
  </rv>
  <rv s="4">
    <v>https://www.bing.com/search?q=oldenburg&amp;form=skydnc</v>
    <v>Learn more on Bing</v>
  </rv>
  <rv s="11">
    <v>#VALUE!</v>
    <v>de-DE</v>
    <v>0abee226-01e5-0eb6-7624-bd7ed135d306</v>
    <v>536870912</v>
    <v>1</v>
    <v>753</v>
    <v>17</v>
    <v>57</v>
    <v>Oldenburg</v>
    <v>5</v>
    <v>6</v>
    <v>Map</v>
    <v>7</v>
    <v>14</v>
    <v>3590</v>
    <v>Oldenburg is an independent city in the state of Lower Saxony, Germany. The city is officially named Oldenburg to distinguish from Oldenburg in Holstein. During the French annexation in the wake of the Napoleonic war against Britain, it was also ...</v>
    <v>3591</v>
    <v>3592</v>
    <v>3593</v>
    <v>3594</v>
    <v>21</v>
    <v>3595</v>
    <v>3596</v>
    <v>Oldenburg</v>
    <v>Oldenburg</v>
    <v>mdp/vdpid/7011168721293017089</v>
    <v>247</v>
  </rv>
  <rv s="0">
    <v>536870912</v>
    <v>Oranienburg</v>
    <v>bc65b901-79dc-21f0-8e1e-51c021cde279</v>
    <v>de-DE</v>
    <v>Map</v>
  </rv>
  <rv s="0">
    <v>805306368</v>
    <v>Alexander Laesicke (Mayor)</v>
    <v>eeb8c4c2-b1e9-1d57-ac0f-42d73b1ac42f</v>
    <v>de-DE</v>
    <v>Generic</v>
  </rv>
  <rv s="1">
    <v>332</v>
  </rv>
  <rv s="2">
    <fb>47752</fb>
    <v>9</v>
  </rv>
  <rv s="3">
    <v>348</v>
    <v>7</v>
    <v>754</v>
    <v>7</v>
    <v>0</v>
    <v>Image of Oranienburg</v>
  </rv>
  <rv s="2">
    <fb>52.754444444443997</fb>
    <v>10</v>
  </rv>
  <rv s="2">
    <fb>163.66</fb>
    <v>9</v>
  </rv>
  <rv s="2">
    <fb>13.236944444443999</fb>
    <v>10</v>
  </rv>
  <rv s="4">
    <v>https://www.bing.com/search?q=oranienburg+germany&amp;form=skydnc</v>
    <v>Learn more on Bing</v>
  </rv>
  <rv s="6">
    <v>#VALUE!</v>
    <v>de-DE</v>
    <v>bc65b901-79dc-21f0-8e1e-51c021cde279</v>
    <v>536870912</v>
    <v>1</v>
    <v>755</v>
    <v>2</v>
    <v>13</v>
    <v>Oranienburg</v>
    <v>5</v>
    <v>6</v>
    <v>Map</v>
    <v>7</v>
    <v>14</v>
    <v>3600</v>
    <v>Oranienburg is a town in Brandenburg, Germany. It is the capital of the district of Oberhavel.</v>
    <v>3601</v>
    <v>3602</v>
    <v>3603</v>
    <v>3604</v>
    <v>21</v>
    <v>3605</v>
    <v>3606</v>
    <v>Oranienburg</v>
    <v>Oranienburg</v>
    <v>mdp/vdpid/7017909207919755265</v>
    <v>488</v>
    <v>2109</v>
  </rv>
  <rv s="0">
    <v>536870912</v>
    <v>Oschatz</v>
    <v>dd4a9796-6a73-444c-5bd2-ca5a99852556</v>
    <v>de-DE</v>
    <v>Map</v>
  </rv>
  <rv s="0">
    <v>805306368</v>
    <v>David Schmidt (Mayor)</v>
    <v>045d6996-9786-8cae-e9bf-387a407a1fad</v>
    <v>de-DE</v>
    <v>Generic</v>
  </rv>
  <rv s="1">
    <v>333</v>
  </rv>
  <rv s="2">
    <fb>14195</fb>
    <v>9</v>
  </rv>
  <rv s="3">
    <v>349</v>
    <v>7</v>
    <v>756</v>
    <v>7</v>
    <v>0</v>
    <v>Image of Oschatz</v>
  </rv>
  <rv s="2">
    <fb>51.300277777778</fb>
    <v>10</v>
  </rv>
  <rv s="2">
    <fb>55.44</fb>
    <v>9</v>
  </rv>
  <rv s="2">
    <fb>13.107222222221999</fb>
    <v>10</v>
  </rv>
  <rv s="4">
    <v>https://www.bing.com/search?q=oschatz+germany&amp;form=skydnc</v>
    <v>Learn more on Bing</v>
  </rv>
  <rv s="6">
    <v>#VALUE!</v>
    <v>de-DE</v>
    <v>dd4a9796-6a73-444c-5bd2-ca5a99852556</v>
    <v>536870912</v>
    <v>1</v>
    <v>757</v>
    <v>2</v>
    <v>13</v>
    <v>Oschatz</v>
    <v>5</v>
    <v>6</v>
    <v>Map</v>
    <v>7</v>
    <v>14</v>
    <v>3610</v>
    <v>Oschatz is a town in the district Nordsachsen, in Saxony, Germany. It is located 60 km east of Leipzig and 60 km west of Dresden.</v>
    <v>3611</v>
    <v>3612</v>
    <v>3613</v>
    <v>3614</v>
    <v>21</v>
    <v>3615</v>
    <v>3616</v>
    <v>Oschatz</v>
    <v>Oschatz</v>
    <v>mdp/vdpid/7018236076003164161</v>
    <v>106</v>
    <v>967</v>
  </rv>
  <rv s="0">
    <v>536870912</v>
    <v>Osnabrück</v>
    <v>e5d18ba4-beb3-2eb0-f893-a1e810291791</v>
    <v>de-DE</v>
    <v>Map</v>
  </rv>
  <rv s="0">
    <v>805306368</v>
    <v>Katharina Pötter (Mayor)</v>
    <v>80389df4-f9ba-e1e6-4ecf-5285ea2515d3</v>
    <v>de-DE</v>
    <v>Generic</v>
  </rv>
  <rv s="1">
    <v>334</v>
  </rv>
  <rv s="2">
    <fb>167366</fb>
    <v>9</v>
  </rv>
  <rv s="3">
    <v>350</v>
    <v>7</v>
    <v>758</v>
    <v>7</v>
    <v>0</v>
    <v>Image of Osnabrück</v>
  </rv>
  <rv s="2">
    <fb>52.278888888889</fb>
    <v>10</v>
  </rv>
  <rv s="2">
    <fb>119.8</fb>
    <v>9</v>
  </rv>
  <rv s="2">
    <fb>8.0430555555556005</fb>
    <v>10</v>
  </rv>
  <rv s="4">
    <v>https://www.bing.com/search?q=osnabr%c3%bcck+germany&amp;form=skydnc</v>
    <v>Learn more on Bing</v>
  </rv>
  <rv s="7">
    <v>#VALUE!</v>
    <v>de-DE</v>
    <v>e5d18ba4-beb3-2eb0-f893-a1e810291791</v>
    <v>536870912</v>
    <v>1</v>
    <v>759</v>
    <v>17</v>
    <v>18</v>
    <v>Osnabrück</v>
    <v>5</v>
    <v>6</v>
    <v>Map</v>
    <v>7</v>
    <v>14</v>
    <v>3620</v>
    <v>Osnabrück is a city in Lower Saxony in western Germany. It is situated on the river Hase in a valley penned between the Wiehen Hills and the northern tip of the Teutoburg Forest. With a population of 168,145 Osnabrück is one of the four largest ...</v>
    <v>3621</v>
    <v>3622</v>
    <v>3623</v>
    <v>3624</v>
    <v>21</v>
    <v>3625</v>
    <v>3626</v>
    <v>Osnabrück</v>
    <v>Osnabrück</v>
    <v>mdp/vdpid/7011253078712123393</v>
    <v>247</v>
    <v>62</v>
  </rv>
  <rv s="0">
    <v>536870912</v>
    <v>Oy-Mittelberg</v>
    <v>2a82f614-5b46-1f5e-57c0-d2d13007ed2e</v>
    <v>de-DE</v>
    <v>Map</v>
  </rv>
  <rv s="0">
    <v>805306368</v>
    <v>Theo Haslach (Mayor)</v>
    <v>090fca53-a3c7-8f94-ecbe-1a20522399c6</v>
    <v>de-DE</v>
    <v>Generic</v>
  </rv>
  <rv s="1">
    <v>335</v>
  </rv>
  <rv s="2">
    <fb>4614</fb>
    <v>9</v>
  </rv>
  <rv s="3">
    <v>351</v>
    <v>7</v>
    <v>760</v>
    <v>7</v>
    <v>0</v>
    <v>Image of Oy-Mittelberg</v>
  </rv>
  <rv s="2">
    <fb>47.633333333332999</fb>
    <v>10</v>
  </rv>
  <rv s="2">
    <fb>60.17</fb>
    <v>9</v>
  </rv>
  <rv s="2">
    <fb>10.433333333333</fb>
    <v>10</v>
  </rv>
  <rv s="4">
    <v>https://www.bing.com/search?q=oy-mittelberg+germany&amp;form=skydnc</v>
    <v>Learn more on Bing</v>
  </rv>
  <rv s="10">
    <v>#VALUE!</v>
    <v>de-DE</v>
    <v>2a82f614-5b46-1f5e-57c0-d2d13007ed2e</v>
    <v>536870912</v>
    <v>1</v>
    <v>761</v>
    <v>39</v>
    <v>40</v>
    <v>Oy-Mittelberg</v>
    <v>5</v>
    <v>6</v>
    <v>Map</v>
    <v>7</v>
    <v>14</v>
    <v>3630</v>
    <v>Oy-Mittelberg is a municipality in the rural district Oberallgäu in Bavaria, Germany.</v>
    <v>3631</v>
    <v>3632</v>
    <v>3633</v>
    <v>3634</v>
    <v>21</v>
    <v>3635</v>
    <v>3636</v>
    <v>Oy-Mittelberg</v>
    <v>Oy-Mittelberg</v>
    <v>mdp/vdpid/7016199153923391489</v>
    <v>3528</v>
  </rv>
  <rv s="0">
    <v>536870912</v>
    <v>Paderborn</v>
    <v>e721ccba-2a1a-6e60-4618-4b0c2d899969</v>
    <v>de-DE</v>
    <v>Map</v>
  </rv>
  <rv s="0">
    <v>805306368</v>
    <v>Michael Dreier (Mayor)</v>
    <v>4fccb9eb-5186-602d-319e-fd85151e76ce</v>
    <v>de-DE</v>
    <v>Generic</v>
  </rv>
  <rv s="1">
    <v>336</v>
  </rv>
  <rv s="2">
    <fb>157092</fb>
    <v>9</v>
  </rv>
  <rv s="3">
    <v>352</v>
    <v>7</v>
    <v>762</v>
    <v>7</v>
    <v>0</v>
    <v>Image of Paderborn</v>
  </rv>
  <rv s="2">
    <fb>51.716666666666697</fb>
    <v>10</v>
  </rv>
  <rv s="2">
    <fb>179.59</fb>
    <v>9</v>
  </rv>
  <rv s="2">
    <fb>8.7666666666666693</fb>
    <v>10</v>
  </rv>
  <rv s="4">
    <v>https://www.bing.com/search?q=paderborn&amp;form=skydnc</v>
    <v>Learn more on Bing</v>
  </rv>
  <rv s="0">
    <v>536870912</v>
    <v>Paderborn</v>
    <v>e1bac728-2a07-42c5-0be7-baefc931a0de</v>
    <v>de-DE</v>
    <v>Map</v>
  </rv>
  <rv s="10">
    <v>#VALUE!</v>
    <v>de-DE</v>
    <v>e721ccba-2a1a-6e60-4618-4b0c2d899969</v>
    <v>536870912</v>
    <v>1</v>
    <v>763</v>
    <v>39</v>
    <v>40</v>
    <v>Paderborn</v>
    <v>5</v>
    <v>6</v>
    <v>Map</v>
    <v>7</v>
    <v>260</v>
    <v>3640</v>
    <v>Paderborn is a city in eastern North Rhine-Westphalia, Germany, capital of the Paderborn district. The name of the city derives from the river Pader and Born, an old German term for the source of a river. The river Pader originates in more than ...</v>
    <v>3641</v>
    <v>3642</v>
    <v>3643</v>
    <v>3644</v>
    <v>21</v>
    <v>3645</v>
    <v>3646</v>
    <v>Paderborn</v>
    <v>Paderborn</v>
    <v>mdp/vdpid/7011831559367950337</v>
    <v>3647</v>
  </rv>
  <rv s="0">
    <v>536870912</v>
    <v>Parchim</v>
    <v>d8efe3b1-b6b4-5d8f-181c-dcbf3b732d33</v>
    <v>de-DE</v>
    <v>Map</v>
  </rv>
  <rv s="0">
    <v>805306368</v>
    <v>Dirk Flörke (Mayor)</v>
    <v>ca6eabd2-80fa-f183-5d96-24594a8ab7cf</v>
    <v>de-DE</v>
    <v>Generic</v>
  </rv>
  <rv s="1">
    <v>337</v>
  </rv>
  <rv s="2">
    <fb>18278</fb>
    <v>9</v>
  </rv>
  <rv s="3">
    <v>353</v>
    <v>7</v>
    <v>764</v>
    <v>7</v>
    <v>0</v>
    <v>Image of Parchim</v>
  </rv>
  <rv s="2">
    <fb>53.4277155001392</fb>
    <v>10</v>
  </rv>
  <rv s="2">
    <fb>124.82</fb>
    <v>9</v>
  </rv>
  <rv s="2">
    <fb>11.8482123965111</fb>
    <v>10</v>
  </rv>
  <rv s="4">
    <v>https://www.bing.com/search?q=parchim+germany&amp;form=skydnc</v>
    <v>Learn more on Bing</v>
  </rv>
  <rv s="0">
    <v>536870912</v>
    <v>Ludwigslust-Parchim District</v>
    <v>a9675c3a-34be-bb48-e89f-2eb7ac6db78f</v>
    <v>de-DE</v>
    <v>Map</v>
  </rv>
  <rv s="6">
    <v>#VALUE!</v>
    <v>de-DE</v>
    <v>d8efe3b1-b6b4-5d8f-181c-dcbf3b732d33</v>
    <v>536870912</v>
    <v>1</v>
    <v>765</v>
    <v>2</v>
    <v>13</v>
    <v>Parchim</v>
    <v>5</v>
    <v>6</v>
    <v>Map</v>
    <v>7</v>
    <v>14</v>
    <v>3651</v>
    <v>Parchim is a town in Mecklenburg-Vorpommern, Germany. It is the capital of the Ludwigslust-Parchim district. It was the birthplace of Helmuth von Moltke the Elder, to whom a monument was erected in 1876.</v>
    <v>3652</v>
    <v>3653</v>
    <v>3654</v>
    <v>3655</v>
    <v>21</v>
    <v>3656</v>
    <v>3657</v>
    <v>Parchim</v>
    <v>Parchim</v>
    <v>mdp/vdpid/7016994652146368513</v>
    <v>94</v>
    <v>3658</v>
  </rv>
  <rv s="0">
    <v>536870912</v>
    <v>Parsberg</v>
    <v>11803b62-b60f-c7ac-e50f-7cbd352ea6e2</v>
    <v>de-DE</v>
    <v>Map</v>
  </rv>
  <rv s="0">
    <v>805306368</v>
    <v>Josef Bauer (Mayor)</v>
    <v>845cf542-6c3e-b564-cc5c-721298cbbdc5</v>
    <v>de-DE</v>
    <v>Generic</v>
  </rv>
  <rv s="1">
    <v>338</v>
  </rv>
  <rv s="2">
    <fb>7581</fb>
    <v>9</v>
  </rv>
  <rv s="3">
    <v>354</v>
    <v>7</v>
    <v>766</v>
    <v>7</v>
    <v>0</v>
    <v>Image of Parsberg</v>
  </rv>
  <rv s="2">
    <fb>49.159849999999999</fb>
    <v>10</v>
  </rv>
  <rv s="2">
    <fb>57.3</fb>
    <v>9</v>
  </rv>
  <rv s="2">
    <fb>11.71922</fb>
    <v>10</v>
  </rv>
  <rv s="4">
    <v>https://www.bing.com/search?q=parsberg+germany&amp;form=skydnc</v>
    <v>Learn more on Bing</v>
  </rv>
  <rv s="0">
    <v>536870912</v>
    <v>Neumarkt</v>
    <v>55ec7556-0aa6-13ae-4e2e-618c68ee6448</v>
    <v>de-DE</v>
    <v>Map</v>
  </rv>
  <rv s="10">
    <v>#VALUE!</v>
    <v>de-DE</v>
    <v>11803b62-b60f-c7ac-e50f-7cbd352ea6e2</v>
    <v>536870912</v>
    <v>1</v>
    <v>767</v>
    <v>39</v>
    <v>40</v>
    <v>Parsberg</v>
    <v>5</v>
    <v>6</v>
    <v>Map</v>
    <v>7</v>
    <v>14</v>
    <v>3662</v>
    <v>Parsberg is a town in the county of Neumarkt in Bavaria, Germany. It is 23 km southeast of Neumarkt in der Oberpfalz, and 33 km northwest of Regensburg, next to the A3 autobahn, the main route from Nuremberg to Regensburg. It was formerly the ...</v>
    <v>3663</v>
    <v>3664</v>
    <v>3665</v>
    <v>3666</v>
    <v>21</v>
    <v>3667</v>
    <v>3668</v>
    <v>Parsberg</v>
    <v>Parsberg</v>
    <v>mdp/vdpid/7021216637328031746</v>
    <v>3669</v>
  </rv>
  <rv s="0">
    <v>536870912</v>
    <v>Passau</v>
    <v>2a46df58-354f-fe5b-17d7-6593796a193d</v>
    <v>de-DE</v>
    <v>Map</v>
  </rv>
  <rv s="0">
    <v>805306368</v>
    <v>Jürgen Dupper (Mayor)</v>
    <v>a8e5571b-d53e-1943-83c1-1d4b6f31711c</v>
    <v>de-DE</v>
    <v>Generic</v>
  </rv>
  <rv s="1">
    <v>339</v>
  </rv>
  <rv s="2">
    <fb>53093</fb>
    <v>9</v>
  </rv>
  <rv s="3">
    <v>355</v>
    <v>7</v>
    <v>768</v>
    <v>7</v>
    <v>0</v>
    <v>Image of Passau</v>
  </rv>
  <rv s="2">
    <fb>48.574822900000001</fb>
    <v>10</v>
  </rv>
  <rv s="2">
    <fb>69.56</fb>
    <v>9</v>
  </rv>
  <rv s="2">
    <fb>13.4609744</fb>
    <v>10</v>
  </rv>
  <rv s="4">
    <v>https://www.bing.com/search?q=passau&amp;form=skydnc</v>
    <v>Learn more on Bing</v>
  </rv>
  <rv s="9">
    <v>#VALUE!</v>
    <v>de-DE</v>
    <v>2a46df58-354f-fe5b-17d7-6593796a193d</v>
    <v>536870912</v>
    <v>1</v>
    <v>769</v>
    <v>27</v>
    <v>28</v>
    <v>Passau</v>
    <v>5</v>
    <v>6</v>
    <v>Map</v>
    <v>7</v>
    <v>8</v>
    <v>3673</v>
    <v>Passau is a city in Lower Bavaria, Germany. It is also known as the Dreiflüssestadt, as the river Danube is joined by the Inn from the south and the Ilz from the north. Passau's population is about 50,000, of whom about 12,000 are students at ...</v>
    <v>3674</v>
    <v>3675</v>
    <v>3676</v>
    <v>3677</v>
    <v>21</v>
    <v>3678</v>
    <v>3679</v>
    <v>Passau</v>
    <v>Passau</v>
    <v>mdp/vdpid/7021568866471903233</v>
  </rv>
  <rv s="0">
    <v>536870912</v>
    <v>Peine</v>
    <v>ef221306-70b7-5421-bcff-54a056931eea</v>
    <v>de-DE</v>
    <v>Map</v>
  </rv>
  <rv s="0">
    <v>805306368</v>
    <v>Klaus Saemann (Mayor)</v>
    <v>a211bdb6-e94f-64dc-ef6c-fec109a4322b</v>
    <v>de-DE</v>
    <v>Generic</v>
  </rv>
  <rv s="1">
    <v>340</v>
  </rv>
  <rv s="2">
    <fb>51411</fb>
    <v>9</v>
  </rv>
  <rv s="3">
    <v>356</v>
    <v>7</v>
    <v>770</v>
    <v>7</v>
    <v>0</v>
    <v>Image of Peine</v>
  </rv>
  <rv s="2">
    <fb>52.320277777778003</fb>
    <v>10</v>
  </rv>
  <rv s="2">
    <fb>119.84</fb>
    <v>9</v>
  </rv>
  <rv s="2">
    <fb>10.233611111110999</fb>
    <v>10</v>
  </rv>
  <rv s="4">
    <v>https://www.bing.com/search?q=peine+germany&amp;form=skydnc</v>
    <v>Learn more on Bing</v>
  </rv>
  <rv s="0">
    <v>536870912</v>
    <v>Peine</v>
    <v>91ff20cf-c037-40ce-95ec-fa3ba3cf23e3</v>
    <v>de-DE</v>
    <v>Map</v>
  </rv>
  <rv s="6">
    <v>#VALUE!</v>
    <v>de-DE</v>
    <v>ef221306-70b7-5421-bcff-54a056931eea</v>
    <v>536870912</v>
    <v>1</v>
    <v>771</v>
    <v>2</v>
    <v>13</v>
    <v>Peine</v>
    <v>5</v>
    <v>6</v>
    <v>Map</v>
    <v>7</v>
    <v>14</v>
    <v>3683</v>
    <v>Peine is a town in Lower Saxony, Germany, capital of the district Peine. It is situated on the river Fuhse and the Mittellandkanal, approximately 25 km west of Braunschweig, 27 km northeast of Hildesheim, and 40 km east of Hanover.</v>
    <v>3684</v>
    <v>3685</v>
    <v>3686</v>
    <v>3687</v>
    <v>21</v>
    <v>3688</v>
    <v>3689</v>
    <v>Peine</v>
    <v>Peine</v>
    <v>mdp/vdpid/7011779504313991169</v>
    <v>247</v>
    <v>3690</v>
  </rv>
  <rv s="0">
    <v>536870912</v>
    <v>Pforzheim</v>
    <v>32e897e6-3259-61f5-9c36-d1bfd5783393</v>
    <v>de-DE</v>
    <v>Map</v>
  </rv>
  <rv s="0">
    <v>805306368</v>
    <v>Peter Boch (Mayor)</v>
    <v>e0150c7e-bb81-c001-7232-e368d007940c</v>
    <v>de-DE</v>
    <v>Generic</v>
  </rv>
  <rv s="1">
    <v>341</v>
  </rv>
  <rv s="2">
    <fb>127849</fb>
    <v>9</v>
  </rv>
  <rv s="3">
    <v>357</v>
    <v>7</v>
    <v>772</v>
    <v>7</v>
    <v>0</v>
    <v>Image of Pforzheim</v>
  </rv>
  <rv s="2">
    <fb>48.895000000000003</fb>
    <v>10</v>
  </rv>
  <rv s="2">
    <fb>98.07</fb>
    <v>9</v>
  </rv>
  <rv s="2">
    <fb>8.7050000000000001</fb>
    <v>10</v>
  </rv>
  <rv s="4">
    <v>https://www.bing.com/search?q=pforzheim&amp;form=skydnc</v>
    <v>Learn more on Bing</v>
  </rv>
  <rv s="11">
    <v>#VALUE!</v>
    <v>de-DE</v>
    <v>32e897e6-3259-61f5-9c36-d1bfd5783393</v>
    <v>536870912</v>
    <v>1</v>
    <v>773</v>
    <v>17</v>
    <v>57</v>
    <v>Pforzheim</v>
    <v>5</v>
    <v>6</v>
    <v>Map</v>
    <v>7</v>
    <v>14</v>
    <v>3694</v>
    <v>Pforzheim is a city of over 125,000 inhabitants in the federal state of Baden-Württemberg, in the southwest of Germany. It is known for its jewelry and watch-making industry, and as such has gained the nickname "Goldstadt". With an area of 97.8 ...</v>
    <v>3695</v>
    <v>3696</v>
    <v>3697</v>
    <v>3698</v>
    <v>21</v>
    <v>3699</v>
    <v>3700</v>
    <v>Pforzheim</v>
    <v>Pforzheim</v>
    <v>mdp/vdpid/7015227263826264065</v>
    <v>359</v>
  </rv>
  <rv s="0">
    <v>536870912</v>
    <v>Pinneberg</v>
    <v>ada19e9c-31a4-3501-7f00-d6cbe92a1a1d</v>
    <v>de-DE</v>
    <v>Map</v>
  </rv>
  <rv s="0">
    <v>805306368</v>
    <v>Urte Steinberg (Mayor)</v>
    <v>59adc648-a9e5-d05c-c491-b6411a1c00b9</v>
    <v>de-DE</v>
    <v>Generic</v>
  </rv>
  <rv s="1">
    <v>342</v>
  </rv>
  <rv s="2">
    <fb>44279</fb>
    <v>9</v>
  </rv>
  <rv s="3">
    <v>358</v>
    <v>7</v>
    <v>774</v>
    <v>7</v>
    <v>0</v>
    <v>Image of Pinneberg</v>
  </rv>
  <rv s="2">
    <fb>53.659111111111102</fb>
    <v>10</v>
  </rv>
  <rv s="2">
    <fb>21.54</fb>
    <v>9</v>
  </rv>
  <rv s="2">
    <fb>9.8008611111111108</fb>
    <v>10</v>
  </rv>
  <rv s="4">
    <v>https://www.bing.com/search?q=pinneberg+germany&amp;form=skydnc</v>
    <v>Learn more on Bing</v>
  </rv>
  <rv s="6">
    <v>#VALUE!</v>
    <v>de-DE</v>
    <v>ada19e9c-31a4-3501-7f00-d6cbe92a1a1d</v>
    <v>536870912</v>
    <v>1</v>
    <v>775</v>
    <v>2</v>
    <v>13</v>
    <v>Pinneberg</v>
    <v>5</v>
    <v>6</v>
    <v>Map</v>
    <v>7</v>
    <v>14</v>
    <v>3704</v>
    <v>Pinneberg is a town in the federal state of Schleswig-Holstein in northern Germany. It is the capital of the district of Pinneberg and has a population of about 43,500 inhabitants. Pinneberg is located 18 km northwest of the city centre of Hamburg.</v>
    <v>3705</v>
    <v>3706</v>
    <v>3707</v>
    <v>3708</v>
    <v>21</v>
    <v>3709</v>
    <v>3710</v>
    <v>Pinneberg</v>
    <v>Pinneberg</v>
    <v>mdp/vdpid/7010833097180577793</v>
    <v>326</v>
    <v>1239</v>
  </rv>
  <rv s="0">
    <v>536870912</v>
    <v>Pirmasens</v>
    <v>09f46717-2677-912d-59cb-e73743bb5f90</v>
    <v>de-DE</v>
    <v>Map</v>
  </rv>
  <rv s="0">
    <v>805306368</v>
    <v>Markus Christian Zwick (Mayor)</v>
    <v>ed8a42c2-5414-546a-a9a6-d136b05595a7</v>
    <v>de-DE</v>
    <v>Generic</v>
  </rv>
  <rv s="1">
    <v>343</v>
  </rv>
  <rv s="2">
    <fb>40682</fb>
    <v>9</v>
  </rv>
  <rv s="3">
    <v>359</v>
    <v>7</v>
    <v>776</v>
    <v>7</v>
    <v>0</v>
    <v>Image of Pirmasens</v>
  </rv>
  <rv s="2">
    <fb>61.36</fb>
    <v>9</v>
  </rv>
  <rv s="2">
    <fb>7.6</fb>
    <v>10</v>
  </rv>
  <rv s="4">
    <v>https://www.bing.com/search?q=pirmasens&amp;form=skydnc</v>
    <v>Learn more on Bing</v>
  </rv>
  <rv s="11">
    <v>#VALUE!</v>
    <v>de-DE</v>
    <v>09f46717-2677-912d-59cb-e73743bb5f90</v>
    <v>536870912</v>
    <v>1</v>
    <v>777</v>
    <v>17</v>
    <v>57</v>
    <v>Pirmasens</v>
    <v>5</v>
    <v>6</v>
    <v>Map</v>
    <v>7</v>
    <v>14</v>
    <v>3714</v>
    <v>Pirmasens is an independent town in Rhineland-Palatinate, Germany, near the border with France. It was famous for the manufacture of shoes. The surrounding rural district was called Landkreis Pirmasens from 1818 until 1997, when it was renamed ...</v>
    <v>3715</v>
    <v>3716</v>
    <v>3583</v>
    <v>3717</v>
    <v>21</v>
    <v>3718</v>
    <v>3719</v>
    <v>Pirmasens</v>
    <v>Pirmasens</v>
    <v>mdp/vdpid/7014602119072186369</v>
    <v>60</v>
  </rv>
  <rv s="0">
    <v>536870912</v>
    <v>Pirna</v>
    <v>b2b030b6-8734-127a-7166-db3137aef9ef</v>
    <v>de-DE</v>
    <v>Map</v>
  </rv>
  <rv s="0">
    <v>805306368</v>
    <v>Klaus-Peter Hanke (Mayor)</v>
    <v>4ab6d22c-485b-00c4-799a-bfca53dcfe00</v>
    <v>de-DE</v>
    <v>Generic</v>
  </rv>
  <rv s="1">
    <v>344</v>
  </rv>
  <rv s="2">
    <fb>39054</fb>
    <v>9</v>
  </rv>
  <rv s="3">
    <v>360</v>
    <v>7</v>
    <v>778</v>
    <v>7</v>
    <v>0</v>
    <v>Image of Pirna</v>
  </rv>
  <rv s="2">
    <fb>50.962222222222003</fb>
    <v>10</v>
  </rv>
  <rv s="2">
    <fb>53.06</fb>
    <v>9</v>
  </rv>
  <rv s="2">
    <fb>13.940277777778</fb>
    <v>10</v>
  </rv>
  <rv s="4">
    <v>https://www.bing.com/search?q=pirna+germany&amp;form=skydnc</v>
    <v>Learn more on Bing</v>
  </rv>
  <rv s="6">
    <v>#VALUE!</v>
    <v>de-DE</v>
    <v>b2b030b6-8734-127a-7166-db3137aef9ef</v>
    <v>536870912</v>
    <v>1</v>
    <v>779</v>
    <v>2</v>
    <v>13</v>
    <v>Pirna</v>
    <v>5</v>
    <v>6</v>
    <v>Map</v>
    <v>7</v>
    <v>14</v>
    <v>3723</v>
    <v>Pirna is a town in Saxony, Germany and capital of the administrative district Sächsische Schweiz-Osterzgebirge. The town's population is over 37,000. Pirna is located near Dresden and is an important district town as well as a Große Kreisstadt.</v>
    <v>3724</v>
    <v>3725</v>
    <v>3726</v>
    <v>3727</v>
    <v>21</v>
    <v>3728</v>
    <v>3729</v>
    <v>Pirna</v>
    <v>Pirna</v>
    <v>mdp/vdpid/7018290532363272193</v>
    <v>106</v>
    <v>1556</v>
  </rv>
  <rv s="0">
    <v>536870912</v>
    <v>Plauen</v>
    <v>f814ec68-58dd-433b-2bba-525af4425744</v>
    <v>de-DE</v>
    <v>Map</v>
  </rv>
  <rv s="0">
    <v>805306368</v>
    <v>Steffen Zenner (Mayor)</v>
    <v>ce64e1c8-e6d8-0e41-a16d-0346b1341b68</v>
    <v>de-DE</v>
    <v>Generic</v>
  </rv>
  <rv s="1">
    <v>345</v>
  </rv>
  <rv s="2">
    <fb>64763</fb>
    <v>9</v>
  </rv>
  <rv s="3">
    <v>361</v>
    <v>7</v>
    <v>780</v>
    <v>7</v>
    <v>0</v>
    <v>Image of Plauen</v>
  </rv>
  <rv s="2">
    <fb>50.494999999999997</fb>
    <v>10</v>
  </rv>
  <rv s="2">
    <fb>102.11</fb>
    <v>9</v>
  </rv>
  <rv s="2">
    <fb>12.138333333333</fb>
    <v>10</v>
  </rv>
  <rv s="4">
    <v>https://www.bing.com/search?q=plauen+germany&amp;form=skydnc</v>
    <v>Learn more on Bing</v>
  </rv>
  <rv s="6">
    <v>#VALUE!</v>
    <v>de-DE</v>
    <v>f814ec68-58dd-433b-2bba-525af4425744</v>
    <v>536870912</v>
    <v>1</v>
    <v>781</v>
    <v>2</v>
    <v>13</v>
    <v>Plauen</v>
    <v>5</v>
    <v>6</v>
    <v>Map</v>
    <v>7</v>
    <v>14</v>
    <v>3733</v>
    <v>Plauen is, with around 65,000 inhabitants, the fifth-largest city of Saxony, Germany after Leipzig, Dresden, Chemnitz and Zwickau, the second-largest city of the Vogtland after Gera, as well as the largest city in the Saxon Vogtland. The city ...</v>
    <v>3734</v>
    <v>3735</v>
    <v>3736</v>
    <v>3737</v>
    <v>21</v>
    <v>3738</v>
    <v>3739</v>
    <v>Plauen</v>
    <v>Plauen</v>
    <v>mdp/vdpid/7021148850429624321</v>
    <v>106</v>
    <v>182</v>
  </rv>
  <rv s="0">
    <v>536870912</v>
    <v>Plettenberg</v>
    <v>7ebd1604-d206-4269-6ad6-89a83dc2e1b3</v>
    <v>de-DE</v>
    <v>Map</v>
  </rv>
  <rv s="0">
    <v>805306368</v>
    <v>Ulrich Schulte (Mayor)</v>
    <v>f13e163b-4015-7f58-bb0e-5b9c7ff7ff14</v>
    <v>de-DE</v>
    <v>Generic</v>
  </rv>
  <rv s="1">
    <v>346</v>
  </rv>
  <rv s="2">
    <fb>24954</fb>
    <v>9</v>
  </rv>
  <rv s="3">
    <v>362</v>
    <v>7</v>
    <v>782</v>
    <v>7</v>
    <v>0</v>
    <v>Image of Plettenberg</v>
  </rv>
  <rv s="2">
    <fb>51.212761111111099</fb>
    <v>10</v>
  </rv>
  <rv s="2">
    <fb>96.76</fb>
    <v>9</v>
  </rv>
  <rv s="2">
    <fb>7.8715194444444503</fb>
    <v>10</v>
  </rv>
  <rv s="4">
    <v>https://www.bing.com/search?q=plettenberg+germany&amp;form=skydnc</v>
    <v>Learn more on Bing</v>
  </rv>
  <rv s="10">
    <v>#VALUE!</v>
    <v>de-DE</v>
    <v>7ebd1604-d206-4269-6ad6-89a83dc2e1b3</v>
    <v>536870912</v>
    <v>1</v>
    <v>783</v>
    <v>39</v>
    <v>40</v>
    <v>Plettenberg</v>
    <v>5</v>
    <v>6</v>
    <v>Map</v>
    <v>7</v>
    <v>14</v>
    <v>3743</v>
    <v>Plettenberg is a town in the Märkischer Kreis, in North Rhine-Westphalia, Germany.</v>
    <v>3744</v>
    <v>3745</v>
    <v>3746</v>
    <v>3747</v>
    <v>21</v>
    <v>3748</v>
    <v>3749</v>
    <v>Plettenberg</v>
    <v>Plettenberg</v>
    <v>mdp/vdpid/7011508199064862721</v>
    <v>2098</v>
  </rv>
  <rv s="0">
    <v>536870912</v>
    <v>Pommelsbrunn</v>
    <v>c4c94921-b827-7e92-c9e2-c5b8dc6aefa8</v>
    <v>de-DE</v>
    <v>Map</v>
  </rv>
  <rv s="0">
    <v>805306368</v>
    <v>Jörg Fritsch (Mayor)</v>
    <v>d8bb6f7f-5b3e-0d47-08d7-a36ca087fd18</v>
    <v>de-DE</v>
    <v>Generic</v>
  </rv>
  <rv s="1">
    <v>347</v>
  </rv>
  <rv s="2">
    <fb>5450</fb>
    <v>9</v>
  </rv>
  <rv s="3">
    <v>363</v>
    <v>7</v>
    <v>784</v>
    <v>7</v>
    <v>0</v>
    <v>Image of Pommelsbrunn</v>
  </rv>
  <rv s="2">
    <fb>49.5</fb>
    <v>10</v>
  </rv>
  <rv s="2">
    <fb>50.05</fb>
    <v>9</v>
  </rv>
  <rv s="2">
    <fb>11.516666666667</fb>
    <v>10</v>
  </rv>
  <rv s="4">
    <v>https://www.bing.com/search?q=pommelsbrunn+germany&amp;form=skydnc</v>
    <v>Learn more on Bing</v>
  </rv>
  <rv s="0">
    <v>536870912</v>
    <v>Nürnberger Land</v>
    <v>0df81f46-37b6-f2bc-8296-4ac5892e31fb</v>
    <v>de-DE</v>
    <v>Map</v>
  </rv>
  <rv s="10">
    <v>#VALUE!</v>
    <v>de-DE</v>
    <v>c4c94921-b827-7e92-c9e2-c5b8dc6aefa8</v>
    <v>536870912</v>
    <v>1</v>
    <v>785</v>
    <v>39</v>
    <v>40</v>
    <v>Pommelsbrunn</v>
    <v>5</v>
    <v>6</v>
    <v>Map</v>
    <v>7</v>
    <v>14</v>
    <v>3753</v>
    <v>Pommelsbrunn is a municipality in the district of Nürnberger Land, Bavaria, Germany.</v>
    <v>3754</v>
    <v>3755</v>
    <v>3756</v>
    <v>3757</v>
    <v>21</v>
    <v>3758</v>
    <v>3759</v>
    <v>Pommelsbrunn</v>
    <v>Pommelsbrunn</v>
    <v>mdp/vdpid/7021202906300809217</v>
    <v>3760</v>
  </rv>
  <rv s="0">
    <v>536870912</v>
    <v>Potsdam</v>
    <v>8f8e6665-06cf-c444-7bab-197052cf61c8</v>
    <v>de-DE</v>
    <v>Map</v>
  </rv>
  <rv s="0">
    <v>805306368</v>
    <v>Mike Schubert (Mayor)</v>
    <v>2d8d5eaf-9c84-039c-1436-35bf5c9b8297</v>
    <v>de-DE</v>
    <v>Generic</v>
  </rv>
  <rv s="1">
    <v>348</v>
  </rv>
  <rv s="2">
    <fb>185750</fb>
    <v>9</v>
  </rv>
  <rv s="3">
    <v>364</v>
    <v>7</v>
    <v>786</v>
    <v>7</v>
    <v>0</v>
    <v>Image of Potsdam</v>
  </rv>
  <rv s="2">
    <fb>52.4</fb>
    <v>10</v>
  </rv>
  <rv s="2">
    <fb>188.26</fb>
    <v>9</v>
  </rv>
  <rv s="2">
    <fb>13.066666666667</fb>
    <v>10</v>
  </rv>
  <rv s="4">
    <v>https://www.bing.com/search?q=potsdam+germany&amp;form=skydnc</v>
    <v>Learn more on Bing</v>
  </rv>
  <rv s="7">
    <v>#VALUE!</v>
    <v>de-DE</v>
    <v>8f8e6665-06cf-c444-7bab-197052cf61c8</v>
    <v>536870912</v>
    <v>1</v>
    <v>787</v>
    <v>17</v>
    <v>18</v>
    <v>Potsdam</v>
    <v>5</v>
    <v>6</v>
    <v>Map</v>
    <v>7</v>
    <v>14</v>
    <v>3764</v>
    <v>Potsdam is the capital and largest city of the German state of Brandenburg. It is part of the Berlin/Brandenburg Metropolitan Region. Potsdam sits on the River Havel, a tributary of the Elbe, downstream of Berlin, and lies embedded in a hilly ...</v>
    <v>3765</v>
    <v>3766</v>
    <v>3767</v>
    <v>3768</v>
    <v>21</v>
    <v>3769</v>
    <v>3770</v>
    <v>Potsdam</v>
    <v>Potsdam</v>
    <v>mdp/vdpid/7017960615507394561</v>
    <v>488</v>
    <v>708</v>
  </rv>
  <rv s="0">
    <v>536870912</v>
    <v>Prenzlau</v>
    <v>031f925b-ad4f-8afa-69ec-4402fd687511</v>
    <v>de-DE</v>
    <v>Map</v>
  </rv>
  <rv s="0">
    <v>805306368</v>
    <v>Hendrik Sommer (Mayor)</v>
    <v>4d748312-3d01-72f7-8a44-385faa17e62c</v>
    <v>de-DE</v>
    <v>Generic</v>
  </rv>
  <rv s="1">
    <v>349</v>
  </rv>
  <rv s="2">
    <fb>18909</fb>
    <v>9</v>
  </rv>
  <rv s="3">
    <v>365</v>
    <v>7</v>
    <v>788</v>
    <v>7</v>
    <v>0</v>
    <v>Image of Prenzlau</v>
  </rv>
  <rv s="2">
    <fb>53.309752000000003</fb>
    <v>10</v>
  </rv>
  <rv s="2">
    <fb>142.96</fb>
    <v>9</v>
  </rv>
  <rv s="2">
    <fb>13.862671000000001</fb>
    <v>10</v>
  </rv>
  <rv s="4">
    <v>https://www.bing.com/search?q=prenzlau+germany&amp;form=skydnc</v>
    <v>Learn more on Bing</v>
  </rv>
  <rv s="0">
    <v>536870912</v>
    <v>Uckermark District</v>
    <v>029c3e26-923b-745a-b123-36a63f4e8763</v>
    <v>de-DE</v>
    <v>Map</v>
  </rv>
  <rv s="6">
    <v>#VALUE!</v>
    <v>de-DE</v>
    <v>031f925b-ad4f-8afa-69ec-4402fd687511</v>
    <v>536870912</v>
    <v>1</v>
    <v>789</v>
    <v>2</v>
    <v>13</v>
    <v>Prenzlau</v>
    <v>5</v>
    <v>6</v>
    <v>Map</v>
    <v>7</v>
    <v>14</v>
    <v>3774</v>
    <v>Prenzlau is a town in Brandenburg, Germany, the administrative seat of Uckermark District. It is also the centre of the historic Uckermark region.</v>
    <v>3775</v>
    <v>3776</v>
    <v>3777</v>
    <v>3778</v>
    <v>21</v>
    <v>3779</v>
    <v>3780</v>
    <v>Prenzlau</v>
    <v>Prenzlau</v>
    <v>mdp/vdpid/7017921503572262913</v>
    <v>488</v>
    <v>3781</v>
  </rv>
  <rv s="0">
    <v>536870912</v>
    <v>Quedlinburg</v>
    <v>b7ddf6c1-de69-9fa3-cf0f-20f5dc58ec4f</v>
    <v>de-DE</v>
    <v>Map</v>
  </rv>
  <rv s="0">
    <v>805306368</v>
    <v>Frank Ruch (Mayor)</v>
    <v>8147f8ba-76b0-9aa8-8099-745ef9306dae</v>
    <v>de-DE</v>
    <v>Generic</v>
  </rv>
  <rv s="1">
    <v>350</v>
  </rv>
  <rv s="2">
    <fb>23313</fb>
    <v>9</v>
  </rv>
  <rv s="3">
    <v>366</v>
    <v>7</v>
    <v>790</v>
    <v>7</v>
    <v>0</v>
    <v>Image of Quedlinburg</v>
  </rv>
  <rv s="2">
    <fb>51.791666666666998</fb>
    <v>10</v>
  </rv>
  <rv s="2">
    <fb>120.45</fb>
    <v>9</v>
  </rv>
  <rv s="2">
    <fb>11.147222222222</fb>
    <v>10</v>
  </rv>
  <rv s="4">
    <v>https://www.bing.com/search?q=quedlinburg&amp;form=skydnc</v>
    <v>Learn more on Bing</v>
  </rv>
  <rv s="11">
    <v>#VALUE!</v>
    <v>de-DE</v>
    <v>b7ddf6c1-de69-9fa3-cf0f-20f5dc58ec4f</v>
    <v>536870912</v>
    <v>1</v>
    <v>791</v>
    <v>17</v>
    <v>57</v>
    <v>Quedlinburg</v>
    <v>5</v>
    <v>6</v>
    <v>Map</v>
    <v>7</v>
    <v>14</v>
    <v>3785</v>
    <v>Quedlinburg is a town situated just north of the Harz mountains, in the district of Harz in the west of Saxony-Anhalt, Germany. As an influential and prosperous trading centre during the early Middle Ages, Quedlinburg became a center of ...</v>
    <v>3786</v>
    <v>3787</v>
    <v>3788</v>
    <v>3789</v>
    <v>21</v>
    <v>3790</v>
    <v>3791</v>
    <v>Quedlinburg</v>
    <v>Quedlinburg</v>
    <v>mdp/vdpid/7012014924608045057</v>
    <v>584</v>
  </rv>
  <rv s="0">
    <v>536870912</v>
    <v>Quickborn</v>
    <v>b48fd587-c4e0-f8ff-c3a2-5b685581158f</v>
    <v>de-DE</v>
    <v>Map</v>
  </rv>
  <rv s="0">
    <v>805306368</v>
    <v>Thomas Beckmann (Mayor)</v>
    <v>80e6bd7a-5c60-1115-a241-e976b1ae0e7a</v>
    <v>de-DE</v>
    <v>Generic</v>
  </rv>
  <rv s="1">
    <v>351</v>
  </rv>
  <rv s="2">
    <fb>22165</fb>
    <v>9</v>
  </rv>
  <rv s="3">
    <v>367</v>
    <v>7</v>
    <v>792</v>
    <v>7</v>
    <v>0</v>
    <v>Image of Quickborn</v>
  </rv>
  <rv s="2">
    <fb>53.733333333333299</fb>
    <v>10</v>
  </rv>
  <rv s="2">
    <fb>43.17</fb>
    <v>9</v>
  </rv>
  <rv s="2">
    <fb>9.8972222222222204</fb>
    <v>10</v>
  </rv>
  <rv s="4">
    <v>https://www.bing.com/search?q=quickborn+germany&amp;form=skydnc</v>
    <v>Learn more on Bing</v>
  </rv>
  <rv s="6">
    <v>#VALUE!</v>
    <v>de-DE</v>
    <v>b48fd587-c4e0-f8ff-c3a2-5b685581158f</v>
    <v>536870912</v>
    <v>1</v>
    <v>793</v>
    <v>2</v>
    <v>13</v>
    <v>Quickborn</v>
    <v>5</v>
    <v>6</v>
    <v>Map</v>
    <v>7</v>
    <v>14</v>
    <v>3795</v>
    <v>Quickborn is a rich and affluent town in the district of Pinneberg, in Schleswig-Holstein, Germany. It belongs to Metropolregion Hamburg and is located on the north part of Hamburg on Autobahn A7. It is a 700 year old town which also belonged to ...</v>
    <v>3796</v>
    <v>3797</v>
    <v>3798</v>
    <v>3799</v>
    <v>21</v>
    <v>3800</v>
    <v>3801</v>
    <v>Quickborn</v>
    <v>Quickborn</v>
    <v>mdp/vdpid/7010926278945538049</v>
    <v>326</v>
    <v>1239</v>
  </rv>
  <rv s="0">
    <v>536870912</v>
    <v>Radebeul</v>
    <v>7668dfe8-f5c6-7e59-9117-0a5b04a3824e</v>
    <v>de-DE</v>
    <v>Map</v>
  </rv>
  <rv s="0">
    <v>805306368</v>
    <v>Bert Wendsche (Mayor)</v>
    <v>2c0e41e9-9e4f-baba-57d7-12a614c4a677</v>
    <v>de-DE</v>
    <v>Generic</v>
  </rv>
  <rv s="1">
    <v>352</v>
  </rv>
  <rv s="2">
    <fb>34096</fb>
    <v>9</v>
  </rv>
  <rv s="3">
    <v>368</v>
    <v>7</v>
    <v>794</v>
    <v>7</v>
    <v>0</v>
    <v>Image of Radebeul</v>
  </rv>
  <rv s="2">
    <fb>51.103333333332998</fb>
    <v>10</v>
  </rv>
  <rv s="2">
    <fb>26.14</fb>
    <v>9</v>
  </rv>
  <rv s="2">
    <fb>13.67</fb>
    <v>10</v>
  </rv>
  <rv s="4">
    <v>https://www.bing.com/search?q=radebeul+germany&amp;form=skydnc</v>
    <v>Learn more on Bing</v>
  </rv>
  <rv s="6">
    <v>#VALUE!</v>
    <v>de-DE</v>
    <v>7668dfe8-f5c6-7e59-9117-0a5b04a3824e</v>
    <v>536870912</v>
    <v>1</v>
    <v>795</v>
    <v>2</v>
    <v>13</v>
    <v>Radebeul</v>
    <v>5</v>
    <v>6</v>
    <v>Map</v>
    <v>7</v>
    <v>14</v>
    <v>3805</v>
    <v>Radebeul is a town in the Elbe valley in the district of Meißen in Saxony, Germany, a suburb of Dresden. It is well known for its viticulture, a museum dedicated to writer Karl May, and a narrow gauge railway connecting Radebeul with the castle ...</v>
    <v>3806</v>
    <v>3807</v>
    <v>3808</v>
    <v>3809</v>
    <v>21</v>
    <v>3810</v>
    <v>3811</v>
    <v>Radebeul</v>
    <v>Radebeul</v>
    <v>mdp/vdpid/7018268671566938113</v>
    <v>106</v>
    <v>876</v>
  </rv>
  <rv s="0">
    <v>536870912</v>
    <v>Radevormwald</v>
    <v>5b5187b0-487e-bf3d-1b8c-6e28ea942001</v>
    <v>de-DE</v>
    <v>Map</v>
  </rv>
  <rv s="0">
    <v>805306368</v>
    <v>Johannes Mans (Mayor)</v>
    <v>27bde2cf-be7d-c24e-c21b-eba04dc46942</v>
    <v>de-DE</v>
    <v>Generic</v>
  </rv>
  <rv s="1">
    <v>353</v>
  </rv>
  <rv s="2">
    <fb>22222</fb>
    <v>9</v>
  </rv>
  <rv s="3">
    <v>369</v>
    <v>7</v>
    <v>796</v>
    <v>7</v>
    <v>0</v>
    <v>Image of Radevormwald</v>
  </rv>
  <rv s="2">
    <fb>53.86</fb>
    <v>9</v>
  </rv>
  <rv s="2">
    <fb>7.35</fb>
    <v>10</v>
  </rv>
  <rv s="4">
    <v>https://www.bing.com/search?q=radevormwald&amp;form=skydnc</v>
    <v>Learn more on Bing</v>
  </rv>
  <rv s="6">
    <v>#VALUE!</v>
    <v>de-DE</v>
    <v>5b5187b0-487e-bf3d-1b8c-6e28ea942001</v>
    <v>536870912</v>
    <v>1</v>
    <v>797</v>
    <v>2</v>
    <v>13</v>
    <v>Radevormwald</v>
    <v>5</v>
    <v>6</v>
    <v>Map</v>
    <v>7</v>
    <v>14</v>
    <v>3815</v>
    <v>Radevormwald is a municipality in the Oberbergischer Kreis, in North Rhine-Westphalia, Germany. It is one of the oldest towns in the Bergischen Land, formerly the County and Duchy of Berg.</v>
    <v>3816</v>
    <v>3817</v>
    <v>3244</v>
    <v>3818</v>
    <v>21</v>
    <v>3819</v>
    <v>3820</v>
    <v>Radevormwald</v>
    <v>Radevormwald</v>
    <v>mdp/vdpid/7011475378048860161</v>
    <v>10</v>
    <v>1281</v>
  </rv>
  <rv s="0">
    <v>536870912</v>
    <v>Rastatt</v>
    <v>46f47950-5fce-db33-e814-c173a6c740db</v>
    <v>de-DE</v>
    <v>Map</v>
  </rv>
  <rv s="0">
    <v>805306368</v>
    <v>Monika Müller (Mayor)</v>
    <v>4e33405c-d905-f23e-c712-94cdbc3ef907</v>
    <v>de-DE</v>
    <v>Generic</v>
  </rv>
  <rv s="1">
    <v>354</v>
  </rv>
  <rv s="2">
    <fb>50441</fb>
    <v>9</v>
  </rv>
  <rv s="3">
    <v>370</v>
    <v>7</v>
    <v>798</v>
    <v>7</v>
    <v>0</v>
    <v>Image of Rastatt</v>
  </rv>
  <rv s="2">
    <fb>48.857222222221999</fb>
    <v>10</v>
  </rv>
  <rv s="2">
    <fb>59.02</fb>
    <v>9</v>
  </rv>
  <rv s="2">
    <fb>8.2030555555556006</fb>
    <v>10</v>
  </rv>
  <rv s="4">
    <v>https://www.bing.com/search?q=rastatt+germany&amp;form=skydnc</v>
    <v>Learn more on Bing</v>
  </rv>
  <rv s="0">
    <v>536870912</v>
    <v>Rastatt</v>
    <v>0049caab-577c-4811-223c-4b78714e875b</v>
    <v>de-DE</v>
    <v>Map</v>
  </rv>
  <rv s="11">
    <v>#VALUE!</v>
    <v>de-DE</v>
    <v>46f47950-5fce-db33-e814-c173a6c740db</v>
    <v>536870912</v>
    <v>1</v>
    <v>799</v>
    <v>17</v>
    <v>57</v>
    <v>Rastatt</v>
    <v>5</v>
    <v>6</v>
    <v>Map</v>
    <v>7</v>
    <v>8</v>
    <v>3824</v>
    <v>Rastatt is a town with a Baroque core, District of Rastatt, Baden-Württemberg, Germany. It is located in the Upper Rhine Plain on the Murg river, 6 km above its junction with the Rhine and has a population of around 51,000. Rastatt was an ...</v>
    <v>3825</v>
    <v>3826</v>
    <v>3827</v>
    <v>3828</v>
    <v>21</v>
    <v>3829</v>
    <v>3830</v>
    <v>Rastatt</v>
    <v>Rastatt</v>
    <v>mdp/vdpid/7014840876488720385</v>
    <v>3831</v>
  </rv>
  <rv s="0">
    <v>536870912</v>
    <v>Rathenow</v>
    <v>8aa49e4f-cfaf-691e-e274-763af78eb751</v>
    <v>de-DE</v>
    <v>Map</v>
  </rv>
  <rv s="0">
    <v>805306368</v>
    <v>Jörg Zietemann (Mayor)</v>
    <v>e430fcf4-9248-f4ad-6dae-16e3cf0fe627</v>
    <v>de-DE</v>
    <v>Generic</v>
  </rv>
  <rv s="1">
    <v>355</v>
  </rv>
  <rv s="2">
    <fb>24597</fb>
    <v>9</v>
  </rv>
  <rv s="3">
    <v>371</v>
    <v>7</v>
    <v>800</v>
    <v>7</v>
    <v>0</v>
    <v>Image of Rathenow</v>
  </rv>
  <rv s="2">
    <fb>52.6</fb>
    <v>10</v>
  </rv>
  <rv s="2">
    <fb>113.1</fb>
    <v>9</v>
  </rv>
  <rv s="2">
    <fb>12.333333333333</fb>
    <v>10</v>
  </rv>
  <rv s="4">
    <v>https://www.bing.com/search?q=rathenow&amp;form=skydnc</v>
    <v>Learn more on Bing</v>
  </rv>
  <rv s="11">
    <v>#VALUE!</v>
    <v>de-DE</v>
    <v>8aa49e4f-cfaf-691e-e274-763af78eb751</v>
    <v>536870912</v>
    <v>1</v>
    <v>801</v>
    <v>17</v>
    <v>57</v>
    <v>Rathenow</v>
    <v>5</v>
    <v>6</v>
    <v>Map</v>
    <v>7</v>
    <v>14</v>
    <v>3835</v>
    <v>Rathenow is a town in the district of Havelland in Brandenburg, in eastern Germany, with a population of 24,063.</v>
    <v>3836</v>
    <v>3837</v>
    <v>3838</v>
    <v>3839</v>
    <v>21</v>
    <v>3840</v>
    <v>3841</v>
    <v>Rathenow</v>
    <v>Rathenow</v>
    <v>mdp/vdpid/7017850031994568705</v>
    <v>488</v>
  </rv>
  <rv s="0">
    <v>536870912</v>
    <v>Ratingen</v>
    <v>8b3ee846-8308-725e-af1f-58b35bf98355</v>
    <v>de-DE</v>
    <v>Map</v>
  </rv>
  <rv s="0">
    <v>805306368</v>
    <v>Klaus Konrad Pesch (Mayor)</v>
    <v>039a9379-c4fa-13b5-be9e-d24f08fdced4</v>
    <v>de-DE</v>
    <v>Generic</v>
  </rv>
  <rv s="1">
    <v>356</v>
  </rv>
  <rv s="2">
    <fb>87388</fb>
    <v>9</v>
  </rv>
  <rv s="3">
    <v>372</v>
    <v>7</v>
    <v>802</v>
    <v>7</v>
    <v>0</v>
    <v>Image of Ratingen</v>
  </rv>
  <rv s="2">
    <fb>51.3</fb>
    <v>10</v>
  </rv>
  <rv s="2">
    <fb>88.72</fb>
    <v>9</v>
  </rv>
  <rv s="2">
    <fb>6.85</fb>
    <v>10</v>
  </rv>
  <rv s="4">
    <v>https://www.bing.com/search?q=ratingen&amp;form=skydnc</v>
    <v>Learn more on Bing</v>
  </rv>
  <rv s="6">
    <v>#VALUE!</v>
    <v>de-DE</v>
    <v>8b3ee846-8308-725e-af1f-58b35bf98355</v>
    <v>536870912</v>
    <v>1</v>
    <v>803</v>
    <v>2</v>
    <v>13</v>
    <v>Ratingen</v>
    <v>5</v>
    <v>6</v>
    <v>Map</v>
    <v>7</v>
    <v>14</v>
    <v>3845</v>
    <v>Ratingen is a town in the district of Mettmann in North Rhine-Westphalia, Germany. It lies in the northwestern part of Berg about 12 km northeast of Düsseldorf.</v>
    <v>3846</v>
    <v>3847</v>
    <v>3848</v>
    <v>3849</v>
    <v>21</v>
    <v>3850</v>
    <v>3851</v>
    <v>Ratingen</v>
    <v>Ratingen</v>
    <v>mdp/vdpid/7011377426739494913</v>
    <v>1029</v>
    <v>2076</v>
  </rv>
  <rv s="0">
    <v>536870912</v>
    <v>Ravensburg</v>
    <v>9a631c79-6027-d5b2-722b-ac62a1b3d249</v>
    <v>de-DE</v>
    <v>Map</v>
  </rv>
  <rv s="0">
    <v>805306368</v>
    <v>Daniel Rapp (Mayor)</v>
    <v>b5dc6a26-9b6e-b372-023e-290835097b4d</v>
    <v>de-DE</v>
    <v>Generic</v>
  </rv>
  <rv s="1">
    <v>357</v>
  </rv>
  <rv s="2">
    <fb>51482</fb>
    <v>9</v>
  </rv>
  <rv s="3">
    <v>373</v>
    <v>7</v>
    <v>804</v>
    <v>7</v>
    <v>0</v>
    <v>Image of Ravensburg</v>
  </rv>
  <rv s="2">
    <fb>47.783055555555997</fb>
    <v>10</v>
  </rv>
  <rv s="2">
    <fb>92.05</fb>
    <v>9</v>
  </rv>
  <rv s="2">
    <fb>9.6113888888889001</fb>
    <v>10</v>
  </rv>
  <rv s="4">
    <v>https://www.bing.com/search?q=ravensburg&amp;form=skydnc</v>
    <v>Learn more on Bing</v>
  </rv>
  <rv s="10">
    <v>#VALUE!</v>
    <v>de-DE</v>
    <v>9a631c79-6027-d5b2-722b-ac62a1b3d249</v>
    <v>536870912</v>
    <v>1</v>
    <v>805</v>
    <v>39</v>
    <v>40</v>
    <v>Ravensburg</v>
    <v>5</v>
    <v>6</v>
    <v>Map</v>
    <v>7</v>
    <v>14</v>
    <v>3855</v>
    <v>Ravensburg is a city in Upper Swabia in Southern Germany, capital of the district of Ravensburg, Baden-Württemberg. Ravensburg was first mentioned in 1088. In the Middle Ages, it was an Imperial Free City and an important trading centre. The ...</v>
    <v>3856</v>
    <v>3857</v>
    <v>3858</v>
    <v>3859</v>
    <v>21</v>
    <v>3860</v>
    <v>3861</v>
    <v>Ravensburg</v>
    <v>Ravensburg</v>
    <v>mdp/vdpid/7016091091153715201</v>
    <v>203</v>
  </rv>
  <rv s="0">
    <v>536870912</v>
    <v>Recklinghausen</v>
    <v>f03ba686-0346-e356-6609-2a70feed0d9c</v>
    <v>de-DE</v>
    <v>Map</v>
  </rv>
  <rv s="0">
    <v>805306368</v>
    <v>Christoph Tesche (Mayor)</v>
    <v>6051491b-4862-6558-d35b-45f51835a984</v>
    <v>de-DE</v>
    <v>Generic</v>
  </rv>
  <rv s="1">
    <v>358</v>
  </rv>
  <rv s="2">
    <fb>111734</fb>
    <v>9</v>
  </rv>
  <rv s="3">
    <v>374</v>
    <v>7</v>
    <v>806</v>
    <v>7</v>
    <v>0</v>
    <v>Image of Recklinghausen</v>
  </rv>
  <rv s="2">
    <fb>66.5</fb>
    <v>9</v>
  </rv>
  <rv s="2">
    <fb>7.2</fb>
    <v>10</v>
  </rv>
  <rv s="4">
    <v>https://www.bing.com/search?q=recklinghausen+germany&amp;form=skydnc</v>
    <v>Learn more on Bing</v>
  </rv>
  <rv s="6">
    <v>#VALUE!</v>
    <v>de-DE</v>
    <v>f03ba686-0346-e356-6609-2a70feed0d9c</v>
    <v>536870912</v>
    <v>1</v>
    <v>807</v>
    <v>2</v>
    <v>13</v>
    <v>Recklinghausen</v>
    <v>5</v>
    <v>6</v>
    <v>Map</v>
    <v>7</v>
    <v>14</v>
    <v>3865</v>
    <v>Recklinghausen is the northernmost city in the Ruhr-Area and the capital of the Recklinghausen district. It borders the rural Münsterland and is characterized by large fields and farms in the north and industry in the south. Recklinghausen is ...</v>
    <v>3866</v>
    <v>3867</v>
    <v>3023</v>
    <v>3868</v>
    <v>21</v>
    <v>3869</v>
    <v>3870</v>
    <v>Recklinghausen</v>
    <v>Recklinghausen</v>
    <v>mdp/vdpid/7011421190124208129</v>
    <v>24</v>
    <v>814</v>
  </rv>
  <rv s="0">
    <v>536870912</v>
    <v>Regionalverband Saarbrücken</v>
    <v>eec4e4e9-40e5-4075-b4dc-e58a725dce93</v>
    <v>de-DE</v>
    <v>Map</v>
  </rv>
  <rv s="2">
    <fb>349177</fb>
    <v>9</v>
  </rv>
  <rv s="3">
    <v>375</v>
    <v>7</v>
    <v>808</v>
    <v>7</v>
    <v>0</v>
    <v>Image of Saarbrücken</v>
  </rv>
  <rv s="2">
    <fb>410.64</fb>
    <v>9</v>
  </rv>
  <rv s="0">
    <v>536870912</v>
    <v>Völklingen</v>
    <v>c49c6b63-3d68-fc64-c6ba-4160a9015dc8</v>
    <v>de-DE</v>
    <v>Map</v>
  </rv>
  <rv s="4">
    <v>https://www.bing.com/search?q=saarbr%c3%bccken&amp;form=skydnc</v>
    <v>Learn more on Bing</v>
  </rv>
  <rv s="14">
    <v>#VALUE!</v>
    <v>de-DE</v>
    <v>eec4e4e9-40e5-4075-b4dc-e58a725dce93</v>
    <v>536870912</v>
    <v>1</v>
    <v>810</v>
    <v>151</v>
    <v>152</v>
    <v>Saarbrücken</v>
    <v>5</v>
    <v>6</v>
    <v>Map</v>
    <v>7</v>
    <v>811</v>
    <v>The Regionalverband Saarbrücken is a Kommunalverband besonderer Art, an integration of a district and a district-free town. It is located in the south of the Saarland, Germany. Neighboring districts are Saarlouis, Neunkirchen, Saar-Pfalz, and ...</v>
    <v>3873</v>
    <v>3874</v>
    <v>3875</v>
    <v>3876</v>
    <v>21</v>
    <v>3877</v>
    <v>Saarbrücken</v>
    <v>Saarbrücken</v>
    <v>mdp/vdpid/10570645</v>
    <v>2264</v>
  </rv>
  <rv s="0">
    <v>805306368</v>
    <v>Christiane Blatt (Mayor)</v>
    <v>473c6838-55e6-72eb-4a49-d88aa9ab63e2</v>
    <v>de-DE</v>
    <v>Generic</v>
  </rv>
  <rv s="1">
    <v>359</v>
  </rv>
  <rv s="2">
    <fb>40192</fb>
    <v>9</v>
  </rv>
  <rv s="3">
    <v>376</v>
    <v>7</v>
    <v>812</v>
    <v>7</v>
    <v>0</v>
    <v>Image of Völklingen</v>
  </rv>
  <rv s="2">
    <fb>49.25</fb>
    <v>10</v>
  </rv>
  <rv s="2">
    <fb>67.099999999999994</fb>
    <v>9</v>
  </rv>
  <rv s="2">
    <fb>6.8333333333333304</fb>
    <v>10</v>
  </rv>
  <rv s="4">
    <v>https://www.bing.com/search?q=v%c3%b6lklingen+germany&amp;form=skydnc</v>
    <v>Learn more on Bing</v>
  </rv>
  <rv s="6">
    <v>#VALUE!</v>
    <v>de-DE</v>
    <v>c49c6b63-3d68-fc64-c6ba-4160a9015dc8</v>
    <v>536870912</v>
    <v>1</v>
    <v>813</v>
    <v>2</v>
    <v>13</v>
    <v>Völklingen</v>
    <v>5</v>
    <v>6</v>
    <v>Map</v>
    <v>7</v>
    <v>14</v>
    <v>3880</v>
    <v>Völklingen is a town in the district of Saarbrücken, in Saarland, Germany. It is situated on the river Saar, approx. 10 km west of Saarbrücken, and directly borders France. The town is known for its industrial past, the Völklinger Hütte being ...</v>
    <v>3881</v>
    <v>3882</v>
    <v>3883</v>
    <v>3884</v>
    <v>21</v>
    <v>3885</v>
    <v>3886</v>
    <v>Völklingen</v>
    <v>Völklingen</v>
    <v>mdp/vdpid/7014496144914907137</v>
    <v>2264</v>
    <v>3872</v>
  </rv>
  <rv s="0">
    <v>536870912</v>
    <v>Reichenbach im Vogtland</v>
    <v>081402da-eb53-56ed-f440-960a5340491c</v>
    <v>de-DE</v>
    <v>Map</v>
  </rv>
  <rv s="0">
    <v>805306368</v>
    <v>Henry Ruß (Mayor)</v>
    <v>e91c2356-e656-8ab6-8e73-9b72ee521ff2</v>
    <v>de-DE</v>
    <v>Generic</v>
  </rv>
  <rv s="1">
    <v>360</v>
  </rv>
  <rv s="2">
    <fb>20371</fb>
    <v>9</v>
  </rv>
  <rv s="3">
    <v>377</v>
    <v>7</v>
    <v>814</v>
    <v>7</v>
    <v>0</v>
    <v>Image of Reichenbach im Vogtland</v>
  </rv>
  <rv s="2">
    <fb>50.616666666667001</fb>
    <v>10</v>
  </rv>
  <rv s="2">
    <fb>34.46</fb>
    <v>9</v>
  </rv>
  <rv s="2">
    <fb>12.3</fb>
    <v>10</v>
  </rv>
  <rv s="4">
    <v>https://www.bing.com/search?q=reichenbach+im+vogtland+germany&amp;form=skydnc</v>
    <v>Learn more on Bing</v>
  </rv>
  <rv s="6">
    <v>#VALUE!</v>
    <v>de-DE</v>
    <v>081402da-eb53-56ed-f440-960a5340491c</v>
    <v>536870912</v>
    <v>1</v>
    <v>815</v>
    <v>2</v>
    <v>13</v>
    <v>Reichenbach im Vogtland</v>
    <v>5</v>
    <v>6</v>
    <v>Map</v>
    <v>7</v>
    <v>14</v>
    <v>3890</v>
    <v>Reichenbach im Vogtland is a town in the Vogtlandkreis district of Saxony in eastern Germany. With a population of 20,108, it is the second-largest town in the Vogtlandkreis after Plauen. It is located close to the A72 between Plauen and Zwickau.</v>
    <v>3891</v>
    <v>3892</v>
    <v>3893</v>
    <v>3894</v>
    <v>21</v>
    <v>3895</v>
    <v>3896</v>
    <v>Reichenbach im Vogtland</v>
    <v>Reichenbach im Vogtland</v>
    <v>mdp/vdpid/7021149953649016833</v>
    <v>106</v>
    <v>182</v>
  </rv>
  <rv s="0">
    <v>536870912</v>
    <v>Remscheid</v>
    <v>ac1d3258-08f3-d8d3-dea4-707744f81166</v>
    <v>de-DE</v>
    <v>Map</v>
  </rv>
  <rv s="0">
    <v>805306368</v>
    <v>Burkhard Mast-Weisz (Mayor)</v>
    <v>bd111665-1e53-90a1-7fae-0a17e1175b01</v>
    <v>de-DE</v>
    <v>Generic</v>
  </rv>
  <rv s="1">
    <v>361</v>
  </rv>
  <rv s="2">
    <fb>112613</fb>
    <v>9</v>
  </rv>
  <rv s="3">
    <v>378</v>
    <v>7</v>
    <v>816</v>
    <v>7</v>
    <v>0</v>
    <v>Image of Remscheid</v>
  </rv>
  <rv s="2">
    <fb>51.179870600000001</fb>
    <v>10</v>
  </rv>
  <rv s="2">
    <fb>74.52</fb>
    <v>9</v>
  </rv>
  <rv s="2">
    <fb>7.1943543999999999</fb>
    <v>10</v>
  </rv>
  <rv s="4">
    <v>https://www.bing.com/search?q=remscheid+germany&amp;form=skydnc</v>
    <v>Learn more on Bing</v>
  </rv>
  <rv s="6">
    <v>#VALUE!</v>
    <v>de-DE</v>
    <v>ac1d3258-08f3-d8d3-dea4-707744f81166</v>
    <v>536870912</v>
    <v>1</v>
    <v>817</v>
    <v>2</v>
    <v>13</v>
    <v>Remscheid</v>
    <v>5</v>
    <v>6</v>
    <v>Map</v>
    <v>7</v>
    <v>14</v>
    <v>3900</v>
    <v>Remscheid is a city in North Rhine-Westphalia, Germany. It is, after Wuppertal and Solingen, the third-largest municipality in Bergisches Land, being located on the northern edge of the region, on the south side of the Ruhr area.</v>
    <v>3901</v>
    <v>3902</v>
    <v>3903</v>
    <v>3904</v>
    <v>21</v>
    <v>3905</v>
    <v>3906</v>
    <v>Remscheid</v>
    <v>Remscheid</v>
    <v>mdp/vdpid/7011475452506144769</v>
    <v>412</v>
    <v>1029</v>
  </rv>
  <rv s="0">
    <v>536870912</v>
    <v>Rendsburg</v>
    <v>59cb8938-071f-59e4-331d-2a779771d753</v>
    <v>de-DE</v>
    <v>Map</v>
  </rv>
  <rv s="0">
    <v>805306368</v>
    <v>Janet Sönnichsen (Mayor)</v>
    <v>409bb0d3-1dfb-7670-36cb-7202f2887a24</v>
    <v>de-DE</v>
    <v>Generic</v>
  </rv>
  <rv s="1">
    <v>362</v>
  </rv>
  <rv s="2">
    <fb>29743</fb>
    <v>9</v>
  </rv>
  <rv s="3">
    <v>379</v>
    <v>7</v>
    <v>818</v>
    <v>7</v>
    <v>0</v>
    <v>Image of Rendsburg</v>
  </rv>
  <rv s="2">
    <fb>54.304444444444002</fb>
    <v>10</v>
  </rv>
  <rv s="2">
    <fb>23.75</fb>
    <v>9</v>
  </rv>
  <rv s="2">
    <fb>9.6644444444444009</fb>
    <v>10</v>
  </rv>
  <rv s="4">
    <v>https://www.bing.com/search?q=rendsburg+germany&amp;form=skydnc</v>
    <v>Learn more on Bing</v>
  </rv>
  <rv s="5">
    <v>#VALUE!</v>
    <v>de-DE</v>
    <v>59cb8938-071f-59e4-331d-2a779771d753</v>
    <v>536870912</v>
    <v>1</v>
    <v>819</v>
    <v>2</v>
    <v>3</v>
    <v>Rendsburg</v>
    <v>5</v>
    <v>6</v>
    <v>Map</v>
    <v>7</v>
    <v>14</v>
    <v>3910</v>
    <v>Rendsburg is a town on the River Eider and the Kiel Canal in the central part of Schleswig-Holstein, Germany. It is the capital of the Kreis of Rendsburg-Eckernförde. As of 2006, it had a population of 28,476.</v>
    <v>3911</v>
    <v>3912</v>
    <v>3913</v>
    <v>3914</v>
    <v>21</v>
    <v>3915</v>
    <v>3916</v>
    <v>Rendsburg</v>
    <v>Rendsburg</v>
    <v>mdp/vdpid/7010760864588365826</v>
    <v>326</v>
    <v>1176</v>
    <v>62</v>
  </rv>
  <rv s="0">
    <v>536870912</v>
    <v>Rheine</v>
    <v>92a938e5-d68f-2bf3-1626-b7e8c45ec3eb</v>
    <v>de-DE</v>
    <v>Map</v>
  </rv>
  <rv s="0">
    <v>805306368</v>
    <v>Peter Lüttmann (Mayor)</v>
    <v>df16aa64-6f3f-6c9c-eee3-c1c702d4c7df</v>
    <v>de-DE</v>
    <v>Generic</v>
  </rv>
  <rv s="1">
    <v>363</v>
  </rv>
  <rv s="2">
    <fb>77893</fb>
    <v>9</v>
  </rv>
  <rv s="3">
    <v>380</v>
    <v>7</v>
    <v>820</v>
    <v>7</v>
    <v>0</v>
    <v>Image of Rheine</v>
  </rv>
  <rv s="2">
    <fb>52.283333333332997</fb>
    <v>10</v>
  </rv>
  <rv s="2">
    <fb>145</fb>
    <v>9</v>
  </rv>
  <rv s="2">
    <fb>7.4333333333332998</fb>
    <v>10</v>
  </rv>
  <rv s="4">
    <v>https://www.bing.com/search?q=rheine+germany&amp;form=skydnc</v>
    <v>Learn more on Bing</v>
  </rv>
  <rv s="6">
    <v>#VALUE!</v>
    <v>de-DE</v>
    <v>92a938e5-d68f-2bf3-1626-b7e8c45ec3eb</v>
    <v>536870912</v>
    <v>1</v>
    <v>821</v>
    <v>2</v>
    <v>13</v>
    <v>Rheine</v>
    <v>5</v>
    <v>6</v>
    <v>Map</v>
    <v>7</v>
    <v>14</v>
    <v>3920</v>
    <v>Rheine is a city in the district of Steinfurt in Westphalia, Germany. It is the largest city in the district and the location of Rheine Air Base.</v>
    <v>3921</v>
    <v>3922</v>
    <v>3923</v>
    <v>3924</v>
    <v>21</v>
    <v>3925</v>
    <v>3926</v>
    <v>Rheine</v>
    <v>Rheine</v>
    <v>mdp/vdpid/7011219849422569473</v>
    <v>24</v>
    <v>1270</v>
  </rv>
  <rv s="0">
    <v>536870912</v>
    <v>Rheinhausen</v>
    <v>8ff3a6c0-f5fd-7417-8f30-abda47c1f0d1</v>
    <v>de-DE</v>
    <v>Map</v>
  </rv>
  <rv s="0">
    <v>805306368</v>
    <v>Jürgen Louis (Mayor)</v>
    <v>61829b2b-ef34-ded2-85fb-6d58bc907320</v>
    <v>de-DE</v>
    <v>Generic</v>
  </rv>
  <rv s="1">
    <v>364</v>
  </rv>
  <rv s="2">
    <fb>4265</fb>
    <v>9</v>
  </rv>
  <rv s="3">
    <v>381</v>
    <v>7</v>
    <v>822</v>
    <v>7</v>
    <v>0</v>
    <v>Image of Rheinhausen</v>
  </rv>
  <rv s="2">
    <fb>48.226666666667001</fb>
    <v>10</v>
  </rv>
  <rv s="2">
    <fb>22</fb>
    <v>9</v>
  </rv>
  <rv s="2">
    <fb>7.7125000000000004</fb>
    <v>10</v>
  </rv>
  <rv s="4">
    <v>https://www.bing.com/search?q=rheinhausen+germany&amp;form=skydnc</v>
    <v>Learn more on Bing</v>
  </rv>
  <rv s="11">
    <v>#VALUE!</v>
    <v>de-DE</v>
    <v>8ff3a6c0-f5fd-7417-8f30-abda47c1f0d1</v>
    <v>536870912</v>
    <v>1</v>
    <v>823</v>
    <v>17</v>
    <v>57</v>
    <v>Rheinhausen</v>
    <v>5</v>
    <v>6</v>
    <v>Map</v>
    <v>7</v>
    <v>14</v>
    <v>3930</v>
    <v>Rheinhausen is a town in the district of Emmendingen in Baden-Württemberg in Germany.</v>
    <v>3931</v>
    <v>3932</v>
    <v>3933</v>
    <v>3934</v>
    <v>21</v>
    <v>3935</v>
    <v>3936</v>
    <v>Rheinhausen</v>
    <v>Rheinhausen</v>
    <v>mdp/vdpid/7014889700015996929</v>
    <v>370</v>
  </rv>
  <rv s="0">
    <v>536870912</v>
    <v>Rheydt</v>
    <v>c36ce232-8035-6393-26d4-6b6fb8a76fc1</v>
    <v>de-DE</v>
    <v>Map</v>
  </rv>
  <rv s="3">
    <v>382</v>
    <v>7</v>
    <v>824</v>
    <v>7</v>
    <v>0</v>
    <v>Image of Rheydt</v>
  </rv>
  <rv s="2">
    <fb>51.166666666666998</fb>
    <v>10</v>
  </rv>
  <rv s="2">
    <fb>1.448</fb>
    <v>9</v>
  </rv>
  <rv s="2">
    <fb>6.45</fb>
    <v>10</v>
  </rv>
  <rv s="4">
    <v>https://www.bing.com/search?q=rheydt+germany&amp;form=skydnc</v>
    <v>Learn more on Bing</v>
  </rv>
  <rv s="17">
    <v>#VALUE!</v>
    <v>de-DE</v>
    <v>c36ce232-8035-6393-26d4-6b6fb8a76fc1</v>
    <v>536870912</v>
    <v>1</v>
    <v>825</v>
    <v>263</v>
    <v>264</v>
    <v>Rheydt</v>
    <v>5</v>
    <v>6</v>
    <v>Map</v>
    <v>7</v>
    <v>265</v>
    <v>Rheydt is a borough of the German city Mönchengladbach, located in the west of North Rhine-Westphalia. Until 1918 and then again from 1933 through 1975 it was an independent city. After merging with Mönchengladbach, the central station kept its ...</v>
    <v>3939</v>
    <v>3940</v>
    <v>3941</v>
    <v>21</v>
    <v>3942</v>
    <v>3943</v>
    <v>Rheydt</v>
    <v>Rheydt</v>
    <v>mdp/vdpid/7011367793564057601</v>
    <v>1029</v>
    <v>3239</v>
  </rv>
  <rv s="0">
    <v>536870912</v>
    <v>Riesa</v>
    <v>2fa5dddd-662c-ff1c-af7b-e5bdfbf529b6</v>
    <v>de-DE</v>
    <v>Map</v>
  </rv>
  <rv s="0">
    <v>805306368</v>
    <v>Marco Müller (Mayor)</v>
    <v>915de751-39d0-c4ec-faf4-2566d95e8a5f</v>
    <v>de-DE</v>
    <v>Generic</v>
  </rv>
  <rv s="1">
    <v>365</v>
  </rv>
  <rv s="2">
    <fb>29076</fb>
    <v>9</v>
  </rv>
  <rv s="3">
    <v>383</v>
    <v>7</v>
    <v>826</v>
    <v>7</v>
    <v>0</v>
    <v>Image of Riesa</v>
  </rv>
  <rv s="2">
    <fb>51.308055555556003</fb>
    <v>10</v>
  </rv>
  <rv s="2">
    <fb>58.91</fb>
    <v>9</v>
  </rv>
  <rv s="2">
    <fb>13.293888888889001</fb>
    <v>10</v>
  </rv>
  <rv s="4">
    <v>https://www.bing.com/search?q=riesa+germany&amp;form=skydnc</v>
    <v>Learn more on Bing</v>
  </rv>
  <rv s="6">
    <v>#VALUE!</v>
    <v>de-DE</v>
    <v>2fa5dddd-662c-ff1c-af7b-e5bdfbf529b6</v>
    <v>536870912</v>
    <v>1</v>
    <v>827</v>
    <v>2</v>
    <v>13</v>
    <v>Riesa</v>
    <v>5</v>
    <v>6</v>
    <v>Map</v>
    <v>7</v>
    <v>14</v>
    <v>3947</v>
    <v>Riesa is a town in the district of Meißen in Saxony, Germany. It is located on the river Elbe, approximately 40 kilometres northwest of Dresden.</v>
    <v>3948</v>
    <v>3949</v>
    <v>3950</v>
    <v>3951</v>
    <v>21</v>
    <v>3952</v>
    <v>3953</v>
    <v>Riesa</v>
    <v>Riesa</v>
    <v>mdp/vdpid/7018190957774372865</v>
    <v>106</v>
    <v>876</v>
  </rv>
  <rv s="0">
    <v>536870912</v>
    <v>Rosenheim</v>
    <v>91bcdb59-5aa9-e3ec-ebea-40124a5dc81b</v>
    <v>de-DE</v>
    <v>Map</v>
  </rv>
  <rv s="0">
    <v>805306368</v>
    <v>Andreas März (Mayor)</v>
    <v>e5bd09ba-947d-26b9-31c2-f329a5674da8</v>
    <v>de-DE</v>
    <v>Generic</v>
  </rv>
  <rv s="1">
    <v>366</v>
  </rv>
  <rv s="2">
    <fb>64403</fb>
    <v>9</v>
  </rv>
  <rv s="3">
    <v>384</v>
    <v>7</v>
    <v>828</v>
    <v>7</v>
    <v>0</v>
    <v>Image of Rosenheim</v>
  </rv>
  <rv s="2">
    <fb>37.22</fb>
    <v>9</v>
  </rv>
  <rv s="2">
    <fb>12.128888888889</fb>
    <v>10</v>
  </rv>
  <rv s="4">
    <v>https://www.bing.com/search?q=rosenheim&amp;form=skydnc</v>
    <v>Learn more on Bing</v>
  </rv>
  <rv s="9">
    <v>#VALUE!</v>
    <v>de-DE</v>
    <v>91bcdb59-5aa9-e3ec-ebea-40124a5dc81b</v>
    <v>536870912</v>
    <v>1</v>
    <v>829</v>
    <v>27</v>
    <v>28</v>
    <v>Rosenheim</v>
    <v>5</v>
    <v>6</v>
    <v>Map</v>
    <v>7</v>
    <v>14</v>
    <v>3957</v>
    <v>Rosenheim is a city in Bavaria, Germany. It is an independent city located in the centre of the district of Rosenheim, and is also the seat of its administration. It is located on the west bank of the Inn at the confluence of the rivers Inn and ...</v>
    <v>3958</v>
    <v>3959</v>
    <v>1403</v>
    <v>3960</v>
    <v>21</v>
    <v>3961</v>
    <v>3962</v>
    <v>Rosenheim</v>
    <v>Rosenheim</v>
    <v>mdp/vdpid/7021524478421106689</v>
  </rv>
  <rv s="0">
    <v>536870912</v>
    <v>Rostock</v>
    <v>24eab0bd-c5cc-d320-e384-08370cdc8d63</v>
    <v>de-DE</v>
    <v>Map</v>
  </rv>
  <rv s="0">
    <v>805306368</v>
    <v>Eva-Maria Kröger (Mayor)</v>
    <v>6ae4060b-7c19-8210-3bc1-c9aa6dc8d34a</v>
    <v>de-DE</v>
    <v>Generic</v>
  </rv>
  <rv s="1">
    <v>367</v>
  </rv>
  <rv s="2">
    <fb>208400</fb>
    <v>9</v>
  </rv>
  <rv s="3">
    <v>385</v>
    <v>7</v>
    <v>830</v>
    <v>7</v>
    <v>0</v>
    <v>Image of Rostock</v>
  </rv>
  <rv s="2">
    <fb>181.36</fb>
    <v>9</v>
  </rv>
  <rv s="2">
    <fb>12.133333333333001</fb>
    <v>10</v>
  </rv>
  <rv s="4">
    <v>https://www.bing.com/search?q=rostock&amp;form=skydnc</v>
    <v>Learn more on Bing</v>
  </rv>
  <rv s="11">
    <v>#VALUE!</v>
    <v>de-DE</v>
    <v>24eab0bd-c5cc-d320-e384-08370cdc8d63</v>
    <v>536870912</v>
    <v>1</v>
    <v>831</v>
    <v>17</v>
    <v>57</v>
    <v>Rostock</v>
    <v>5</v>
    <v>6</v>
    <v>Map</v>
    <v>7</v>
    <v>8</v>
    <v>3966</v>
    <v>Rostock, officially the Hanseatic and University City of Rostock, is the largest city in the German state of Mecklenburg-Vorpommern and lies in the Mecklenburgian part of the state, close to the border with Pomerania. With around 210,000 ...</v>
    <v>3967</v>
    <v>3968</v>
    <v>1814</v>
    <v>3969</v>
    <v>1341</v>
    <v>3970</v>
    <v>3971</v>
    <v>Rostock</v>
    <v>Rostock</v>
    <v>mdp/vdpid/7016950988971966465</v>
    <v>94</v>
  </rv>
  <rv s="0">
    <v>536870912</v>
    <v>Rudolstadt</v>
    <v>a67fc401-0ec2-be9e-d740-4ff11ca544c5</v>
    <v>de-DE</v>
    <v>Map</v>
  </rv>
  <rv s="0">
    <v>805306368</v>
    <v>Jörg Reichl (Mayor)</v>
    <v>46bf3b65-34f4-ce69-3f59-f422fed14309</v>
    <v>de-DE</v>
    <v>Generic</v>
  </rv>
  <rv s="1">
    <v>368</v>
  </rv>
  <rv s="2">
    <fb>24749</fb>
    <v>9</v>
  </rv>
  <rv s="3">
    <v>386</v>
    <v>7</v>
    <v>832</v>
    <v>7</v>
    <v>0</v>
    <v>Image of Rudolstadt</v>
  </rv>
  <rv s="2">
    <fb>50.716944444444003</fb>
    <v>10</v>
  </rv>
  <rv s="2">
    <fb>55.41</fb>
    <v>9</v>
  </rv>
  <rv s="2">
    <fb>11.327500000000001</fb>
    <v>10</v>
  </rv>
  <rv s="4">
    <v>https://www.bing.com/search?q=rudolstadt+germany&amp;form=skydnc</v>
    <v>Learn more on Bing</v>
  </rv>
  <rv s="0">
    <v>536870912</v>
    <v>Landkreis Saalfeld-Rudolstadt</v>
    <v>16599295-69ac-0a01-3ff6-62624ce9930d</v>
    <v>de-DE</v>
    <v>Map</v>
  </rv>
  <rv s="10">
    <v>#VALUE!</v>
    <v>de-DE</v>
    <v>a67fc401-0ec2-be9e-d740-4ff11ca544c5</v>
    <v>536870912</v>
    <v>1</v>
    <v>833</v>
    <v>39</v>
    <v>40</v>
    <v>Rudolstadt</v>
    <v>5</v>
    <v>6</v>
    <v>Map</v>
    <v>7</v>
    <v>14</v>
    <v>3975</v>
    <v>Rudolstadt is a town in the German federal state Thuringia, within the Thuringian Forest, to the southwest, and to Jena and Weimar to the north. The former capital of Schwarzburg-Rudolstadt, the town is built along the River Saale inside a wide ...</v>
    <v>3976</v>
    <v>3977</v>
    <v>3978</v>
    <v>3979</v>
    <v>21</v>
    <v>3980</v>
    <v>3981</v>
    <v>Rudolstadt</v>
    <v>Rudolstadt</v>
    <v>mdp/vdpid/7018108486282117121</v>
    <v>3982</v>
  </rv>
  <rv s="0">
    <v>536870912</v>
    <v>Rüsselsheim am Main</v>
    <v>cd182688-8b25-a566-4bc3-602526ae8053</v>
    <v>de-DE</v>
    <v>Map</v>
  </rv>
  <rv s="0">
    <v>805306368</v>
    <v>Udo Bausch (Mayor)</v>
    <v>0227b195-f583-6950-f8d7-1e1801d29c01</v>
    <v>de-DE</v>
    <v>Generic</v>
  </rv>
  <rv s="1">
    <v>369</v>
  </rv>
  <rv s="2">
    <fb>67277</fb>
    <v>9</v>
  </rv>
  <rv s="3">
    <v>387</v>
    <v>7</v>
    <v>834</v>
    <v>7</v>
    <v>0</v>
    <v>Image of Rüsselsheim am Main</v>
  </rv>
  <rv s="2">
    <fb>49.994999999999997</fb>
    <v>10</v>
  </rv>
  <rv s="2">
    <fb>58.29</fb>
    <v>9</v>
  </rv>
  <rv s="2">
    <fb>8.4119444444443996</fb>
    <v>10</v>
  </rv>
  <rv s="4">
    <v>https://www.bing.com/search?q=r%c3%bcsselsheim+germany&amp;form=skydnc</v>
    <v>Learn more on Bing</v>
  </rv>
  <rv s="0">
    <v>536870912</v>
    <v>Groß-Gerau</v>
    <v>6537d6c1-8e94-5e21-5def-b7aa7ca5c1e0</v>
    <v>de-DE</v>
    <v>Map</v>
  </rv>
  <rv s="6">
    <v>#VALUE!</v>
    <v>de-DE</v>
    <v>cd182688-8b25-a566-4bc3-602526ae8053</v>
    <v>536870912</v>
    <v>1</v>
    <v>835</v>
    <v>2</v>
    <v>13</v>
    <v>Rüsselsheim am Main</v>
    <v>5</v>
    <v>6</v>
    <v>Map</v>
    <v>7</v>
    <v>14</v>
    <v>3986</v>
    <v>Rüsselsheim am Main is the largest city in the Groß-Gerau district in the Rhein-Main region of Germany. It is one of seven special status cities in Hessen and is located on the Main, between Frankfurt and Mainz, only a few kilometres from its ...</v>
    <v>3987</v>
    <v>3988</v>
    <v>3989</v>
    <v>3990</v>
    <v>21</v>
    <v>3991</v>
    <v>3992</v>
    <v>Rüsselsheim am Main</v>
    <v>Rüsselsheim am Main</v>
    <v>mdp/vdpid/7014567171594387457</v>
    <v>303</v>
    <v>3993</v>
  </rv>
  <rv s="0">
    <v>536870912</v>
    <v>Saalfeld/Saale</v>
    <v>8e304a58-7343-39b5-323f-f30fe9814195</v>
    <v>de-DE</v>
    <v>Map</v>
  </rv>
  <rv s="0">
    <v>805306368</v>
    <v>Steffen Kania (Mayor)</v>
    <v>60b91160-3529-9935-565f-8e263bde17f5</v>
    <v>de-DE</v>
    <v>Generic</v>
  </rv>
  <rv s="1">
    <v>370</v>
  </rv>
  <rv s="2">
    <fb>29224</fb>
    <v>9</v>
  </rv>
  <rv s="3">
    <v>388</v>
    <v>7</v>
    <v>836</v>
    <v>7</v>
    <v>0</v>
    <v>Image of Saalfeld</v>
  </rv>
  <rv s="2">
    <fb>50.650555555555997</fb>
    <v>10</v>
  </rv>
  <rv s="2">
    <fb>116.04</fb>
    <v>9</v>
  </rv>
  <rv s="2">
    <fb>11.354166666667</fb>
    <v>10</v>
  </rv>
  <rv s="4">
    <v>https://www.bing.com/search?q=saalfeld+germany&amp;form=skydnc</v>
    <v>Learn more on Bing</v>
  </rv>
  <rv s="10">
    <v>#VALUE!</v>
    <v>de-DE</v>
    <v>8e304a58-7343-39b5-323f-f30fe9814195</v>
    <v>536870912</v>
    <v>1</v>
    <v>837</v>
    <v>39</v>
    <v>40</v>
    <v>Saalfeld</v>
    <v>5</v>
    <v>6</v>
    <v>Map</v>
    <v>7</v>
    <v>14</v>
    <v>3997</v>
    <v>Saalfeld is a town in Germany, capital of the Saalfeld-Rudolstadt district of Thuringia. It is best known internationally as the ancestral seat of the Saxe-Coburg and Gotha branch of the Saxon House of Wettin.</v>
    <v>3998</v>
    <v>3999</v>
    <v>4000</v>
    <v>4001</v>
    <v>21</v>
    <v>4002</v>
    <v>4003</v>
    <v>Saalfeld</v>
    <v>Saalfeld</v>
    <v>mdp/vdpid/7018110076544090113</v>
    <v>3982</v>
  </rv>
  <rv s="0">
    <v>536870912</v>
    <v>Saarlouis</v>
    <v>b996a0fe-2661-32cf-df05-a37ff26e7e50</v>
    <v>de-DE</v>
    <v>Map</v>
  </rv>
  <rv s="0">
    <v>805306368</v>
    <v>Peter Demmer (Mayor)</v>
    <v>521954ac-85cd-ba78-6432-79d2f95b6339</v>
    <v>de-DE</v>
    <v>Generic</v>
  </rv>
  <rv s="1">
    <v>371</v>
  </rv>
  <rv s="2">
    <fb>34717</fb>
    <v>9</v>
  </rv>
  <rv s="3">
    <v>389</v>
    <v>7</v>
    <v>838</v>
    <v>7</v>
    <v>0</v>
    <v>Image of Saarlouis</v>
  </rv>
  <rv s="2">
    <fb>49.316666666666698</fb>
    <v>10</v>
  </rv>
  <rv s="2">
    <fb>43.3</fb>
    <v>9</v>
  </rv>
  <rv s="2">
    <fb>6.75</fb>
    <v>10</v>
  </rv>
  <rv s="4">
    <v>https://www.bing.com/search?q=saarlouis+germany&amp;form=skydnc</v>
    <v>Learn more on Bing</v>
  </rv>
  <rv s="6">
    <v>#VALUE!</v>
    <v>de-DE</v>
    <v>b996a0fe-2661-32cf-df05-a37ff26e7e50</v>
    <v>536870912</v>
    <v>1</v>
    <v>839</v>
    <v>2</v>
    <v>13</v>
    <v>Saarlouis</v>
    <v>5</v>
    <v>6</v>
    <v>Map</v>
    <v>7</v>
    <v>14</v>
    <v>4007</v>
    <v>Saarlouis is a town in Saarland, Germany, capital of the district of Saarlouis. In 2020, the town had a population of 34,409. Saarlouis is located on the river Saar. It was built as a fortress in 1680 and was named after Louis XIV of France.</v>
    <v>4008</v>
    <v>4009</v>
    <v>4010</v>
    <v>4011</v>
    <v>21</v>
    <v>4012</v>
    <v>4013</v>
    <v>Saarlouis</v>
    <v>Saarlouis</v>
    <v>mdp/vdpid/7014493271346905089</v>
    <v>2264</v>
    <v>519</v>
  </rv>
  <rv s="0">
    <v>536870912</v>
    <v>Salzgitter</v>
    <v>9b1d448b-b1ad-c8c0-7c0c-7003b52d21c1</v>
    <v>de-DE</v>
    <v>Map</v>
  </rv>
  <rv s="0">
    <v>805306368</v>
    <v>Frank Klingebiel (Mayor)</v>
    <v>2806ea06-3787-d27b-8847-dd357f852572</v>
    <v>de-DE</v>
    <v>Generic</v>
  </rv>
  <rv s="1">
    <v>372</v>
  </rv>
  <rv s="2">
    <fb>104548</fb>
    <v>9</v>
  </rv>
  <rv s="3">
    <v>390</v>
    <v>7</v>
    <v>840</v>
    <v>7</v>
    <v>0</v>
    <v>Image of Salzgitter</v>
  </rv>
  <rv s="2">
    <fb>52.150277777777802</fb>
    <v>10</v>
  </rv>
  <rv s="2">
    <fb>224.49</fb>
    <v>9</v>
  </rv>
  <rv s="2">
    <fb>10.359305555555601</fb>
    <v>10</v>
  </rv>
  <rv s="4">
    <v>https://www.bing.com/search?q=salzgitter+germany&amp;form=skydnc</v>
    <v>Learn more on Bing</v>
  </rv>
  <rv s="11">
    <v>#VALUE!</v>
    <v>de-DE</v>
    <v>9b1d448b-b1ad-c8c0-7c0c-7003b52d21c1</v>
    <v>536870912</v>
    <v>1</v>
    <v>841</v>
    <v>17</v>
    <v>57</v>
    <v>Salzgitter</v>
    <v>5</v>
    <v>6</v>
    <v>Map</v>
    <v>7</v>
    <v>14</v>
    <v>4017</v>
    <v>Salzgitter is an independent city in southeast Lower Saxony, Germany, located between Hildesheim and Braunschweig. Together with Wolfsburg and Braunschweig, Salzgitter is one of the seven Oberzentren of Lower Saxony. With 101,079 inhabitants and ...</v>
    <v>4018</v>
    <v>4019</v>
    <v>4020</v>
    <v>4021</v>
    <v>21</v>
    <v>4022</v>
    <v>4023</v>
    <v>Salzgitter</v>
    <v>Salzgitter</v>
    <v>mdp/vdpid/7011786480079077377</v>
    <v>247</v>
  </rv>
  <rv s="0">
    <v>536870912</v>
    <v>Salzwedel</v>
    <v>a4739466-8f52-9e97-3b09-cfe84c2131d6</v>
    <v>de-DE</v>
    <v>Map</v>
  </rv>
  <rv s="0">
    <v>805306368</v>
    <v>Olaf Meining (Mayor)</v>
    <v>29e42b75-63dc-34fa-992c-16abc1ea6394</v>
    <v>de-DE</v>
    <v>Generic</v>
  </rv>
  <rv s="1">
    <v>373</v>
  </rv>
  <rv s="2">
    <fb>23543</fb>
    <v>9</v>
  </rv>
  <rv s="3">
    <v>391</v>
    <v>7</v>
    <v>842</v>
    <v>7</v>
    <v>0</v>
    <v>Image of Salzwedel</v>
  </rv>
  <rv s="2">
    <fb>52.85</fb>
    <v>10</v>
  </rv>
  <rv s="2">
    <fb>304.58</fb>
    <v>9</v>
  </rv>
  <rv s="2">
    <fb>11.15</fb>
    <v>10</v>
  </rv>
  <rv s="4">
    <v>https://www.bing.com/search?q=salzwedel+germany&amp;form=skydnc</v>
    <v>Learn more on Bing</v>
  </rv>
  <rv s="0">
    <v>536870912</v>
    <v>Altmarkkreis Salzwedel</v>
    <v>0f6cfdc4-b315-2c67-1bf2-1d84dc78fcbd</v>
    <v>de-DE</v>
    <v>Map</v>
  </rv>
  <rv s="11">
    <v>#VALUE!</v>
    <v>de-DE</v>
    <v>a4739466-8f52-9e97-3b09-cfe84c2131d6</v>
    <v>536870912</v>
    <v>1</v>
    <v>843</v>
    <v>17</v>
    <v>57</v>
    <v>Salzwedel</v>
    <v>5</v>
    <v>6</v>
    <v>Map</v>
    <v>7</v>
    <v>14</v>
    <v>4027</v>
    <v>Salzwedel is a town in Saxony-Anhalt, Germany. It is the capital of the district of Altmarkkreis Salzwedel, and has a population of approximately 21,500. Salzwedel is located on the German Timber-Frame Road.</v>
    <v>4028</v>
    <v>4029</v>
    <v>4030</v>
    <v>4031</v>
    <v>21</v>
    <v>4032</v>
    <v>4033</v>
    <v>Salzwedel</v>
    <v>Salzwedel</v>
    <v>mdp/vdpid/7011750835491176449</v>
    <v>4034</v>
  </rv>
  <rv s="0">
    <v>536870912</v>
    <v>Sangerhausen</v>
    <v>cd2a03a4-6df0-7c8a-c8b1-b2cc284aae24</v>
    <v>de-DE</v>
    <v>Map</v>
  </rv>
  <rv s="0">
    <v>805306368</v>
    <v>Sven Strauß (Mayor)</v>
    <v>2d547221-30fb-e2d5-3cd3-0cfc06a5c415</v>
    <v>de-DE</v>
    <v>Generic</v>
  </rv>
  <rv s="1">
    <v>374</v>
  </rv>
  <rv s="2">
    <fb>25441</fb>
    <v>9</v>
  </rv>
  <rv s="3">
    <v>392</v>
    <v>7</v>
    <v>844</v>
    <v>7</v>
    <v>0</v>
    <v>Image of Sangerhausen</v>
  </rv>
  <rv s="2">
    <fb>51.466666666667003</fb>
    <v>10</v>
  </rv>
  <rv s="2">
    <fb>207.66</fb>
    <v>9</v>
  </rv>
  <rv s="4">
    <v>https://www.bing.com/search?q=sangerhausen&amp;form=skydnc</v>
    <v>Learn more on Bing</v>
  </rv>
  <rv s="11">
    <v>#VALUE!</v>
    <v>de-DE</v>
    <v>cd2a03a4-6df0-7c8a-c8b1-b2cc284aae24</v>
    <v>536870912</v>
    <v>1</v>
    <v>845</v>
    <v>17</v>
    <v>57</v>
    <v>Sangerhausen</v>
    <v>5</v>
    <v>6</v>
    <v>Map</v>
    <v>7</v>
    <v>14</v>
    <v>4038</v>
    <v>Sangerhausen is a town in Saxony-Anhalt, central Germany, capital of the district of Mansfeld-Südharz. It is situated southeast of the Harz, approx. 35 kilometres east of Nordhausen, and 50 km west of Halle. About 26,000 people live in Sangerhausen.</v>
    <v>4039</v>
    <v>4040</v>
    <v>4041</v>
    <v>4042</v>
    <v>21</v>
    <v>2437</v>
    <v>4043</v>
    <v>Sangerhausen</v>
    <v>Sangerhausen</v>
    <v>mdp/vdpid/7018037740637782017</v>
    <v>2161</v>
  </rv>
  <rv s="0">
    <v>536870912</v>
    <v>Schneeberg</v>
    <v>0f6dbcb9-6ce9-0300-d3ac-c28459733a6f</v>
    <v>de-DE</v>
    <v>Map</v>
  </rv>
  <rv s="0">
    <v>805306368</v>
    <v>Ingo Seifert (Mayor)</v>
    <v>aabd8483-250c-ab92-adb0-b8ea3000f5f9</v>
    <v>de-DE</v>
    <v>Generic</v>
  </rv>
  <rv s="1">
    <v>375</v>
  </rv>
  <rv s="2">
    <fb>13994</fb>
    <v>9</v>
  </rv>
  <rv s="3">
    <v>393</v>
    <v>7</v>
    <v>846</v>
    <v>7</v>
    <v>0</v>
    <v>Image of Schneeberg, Saxony</v>
  </rv>
  <rv s="2">
    <fb>50.594166666667</fb>
    <v>10</v>
  </rv>
  <rv s="2">
    <fb>23.35</fb>
    <v>9</v>
  </rv>
  <rv s="2">
    <fb>12.645555555555999</fb>
    <v>10</v>
  </rv>
  <rv s="4">
    <v>https://www.bing.com/search?q=schneeberg+germany&amp;form=skydnc</v>
    <v>Learn more on Bing</v>
  </rv>
  <rv s="6">
    <v>#VALUE!</v>
    <v>de-DE</v>
    <v>0f6dbcb9-6ce9-0300-d3ac-c28459733a6f</v>
    <v>536870912</v>
    <v>1</v>
    <v>847</v>
    <v>2</v>
    <v>13</v>
    <v>Schneeberg, Saxony</v>
    <v>5</v>
    <v>6</v>
    <v>Map</v>
    <v>7</v>
    <v>14</v>
    <v>4047</v>
    <v>Schneeberg is a town in Saxony’s district of Erzgebirgskreis. It has roughly 16,400 inhabitants and belongs to the Town League of Silberberg. It lies 4 km west of Aue, and 17 kilometres southeast of Zwickau.</v>
    <v>4048</v>
    <v>4049</v>
    <v>4050</v>
    <v>4051</v>
    <v>21</v>
    <v>4052</v>
    <v>4053</v>
    <v>Schneeberg, Saxony</v>
    <v>Schneeberg, Saxony</v>
    <v>mdp/vdpid/7021252648732983297</v>
    <v>106</v>
    <v>107</v>
  </rv>
  <rv s="0">
    <v>536870912</v>
    <v>Schömberg</v>
    <v>917140c5-a887-33a2-b644-61ce33967e2d</v>
    <v>de-DE</v>
    <v>Map</v>
  </rv>
  <rv s="2">
    <fb>4741</fb>
    <v>9</v>
  </rv>
  <rv s="3">
    <v>394</v>
    <v>7</v>
    <v>848</v>
    <v>7</v>
    <v>0</v>
    <v>Image of Schömberg, Zollernalbkreis</v>
  </rv>
  <rv s="2">
    <fb>48.211388888888997</fb>
    <v>10</v>
  </rv>
  <rv s="2">
    <fb>23.27</fb>
    <v>9</v>
  </rv>
  <rv s="2">
    <fb>8.7616666666667005</fb>
    <v>10</v>
  </rv>
  <rv s="23">
    <v>#VALUE!</v>
    <v>de-DE</v>
    <v>917140c5-a887-33a2-b644-61ce33967e2d</v>
    <v>536870912</v>
    <v>1</v>
    <v>849</v>
    <v>850</v>
    <v>851</v>
    <v>Schömberg, Zollernalbkreis</v>
    <v>240</v>
    <v>6</v>
    <v>Map</v>
    <v>7</v>
    <v>14</v>
    <v>Schömberg is a town in the Zollernalbkreis district of Baden-Württemberg, Germany.</v>
    <v>4056</v>
    <v>4057</v>
    <v>4058</v>
    <v>4059</v>
    <v>21</v>
    <v>4060</v>
    <v>Schömberg, Zollernalbkreis</v>
    <v>Schömberg, Zollernalbkreis</v>
    <v>mdp/vdpid/7015285805052592129</v>
    <v>1164</v>
  </rv>
  <rv s="0">
    <v>536870912</v>
    <v>Schönebeck</v>
    <v>7e7392f3-3f12-dfd2-dbcb-8021d02f528d</v>
    <v>de-DE</v>
    <v>Map</v>
  </rv>
  <rv s="0">
    <v>805306368</v>
    <v>Bert Knoblauch (Mayor)</v>
    <v>5a67251b-a88a-6cc9-e648-adbef3690098</v>
    <v>de-DE</v>
    <v>Generic</v>
  </rv>
  <rv s="1">
    <v>376</v>
  </rv>
  <rv s="2">
    <fb>30389</fb>
    <v>9</v>
  </rv>
  <rv s="3">
    <v>395</v>
    <v>7</v>
    <v>852</v>
    <v>7</v>
    <v>0</v>
    <v>Image of Schönebeck</v>
  </rv>
  <rv s="2">
    <fb>86.05</fb>
    <v>9</v>
  </rv>
  <rv s="2">
    <fb>11.75</fb>
    <v>10</v>
  </rv>
  <rv s="4">
    <v>https://www.bing.com/search?q=sch%c3%b6nebeck&amp;form=skydnc</v>
    <v>Learn more on Bing</v>
  </rv>
  <rv s="11">
    <v>#VALUE!</v>
    <v>de-DE</v>
    <v>7e7392f3-3f12-dfd2-dbcb-8021d02f528d</v>
    <v>536870912</v>
    <v>1</v>
    <v>853</v>
    <v>17</v>
    <v>57</v>
    <v>Schönebeck</v>
    <v>5</v>
    <v>6</v>
    <v>Map</v>
    <v>7</v>
    <v>14</v>
    <v>4064</v>
    <v>Schönebeck, officially Schönebeck, is a town in the district of Salzlandkreis, in Saxony-Anhalt, Germany. It is situated on the left bank of the Elbe, approx. 14 kilometres southeast of Magdeburg. For much of the twentieth century it was noted ...</v>
    <v>4065</v>
    <v>4066</v>
    <v>538</v>
    <v>4067</v>
    <v>21</v>
    <v>4068</v>
    <v>4069</v>
    <v>Schönebeck</v>
    <v>Schönebeck</v>
    <v>mdp/vdpid/7017837285051727873</v>
    <v>171</v>
  </rv>
  <rv s="0">
    <v>536870912</v>
    <v>Schopfloch</v>
    <v>77b152d0-4092-6a6d-aa48-6de4e014dcc0</v>
    <v>de-DE</v>
    <v>Map</v>
  </rv>
  <rv s="0">
    <v>805306368</v>
    <v>Thomas Fred Staubitzer (Mayor)</v>
    <v>4a0687d1-795f-1939-830d-9b5d6819cf21</v>
    <v>de-DE</v>
    <v>Generic</v>
  </rv>
  <rv s="1">
    <v>377</v>
  </rv>
  <rv s="2">
    <fb>2582</fb>
    <v>9</v>
  </rv>
  <rv s="3">
    <v>396</v>
    <v>7</v>
    <v>854</v>
    <v>7</v>
    <v>0</v>
    <v>Image of Schopfloch</v>
  </rv>
  <rv s="2">
    <fb>48.454444444444</fb>
    <v>10</v>
  </rv>
  <rv s="2">
    <fb>17.03</fb>
    <v>9</v>
  </rv>
  <rv s="2">
    <fb>8.5513888888888996</fb>
    <v>10</v>
  </rv>
  <rv s="4">
    <v>https://www.bing.com/search?q=schopfloch+germany&amp;form=skydnc</v>
    <v>Learn more on Bing</v>
  </rv>
  <rv s="11">
    <v>#VALUE!</v>
    <v>de-DE</v>
    <v>77b152d0-4092-6a6d-aa48-6de4e014dcc0</v>
    <v>536870912</v>
    <v>1</v>
    <v>855</v>
    <v>17</v>
    <v>57</v>
    <v>Schopfloch</v>
    <v>5</v>
    <v>6</v>
    <v>Map</v>
    <v>7</v>
    <v>14</v>
    <v>4073</v>
    <v>Schopfloch is a municipality in the district of Freudenstadt in Baden-Württemberg in southern Germany. It is located in the northern part of the Black Forest. Schopfloch consists of three communities: Schopfloch, Oberiflingen and Unteriflingen.</v>
    <v>4074</v>
    <v>4075</v>
    <v>4076</v>
    <v>4077</v>
    <v>21</v>
    <v>4078</v>
    <v>4079</v>
    <v>Schopfloch</v>
    <v>Schopfloch</v>
    <v>mdp/vdpid/7015272105281323009</v>
    <v>1567</v>
  </rv>
  <rv s="0">
    <v>536870912</v>
    <v>Schorndorf</v>
    <v>1b0eb145-55b6-d501-c8db-7c71495f8171</v>
    <v>de-DE</v>
    <v>Map</v>
  </rv>
  <rv s="0">
    <v>805306368</v>
    <v>Bernd Hornikel (Mayor)</v>
    <v>14ae2685-92ef-8bea-d1d1-28ce6aed2d7e</v>
    <v>de-DE</v>
    <v>Generic</v>
  </rv>
  <rv s="1">
    <v>378</v>
  </rv>
  <rv s="2">
    <fb>40204</fb>
    <v>9</v>
  </rv>
  <rv s="3">
    <v>397</v>
    <v>7</v>
    <v>856</v>
    <v>7</v>
    <v>0</v>
    <v>Image of Schorndorf</v>
  </rv>
  <rv s="2">
    <fb>48.8</fb>
    <v>10</v>
  </rv>
  <rv s="2">
    <fb>56.84</fb>
    <v>9</v>
  </rv>
  <rv s="2">
    <fb>9.5333333333332995</fb>
    <v>10</v>
  </rv>
  <rv s="4">
    <v>https://www.bing.com/search?q=schorndorf+germany&amp;form=skydnc</v>
    <v>Learn more on Bing</v>
  </rv>
  <rv s="6">
    <v>#VALUE!</v>
    <v>de-DE</v>
    <v>1b0eb145-55b6-d501-c8db-7c71495f8171</v>
    <v>536870912</v>
    <v>1</v>
    <v>857</v>
    <v>2</v>
    <v>13</v>
    <v>Schorndorf</v>
    <v>5</v>
    <v>6</v>
    <v>Map</v>
    <v>7</v>
    <v>14</v>
    <v>4083</v>
    <v>Schorndorf is a town in Baden-Württemberg, Germany, located approximately 26 km east of Stuttgart. Its train station is the terminus of the S2 line of the Stuttgart S-Bahn. The town is also sometimes referred to as Die Daimlerstadt, as it is the ...</v>
    <v>4084</v>
    <v>4085</v>
    <v>4086</v>
    <v>4087</v>
    <v>21</v>
    <v>4088</v>
    <v>4089</v>
    <v>Schorndorf</v>
    <v>Schorndorf</v>
    <v>mdp/vdpid/7015262749382934529</v>
    <v>606</v>
    <v>214</v>
  </rv>
  <rv s="0">
    <v>536870912</v>
    <v>Schotten</v>
    <v>334391dd-c9f6-3a62-a977-2bc8d9f8ca6a</v>
    <v>de-DE</v>
    <v>Map</v>
  </rv>
  <rv s="0">
    <v>805306368</v>
    <v>Susanne Schaab (Mayor)</v>
    <v>f853538c-d9ac-2277-2c73-5532aad0daee</v>
    <v>de-DE</v>
    <v>Generic</v>
  </rv>
  <rv s="1">
    <v>379</v>
  </rv>
  <rv s="2">
    <fb>10045</fb>
    <v>9</v>
  </rv>
  <rv s="3">
    <v>398</v>
    <v>7</v>
    <v>858</v>
    <v>7</v>
    <v>0</v>
    <v>Image of Schotten</v>
  </rv>
  <rv s="2">
    <fb>50.5</fb>
    <v>10</v>
  </rv>
  <rv s="2">
    <fb>133.56</fb>
    <v>9</v>
  </rv>
  <rv s="2">
    <fb>9.1166666666666991</fb>
    <v>10</v>
  </rv>
  <rv s="4">
    <v>https://www.bing.com/search?q=schotten+germany&amp;form=skydnc</v>
    <v>Learn more on Bing</v>
  </rv>
  <rv s="0">
    <v>536870912</v>
    <v>Vogelsbergkreis</v>
    <v>c2567ea5-66df-5214-c83b-b263086d8e68</v>
    <v>de-DE</v>
    <v>Map</v>
  </rv>
  <rv s="10">
    <v>#VALUE!</v>
    <v>de-DE</v>
    <v>334391dd-c9f6-3a62-a977-2bc8d9f8ca6a</v>
    <v>536870912</v>
    <v>1</v>
    <v>859</v>
    <v>39</v>
    <v>40</v>
    <v>Schotten</v>
    <v>5</v>
    <v>6</v>
    <v>Map</v>
    <v>7</v>
    <v>14</v>
    <v>4093</v>
    <v>Schotten is a town in the middle of Hesse, Germany. Larger towns nearby include Alsfeld in the north, Fulda in the east, Friedberg in the south and Gießen in the west.</v>
    <v>4094</v>
    <v>4095</v>
    <v>4096</v>
    <v>4097</v>
    <v>21</v>
    <v>4098</v>
    <v>4099</v>
    <v>Schotten</v>
    <v>Schotten</v>
    <v>mdp/vdpid/7014932283475886081</v>
    <v>4100</v>
  </rv>
  <rv s="0">
    <v>536870912</v>
    <v>Schwabach</v>
    <v>a079ec69-7cdd-07d4-caa1-a1530b5a0fca</v>
    <v>de-DE</v>
    <v>Map</v>
  </rv>
  <rv s="0">
    <v>805306368</v>
    <v>Peter Reiß (Mayor)</v>
    <v>1507bc3d-f106-bba5-7b82-c27ab8d45834</v>
    <v>de-DE</v>
    <v>Generic</v>
  </rv>
  <rv s="1">
    <v>380</v>
  </rv>
  <rv s="2">
    <fb>41227</fb>
    <v>9</v>
  </rv>
  <rv s="3">
    <v>399</v>
    <v>7</v>
    <v>860</v>
    <v>7</v>
    <v>0</v>
    <v>Image of Schwabach</v>
  </rv>
  <rv s="2">
    <fb>49.329166666667</fb>
    <v>10</v>
  </rv>
  <rv s="2">
    <fb>40.799999999999997</fb>
    <v>9</v>
  </rv>
  <rv s="2">
    <fb>11.020833333333</fb>
    <v>10</v>
  </rv>
  <rv s="4">
    <v>https://www.bing.com/search?q=schwabach+germany&amp;form=skydnc</v>
    <v>Learn more on Bing</v>
  </rv>
  <rv s="9">
    <v>#VALUE!</v>
    <v>de-DE</v>
    <v>a079ec69-7cdd-07d4-caa1-a1530b5a0fca</v>
    <v>536870912</v>
    <v>1</v>
    <v>861</v>
    <v>27</v>
    <v>28</v>
    <v>Schwabach</v>
    <v>5</v>
    <v>6</v>
    <v>Map</v>
    <v>7</v>
    <v>14</v>
    <v>4104</v>
    <v>Schwabach is a German city of about 40,000 inhabitants near Nuremberg in the centre of the region of Franconia in the north of Bavaria. The city is an autonomous administrative district. Schwabach is also the name of the river which runs through ...</v>
    <v>4105</v>
    <v>4106</v>
    <v>4107</v>
    <v>4108</v>
    <v>21</v>
    <v>4109</v>
    <v>4110</v>
    <v>Schwabach</v>
    <v>Schwabach</v>
    <v>mdp/vdpid/7015197220764909569</v>
  </rv>
  <rv s="0">
    <v>536870912</v>
    <v>Schwarzenberg/Erzgeb.</v>
    <v>18f8f1f3-9af7-8ca6-03e7-2d47fbd15e92</v>
    <v>de-DE</v>
    <v>Map</v>
  </rv>
  <rv s="0">
    <v>805306368</v>
    <v>Ruben Gehart (Mayor)</v>
    <v>06ada097-b93f-dc3f-c905-136313ea6ee3</v>
    <v>de-DE</v>
    <v>Generic</v>
  </rv>
  <rv s="1">
    <v>381</v>
  </rv>
  <rv s="2">
    <fb>15936</fb>
    <v>9</v>
  </rv>
  <rv s="3">
    <v>400</v>
    <v>7</v>
    <v>862</v>
    <v>7</v>
    <v>0</v>
    <v>Image of Schwarzenberg, Saxony</v>
  </rv>
  <rv s="2">
    <fb>50.545277777777997</fb>
    <v>10</v>
  </rv>
  <rv s="2">
    <fb>46.31</fb>
    <v>9</v>
  </rv>
  <rv s="2">
    <fb>12.779166666667001</fb>
    <v>10</v>
  </rv>
  <rv s="4">
    <v>https://www.bing.com/search?q=schwarzenberg+germany&amp;form=skydnc</v>
    <v>Learn more on Bing</v>
  </rv>
  <rv s="6">
    <v>#VALUE!</v>
    <v>de-DE</v>
    <v>18f8f1f3-9af7-8ca6-03e7-2d47fbd15e92</v>
    <v>536870912</v>
    <v>1</v>
    <v>863</v>
    <v>2</v>
    <v>13</v>
    <v>Schwarzenberg, Saxony</v>
    <v>5</v>
    <v>6</v>
    <v>Map</v>
    <v>7</v>
    <v>14</v>
    <v>4114</v>
    <v>Schwarzenberg is a town in the district of Erzgebirgskreis in Saxony’s Ore Mountains, near the German–Czech border. The town lies roughly 15 km southeast of Aue, and 35 km southwest of Chemnitz. Founded in the 12th century to protect a trade ...</v>
    <v>4115</v>
    <v>4116</v>
    <v>4117</v>
    <v>4118</v>
    <v>21</v>
    <v>4119</v>
    <v>4120</v>
    <v>Schwarzenberg, Saxony</v>
    <v>Schwarzenberg, Saxony</v>
    <v>mdp/vdpid/7021253444006576129</v>
    <v>106</v>
    <v>107</v>
  </rv>
  <rv s="0">
    <v>536870912</v>
    <v>Schwedt/Oder</v>
    <v>0c991df4-079e-2485-02b2-93e0cb49d60c</v>
    <v>de-DE</v>
    <v>Map</v>
  </rv>
  <rv s="0">
    <v>805306368</v>
    <v>Annekathrin Hoppe (Mayor)</v>
    <v>cd76fd66-6163-dc48-c9f0-710b57669df1</v>
    <v>de-DE</v>
    <v>Generic</v>
  </rv>
  <rv s="1">
    <v>382</v>
  </rv>
  <rv s="2">
    <fb>33495</fb>
    <v>9</v>
  </rv>
  <rv s="3">
    <v>401</v>
    <v>7</v>
    <v>864</v>
    <v>7</v>
    <v>0</v>
    <v>Image of Schwedt</v>
  </rv>
  <rv s="2">
    <fb>53.063055555555998</fb>
    <v>10</v>
  </rv>
  <rv s="2">
    <fb>205.56</fb>
    <v>9</v>
  </rv>
  <rv s="2">
    <fb>14.283055555556</fb>
    <v>10</v>
  </rv>
  <rv s="4">
    <v>https://www.bing.com/search?q=schwedt&amp;form=skydnc</v>
    <v>Learn more on Bing</v>
  </rv>
  <rv s="6">
    <v>#VALUE!</v>
    <v>de-DE</v>
    <v>0c991df4-079e-2485-02b2-93e0cb49d60c</v>
    <v>536870912</v>
    <v>1</v>
    <v>865</v>
    <v>2</v>
    <v>13</v>
    <v>Schwedt</v>
    <v>5</v>
    <v>6</v>
    <v>Map</v>
    <v>7</v>
    <v>14</v>
    <v>4124</v>
    <v>Schwedt is a town in Brandenburg, in northeastern Germany. With the official status of a Große kreisangehörige Stadt, it is the largest town of the Uckermark district, located near the river Oder, which forms the border with Poland.</v>
    <v>4125</v>
    <v>4126</v>
    <v>4127</v>
    <v>4128</v>
    <v>21</v>
    <v>4129</v>
    <v>4130</v>
    <v>Schwedt</v>
    <v>Schwedt</v>
    <v>mdp/vdpid/7018316912740270081</v>
    <v>488</v>
    <v>3781</v>
  </rv>
  <rv s="0">
    <v>536870912</v>
    <v>Schwelm</v>
    <v>8f63ae42-4b87-6ae3-6d8f-05cde9e3a332</v>
    <v>de-DE</v>
    <v>Map</v>
  </rv>
  <rv s="0">
    <v>805306368</v>
    <v>Stephan Langhard (Mayor)</v>
    <v>d3f5c6ad-475a-ddb9-a1a4-ae2fb4a0a9d1</v>
    <v>de-DE</v>
    <v>Generic</v>
  </rv>
  <rv s="1">
    <v>383</v>
  </rv>
  <rv s="2">
    <fb>28723</fb>
    <v>9</v>
  </rv>
  <rv s="3">
    <v>402</v>
    <v>7</v>
    <v>866</v>
    <v>7</v>
    <v>0</v>
    <v>Image of Schwelm</v>
  </rv>
  <rv s="2">
    <fb>51.29045</fb>
    <v>10</v>
  </rv>
  <rv s="2">
    <fb>20.49</fb>
    <v>9</v>
  </rv>
  <rv s="2">
    <fb>7.2971805555555598</fb>
    <v>10</v>
  </rv>
  <rv s="4">
    <v>https://www.bing.com/search?q=schwelm+germany&amp;form=skydnc</v>
    <v>Learn more on Bing</v>
  </rv>
  <rv s="10">
    <v>#VALUE!</v>
    <v>de-DE</v>
    <v>8f63ae42-4b87-6ae3-6d8f-05cde9e3a332</v>
    <v>536870912</v>
    <v>1</v>
    <v>867</v>
    <v>39</v>
    <v>40</v>
    <v>Schwelm</v>
    <v>5</v>
    <v>6</v>
    <v>Map</v>
    <v>7</v>
    <v>14</v>
    <v>4134</v>
    <v>Schwelm is a town in the district of Ennepe-Ruhr-Kreis in the administrative region of Arnsberg within the state of North Rhine-Westphalia.</v>
    <v>4135</v>
    <v>4136</v>
    <v>4137</v>
    <v>4138</v>
    <v>21</v>
    <v>4139</v>
    <v>4140</v>
    <v>Schwelm</v>
    <v>Schwelm</v>
    <v>mdp/vdpid/7011474426680049665</v>
    <v>1291</v>
  </rv>
  <rv s="0">
    <v>536870912</v>
    <v>Schwerte</v>
    <v>c777eaa2-c7d3-ba4b-cebb-f3fde7edd49f</v>
    <v>de-DE</v>
    <v>Map</v>
  </rv>
  <rv s="0">
    <v>805306368</v>
    <v>Dimitrios Axourgos (Mayor)</v>
    <v>3446f7c8-f2d6-d9c3-664f-56ff329454fa</v>
    <v>de-DE</v>
    <v>Generic</v>
  </rv>
  <rv s="1">
    <v>384</v>
  </rv>
  <rv s="2">
    <fb>46658</fb>
    <v>9</v>
  </rv>
  <rv s="3">
    <v>403</v>
    <v>7</v>
    <v>868</v>
    <v>7</v>
    <v>0</v>
    <v>Image of Schwerte</v>
  </rv>
  <rv s="2">
    <fb>51.445833333332999</fb>
    <v>10</v>
  </rv>
  <rv s="2">
    <fb>56.23</fb>
    <v>9</v>
  </rv>
  <rv s="2">
    <fb>7.5652777777778004</fb>
    <v>10</v>
  </rv>
  <rv s="4">
    <v>https://www.bing.com/search?q=schwerte&amp;form=skydnc</v>
    <v>Learn more on Bing</v>
  </rv>
  <rv s="10">
    <v>#VALUE!</v>
    <v>de-DE</v>
    <v>c777eaa2-c7d3-ba4b-cebb-f3fde7edd49f</v>
    <v>536870912</v>
    <v>1</v>
    <v>869</v>
    <v>39</v>
    <v>40</v>
    <v>Schwerte</v>
    <v>5</v>
    <v>6</v>
    <v>Map</v>
    <v>7</v>
    <v>14</v>
    <v>4144</v>
    <v>Schwerte is a town in the district of Unna, in North Rhine-Westphalia, Germany.</v>
    <v>4145</v>
    <v>4146</v>
    <v>4147</v>
    <v>4148</v>
    <v>21</v>
    <v>4149</v>
    <v>4150</v>
    <v>Schwerte</v>
    <v>Schwerte</v>
    <v>mdp/vdpid/7011434016658161665</v>
    <v>2408</v>
  </rv>
  <rv s="0">
    <v>536870912</v>
    <v>Selb</v>
    <v>c1b661e6-e1eb-2466-225e-1f6cc5693208</v>
    <v>de-DE</v>
    <v>Map</v>
  </rv>
  <rv s="0">
    <v>805306368</v>
    <v>Ulrich Pötzsch (Mayor)</v>
    <v>188ef760-d364-d85f-c3f4-fc18da697365</v>
    <v>de-DE</v>
    <v>Generic</v>
  </rv>
  <rv s="1">
    <v>385</v>
  </rv>
  <rv s="2">
    <fb>14763</fb>
    <v>9</v>
  </rv>
  <rv s="3">
    <v>404</v>
    <v>7</v>
    <v>870</v>
    <v>7</v>
    <v>0</v>
    <v>Image of Selb</v>
  </rv>
  <rv s="2">
    <fb>50.1666666666667</fb>
    <v>10</v>
  </rv>
  <rv s="2">
    <fb>86.07</fb>
    <v>9</v>
  </rv>
  <rv s="2">
    <fb>12.133333333333301</fb>
    <v>10</v>
  </rv>
  <rv s="4">
    <v>https://www.bing.com/search?q=selb+germany&amp;form=skydnc</v>
    <v>Learn more on Bing</v>
  </rv>
  <rv s="0">
    <v>536870912</v>
    <v>Wunsiedel</v>
    <v>b2e114f5-6e3d-6b72-2ad2-03136c387cf2</v>
    <v>de-DE</v>
    <v>Map</v>
  </rv>
  <rv s="10">
    <v>#VALUE!</v>
    <v>de-DE</v>
    <v>c1b661e6-e1eb-2466-225e-1f6cc5693208</v>
    <v>536870912</v>
    <v>1</v>
    <v>871</v>
    <v>39</v>
    <v>40</v>
    <v>Selb</v>
    <v>5</v>
    <v>6</v>
    <v>Map</v>
    <v>7</v>
    <v>14</v>
    <v>4154</v>
    <v>Selb is a town in the district of Wunsiedel, in Upper Franconia, Bavaria, Germany. It is situated in the Fichtel Mountains, on the border with the Czech Republic, 20 km northwest of Cheb and 23 km southeast of Hof.</v>
    <v>4155</v>
    <v>4156</v>
    <v>4157</v>
    <v>4158</v>
    <v>21</v>
    <v>4159</v>
    <v>4160</v>
    <v>Selb</v>
    <v>Selb</v>
    <v>mdp/vdpid/7021167159405445121</v>
    <v>4161</v>
  </rv>
  <rv s="0">
    <v>536870912</v>
    <v>Senftenberg</v>
    <v>33c9b81e-e4a2-d9d2-112b-2b39c71dd6d8</v>
    <v>de-DE</v>
    <v>Map</v>
  </rv>
  <rv s="0">
    <v>805306368</v>
    <v>Andreas Pfeiffer (Mayor)</v>
    <v>3a963ffc-953d-9ac4-7d91-f3f198e0e255</v>
    <v>de-DE</v>
    <v>Generic</v>
  </rv>
  <rv s="1">
    <v>386</v>
  </rv>
  <rv s="2">
    <fb>23232</fb>
    <v>9</v>
  </rv>
  <rv s="3">
    <v>405</v>
    <v>7</v>
    <v>872</v>
    <v>7</v>
    <v>0</v>
    <v>Image of Senftenberg</v>
  </rv>
  <rv s="2">
    <fb>127.56</fb>
    <v>9</v>
  </rv>
  <rv s="2">
    <fb>14.016666666667</fb>
    <v>10</v>
  </rv>
  <rv s="4">
    <v>https://www.bing.com/search?q=senftenberg&amp;form=skydnc</v>
    <v>Learn more on Bing</v>
  </rv>
  <rv s="6">
    <v>#VALUE!</v>
    <v>de-DE</v>
    <v>33c9b81e-e4a2-d9d2-112b-2b39c71dd6d8</v>
    <v>536870912</v>
    <v>1</v>
    <v>873</v>
    <v>2</v>
    <v>13</v>
    <v>Senftenberg</v>
    <v>5</v>
    <v>6</v>
    <v>Map</v>
    <v>7</v>
    <v>8</v>
    <v>4165</v>
    <v>Senftenberg or Zły Komorow is a town in Lower Lusatia, Brandenburg, in eastern Germany, capital of the Oberspreewald-Lausitz district.</v>
    <v>4166</v>
    <v>4167</v>
    <v>1659</v>
    <v>4168</v>
    <v>21</v>
    <v>4169</v>
    <v>4170</v>
    <v>Senftenberg</v>
    <v>Senftenberg</v>
    <v>mdp/vdpid/7018222096119496705</v>
    <v>488</v>
    <v>2800</v>
  </rv>
  <rv s="0">
    <v>536870912</v>
    <v>Siegburg</v>
    <v>25223c2a-7d00-b8d1-4663-9284f88edf5c</v>
    <v>de-DE</v>
    <v>Map</v>
  </rv>
  <rv s="0">
    <v>805306368</v>
    <v>Stefan Rosemann (Mayor)</v>
    <v>3a04d42e-53e3-1e31-d804-5c2ded19d971</v>
    <v>de-DE</v>
    <v>Generic</v>
  </rv>
  <rv s="1">
    <v>387</v>
  </rv>
  <rv s="2">
    <fb>42049</fb>
    <v>9</v>
  </rv>
  <rv s="3">
    <v>406</v>
    <v>7</v>
    <v>874</v>
    <v>7</v>
    <v>0</v>
    <v>Image of Siegburg</v>
  </rv>
  <rv s="2">
    <fb>50.801388888889001</fb>
    <v>10</v>
  </rv>
  <rv s="2">
    <fb>23.66</fb>
    <v>9</v>
  </rv>
  <rv s="2">
    <fb>7.2044444444444</fb>
    <v>10</v>
  </rv>
  <rv s="4">
    <v>https://www.bing.com/search?q=siegburg&amp;form=skydnc</v>
    <v>Learn more on Bing</v>
  </rv>
  <rv s="0">
    <v>536870912</v>
    <v>Rhein-Sieg District</v>
    <v>889b02fd-a2a8-6a14-14bf-49c3d853bcdf</v>
    <v>de-DE</v>
    <v>Map</v>
  </rv>
  <rv s="6">
    <v>#VALUE!</v>
    <v>de-DE</v>
    <v>25223c2a-7d00-b8d1-4663-9284f88edf5c</v>
    <v>536870912</v>
    <v>1</v>
    <v>875</v>
    <v>2</v>
    <v>13</v>
    <v>Siegburg</v>
    <v>5</v>
    <v>6</v>
    <v>Map</v>
    <v>7</v>
    <v>14</v>
    <v>4174</v>
    <v>Siegburg is a city in the district of Rhein-Sieg-Kreis in North Rhine-Westphalia, Germany. It is located on the banks of the rivers Sieg and Agger, 10 kilometres from the former seat of West German government Bonn and 26 kilometres from Cologne. ...</v>
    <v>4175</v>
    <v>4176</v>
    <v>4177</v>
    <v>4178</v>
    <v>21</v>
    <v>4179</v>
    <v>4180</v>
    <v>Siegburg</v>
    <v>Siegburg</v>
    <v>mdp/vdpid/7011493111566172161</v>
    <v>10</v>
    <v>4181</v>
  </rv>
  <rv s="0">
    <v>536870912</v>
    <v>Siegen</v>
    <v>e1a1d3b9-2fa9-6404-564b-ac8069761ce5</v>
    <v>de-DE</v>
    <v>Map</v>
  </rv>
  <rv s="0">
    <v>805306368</v>
    <v>Steffen Mues (Mayor)</v>
    <v>37efa37b-391f-430b-e61f-060d3db2177d</v>
    <v>de-DE</v>
    <v>Generic</v>
  </rv>
  <rv s="1">
    <v>388</v>
  </rv>
  <rv s="2">
    <fb>102560</fb>
    <v>9</v>
  </rv>
  <rv s="3">
    <v>407</v>
    <v>7</v>
    <v>876</v>
    <v>7</v>
    <v>0</v>
    <v>Image of Siegen</v>
  </rv>
  <rv s="2">
    <fb>50.875555555555998</fb>
    <v>10</v>
  </rv>
  <rv s="2">
    <fb>114.69</fb>
    <v>9</v>
  </rv>
  <rv s="2">
    <fb>8.0166666666666995</fb>
    <v>10</v>
  </rv>
  <rv s="4">
    <v>https://www.bing.com/search?q=siegen+germany&amp;form=skydnc</v>
    <v>Learn more on Bing</v>
  </rv>
  <rv s="9">
    <v>#VALUE!</v>
    <v>de-DE</v>
    <v>e1a1d3b9-2fa9-6404-564b-ac8069761ce5</v>
    <v>536870912</v>
    <v>1</v>
    <v>877</v>
    <v>27</v>
    <v>28</v>
    <v>Siegen</v>
    <v>5</v>
    <v>6</v>
    <v>Map</v>
    <v>7</v>
    <v>14</v>
    <v>4185</v>
    <v>Siegen is a city in Germany, in the south Westphalian part of North Rhine-Westphalia. It is located in the district of Siegen-Wittgenstein in the Arnsberg region. The university town is the district seat, and is ranked as a "higher centre" in ...</v>
    <v>4186</v>
    <v>4187</v>
    <v>4188</v>
    <v>4189</v>
    <v>21</v>
    <v>4190</v>
    <v>4191</v>
    <v>Siegen</v>
    <v>Siegen</v>
    <v>mdp/vdpid/7011534027286904833</v>
  </rv>
  <rv s="0">
    <v>536870912</v>
    <v>Sigmaringen</v>
    <v>54c81fce-ed88-9d29-09ca-24b3ee890063</v>
    <v>de-DE</v>
    <v>Map</v>
  </rv>
  <rv s="0">
    <v>805306368</v>
    <v>Marcus Ehm (Mayor)</v>
    <v>d20dbe19-c5e9-c6d5-0b2f-8bece6048fb2</v>
    <v>de-DE</v>
    <v>Generic</v>
  </rv>
  <rv s="1">
    <v>389</v>
  </rv>
  <rv s="2">
    <fb>18375</fb>
    <v>9</v>
  </rv>
  <rv s="3">
    <v>408</v>
    <v>7</v>
    <v>878</v>
    <v>7</v>
    <v>0</v>
    <v>Image of Sigmaringen</v>
  </rv>
  <rv s="2">
    <fb>48.086666666667</fb>
    <v>10</v>
  </rv>
  <rv s="2">
    <fb>92.84</fb>
    <v>9</v>
  </rv>
  <rv s="2">
    <fb>9.2163888888889005</fb>
    <v>10</v>
  </rv>
  <rv s="4">
    <v>https://www.bing.com/search?q=sigmaringen&amp;form=skydnc</v>
    <v>Learn more on Bing</v>
  </rv>
  <rv s="11">
    <v>#VALUE!</v>
    <v>de-DE</v>
    <v>54c81fce-ed88-9d29-09ca-24b3ee890063</v>
    <v>536870912</v>
    <v>1</v>
    <v>879</v>
    <v>17</v>
    <v>57</v>
    <v>Sigmaringen</v>
    <v>5</v>
    <v>6</v>
    <v>Map</v>
    <v>7</v>
    <v>14</v>
    <v>4195</v>
    <v>Sigmaringen is a town in southern Germany, in the state of Baden-Württemberg. Situated on the upper Danube, it is the capital of the Sigmaringen district. Sigmaringen is renowned for its castle, Schloss Sigmaringen, which was the seat of the ...</v>
    <v>4196</v>
    <v>4197</v>
    <v>4198</v>
    <v>4199</v>
    <v>21</v>
    <v>4200</v>
    <v>4201</v>
    <v>Sigmaringen</v>
    <v>Sigmaringen</v>
    <v>mdp/vdpid/7015325772910952449</v>
    <v>3165</v>
  </rv>
  <rv s="0">
    <v>536870912</v>
    <v>Sindelfingen</v>
    <v>7aa44cf5-5f8a-d3e9-00e6-8ee0c38c747b</v>
    <v>de-DE</v>
    <v>Map</v>
  </rv>
  <rv s="0">
    <v>805306368</v>
    <v>Bernd Vöhringer (Mayor)</v>
    <v>aac583ae-d86c-fee1-e49a-087d2701ed50</v>
    <v>de-DE</v>
    <v>Generic</v>
  </rv>
  <rv s="1">
    <v>390</v>
  </rv>
  <rv s="2">
    <fb>64995</fb>
    <v>9</v>
  </rv>
  <rv s="3">
    <v>409</v>
    <v>7</v>
    <v>880</v>
    <v>7</v>
    <v>0</v>
    <v>Image of Sindelfingen</v>
  </rv>
  <rv s="2">
    <fb>48.713333333332997</fb>
    <v>10</v>
  </rv>
  <rv s="2">
    <fb>50.85</fb>
    <v>9</v>
  </rv>
  <rv s="2">
    <fb>9.0027777777777995</fb>
    <v>10</v>
  </rv>
  <rv s="4">
    <v>https://www.bing.com/search?q=sindelfingen&amp;form=skydnc</v>
    <v>Learn more on Bing</v>
  </rv>
  <rv s="6">
    <v>#VALUE!</v>
    <v>de-DE</v>
    <v>7aa44cf5-5f8a-d3e9-00e6-8ee0c38c747b</v>
    <v>536870912</v>
    <v>1</v>
    <v>881</v>
    <v>2</v>
    <v>13</v>
    <v>Sindelfingen</v>
    <v>5</v>
    <v>6</v>
    <v>Map</v>
    <v>7</v>
    <v>14</v>
    <v>4205</v>
    <v>Sindelfingen is a city in Baden-Württemberg in south Germany. It lies near Stuttgart at the headwaters of the Schwippe, and is home to a Mercedes-Benz assembly plant.</v>
    <v>4206</v>
    <v>4207</v>
    <v>4208</v>
    <v>4209</v>
    <v>21</v>
    <v>4210</v>
    <v>4211</v>
    <v>Sindelfingen</v>
    <v>Sindelfingen</v>
    <v>mdp/vdpid/7015230867790364673</v>
    <v>606</v>
    <v>607</v>
  </rv>
  <rv s="0">
    <v>536870912</v>
    <v>Singen</v>
    <v>5e2c2af8-a353-8e95-4479-d96f7d9738af</v>
    <v>de-DE</v>
    <v>Map</v>
  </rv>
  <rv s="0">
    <v>805306368</v>
    <v>Bernd Häusler (Mayor)</v>
    <v>532d3b99-cc8a-6b1b-e2bd-fe3fdd7a2c1f</v>
    <v>de-DE</v>
    <v>Generic</v>
  </rv>
  <rv s="1">
    <v>391</v>
  </rv>
  <rv s="2">
    <fb>49441</fb>
    <v>9</v>
  </rv>
  <rv s="3">
    <v>410</v>
    <v>7</v>
    <v>882</v>
    <v>7</v>
    <v>0</v>
    <v>Image of Singen</v>
  </rv>
  <rv s="2">
    <fb>47.762777777777998</fb>
    <v>10</v>
  </rv>
  <rv s="2">
    <fb>61.77</fb>
    <v>9</v>
  </rv>
  <rv s="2">
    <fb>8.84</fb>
    <v>10</v>
  </rv>
  <rv s="4">
    <v>https://www.bing.com/search?q=singen+germany&amp;form=skydnc</v>
    <v>Learn more on Bing</v>
  </rv>
  <rv s="9">
    <v>#VALUE!</v>
    <v>de-DE</v>
    <v>5e2c2af8-a353-8e95-4479-d96f7d9738af</v>
    <v>536870912</v>
    <v>1</v>
    <v>883</v>
    <v>27</v>
    <v>28</v>
    <v>Singen</v>
    <v>5</v>
    <v>6</v>
    <v>Map</v>
    <v>7</v>
    <v>14</v>
    <v>4215</v>
    <v>Singen is an industrial city in the very south of Baden-Württemberg in southern Germany and just north of the German-Swiss border.</v>
    <v>4216</v>
    <v>4217</v>
    <v>4218</v>
    <v>4219</v>
    <v>21</v>
    <v>4220</v>
    <v>4221</v>
    <v>Singen</v>
    <v>Singen</v>
    <v>mdp/vdpid/7016055121893130241</v>
  </rv>
  <rv s="0">
    <v>536870912</v>
    <v>Solingen</v>
    <v>f0ec35cd-d4c7-aac1-fc5b-f9b6dd7a6f2e</v>
    <v>de-DE</v>
    <v>Map</v>
  </rv>
  <rv s="0">
    <v>805306368</v>
    <v>Tim Kurzbach (Mayor)</v>
    <v>68a9584f-430b-8bf0-460d-6478b641d85c</v>
    <v>de-DE</v>
    <v>Generic</v>
  </rv>
  <rv s="1">
    <v>392</v>
  </rv>
  <rv s="2">
    <fb>160643</fb>
    <v>9</v>
  </rv>
  <rv s="3">
    <v>411</v>
    <v>7</v>
    <v>884</v>
    <v>7</v>
    <v>0</v>
    <v>Image of Solingen</v>
  </rv>
  <rv s="2">
    <fb>51.1666666666667</fb>
    <v>10</v>
  </rv>
  <rv s="2">
    <fb>89.54</fb>
    <v>9</v>
  </rv>
  <rv s="2">
    <fb>7.0833333333333304</fb>
    <v>10</v>
  </rv>
  <rv s="4">
    <v>https://www.bing.com/search?q=solingen&amp;form=skydnc</v>
    <v>Learn more on Bing</v>
  </rv>
  <rv s="6">
    <v>#VALUE!</v>
    <v>de-DE</v>
    <v>f0ec35cd-d4c7-aac1-fc5b-f9b6dd7a6f2e</v>
    <v>536870912</v>
    <v>1</v>
    <v>885</v>
    <v>2</v>
    <v>13</v>
    <v>Solingen</v>
    <v>5</v>
    <v>6</v>
    <v>Map</v>
    <v>7</v>
    <v>14</v>
    <v>4225</v>
    <v>Solingen is a city in North Rhine-Westphalia, Germany. It is located some 25 km east of Düsseldorf along the northern edge of the region called Bergisches Land, south of the Ruhr area, and, with a 2009 population of 161,366, is after Wuppertal ...</v>
    <v>4226</v>
    <v>4227</v>
    <v>4228</v>
    <v>4229</v>
    <v>21</v>
    <v>4230</v>
    <v>4231</v>
    <v>Solingen</v>
    <v>Solingen</v>
    <v>mdp/vdpid/7011381918990073857</v>
    <v>412</v>
    <v>1029</v>
  </rv>
  <rv s="0">
    <v>536870912</v>
    <v>Soltau</v>
    <v>9a2ff447-d78b-122f-a457-e2efbb7825e1</v>
    <v>de-DE</v>
    <v>Map</v>
  </rv>
  <rv s="0">
    <v>805306368</v>
    <v>Olaf Klang (Mayor)</v>
    <v>9c342f2a-d6e0-16f5-8015-6626a2af83db</v>
    <v>de-DE</v>
    <v>Generic</v>
  </rv>
  <rv s="1">
    <v>393</v>
  </rv>
  <rv s="2">
    <fb>21808</fb>
    <v>9</v>
  </rv>
  <rv s="3">
    <v>412</v>
    <v>7</v>
    <v>886</v>
    <v>7</v>
    <v>0</v>
    <v>Image of Soltau</v>
  </rv>
  <rv s="2">
    <fb>52.983333333333</fb>
    <v>10</v>
  </rv>
  <rv s="2">
    <fb>203.77</fb>
    <v>9</v>
  </rv>
  <rv s="2">
    <fb>9.8333333333333002</fb>
    <v>10</v>
  </rv>
  <rv s="4">
    <v>https://www.bing.com/search?q=soltau+germany&amp;form=skydnc</v>
    <v>Learn more on Bing</v>
  </rv>
  <rv s="0">
    <v>536870912</v>
    <v>Heidekreis</v>
    <v>4d2ecd4b-f2e4-a364-d4a6-7bd9b7ce8977</v>
    <v>de-DE</v>
    <v>Map</v>
  </rv>
  <rv s="6">
    <v>#VALUE!</v>
    <v>de-DE</v>
    <v>9a2ff447-d78b-122f-a457-e2efbb7825e1</v>
    <v>536870912</v>
    <v>1</v>
    <v>887</v>
    <v>2</v>
    <v>13</v>
    <v>Soltau</v>
    <v>5</v>
    <v>6</v>
    <v>Map</v>
    <v>7</v>
    <v>14</v>
    <v>4235</v>
    <v>Soltau is a mid-sized town in the Lüneburg Heath in the district of Heidekreis, in Lower Saxony, Germany. It has around 22,000 inhabitants. The city is centrally located in the Lüneburg Heath and is known nationwide especially for its tourist ...</v>
    <v>4236</v>
    <v>4237</v>
    <v>4238</v>
    <v>4239</v>
    <v>21</v>
    <v>4240</v>
    <v>4241</v>
    <v>Soltau</v>
    <v>Soltau</v>
    <v>mdp/vdpid/7011606538095689729</v>
    <v>247</v>
    <v>4242</v>
  </rv>
  <rv s="0">
    <v>536870912</v>
    <v>Sömmerda</v>
    <v>73100448-5972-35ba-b27c-98aacbe18188</v>
    <v>de-DE</v>
    <v>Map</v>
  </rv>
  <rv s="0">
    <v>805306368</v>
    <v>Ralf Hauboldt (Mayor)</v>
    <v>a55a4b4c-7adf-b3b6-c5c6-74819facb499</v>
    <v>de-DE</v>
    <v>Generic</v>
  </rv>
  <rv s="1">
    <v>394</v>
  </rv>
  <rv s="2">
    <fb>19156</fb>
    <v>9</v>
  </rv>
  <rv s="3">
    <v>413</v>
    <v>7</v>
    <v>888</v>
    <v>7</v>
    <v>0</v>
    <v>Image of Sömmerda</v>
  </rv>
  <rv s="2">
    <fb>51.161666666667003</fb>
    <v>10</v>
  </rv>
  <rv s="2">
    <fb>87.56</fb>
    <v>9</v>
  </rv>
  <rv s="2">
    <fb>11.116944444444</fb>
    <v>10</v>
  </rv>
  <rv s="4">
    <v>https://www.bing.com/search?q=s%c3%b6mmerda+germany&amp;form=skydnc</v>
    <v>Learn more on Bing</v>
  </rv>
  <rv s="0">
    <v>536870912</v>
    <v>Landkreis Sömmerda</v>
    <v>d1f2653e-800f-4753-ad0f-760b42d1fe62</v>
    <v>de-DE</v>
    <v>Map</v>
  </rv>
  <rv s="10">
    <v>#VALUE!</v>
    <v>de-DE</v>
    <v>73100448-5972-35ba-b27c-98aacbe18188</v>
    <v>536870912</v>
    <v>1</v>
    <v>889</v>
    <v>39</v>
    <v>40</v>
    <v>Sömmerda</v>
    <v>5</v>
    <v>6</v>
    <v>Map</v>
    <v>7</v>
    <v>14</v>
    <v>4246</v>
    <v>Sömmerda is a town near Erfurt in Thuringia, Germany, on the Unstrut river. It is the capital of the district of Sömmerda.</v>
    <v>4247</v>
    <v>4248</v>
    <v>4249</v>
    <v>4250</v>
    <v>21</v>
    <v>4251</v>
    <v>4252</v>
    <v>Sömmerda</v>
    <v>Sömmerda</v>
    <v>mdp/vdpid/7012084991899205633</v>
    <v>4253</v>
  </rv>
  <rv s="0">
    <v>536870912</v>
    <v>Sondershausen</v>
    <v>905d98cd-4e98-7897-64ca-eb83e4754ea8</v>
    <v>de-DE</v>
    <v>Map</v>
  </rv>
  <rv s="0">
    <v>805306368</v>
    <v>Steffen Grimm (Mayor)</v>
    <v>398d84ae-6968-a34b-c32a-02d059206ddd</v>
    <v>de-DE</v>
    <v>Generic</v>
  </rv>
  <rv s="1">
    <v>395</v>
  </rv>
  <rv s="2">
    <fb>21317</fb>
    <v>9</v>
  </rv>
  <rv s="3">
    <v>414</v>
    <v>7</v>
    <v>890</v>
    <v>7</v>
    <v>0</v>
    <v>Image of Sondershausen</v>
  </rv>
  <rv s="2">
    <fb>51.366666666667001</fb>
    <v>10</v>
  </rv>
  <rv s="2">
    <fb>201.21</fb>
    <v>9</v>
  </rv>
  <rv s="2">
    <fb>10.866666666666999</fb>
    <v>10</v>
  </rv>
  <rv s="4">
    <v>https://www.bing.com/search?q=sondershausen+germany&amp;form=skydnc</v>
    <v>Learn more on Bing</v>
  </rv>
  <rv s="0">
    <v>536870912</v>
    <v>Kyffhäuserkreis</v>
    <v>b381acb7-093c-9cda-18c5-2e5abf39016c</v>
    <v>de-DE</v>
    <v>Map</v>
  </rv>
  <rv s="10">
    <v>#VALUE!</v>
    <v>de-DE</v>
    <v>905d98cd-4e98-7897-64ca-eb83e4754ea8</v>
    <v>536870912</v>
    <v>1</v>
    <v>891</v>
    <v>39</v>
    <v>40</v>
    <v>Sondershausen</v>
    <v>5</v>
    <v>6</v>
    <v>Map</v>
    <v>7</v>
    <v>14</v>
    <v>4257</v>
    <v>Sondershausen is a town in Thuringia, central Germany, capital of the Kyffhäuserkreis district, situated about 50 km north of Erfurt. On 1 December 2007, the former municipality Schernberg was incorporated by Sondershausen.</v>
    <v>4258</v>
    <v>4259</v>
    <v>4260</v>
    <v>4261</v>
    <v>21</v>
    <v>4262</v>
    <v>4263</v>
    <v>Sondershausen</v>
    <v>Sondershausen</v>
    <v>mdp/vdpid/7012025375135891458</v>
    <v>4264</v>
  </rv>
  <rv s="0">
    <v>536870912</v>
    <v>Sonneberg</v>
    <v>9f5853b4-424b-ce32-6181-83a946c1ab0f</v>
    <v>de-DE</v>
    <v>Map</v>
  </rv>
  <rv s="0">
    <v>805306368</v>
    <v>Dr. Heiko Voigt (Mayor)</v>
    <v>0a9b1991-8e8a-c7b7-d408-45ed2cfcbd06</v>
    <v>de-DE</v>
    <v>Generic</v>
  </rv>
  <rv s="1">
    <v>396</v>
  </rv>
  <rv s="2">
    <fb>23507</fb>
    <v>9</v>
  </rv>
  <rv s="3">
    <v>415</v>
    <v>7</v>
    <v>892</v>
    <v>7</v>
    <v>0</v>
    <v>Image of Sonneberg</v>
  </rv>
  <rv s="2">
    <fb>50.35</fb>
    <v>10</v>
  </rv>
  <rv s="2">
    <fb>84.69</fb>
    <v>9</v>
  </rv>
  <rv s="2">
    <fb>11.1666666666667</fb>
    <v>10</v>
  </rv>
  <rv s="4">
    <v>https://www.bing.com/search?q=sonneberg+germany&amp;form=skydnc</v>
    <v>Learn more on Bing</v>
  </rv>
  <rv s="0">
    <v>536870912</v>
    <v>Sonneberg</v>
    <v>a1bb162c-41bb-47ae-9afe-6da62f2a3581</v>
    <v>de-DE</v>
    <v>Map</v>
  </rv>
  <rv s="10">
    <v>#VALUE!</v>
    <v>de-DE</v>
    <v>9f5853b4-424b-ce32-6181-83a946c1ab0f</v>
    <v>536870912</v>
    <v>1</v>
    <v>893</v>
    <v>39</v>
    <v>40</v>
    <v>Sonneberg</v>
    <v>5</v>
    <v>6</v>
    <v>Map</v>
    <v>7</v>
    <v>14</v>
    <v>4268</v>
    <v>Sonneberg in Thuringia, Germany, is the seat of the Sonneberg district. It is in the Franconian south of Thuringia, neighboring its Upper Franconian twin town Neustadt bei Coburg. Sonneberg became known as the "world toy city", and is home to ...</v>
    <v>4269</v>
    <v>4270</v>
    <v>4271</v>
    <v>4272</v>
    <v>21</v>
    <v>4273</v>
    <v>4274</v>
    <v>Sonneberg</v>
    <v>Sonneberg</v>
    <v>mdp/vdpid/7015112531878346753</v>
    <v>4275</v>
  </rv>
  <rv s="0">
    <v>536870912</v>
    <v>Speyer</v>
    <v>ee7bb9b8-e693-1f08-b0b0-b236ce28509d</v>
    <v>de-DE</v>
    <v>Map</v>
  </rv>
  <rv s="0">
    <v>805306368</v>
    <v>Stefanie Seiler (Mayor)</v>
    <v>7e28e605-b819-bb3e-9757-4c22b5d40a02</v>
    <v>de-DE</v>
    <v>Generic</v>
  </rv>
  <rv s="1">
    <v>397</v>
  </rv>
  <rv s="2">
    <fb>51368</fb>
    <v>9</v>
  </rv>
  <rv s="3">
    <v>416</v>
    <v>7</v>
    <v>894</v>
    <v>7</v>
    <v>0</v>
    <v>Image of Speyer</v>
  </rv>
  <rv s="2">
    <fb>49.316555299999997</fb>
    <v>10</v>
  </rv>
  <rv s="2">
    <fb>42.71</fb>
    <v>9</v>
  </rv>
  <rv s="2">
    <fb>8.4336149999999996</fb>
    <v>10</v>
  </rv>
  <rv s="4">
    <v>https://www.bing.com/search?q=speyer&amp;form=skydnc</v>
    <v>Learn more on Bing</v>
  </rv>
  <rv s="24">
    <v>#VALUE!</v>
    <v>de-DE</v>
    <v>ee7bb9b8-e693-1f08-b0b0-b236ce28509d</v>
    <v>536870912</v>
    <v>1</v>
    <v>895</v>
    <v>896</v>
    <v>897</v>
    <v>Speyer</v>
    <v>898</v>
    <v>6</v>
    <v>Map</v>
    <v>7</v>
    <v>14</v>
    <v>4279</v>
    <v>Speyer, historically known in English as Spires, is a city in Rhineland-Palatinate in Germany with approximately 50,000 inhabitants. Located on the left bank of the river Rhine, Speyer lies 25 km south of Ludwigshafen and Mannheim, and 21 km ...</v>
    <v>4280</v>
    <v>4281</v>
    <v>4282</v>
    <v>4283</v>
    <v>21</v>
    <v>4284</v>
    <v>4285</v>
    <v>Speyer</v>
    <v>Speyer</v>
    <v>60</v>
    <v>60</v>
  </rv>
  <rv s="0">
    <v>536870912</v>
    <v>Spremberg</v>
    <v>8b4cabf8-71d5-6171-da52-84e8668dc598</v>
    <v>de-DE</v>
    <v>Map</v>
  </rv>
  <rv s="0">
    <v>805306368</v>
    <v>Christine Herntier (Mayor)</v>
    <v>cb4a5ea2-ba10-9553-3d3d-87bd37fffbdf</v>
    <v>de-DE</v>
    <v>Generic</v>
  </rv>
  <rv s="1">
    <v>398</v>
  </rv>
  <rv s="2">
    <fb>21585</fb>
    <v>9</v>
  </rv>
  <rv s="3">
    <v>417</v>
    <v>7</v>
    <v>899</v>
    <v>7</v>
    <v>0</v>
    <v>Image of Spremberg</v>
  </rv>
  <rv s="2">
    <fb>51.571666666666999</fb>
    <v>10</v>
  </rv>
  <rv s="2">
    <fb>202.32</fb>
    <v>9</v>
  </rv>
  <rv s="2">
    <fb>14.379444444443999</fb>
    <v>10</v>
  </rv>
  <rv s="4">
    <v>https://www.bing.com/search?q=spremberg+germany&amp;form=skydnc</v>
    <v>Learn more on Bing</v>
  </rv>
  <rv s="6">
    <v>#VALUE!</v>
    <v>de-DE</v>
    <v>8b4cabf8-71d5-6171-da52-84e8668dc598</v>
    <v>536870912</v>
    <v>1</v>
    <v>900</v>
    <v>2</v>
    <v>13</v>
    <v>Spremberg</v>
    <v>5</v>
    <v>6</v>
    <v>Map</v>
    <v>7</v>
    <v>14</v>
    <v>4289</v>
    <v>Spremberg is a municipality near the Saxon city of Hoyerswerda and is in the Spree-Neiße district of Brandenburg, Germany. First mentioned in 1301, the town alone has 14,028 inhabitants, and the municipality, including other villages, has 22,456 ...</v>
    <v>4290</v>
    <v>4291</v>
    <v>4292</v>
    <v>4293</v>
    <v>21</v>
    <v>4294</v>
    <v>4295</v>
    <v>Spremberg</v>
    <v>Spremberg</v>
    <v>mdp/vdpid/7018606812345663489</v>
    <v>488</v>
    <v>1474</v>
  </rv>
  <rv s="0">
    <v>536870912</v>
    <v>St. Blasien</v>
    <v>a894158d-55be-af05-bd3c-b87e170a16a0</v>
    <v>de-DE</v>
    <v>Map</v>
  </rv>
  <rv s="0">
    <v>805306368</v>
    <v>Adrian Probst (Mayor)</v>
    <v>6e01cf66-13c7-f04e-b35d-7817c905745e</v>
    <v>de-DE</v>
    <v>Generic</v>
  </rv>
  <rv s="1">
    <v>399</v>
  </rv>
  <rv s="2">
    <fb>4169</fb>
    <v>9</v>
  </rv>
  <rv s="3">
    <v>418</v>
    <v>7</v>
    <v>901</v>
    <v>7</v>
    <v>0</v>
    <v>Image of Sankt Blasien</v>
  </rv>
  <rv s="2">
    <fb>47.761944444443998</fb>
    <v>10</v>
  </rv>
  <rv s="2">
    <fb>54.41</fb>
    <v>9</v>
  </rv>
  <rv s="2">
    <fb>8.1283333333333001</fb>
    <v>10</v>
  </rv>
  <rv s="4">
    <v>https://www.bing.com/search?q=sankt+blasien+germany&amp;form=skydnc</v>
    <v>Learn more on Bing</v>
  </rv>
  <rv s="11">
    <v>#VALUE!</v>
    <v>de-DE</v>
    <v>a894158d-55be-af05-bd3c-b87e170a16a0</v>
    <v>536870912</v>
    <v>1</v>
    <v>902</v>
    <v>17</v>
    <v>57</v>
    <v>Sankt Blasien</v>
    <v>5</v>
    <v>6</v>
    <v>Map</v>
    <v>7</v>
    <v>14</v>
    <v>4299</v>
    <v>St. Blasien (Sankt Blasien) is a small town located in the Waldshut district in Baden-Württemberg, Germany. It is situated in the Southern Black Forest, 17 km northeast of Waldshut-Tiengen. St. Blaise's Abbey in the Black Forest is located in ...</v>
    <v>4300</v>
    <v>4301</v>
    <v>4302</v>
    <v>4303</v>
    <v>21</v>
    <v>4304</v>
    <v>4305</v>
    <v>Sankt Blasien</v>
    <v>Sankt Blasien</v>
    <v>mdp/vdpid/7015667467657674753</v>
    <v>2193</v>
  </rv>
  <rv s="0">
    <v>536870912</v>
    <v>St. Ingbert</v>
    <v>02379dbd-3d67-dd97-dd91-58fa2fd3556d</v>
    <v>de-DE</v>
    <v>Map</v>
  </rv>
  <rv s="0">
    <v>805306368</v>
    <v>Ulli Meyer (Mayor)</v>
    <v>44926eb9-43ba-fe94-d4f7-7c51b371eea1</v>
    <v>de-DE</v>
    <v>Generic</v>
  </rv>
  <rv s="1">
    <v>400</v>
  </rv>
  <rv s="2">
    <fb>35216</fb>
    <v>9</v>
  </rv>
  <rv s="3">
    <v>419</v>
    <v>7</v>
    <v>903</v>
    <v>7</v>
    <v>0</v>
    <v>Image of Sankt Ingbert</v>
  </rv>
  <rv s="2">
    <fb>49.95</fb>
    <v>9</v>
  </rv>
  <rv s="4">
    <v>https://www.bing.com/search?q=sankt+ingbert&amp;form=skydnc</v>
    <v>Learn more on Bing</v>
  </rv>
  <rv s="6">
    <v>#VALUE!</v>
    <v>de-DE</v>
    <v>02379dbd-3d67-dd97-dd91-58fa2fd3556d</v>
    <v>536870912</v>
    <v>1</v>
    <v>904</v>
    <v>2</v>
    <v>13</v>
    <v>Sankt Ingbert</v>
    <v>5</v>
    <v>6</v>
    <v>Map</v>
    <v>7</v>
    <v>14</v>
    <v>4309</v>
    <v>St. Ingbert is a town in the Saarpfalz district in Saarland, Germany with a population of 34,971. It is situated approximately 10 km north-east of Saarbrücken and 10 km south-west of Neunkirchen.</v>
    <v>4310</v>
    <v>4311</v>
    <v>114</v>
    <v>4312</v>
    <v>21</v>
    <v>3092</v>
    <v>4313</v>
    <v>Sankt Ingbert</v>
    <v>Sankt Ingbert</v>
    <v>mdp/vdpid/7014591640291508226</v>
    <v>2264</v>
    <v>2265</v>
  </rv>
  <rv s="0">
    <v>536870912</v>
    <v>Stade</v>
    <v>d4a53cf2-b0b4-cc46-c707-7ee3804f1274</v>
    <v>de-DE</v>
    <v>Map</v>
  </rv>
  <rv s="0">
    <v>805306368</v>
    <v>Sönke Hartlef (Mayor)</v>
    <v>3b7e2c8a-052e-c13c-20e4-26243f94e32e</v>
    <v>de-DE</v>
    <v>Generic</v>
  </rv>
  <rv s="1">
    <v>401</v>
  </rv>
  <rv s="2">
    <fb>48353</fb>
    <v>9</v>
  </rv>
  <rv s="3">
    <v>420</v>
    <v>7</v>
    <v>905</v>
    <v>7</v>
    <v>0</v>
    <v>Image of Stade</v>
  </rv>
  <rv s="2">
    <fb>53.600833333333</fb>
    <v>10</v>
  </rv>
  <rv s="2">
    <fb>110.07</fb>
    <v>9</v>
  </rv>
  <rv s="2">
    <fb>9.4763888888889003</fb>
    <v>10</v>
  </rv>
  <rv s="4">
    <v>https://www.bing.com/search?q=stade+germany&amp;form=skydnc</v>
    <v>Learn more on Bing</v>
  </rv>
  <rv s="0">
    <v>536870912</v>
    <v>Stade</v>
    <v>a3786f39-a06b-4467-ae91-5bd56b82b17d</v>
    <v>de-DE</v>
    <v>Map</v>
  </rv>
  <rv s="6">
    <v>#VALUE!</v>
    <v>de-DE</v>
    <v>d4a53cf2-b0b4-cc46-c707-7ee3804f1274</v>
    <v>536870912</v>
    <v>1</v>
    <v>906</v>
    <v>2</v>
    <v>13</v>
    <v>Stade</v>
    <v>5</v>
    <v>6</v>
    <v>Map</v>
    <v>7</v>
    <v>14</v>
    <v>4317</v>
    <v>Stade, officially the Hanseatic City of Stade is a city in Lower Saxony in northern Germany. First mentioned in records in 934, it is the seat of the district which bears its name. It is located roughly 45 km to the west of Hamburg and belongs ...</v>
    <v>4318</v>
    <v>4319</v>
    <v>4320</v>
    <v>4321</v>
    <v>21</v>
    <v>4322</v>
    <v>4323</v>
    <v>Stade</v>
    <v>Stade</v>
    <v>mdp/vdpid/7010824740164075521</v>
    <v>247</v>
    <v>4324</v>
  </rv>
  <rv s="0">
    <v>536870912</v>
    <v>Staßfurt</v>
    <v>733c2221-72da-5546-5adc-b449714599d3</v>
    <v>de-DE</v>
    <v>Map</v>
  </rv>
  <rv s="0">
    <v>805306368</v>
    <v>René Zok (Mayor)</v>
    <v>1ae01e9e-a5f0-2ab2-6a12-4d52fc8b9b2e</v>
    <v>de-DE</v>
    <v>Generic</v>
  </rv>
  <rv s="1">
    <v>402</v>
  </rv>
  <rv s="2">
    <fb>24293</fb>
    <v>9</v>
  </rv>
  <rv s="3">
    <v>421</v>
    <v>7</v>
    <v>907</v>
    <v>7</v>
    <v>0</v>
    <v>Image of Staßfurt</v>
  </rv>
  <rv s="2">
    <fb>51.866666666667001</fb>
    <v>10</v>
  </rv>
  <rv s="2">
    <fb>146.71</fb>
    <v>9</v>
  </rv>
  <rv s="2">
    <fb>11.566666666667</fb>
    <v>10</v>
  </rv>
  <rv s="4">
    <v>https://www.bing.com/search?q=sta%c3%9ffurt+germany&amp;form=skydnc</v>
    <v>Learn more on Bing</v>
  </rv>
  <rv s="11">
    <v>#VALUE!</v>
    <v>de-DE</v>
    <v>733c2221-72da-5546-5adc-b449714599d3</v>
    <v>536870912</v>
    <v>1</v>
    <v>908</v>
    <v>17</v>
    <v>57</v>
    <v>Staßfurt</v>
    <v>5</v>
    <v>6</v>
    <v>Map</v>
    <v>7</v>
    <v>14</v>
    <v>4328</v>
    <v>Staßfurt is a town in the Salzlandkreis district, in Saxony-Anhalt, Germany. It is situated on both sides of the river Bode, approximately 15 km northeast of Aschersleben, and 30 km south of Magdeburg. Pop. 23,538.</v>
    <v>4329</v>
    <v>4330</v>
    <v>4331</v>
    <v>4332</v>
    <v>21</v>
    <v>4333</v>
    <v>4334</v>
    <v>Staßfurt</v>
    <v>Staßfurt</v>
    <v>mdp/vdpid/7018019943920697345</v>
    <v>171</v>
  </rv>
  <rv s="0">
    <v>536870912</v>
    <v>Stendal</v>
    <v>cb545465-a2a2-a072-1815-51694bda9720</v>
    <v>de-DE</v>
    <v>Map</v>
  </rv>
  <rv s="0">
    <v>805306368</v>
    <v>Bastian Sieler (Mayor)</v>
    <v>d75dcb31-b739-8b57-5f77-592be7e033d7</v>
    <v>de-DE</v>
    <v>Generic</v>
  </rv>
  <rv s="1">
    <v>403</v>
  </rv>
  <rv s="2">
    <fb>39105</fb>
    <v>9</v>
  </rv>
  <rv s="3">
    <v>422</v>
    <v>7</v>
    <v>909</v>
    <v>7</v>
    <v>0</v>
    <v>Image of Stendal</v>
  </rv>
  <rv s="2">
    <fb>268.02</fb>
    <v>9</v>
  </rv>
  <rv s="2">
    <fb>11.85</fb>
    <v>10</v>
  </rv>
  <rv s="4">
    <v>https://www.bing.com/search?q=stendal+germany&amp;form=skydnc</v>
    <v>Learn more on Bing</v>
  </rv>
  <rv s="0">
    <v>536870912</v>
    <v>Stendal District</v>
    <v>7f5de657-f15e-7f33-f2b2-de4f347870e0</v>
    <v>de-DE</v>
    <v>Map</v>
  </rv>
  <rv s="11">
    <v>#VALUE!</v>
    <v>de-DE</v>
    <v>cb545465-a2a2-a072-1815-51694bda9720</v>
    <v>536870912</v>
    <v>1</v>
    <v>910</v>
    <v>17</v>
    <v>57</v>
    <v>Stendal</v>
    <v>5</v>
    <v>6</v>
    <v>Map</v>
    <v>7</v>
    <v>14</v>
    <v>4338</v>
    <v>The Hanseatic City of Stendal is a town in Saxony-Anhalt, Germany. It is the capital of the Stendal District and the unofficial capital of the Altmark region.</v>
    <v>4339</v>
    <v>4340</v>
    <v>3838</v>
    <v>4341</v>
    <v>21</v>
    <v>4342</v>
    <v>4343</v>
    <v>Stendal</v>
    <v>Stendal</v>
    <v>mdp/vdpid/7017816740461543425</v>
    <v>4344</v>
  </rv>
  <rv s="0">
    <v>536870912</v>
    <v>Stolberg</v>
    <v>8a829997-a37c-23df-b927-e2ccea4f073d</v>
    <v>de-DE</v>
    <v>Map</v>
  </rv>
  <rv s="0">
    <v>805306368</v>
    <v>Patrick Haas (Mayor)</v>
    <v>748a7bda-0609-b175-1157-2a672f70b38e</v>
    <v>de-DE</v>
    <v>Generic</v>
  </rv>
  <rv s="1">
    <v>404</v>
  </rv>
  <rv s="2">
    <fb>56455</fb>
    <v>9</v>
  </rv>
  <rv s="3">
    <v>423</v>
    <v>7</v>
    <v>911</v>
    <v>7</v>
    <v>0</v>
    <v>Image of Stolberg</v>
  </rv>
  <rv s="2">
    <fb>50.766666666667</fb>
    <v>10</v>
  </rv>
  <rv s="2">
    <fb>98.48</fb>
    <v>9</v>
  </rv>
  <rv s="2">
    <fb>6.2333333333332996</fb>
    <v>10</v>
  </rv>
  <rv s="4">
    <v>https://www.bing.com/search?q=stolberg+germany&amp;form=skydnc</v>
    <v>Learn more on Bing</v>
  </rv>
  <rv s="6">
    <v>#VALUE!</v>
    <v>de-DE</v>
    <v>8a829997-a37c-23df-b927-e2ccea4f073d</v>
    <v>536870912</v>
    <v>1</v>
    <v>912</v>
    <v>2</v>
    <v>13</v>
    <v>Stolberg</v>
    <v>5</v>
    <v>6</v>
    <v>Map</v>
    <v>7</v>
    <v>14</v>
    <v>4348</v>
    <v>Stolberg is a town in North Rhine-Westphalia, Germany. It has a long history as an industrial town and belongs to the district Aachen and the lower district court of Eschweiler.</v>
    <v>4349</v>
    <v>4350</v>
    <v>4351</v>
    <v>4352</v>
    <v>21</v>
    <v>4353</v>
    <v>4354</v>
    <v>Stolberg</v>
    <v>Stolberg</v>
    <v>mdp/vdpid/7011363753358786561</v>
    <v>10</v>
    <v>11</v>
  </rv>
  <rv s="0">
    <v>536870912</v>
    <v>Stralsund</v>
    <v>0dcffc56-db7f-84a1-a621-5d6cb667a159</v>
    <v>de-DE</v>
    <v>Map</v>
  </rv>
  <rv s="0">
    <v>805306368</v>
    <v>Alexander Badrow (Mayor)</v>
    <v>9b427541-fd5c-a908-4d83-0a2ffdbb8e7f</v>
    <v>de-DE</v>
    <v>Generic</v>
  </rv>
  <rv s="1">
    <v>405</v>
  </rv>
  <rv s="2">
    <fb>59363</fb>
    <v>9</v>
  </rv>
  <rv s="3">
    <v>424</v>
    <v>7</v>
    <v>913</v>
    <v>7</v>
    <v>0</v>
    <v>Image of Stralsund</v>
  </rv>
  <rv s="2">
    <fb>54.309166666666698</fb>
    <v>10</v>
  </rv>
  <rv s="2">
    <fb>54.14</fb>
    <v>9</v>
  </rv>
  <rv s="2">
    <fb>13.0819444444444</fb>
    <v>10</v>
  </rv>
  <rv s="4">
    <v>https://www.bing.com/search?q=stralsund&amp;form=skydnc</v>
    <v>Learn more on Bing</v>
  </rv>
  <rv s="6">
    <v>#VALUE!</v>
    <v>de-DE</v>
    <v>0dcffc56-db7f-84a1-a621-5d6cb667a159</v>
    <v>536870912</v>
    <v>1</v>
    <v>914</v>
    <v>2</v>
    <v>13</v>
    <v>Stralsund</v>
    <v>5</v>
    <v>6</v>
    <v>Map</v>
    <v>7</v>
    <v>14</v>
    <v>4358</v>
    <v>Stralsund (German pronunciation: ;, officially the Hanseatic City of Stralsund, is the fifth-largest city in the northeastern German federal state of Mecklenburg-Western Pomerania after Rostock, Schwerin, Neubrandenburg and Greifswald, and the ...</v>
    <v>4359</v>
    <v>4360</v>
    <v>4361</v>
    <v>4362</v>
    <v>21</v>
    <v>4363</v>
    <v>4364</v>
    <v>Stralsund</v>
    <v>Stralsund</v>
    <v>mdp/vdpid/7017061788625666050</v>
    <v>94</v>
    <v>454</v>
  </rv>
  <rv s="0">
    <v>536870912</v>
    <v>Straubing</v>
    <v>c61302c7-ba85-7fda-47dd-787852c81eb1</v>
    <v>de-DE</v>
    <v>Map</v>
  </rv>
  <rv s="0">
    <v>805306368</v>
    <v>Markus Pannermayr (Mayor)</v>
    <v>a5619141-05ec-3e2b-faeb-d1db8079ad6d</v>
    <v>de-DE</v>
    <v>Generic</v>
  </rv>
  <rv s="1">
    <v>406</v>
  </rv>
  <rv s="2">
    <fb>49164</fb>
    <v>9</v>
  </rv>
  <rv s="3">
    <v>425</v>
    <v>7</v>
    <v>915</v>
    <v>7</v>
    <v>0</v>
    <v>Image of Straubing</v>
  </rv>
  <rv s="2">
    <fb>48.877222222222201</fb>
    <v>10</v>
  </rv>
  <rv s="2">
    <fb>67.59</fb>
    <v>9</v>
  </rv>
  <rv s="2">
    <fb>12.5758333333333</fb>
    <v>10</v>
  </rv>
  <rv s="4">
    <v>https://www.bing.com/search?q=straubing&amp;form=skydnc</v>
    <v>Learn more on Bing</v>
  </rv>
  <rv s="9">
    <v>#VALUE!</v>
    <v>de-DE</v>
    <v>c61302c7-ba85-7fda-47dd-787852c81eb1</v>
    <v>536870912</v>
    <v>1</v>
    <v>916</v>
    <v>27</v>
    <v>28</v>
    <v>Straubing</v>
    <v>5</v>
    <v>6</v>
    <v>Map</v>
    <v>7</v>
    <v>14</v>
    <v>4368</v>
    <v>Straubing is an independent city in Lower Bavaria, southern Germany. It is seat of the district of Straubing-Bogen. Annually in August the Gäubodenvolksfest, the second largest fair in Bavaria, is held.</v>
    <v>4369</v>
    <v>4370</v>
    <v>4371</v>
    <v>4372</v>
    <v>21</v>
    <v>4373</v>
    <v>4374</v>
    <v>Straubing</v>
    <v>Straubing</v>
    <v>mdp/vdpid/7021445863826259969</v>
  </rv>
  <rv s="0">
    <v>536870912</v>
    <v>Strausberg</v>
    <v>a5b179d8-9555-d8b0-f593-a551832ccbdb</v>
    <v>de-DE</v>
    <v>Map</v>
  </rv>
  <rv s="0">
    <v>805306368</v>
    <v>Elke Stadeler (Mayor)</v>
    <v>6381fe8f-0020-de11-de94-17a2ebe62ff8</v>
    <v>de-DE</v>
    <v>Generic</v>
  </rv>
  <rv s="1">
    <v>407</v>
  </rv>
  <rv s="2">
    <fb>27344</fb>
    <v>9</v>
  </rv>
  <rv s="3">
    <v>426</v>
    <v>7</v>
    <v>917</v>
    <v>7</v>
    <v>0</v>
    <v>Image of Strausberg</v>
  </rv>
  <rv s="2">
    <fb>52.580833333332997</fb>
    <v>10</v>
  </rv>
  <rv s="2">
    <fb>67.94</fb>
    <v>9</v>
  </rv>
  <rv s="2">
    <fb>13.881388888888999</fb>
    <v>10</v>
  </rv>
  <rv s="4">
    <v>https://www.bing.com/search?q=strausberg+germany&amp;form=skydnc</v>
    <v>Learn more on Bing</v>
  </rv>
  <rv s="0">
    <v>536870912</v>
    <v>Märkisch-Oderland District</v>
    <v>09a78b3e-0660-462d-0298-275024272404</v>
    <v>de-DE</v>
    <v>Map</v>
  </rv>
  <rv s="6">
    <v>#VALUE!</v>
    <v>de-DE</v>
    <v>a5b179d8-9555-d8b0-f593-a551832ccbdb</v>
    <v>536870912</v>
    <v>1</v>
    <v>918</v>
    <v>2</v>
    <v>13</v>
    <v>Strausberg</v>
    <v>5</v>
    <v>6</v>
    <v>Map</v>
    <v>7</v>
    <v>14</v>
    <v>4378</v>
    <v>Strausberg is a town in Brandenburg, in eastern Germany, located 30 km east of Berlin. With a population of about 27,000 it is the largest town in the district of Märkisch-Oderland.</v>
    <v>4379</v>
    <v>4380</v>
    <v>4381</v>
    <v>4382</v>
    <v>21</v>
    <v>4383</v>
    <v>4384</v>
    <v>Strausberg</v>
    <v>Strausberg</v>
    <v>mdp/vdpid/7017992841989193729</v>
    <v>488</v>
    <v>4385</v>
  </rv>
  <rv s="0">
    <v>536870912</v>
    <v>Stuttgart</v>
    <v>6323a450-61f6-0308-0285-94efb41bdd40</v>
    <v>de-DE</v>
    <v>Map</v>
  </rv>
  <rv s="0">
    <v>805306368</v>
    <v>Frank Nopper (Mayor)</v>
    <v>553b6f68-269b-ac1b-8106-c3f0a1ddff26</v>
    <v>de-DE</v>
    <v>Generic</v>
  </rv>
  <rv s="1">
    <v>408</v>
  </rv>
  <rv s="2">
    <fb>632865</fb>
    <v>9</v>
  </rv>
  <rv s="3">
    <v>427</v>
    <v>7</v>
    <v>919</v>
    <v>7</v>
    <v>0</v>
    <v>Image of Stuttgart</v>
  </rv>
  <rv s="2">
    <fb>48.777500000000003</fb>
    <v>10</v>
  </rv>
  <rv s="2">
    <fb>207.35</fb>
    <v>9</v>
  </rv>
  <rv s="2">
    <fb>9.18</fb>
    <v>10</v>
  </rv>
  <rv s="4">
    <v>https://www.bing.com/search?q=stuttgart+germany&amp;form=skydnc</v>
    <v>Learn more on Bing</v>
  </rv>
  <rv s="6">
    <v>#VALUE!</v>
    <v>de-DE</v>
    <v>6323a450-61f6-0308-0285-94efb41bdd40</v>
    <v>536870912</v>
    <v>1</v>
    <v>920</v>
    <v>2</v>
    <v>13</v>
    <v>Stuttgart</v>
    <v>5</v>
    <v>6</v>
    <v>Map</v>
    <v>7</v>
    <v>14</v>
    <v>4389</v>
    <v>Stuttgart is the capital and largest city of the German state of Baden-Württemberg. It is located on the Neckar river in a fertile valley known as the Stuttgarter Kessel and lies an hour from the Swabian Jura and the Black Forest. Stuttgart has ...</v>
    <v>4390</v>
    <v>4391</v>
    <v>4392</v>
    <v>4393</v>
    <v>21</v>
    <v>4394</v>
    <v>4395</v>
    <v>Stuttgart</v>
    <v>Stuttgart</v>
    <v>mdp/vdpid/7015254189932544001</v>
    <v>359</v>
    <v>606</v>
  </rv>
  <rv s="0">
    <v>536870912</v>
    <v>Suhl</v>
    <v>7d641fc6-79ab-4e73-5f8a-e32d0411800d</v>
    <v>de-DE</v>
    <v>Map</v>
  </rv>
  <rv s="0">
    <v>805306368</v>
    <v>André Knapp (Mayor)</v>
    <v>9dae1a27-5a09-47fc-e85e-886ab6bd85a4</v>
    <v>de-DE</v>
    <v>Generic</v>
  </rv>
  <rv s="1">
    <v>409</v>
  </rv>
  <rv s="2">
    <fb>37009</fb>
    <v>9</v>
  </rv>
  <rv s="3">
    <v>428</v>
    <v>7</v>
    <v>921</v>
    <v>7</v>
    <v>0</v>
    <v>Image of Suhl</v>
  </rv>
  <rv s="2">
    <fb>50.610555555555997</fb>
    <v>10</v>
  </rv>
  <rv s="2">
    <fb>141.62</fb>
    <v>9</v>
  </rv>
  <rv s="2">
    <fb>10.693055555556001</fb>
    <v>10</v>
  </rv>
  <rv s="4">
    <v>https://www.bing.com/search?q=suhl+germany&amp;form=skydnc</v>
    <v>Learn more on Bing</v>
  </rv>
  <rv s="9">
    <v>#VALUE!</v>
    <v>de-DE</v>
    <v>7d641fc6-79ab-4e73-5f8a-e32d0411800d</v>
    <v>536870912</v>
    <v>1</v>
    <v>922</v>
    <v>27</v>
    <v>28</v>
    <v>Suhl</v>
    <v>5</v>
    <v>6</v>
    <v>Map</v>
    <v>7</v>
    <v>14</v>
    <v>4399</v>
    <v>Suhl is a city in Thuringia, Germany, located SW of Erfurt, 110 kilometres NE of Würzburg and 130 kilometres N of Nuremberg. With its 37,000 inhabitants, it is the smallest of the six urban districts within Thuringia. Together with its northern ...</v>
    <v>4400</v>
    <v>4401</v>
    <v>4402</v>
    <v>4403</v>
    <v>21</v>
    <v>4404</v>
    <v>4405</v>
    <v>Suhl</v>
    <v>Suhl</v>
    <v>mdp/vdpid/7012093581800243201</v>
  </rv>
  <rv s="0">
    <v>536870912</v>
    <v>Sulzbach/Saar</v>
    <v>62811555-f3df-d8d1-5c22-c6e1f483a1f0</v>
    <v>de-DE</v>
    <v>Map</v>
  </rv>
  <rv s="0">
    <v>805306368</v>
    <v>Michael Adam (Mayor)</v>
    <v>042edf24-00e8-a565-abfc-b3da5f41118b</v>
    <v>de-DE</v>
    <v>Generic</v>
  </rv>
  <rv s="1">
    <v>410</v>
  </rv>
  <rv s="2">
    <fb>16353</fb>
    <v>9</v>
  </rv>
  <rv s="3">
    <v>429</v>
    <v>7</v>
    <v>923</v>
    <v>7</v>
    <v>0</v>
    <v>Image of Sulzbach, Saarland</v>
  </rv>
  <rv s="2">
    <fb>16.07</fb>
    <v>9</v>
  </rv>
  <rv s="2">
    <fb>7.0666694444444396</fb>
    <v>10</v>
  </rv>
  <rv s="4">
    <v>https://www.bing.com/search?q=sulzbach+germany&amp;form=skydnc</v>
    <v>Learn more on Bing</v>
  </rv>
  <rv s="6">
    <v>#VALUE!</v>
    <v>de-DE</v>
    <v>62811555-f3df-d8d1-5c22-c6e1f483a1f0</v>
    <v>536870912</v>
    <v>1</v>
    <v>924</v>
    <v>2</v>
    <v>13</v>
    <v>Sulzbach, Saarland</v>
    <v>5</v>
    <v>6</v>
    <v>Map</v>
    <v>7</v>
    <v>14</v>
    <v>4409</v>
    <v>Sulzbach is a town and a municipality in the district of Saarbrücken, in Saarland, Germany with a population of 16,215. It is situated approximately 10 km northeast of Saarbrücken. Following reforms of the regional government in 1974, ...</v>
    <v>4410</v>
    <v>4411</v>
    <v>114</v>
    <v>4412</v>
    <v>21</v>
    <v>4413</v>
    <v>4414</v>
    <v>Sulzbach, Saarland</v>
    <v>Sulzbach, Saarland</v>
    <v>mdp/vdpid/7014590030702182401</v>
    <v>2264</v>
    <v>3872</v>
  </rv>
  <rv s="0">
    <v>536870912</v>
    <v>Torgau</v>
    <v>cc759dd2-b8a8-296c-08b5-7354ad5879dd</v>
    <v>de-DE</v>
    <v>Map</v>
  </rv>
  <rv s="0">
    <v>805306368</v>
    <v>Henrik Simon (Mayor)</v>
    <v>ca0ac89d-e987-7c53-11fa-2da65e3ed77a</v>
    <v>de-DE</v>
    <v>Generic</v>
  </rv>
  <rv s="1">
    <v>411</v>
  </rv>
  <rv s="2">
    <fb>19802</fb>
    <v>9</v>
  </rv>
  <rv s="3">
    <v>430</v>
    <v>7</v>
    <v>925</v>
    <v>7</v>
    <v>0</v>
    <v>Image of Torgau</v>
  </rv>
  <rv s="2">
    <fb>51.560277777777998</fb>
    <v>10</v>
  </rv>
  <rv s="2">
    <fb>102.81</fb>
    <v>9</v>
  </rv>
  <rv s="2">
    <fb>13.005555555556001</fb>
    <v>10</v>
  </rv>
  <rv s="4">
    <v>https://www.bing.com/search?q=torgau&amp;form=skydnc</v>
    <v>Learn more on Bing</v>
  </rv>
  <rv s="6">
    <v>#VALUE!</v>
    <v>de-DE</v>
    <v>cc759dd2-b8a8-296c-08b5-7354ad5879dd</v>
    <v>536870912</v>
    <v>1</v>
    <v>926</v>
    <v>2</v>
    <v>13</v>
    <v>Torgau</v>
    <v>5</v>
    <v>6</v>
    <v>Map</v>
    <v>7</v>
    <v>14</v>
    <v>4418</v>
    <v>Torgau is a town on the banks of the Elbe in northwestern Saxony, Germany. It is the capital of the district Nordsachsen. Outside Germany, the town is best known as where on 25 April 1945, the United States and Soviet Armies first met near the ...</v>
    <v>4419</v>
    <v>4420</v>
    <v>4421</v>
    <v>4422</v>
    <v>21</v>
    <v>4423</v>
    <v>4424</v>
    <v>Torgau</v>
    <v>Torgau</v>
    <v>mdp/vdpid/7018177963686363138</v>
    <v>106</v>
    <v>967</v>
  </rv>
  <rv s="0">
    <v>536870912</v>
    <v>Trier</v>
    <v>bd8ced6c-1b8a-0642-50e2-6e7b592d8e3e</v>
    <v>de-DE</v>
    <v>Map</v>
  </rv>
  <rv s="0">
    <v>805306368</v>
    <v>Wolfram Leibe (Mayor)</v>
    <v>b7c895ae-5979-95fe-626b-23c9b3a7fad0</v>
    <v>de-DE</v>
    <v>Generic</v>
  </rv>
  <rv s="1">
    <v>412</v>
  </rv>
  <rv s="2">
    <fb>112195</fb>
    <v>9</v>
  </rv>
  <rv s="3">
    <v>431</v>
    <v>7</v>
    <v>927</v>
    <v>7</v>
    <v>0</v>
    <v>Image of Trier</v>
  </rv>
  <rv s="2">
    <fb>49.755650000000003</fb>
    <v>10</v>
  </rv>
  <rv s="2">
    <fb>117.07</fb>
    <v>9</v>
  </rv>
  <rv s="2">
    <fb>6.6393500000000003</fb>
    <v>10</v>
  </rv>
  <rv s="4">
    <v>https://www.bing.com/search?q=trier&amp;form=skydnc</v>
    <v>Learn more on Bing</v>
  </rv>
  <rv s="11">
    <v>#VALUE!</v>
    <v>de-DE</v>
    <v>bd8ced6c-1b8a-0642-50e2-6e7b592d8e3e</v>
    <v>536870912</v>
    <v>1</v>
    <v>928</v>
    <v>17</v>
    <v>57</v>
    <v>Trier</v>
    <v>5</v>
    <v>6</v>
    <v>Map</v>
    <v>7</v>
    <v>14</v>
    <v>4428</v>
    <v>Trier, formerly and traditionally known in English as Trèves and Triers, is a city on the banks of the Moselle in Germany. It lies in a valley between low vine-covered hills of red sandstone in the west of the state of Rhineland-Palatinate, near ...</v>
    <v>4429</v>
    <v>4430</v>
    <v>4431</v>
    <v>4432</v>
    <v>21</v>
    <v>4433</v>
    <v>4434</v>
    <v>Trier</v>
    <v>Trier</v>
    <v>mdp/vdpid/7014472106016505857</v>
    <v>60</v>
  </rv>
  <rv s="0">
    <v>536870912</v>
    <v>Tübingen</v>
    <v>bade3e7a-cc10-d3b9-be66-6daa10b6e35d</v>
    <v>de-DE</v>
    <v>Map</v>
  </rv>
  <rv s="0">
    <v>805306368</v>
    <v>Boris Palmer (Mayor)</v>
    <v>a447dac2-376b-df8e-02e1-c7cacd02a942</v>
    <v>de-DE</v>
    <v>Generic</v>
  </rv>
  <rv s="1">
    <v>413</v>
  </rv>
  <rv s="2">
    <fb>92811</fb>
    <v>9</v>
  </rv>
  <rv s="3">
    <v>432</v>
    <v>7</v>
    <v>929</v>
    <v>7</v>
    <v>0</v>
    <v>Image of Tübingen</v>
  </rv>
  <rv s="2">
    <fb>48.52</fb>
    <v>10</v>
  </rv>
  <rv s="2">
    <fb>108.12</fb>
    <v>9</v>
  </rv>
  <rv s="2">
    <fb>9.0555555555555998</fb>
    <v>10</v>
  </rv>
  <rv s="4">
    <v>https://www.bing.com/search?q=t%c3%bcbingen&amp;form=skydnc</v>
    <v>Learn more on Bing</v>
  </rv>
  <rv s="9">
    <v>#VALUE!</v>
    <v>de-DE</v>
    <v>bade3e7a-cc10-d3b9-be66-6daa10b6e35d</v>
    <v>536870912</v>
    <v>1</v>
    <v>930</v>
    <v>27</v>
    <v>28</v>
    <v>Tübingen</v>
    <v>5</v>
    <v>6</v>
    <v>Map</v>
    <v>7</v>
    <v>14</v>
    <v>4438</v>
    <v>Tübingen is a traditional university city in central Baden-Württemberg, Germany. It is situated 30 km south of the state capital, Stuttgart, and developed on both sides of the Neckar and Ammer rivers. As of 2014 about one in three of the 90,000 ...</v>
    <v>4439</v>
    <v>4440</v>
    <v>4441</v>
    <v>4442</v>
    <v>21</v>
    <v>4443</v>
    <v>4444</v>
    <v>Tübingen</v>
    <v>Tübingen</v>
    <v>mdp/vdpid/7015235396665606145</v>
  </rv>
  <rv s="0">
    <v>536870912</v>
    <v>Tuttlingen</v>
    <v>e383b929-7c7e-225d-a86c-fada7605831c</v>
    <v>de-DE</v>
    <v>Map</v>
  </rv>
  <rv s="2">
    <fb>37458</fb>
    <v>9</v>
  </rv>
  <rv s="3">
    <v>433</v>
    <v>7</v>
    <v>931</v>
    <v>7</v>
    <v>0</v>
    <v>Image of Tuttlingen</v>
  </rv>
  <rv s="2">
    <fb>47.984999999999999</fb>
    <v>10</v>
  </rv>
  <rv s="2">
    <fb>90.49</fb>
    <v>9</v>
  </rv>
  <rv s="2">
    <fb>8.8233333333333004</fb>
    <v>10</v>
  </rv>
  <rv s="4">
    <v>https://www.bing.com/search?q=tuttlingen+germany&amp;form=skydnc</v>
    <v>Learn more on Bing</v>
  </rv>
  <rv s="11">
    <v>#VALUE!</v>
    <v>de-DE</v>
    <v>e383b929-7c7e-225d-a86c-fada7605831c</v>
    <v>536870912</v>
    <v>1</v>
    <v>932</v>
    <v>17</v>
    <v>57</v>
    <v>Tuttlingen</v>
    <v>5</v>
    <v>6</v>
    <v>Map</v>
    <v>7</v>
    <v>14</v>
    <v>2069</v>
    <v>Tuttlingen is a town in Baden-Württemberg, capital of the district Tuttlingen. Nendingen, Möhringen and Eßlingen are three former municipalities that belong to Tuttlingen. Tuttlingen is located in Swabia east of the Black Forest region in the ...</v>
    <v>4447</v>
    <v>4448</v>
    <v>4449</v>
    <v>4450</v>
    <v>21</v>
    <v>4451</v>
    <v>4452</v>
    <v>Tuttlingen</v>
    <v>Tuttlingen</v>
    <v>mdp/vdpid/7015299099788312578</v>
    <v>370</v>
  </rv>
  <rv s="0">
    <v>536870912</v>
    <v>Übach-Palenberg</v>
    <v>d14f7034-8ecc-e660-a53f-ad3bf98fddd5</v>
    <v>de-DE</v>
    <v>Map</v>
  </rv>
  <rv s="0">
    <v>805306368</v>
    <v>Oliver Walther (Mayor)</v>
    <v>b5e5533f-ca70-1362-692e-fff4ce8d4a1f</v>
    <v>de-DE</v>
    <v>Generic</v>
  </rv>
  <rv s="1">
    <v>414</v>
  </rv>
  <rv s="2">
    <fb>24215</fb>
    <v>9</v>
  </rv>
  <rv s="3">
    <v>434</v>
    <v>7</v>
    <v>933</v>
    <v>7</v>
    <v>0</v>
    <v>Image of Übach-Palenberg</v>
  </rv>
  <rv s="2">
    <fb>50.919722222221999</fb>
    <v>10</v>
  </rv>
  <rv s="2">
    <fb>26.09</fb>
    <v>9</v>
  </rv>
  <rv s="2">
    <fb>6.1194444444444001</fb>
    <v>10</v>
  </rv>
  <rv s="4">
    <v>https://www.bing.com/search?q=%c3%bcbach-palenberg+germany&amp;form=skydnc</v>
    <v>Learn more on Bing</v>
  </rv>
  <rv s="6">
    <v>#VALUE!</v>
    <v>de-DE</v>
    <v>d14f7034-8ecc-e660-a53f-ad3bf98fddd5</v>
    <v>536870912</v>
    <v>1</v>
    <v>934</v>
    <v>2</v>
    <v>13</v>
    <v>Übach-Palenberg</v>
    <v>5</v>
    <v>6</v>
    <v>Map</v>
    <v>7</v>
    <v>14</v>
    <v>4456</v>
    <v>Übach-Palenberg is a town in the Heinsberg district of North Rhine-Westphalia, Germany. It was formed by the merger of two villages, Palenberg and Übach.</v>
    <v>4457</v>
    <v>4458</v>
    <v>4459</v>
    <v>4460</v>
    <v>21</v>
    <v>4461</v>
    <v>4462</v>
    <v>Übach-Palenberg</v>
    <v>Übach-Palenberg</v>
    <v>mdp/vdpid/7011359452569796610</v>
    <v>10</v>
    <v>2286</v>
  </rv>
  <rv s="0">
    <v>536870912</v>
    <v>Uelzen</v>
    <v>6a96a881-d7fa-6876-74de-7c7d8163cb7b</v>
    <v>de-DE</v>
    <v>Map</v>
  </rv>
  <rv s="0">
    <v>805306368</v>
    <v>Jürgen Markwardt (Mayor)</v>
    <v>537f22d2-1294-2589-9b61-3c960b3b186b</v>
    <v>de-DE</v>
    <v>Generic</v>
  </rv>
  <rv s="1">
    <v>415</v>
  </rv>
  <rv s="2">
    <fb>33934</fb>
    <v>9</v>
  </rv>
  <rv s="3">
    <v>435</v>
    <v>7</v>
    <v>935</v>
    <v>7</v>
    <v>0</v>
    <v>Image of Uelzen</v>
  </rv>
  <rv s="2">
    <fb>52.964722222222001</fb>
    <v>10</v>
  </rv>
  <rv s="2">
    <fb>136.84</fb>
    <v>9</v>
  </rv>
  <rv s="2">
    <fb>10.565833333333</fb>
    <v>10</v>
  </rv>
  <rv s="4">
    <v>https://www.bing.com/search?q=uelzen&amp;form=skydnc</v>
    <v>Learn more on Bing</v>
  </rv>
  <rv s="0">
    <v>536870912</v>
    <v>Uelzen District</v>
    <v>81f1b600-5735-4599-b681-cc8fe95290f5</v>
    <v>de-DE</v>
    <v>Map</v>
  </rv>
  <rv s="6">
    <v>#VALUE!</v>
    <v>de-DE</v>
    <v>6a96a881-d7fa-6876-74de-7c7d8163cb7b</v>
    <v>536870912</v>
    <v>1</v>
    <v>936</v>
    <v>2</v>
    <v>13</v>
    <v>Uelzen</v>
    <v>5</v>
    <v>6</v>
    <v>Map</v>
    <v>7</v>
    <v>14</v>
    <v>4466</v>
    <v>Uelzen, officially the Hanseatic Town of Uelzen, is a town in northeast Lower Saxony, Germany, and capital of the district of Uelzen. It is part of the Hamburg Metropolitan Region, a Hanseatic town and an independent municipality.</v>
    <v>4467</v>
    <v>4468</v>
    <v>4469</v>
    <v>4470</v>
    <v>21</v>
    <v>4471</v>
    <v>4472</v>
    <v>Uelzen</v>
    <v>Uelzen</v>
    <v>mdp/vdpid/7011736338416271361</v>
    <v>247</v>
    <v>4473</v>
  </rv>
  <rv s="0">
    <v>536870912</v>
    <v>Ulm</v>
    <v>d48ade58-c363-d03c-93f4-8e89471128be</v>
    <v>de-DE</v>
    <v>Map</v>
  </rv>
  <rv s="0">
    <v>805306368</v>
    <v>Gunter Czisch (Mayor)</v>
    <v>cd483f46-3276-a052-a2f2-49811b60e938</v>
    <v>de-DE</v>
    <v>Generic</v>
  </rv>
  <rv s="1">
    <v>416</v>
  </rv>
  <rv s="2">
    <fb>126949</fb>
    <v>9</v>
  </rv>
  <rv s="3">
    <v>436</v>
    <v>7</v>
    <v>937</v>
    <v>7</v>
    <v>0</v>
    <v>Image of Ulm</v>
  </rv>
  <rv s="2">
    <fb>48.398409999999998</fb>
    <v>10</v>
  </rv>
  <rv s="2">
    <fb>118.68</fb>
    <v>9</v>
  </rv>
  <rv s="2">
    <fb>9.9915500000000002</fb>
    <v>10</v>
  </rv>
  <rv s="4">
    <v>https://www.bing.com/search?q=ulm+germany&amp;form=skydnc</v>
    <v>Learn more on Bing</v>
  </rv>
  <rv s="11">
    <v>#VALUE!</v>
    <v>de-DE</v>
    <v>d48ade58-c363-d03c-93f4-8e89471128be</v>
    <v>536870912</v>
    <v>1</v>
    <v>938</v>
    <v>17</v>
    <v>57</v>
    <v>Ulm</v>
    <v>5</v>
    <v>6</v>
    <v>Map</v>
    <v>7</v>
    <v>8</v>
    <v>4477</v>
    <v>Ulm is the sixth-largest city of the southwestern German state of Baden-Württemberg, and with around 129,000 inhabitants, it is Germany's 60th-largest city. Ulm is located on the eastern edges of the Swabian Jura mountain range, on the upper ...</v>
    <v>4478</v>
    <v>4479</v>
    <v>4480</v>
    <v>4481</v>
    <v>1341</v>
    <v>4482</v>
    <v>4483</v>
    <v>Ulm</v>
    <v>Ulm</v>
    <v>mdp/vdpid/7015413792393658369</v>
    <v>359</v>
  </rv>
  <rv s="0">
    <v>536870912</v>
    <v>Unna</v>
    <v>0dd7ce0e-0ad5-b3e6-cf58-5fe483ea2c28</v>
    <v>de-DE</v>
    <v>Map</v>
  </rv>
  <rv s="0">
    <v>805306368</v>
    <v>Dirk Wigant (Mayor)</v>
    <v>25e3d8a2-72f7-4abb-0035-da21b9e21a2f</v>
    <v>de-DE</v>
    <v>Generic</v>
  </rv>
  <rv s="1">
    <v>417</v>
  </rv>
  <rv s="2">
    <fb>60892</fb>
    <v>9</v>
  </rv>
  <rv s="3">
    <v>437</v>
    <v>7</v>
    <v>939</v>
    <v>7</v>
    <v>0</v>
    <v>Image of Unna</v>
  </rv>
  <rv s="2">
    <fb>51.534722222222001</fb>
    <v>10</v>
  </rv>
  <rv s="2">
    <fb>88.56</fb>
    <v>9</v>
  </rv>
  <rv s="2">
    <fb>7.6888888888888998</fb>
    <v>10</v>
  </rv>
  <rv s="4">
    <v>https://www.bing.com/search?q=unna+germany&amp;form=skydnc</v>
    <v>Learn more on Bing</v>
  </rv>
  <rv s="10">
    <v>#VALUE!</v>
    <v>de-DE</v>
    <v>0dd7ce0e-0ad5-b3e6-cf58-5fe483ea2c28</v>
    <v>536870912</v>
    <v>1</v>
    <v>940</v>
    <v>39</v>
    <v>40</v>
    <v>Unna</v>
    <v>5</v>
    <v>6</v>
    <v>Map</v>
    <v>7</v>
    <v>14</v>
    <v>4487</v>
    <v>Unna is a city of around 59,000 people in North Rhine-Westphalia, Germany, the seat of the Unna district. The newly refurbished Unna station has trains to all major cities in North Rhine Westphalia including Dortmund, Cologne, Münster, Hamm, ...</v>
    <v>4488</v>
    <v>4489</v>
    <v>4490</v>
    <v>4491</v>
    <v>21</v>
    <v>4492</v>
    <v>4493</v>
    <v>Unna</v>
    <v>Unna</v>
    <v>mdp/vdpid/7011455652740464641</v>
    <v>2408</v>
  </rv>
  <rv s="0">
    <v>536870912</v>
    <v>Velbert</v>
    <v>889e7c93-9896-03dd-1b92-34437bc179ed</v>
    <v>de-DE</v>
    <v>Map</v>
  </rv>
  <rv s="0">
    <v>805306368</v>
    <v>Dirk Lukrafka (Mayor)</v>
    <v>793077a1-8cd9-7803-ac29-b7cf14b515cf</v>
    <v>de-DE</v>
    <v>Generic</v>
  </rv>
  <rv s="1">
    <v>418</v>
  </rv>
  <rv s="2">
    <fb>82445</fb>
    <v>9</v>
  </rv>
  <rv s="3">
    <v>438</v>
    <v>7</v>
    <v>941</v>
    <v>7</v>
    <v>0</v>
    <v>Image of Velbert</v>
  </rv>
  <rv s="2">
    <fb>51.340048000000003</fb>
    <v>10</v>
  </rv>
  <rv s="2">
    <fb>74.900000000000006</fb>
    <v>9</v>
  </rv>
  <rv s="2">
    <fb>7.0416290000000004</fb>
    <v>10</v>
  </rv>
  <rv s="4">
    <v>https://www.bing.com/search?q=velbert+north+%22rhine+westphalia%22&amp;form=skydnc</v>
    <v>Learn more on Bing</v>
  </rv>
  <rv s="6">
    <v>#VALUE!</v>
    <v>de-DE</v>
    <v>889e7c93-9896-03dd-1b92-34437bc179ed</v>
    <v>536870912</v>
    <v>1</v>
    <v>942</v>
    <v>2</v>
    <v>13</v>
    <v>Velbert</v>
    <v>5</v>
    <v>6</v>
    <v>Map</v>
    <v>7</v>
    <v>14</v>
    <v>4497</v>
    <v>Velbert is a town in the district of Mettmann, in the German state of North Rhine-Westphalia. The town is renowned worldwide for the production of locks and fittings.</v>
    <v>4498</v>
    <v>4499</v>
    <v>4500</v>
    <v>4501</v>
    <v>21</v>
    <v>4502</v>
    <v>4503</v>
    <v>Velbert</v>
    <v>Velbert</v>
    <v>mdp/vdpid/7011424319007883265</v>
    <v>1029</v>
    <v>2076</v>
  </rv>
  <rv s="0">
    <v>536870912</v>
    <v>Viernheim</v>
    <v>0206c361-f05c-7446-d82d-20d0ad4599bf</v>
    <v>de-DE</v>
    <v>Map</v>
  </rv>
  <rv s="0">
    <v>805306368</v>
    <v>Matthias Baaß (Mayor)</v>
    <v>27bad09d-5b89-89f9-0e05-7a1e3c6f7329</v>
    <v>de-DE</v>
    <v>Generic</v>
  </rv>
  <rv s="1">
    <v>419</v>
  </rv>
  <rv s="2">
    <fb>34534</fb>
    <v>9</v>
  </rv>
  <rv s="3">
    <v>439</v>
    <v>7</v>
    <v>943</v>
    <v>7</v>
    <v>0</v>
    <v>Image of Viernheim</v>
  </rv>
  <rv s="2">
    <fb>49.537986111111103</fb>
    <v>10</v>
  </rv>
  <rv s="2">
    <fb>48.41</fb>
    <v>9</v>
  </rv>
  <rv s="2">
    <fb>8.5792361111111095</fb>
    <v>10</v>
  </rv>
  <rv s="4">
    <v>https://www.bing.com/search?q=viernheim&amp;form=skydnc</v>
    <v>Learn more on Bing</v>
  </rv>
  <rv s="6">
    <v>#VALUE!</v>
    <v>de-DE</v>
    <v>0206c361-f05c-7446-d82d-20d0ad4599bf</v>
    <v>536870912</v>
    <v>1</v>
    <v>944</v>
    <v>2</v>
    <v>13</v>
    <v>Viernheim</v>
    <v>5</v>
    <v>6</v>
    <v>Map</v>
    <v>7</v>
    <v>14</v>
    <v>4507</v>
    <v>Viernheim is a midsize industrial town on Mannheim's outskirts and is found in the Rhine Neckar agglomeration and economic area. It is the second biggest town in Bergstraße district in Hesse, Germany. Since 1994 it has also borne the title ...</v>
    <v>4508</v>
    <v>4509</v>
    <v>4510</v>
    <v>4511</v>
    <v>21</v>
    <v>4512</v>
    <v>4513</v>
    <v>Viernheim</v>
    <v>Viernheim</v>
    <v>mdp/vdpid/7015008038897582081</v>
    <v>303</v>
    <v>432</v>
  </rv>
  <rv s="0">
    <v>536870912</v>
    <v>Villingen-Schwenningen</v>
    <v>70552676-a80a-fd71-1e41-59082fc595db</v>
    <v>de-DE</v>
    <v>Map</v>
  </rv>
  <rv s="0">
    <v>805306368</v>
    <v>Jürgen Roth (Mayor)</v>
    <v>c6922fdd-7232-e649-05f1-a5f5157d28ad</v>
    <v>de-DE</v>
    <v>Generic</v>
  </rv>
  <rv s="1">
    <v>420</v>
  </rv>
  <rv s="2">
    <fb>86475</fb>
    <v>9</v>
  </rv>
  <rv s="3">
    <v>440</v>
    <v>7</v>
    <v>945</v>
    <v>7</v>
    <v>0</v>
    <v>Image of Villingen-Schwenningen</v>
  </rv>
  <rv s="2">
    <fb>48.060277777777998</fb>
    <v>10</v>
  </rv>
  <rv s="2">
    <fb>165.48</fb>
    <v>9</v>
  </rv>
  <rv s="2">
    <fb>8.4586111111111002</fb>
    <v>10</v>
  </rv>
  <rv s="4">
    <v>https://www.bing.com/search?q=villingen-schwenningen&amp;form=skydnc</v>
    <v>Learn more on Bing</v>
  </rv>
  <rv s="11">
    <v>#VALUE!</v>
    <v>de-DE</v>
    <v>70552676-a80a-fd71-1e41-59082fc595db</v>
    <v>536870912</v>
    <v>1</v>
    <v>946</v>
    <v>17</v>
    <v>57</v>
    <v>Villingen-Schwenningen</v>
    <v>5</v>
    <v>6</v>
    <v>Map</v>
    <v>7</v>
    <v>8</v>
    <v>4517</v>
    <v>Villingen-Schwenningen is a city in the Schwarzwald-Baar district in southern Baden-Württemberg, Germany. It has 89,487 inhabitants.</v>
    <v>4518</v>
    <v>4519</v>
    <v>4520</v>
    <v>4521</v>
    <v>21</v>
    <v>4522</v>
    <v>4523</v>
    <v>Villingen-Schwenningen</v>
    <v>Villingen-Schwenningen</v>
    <v>mdp/vdpid/7015292197020893185</v>
    <v>370</v>
  </rv>
  <rv s="0">
    <v>536870912</v>
    <v>Voerde</v>
    <v>07910ffb-ba46-301e-7b2e-f6f67d8251ac</v>
    <v>de-DE</v>
    <v>Map</v>
  </rv>
  <rv s="0">
    <v>805306368</v>
    <v>Dirk Haarmann (Mayor)</v>
    <v>b4d669c0-cf97-9a5a-b278-bcfe2efe50ad</v>
    <v>de-DE</v>
    <v>Generic</v>
  </rv>
  <rv s="1">
    <v>421</v>
  </rv>
  <rv s="2">
    <fb>36196</fb>
    <v>9</v>
  </rv>
  <rv s="3">
    <v>441</v>
    <v>7</v>
    <v>947</v>
    <v>7</v>
    <v>0</v>
    <v>Image of Voerde</v>
  </rv>
  <rv s="2">
    <fb>53.49</fb>
    <v>9</v>
  </rv>
  <rv s="2">
    <fb>6.6833333333332998</fb>
    <v>10</v>
  </rv>
  <rv s="4">
    <v>https://www.bing.com/search?q=voerde+germany&amp;form=skydnc</v>
    <v>Learn more on Bing</v>
  </rv>
  <rv s="6">
    <v>#VALUE!</v>
    <v>de-DE</v>
    <v>07910ffb-ba46-301e-7b2e-f6f67d8251ac</v>
    <v>536870912</v>
    <v>1</v>
    <v>948</v>
    <v>2</v>
    <v>13</v>
    <v>Voerde</v>
    <v>5</v>
    <v>6</v>
    <v>Map</v>
    <v>7</v>
    <v>14</v>
    <v>4527</v>
    <v>Voerde is a town in the district of Wesel, in North Rhine-Westphalia, Germany. It is situated on the right bank of the Rhine, approximately 10 kilometres south-east of Wesel, and 20 km north of Duisburg.</v>
    <v>4528</v>
    <v>4529</v>
    <v>2147</v>
    <v>4530</v>
    <v>21</v>
    <v>4531</v>
    <v>4532</v>
    <v>Voerde</v>
    <v>Voerde</v>
    <v>mdp/vdpid/7011316253537075201</v>
    <v>1029</v>
    <v>1030</v>
  </rv>
  <rv s="0">
    <v>536870912</v>
    <v>Waiblingen</v>
    <v>f0ceffef-1f58-9f3a-ae87-608ace43025e</v>
    <v>de-DE</v>
    <v>Map</v>
  </rv>
  <rv s="0">
    <v>805306368</v>
    <v>Sebastian Wolf (Mayor)</v>
    <v>ff631767-5bc3-a87e-4b23-d0ea0667f4de</v>
    <v>de-DE</v>
    <v>Generic</v>
  </rv>
  <rv s="1">
    <v>422</v>
  </rv>
  <rv s="2">
    <fb>56081</fb>
    <v>9</v>
  </rv>
  <rv s="3">
    <v>442</v>
    <v>7</v>
    <v>949</v>
    <v>7</v>
    <v>0</v>
    <v>Image of Waiblingen</v>
  </rv>
  <rv s="2">
    <fb>48.830277777778001</fb>
    <v>10</v>
  </rv>
  <rv s="2">
    <fb>42.76</fb>
    <v>9</v>
  </rv>
  <rv s="2">
    <fb>9.3169444444444007</fb>
    <v>10</v>
  </rv>
  <rv s="4">
    <v>https://www.bing.com/search?q=waiblingen+germany&amp;form=skydnc</v>
    <v>Learn more on Bing</v>
  </rv>
  <rv s="6">
    <v>#VALUE!</v>
    <v>de-DE</v>
    <v>f0ceffef-1f58-9f3a-ae87-608ace43025e</v>
    <v>536870912</v>
    <v>1</v>
    <v>950</v>
    <v>2</v>
    <v>13</v>
    <v>Waiblingen</v>
    <v>5</v>
    <v>6</v>
    <v>Map</v>
    <v>7</v>
    <v>14</v>
    <v>4536</v>
    <v>Waiblingen is a town in the southwest of Germany, located in the center of the densely populated Stuttgart region, directly neighboring Stuttgart. It is the capital and largest city of the Rems-Murr district. As of 31 December 2018, Waiblingen ...</v>
    <v>4537</v>
    <v>4538</v>
    <v>4539</v>
    <v>4540</v>
    <v>21</v>
    <v>4541</v>
    <v>4542</v>
    <v>Waiblingen</v>
    <v>Waiblingen</v>
    <v>mdp/vdpid/7015254443503386626</v>
    <v>606</v>
    <v>214</v>
  </rv>
  <rv s="0">
    <v>536870912</v>
    <v>Waldeck</v>
    <v>48adc48f-8ff1-b6da-c06c-4ae83a5f176b</v>
    <v>de-DE</v>
    <v>Map</v>
  </rv>
  <rv s="0">
    <v>805306368</v>
    <v>Jürgen Vollbracht (Mayor)</v>
    <v>cc69e54f-4600-2f54-d9cb-410ab818c60c</v>
    <v>de-DE</v>
    <v>Generic</v>
  </rv>
  <rv s="1">
    <v>423</v>
  </rv>
  <rv s="2">
    <fb>6810</fb>
    <v>9</v>
  </rv>
  <rv s="3">
    <v>443</v>
    <v>7</v>
    <v>951</v>
    <v>7</v>
    <v>0</v>
    <v>Image of Waldeck, Hesse</v>
  </rv>
  <rv s="2">
    <fb>115.7</fb>
    <v>9</v>
  </rv>
  <rv s="4">
    <v>https://www.bing.com/search?q=waldeck+germany&amp;form=skydnc</v>
    <v>Learn more on Bing</v>
  </rv>
  <rv s="0">
    <v>536870912</v>
    <v>Waldeck-Frankenberg</v>
    <v>1dc031f4-ea78-6fa0-664d-e56dfddba0f0</v>
    <v>de-DE</v>
    <v>Map</v>
  </rv>
  <rv s="10">
    <v>#VALUE!</v>
    <v>de-DE</v>
    <v>48adc48f-8ff1-b6da-c06c-4ae83a5f176b</v>
    <v>536870912</v>
    <v>1</v>
    <v>952</v>
    <v>39</v>
    <v>40</v>
    <v>Waldeck, Hesse</v>
    <v>5</v>
    <v>6</v>
    <v>Map</v>
    <v>7</v>
    <v>14</v>
    <v>4546</v>
    <v>Waldeck is a small town in Waldeck-Frankenberg district in northwestern Hesse, Germany. Its located near the Edersee, which is a popular destination for tourists and locals alike.</v>
    <v>4547</v>
    <v>4548</v>
    <v>3244</v>
    <v>4549</v>
    <v>21</v>
    <v>1712</v>
    <v>4550</v>
    <v>Waldeck, Hesse</v>
    <v>Waldeck, Hesse</v>
    <v>mdp/vdpid/7011906255056797697</v>
    <v>4551</v>
  </rv>
  <rv s="0">
    <v>536870912</v>
    <v>Waltrop</v>
    <v>fdc7b807-1579-cd68-aa99-09e50a36cf41</v>
    <v>de-DE</v>
    <v>Map</v>
  </rv>
  <rv s="0">
    <v>805306368</v>
    <v>Marcel Mittelbach (Mayor)</v>
    <v>f68607a0-e0eb-2e3d-c5f5-13b9e9e82a27</v>
    <v>de-DE</v>
    <v>Generic</v>
  </rv>
  <rv s="1">
    <v>424</v>
  </rv>
  <rv s="2">
    <fb>29644</fb>
    <v>9</v>
  </rv>
  <rv s="3">
    <v>444</v>
    <v>7</v>
    <v>953</v>
    <v>7</v>
    <v>0</v>
    <v>Image of Waltrop</v>
  </rv>
  <rv s="2">
    <fb>51.623611111111103</fb>
    <v>10</v>
  </rv>
  <rv s="2">
    <fb>47.09</fb>
    <v>9</v>
  </rv>
  <rv s="2">
    <fb>7.3972222222222204</fb>
    <v>10</v>
  </rv>
  <rv s="4">
    <v>https://www.bing.com/search?q=waltrop+recklinghausen&amp;form=skydnc</v>
    <v>Learn more on Bing</v>
  </rv>
  <rv s="6">
    <v>#VALUE!</v>
    <v>de-DE</v>
    <v>fdc7b807-1579-cd68-aa99-09e50a36cf41</v>
    <v>536870912</v>
    <v>1</v>
    <v>954</v>
    <v>2</v>
    <v>13</v>
    <v>Waltrop</v>
    <v>5</v>
    <v>6</v>
    <v>Map</v>
    <v>7</v>
    <v>14</v>
    <v>4555</v>
    <v>Waltrop (German pronunciation: is a town in the district of Recklinghausen, in North Rhine-Westphalia, Germany. It is situated on the Datteln-Hamm Canal, approximately 15 km east of Recklinghausen and 15 km north-west of Dortmund.</v>
    <v>4556</v>
    <v>4557</v>
    <v>4558</v>
    <v>4559</v>
    <v>21</v>
    <v>4560</v>
    <v>4561</v>
    <v>Waltrop</v>
    <v>Waltrop</v>
    <v>mdp/vdpid/7011427661197082625</v>
    <v>24</v>
    <v>814</v>
  </rv>
  <rv s="0">
    <v>536870912</v>
    <v>Waren</v>
    <v>27b31f71-2b17-4e59-f0d1-9e7ee16894ef</v>
    <v>de-DE</v>
    <v>Map</v>
  </rv>
  <rv s="0">
    <v>805306368</v>
    <v>Norbert Möller (Mayor)</v>
    <v>db0ef180-d8b2-59b7-b864-118916eb66ca</v>
    <v>de-DE</v>
    <v>Generic</v>
  </rv>
  <rv s="1">
    <v>425</v>
  </rv>
  <rv s="2">
    <fb>21267</fb>
    <v>9</v>
  </rv>
  <rv s="3">
    <v>445</v>
    <v>7</v>
    <v>955</v>
    <v>7</v>
    <v>0</v>
    <v>Image of Waren</v>
  </rv>
  <rv s="2">
    <fb>53.516666666666701</fb>
    <v>10</v>
  </rv>
  <rv s="2">
    <fb>159.46</fb>
    <v>9</v>
  </rv>
  <rv s="2">
    <fb>12.6833333333333</fb>
    <v>10</v>
  </rv>
  <rv s="4">
    <v>https://www.bing.com/search?q=waren+(m%c3%bcritz)+germany&amp;form=skydnc</v>
    <v>Learn more on Bing</v>
  </rv>
  <rv s="6">
    <v>#VALUE!</v>
    <v>de-DE</v>
    <v>27b31f71-2b17-4e59-f0d1-9e7ee16894ef</v>
    <v>536870912</v>
    <v>1</v>
    <v>956</v>
    <v>2</v>
    <v>13</v>
    <v>Waren</v>
    <v>5</v>
    <v>6</v>
    <v>Map</v>
    <v>7</v>
    <v>14</v>
    <v>4565</v>
    <v>Waren is a town and climatic spa in the state of Mecklenburg-Vorpommern, Germany. It was the capital of the former district of Müritz until the district reform of 2011. It is situated at the northern end of Lake Müritz, approximately 40 ...</v>
    <v>4566</v>
    <v>4567</v>
    <v>4568</v>
    <v>4569</v>
    <v>21</v>
    <v>4570</v>
    <v>4571</v>
    <v>Waren</v>
    <v>Waren</v>
    <v>mdp/vdpid/7017123945509814274</v>
    <v>94</v>
    <v>3319</v>
  </rv>
  <rv s="0">
    <v>536870912</v>
    <v>Wasserburg am Inn</v>
    <v>2f276881-0e9d-a063-bb70-e6ebd75e6d51</v>
    <v>de-DE</v>
    <v>Map</v>
  </rv>
  <rv s="0">
    <v>805306368</v>
    <v>Michael Kölbl (Mayor)</v>
    <v>abdc7c1c-144d-0903-b197-cf8d5e45dd1c</v>
    <v>de-DE</v>
    <v>Generic</v>
  </rv>
  <rv s="1">
    <v>426</v>
  </rv>
  <rv s="2">
    <fb>13004</fb>
    <v>9</v>
  </rv>
  <rv s="3">
    <v>446</v>
    <v>7</v>
    <v>957</v>
    <v>7</v>
    <v>0</v>
    <v>Image of Wasserburg am Inn</v>
  </rv>
  <rv s="2">
    <fb>48.060833333333299</fb>
    <v>10</v>
  </rv>
  <rv s="2">
    <fb>18.8</fb>
    <v>9</v>
  </rv>
  <rv s="2">
    <fb>12.233333333333301</fb>
    <v>10</v>
  </rv>
  <rv s="4">
    <v>https://www.bing.com/search?q=wasserburg+am+inn+germany&amp;form=skydnc</v>
    <v>Learn more on Bing</v>
  </rv>
  <rv s="10">
    <v>#VALUE!</v>
    <v>de-DE</v>
    <v>2f276881-0e9d-a063-bb70-e6ebd75e6d51</v>
    <v>536870912</v>
    <v>1</v>
    <v>958</v>
    <v>39</v>
    <v>40</v>
    <v>Wasserburg am Inn</v>
    <v>5</v>
    <v>6</v>
    <v>Map</v>
    <v>7</v>
    <v>14</v>
    <v>4575</v>
    <v>Wasserburg am Inn is a town in Rosenheim district in Upper Bavaria, Germany. The historic centre is a peninsula formed by the meandering river Inn. Many Medieval structures remain intact, giving the city a unique view.</v>
    <v>4576</v>
    <v>4577</v>
    <v>4578</v>
    <v>4579</v>
    <v>21</v>
    <v>4580</v>
    <v>4581</v>
    <v>Wasserburg am Inn</v>
    <v>Wasserburg am Inn</v>
    <v>mdp/vdpid/7021519928222023681</v>
    <v>3507</v>
  </rv>
  <rv s="0">
    <v>536870912</v>
    <v>Wattenscheid</v>
    <v>d864ea49-9cdd-a7e2-1ee4-d50a7b5dcf1f</v>
    <v>de-DE</v>
    <v>Map</v>
  </rv>
  <rv s="3">
    <v>447</v>
    <v>7</v>
    <v>959</v>
    <v>7</v>
    <v>0</v>
    <v>Image of Wattenscheid</v>
  </rv>
  <rv s="2">
    <fb>23.96</fb>
    <v>9</v>
  </rv>
  <rv s="2">
    <fb>7.1333333333333</fb>
    <v>10</v>
  </rv>
  <rv s="4">
    <v>https://www.bing.com/search?q=wattenscheid+germany&amp;form=skydnc</v>
    <v>Learn more on Bing</v>
  </rv>
  <rv s="25">
    <v>#VALUE!</v>
    <v>de-DE</v>
    <v>d864ea49-9cdd-a7e2-1ee4-d50a7b5dcf1f</v>
    <v>536870912</v>
    <v>1</v>
    <v>960</v>
    <v>961</v>
    <v>962</v>
    <v>Wattenscheid</v>
    <v>5</v>
    <v>6</v>
    <v>Map</v>
    <v>7</v>
    <v>265</v>
    <v>Wattenscheid is a Stadtbezirk of the city of Bochum. Until 1975, it was a separate town in the Ruhr area of North Rhine-Westphalia. Wattenscheid has a population of about 80,000 citizens. Some notable firms have their headquarters in there, such ...</v>
    <v>4584</v>
    <v>625</v>
    <v>4585</v>
    <v>21</v>
    <v>4586</v>
    <v>4587</v>
    <v>Wattenscheid</v>
    <v>Wattenscheid</v>
    <v>mdp/vdpid/7011423501403815937</v>
    <v>620</v>
  </rv>
  <rv s="0">
    <v>536870912</v>
    <v>Wedel</v>
    <v>a0fe94d6-0cb1-5434-f427-53a48b198c83</v>
    <v>de-DE</v>
    <v>Map</v>
  </rv>
  <rv s="0">
    <v>805306368</v>
    <v>Niels Schmidt (Mayor)</v>
    <v>da9a17aa-2e50-ad41-a770-b3398e47975a</v>
    <v>de-DE</v>
    <v>Generic</v>
  </rv>
  <rv s="1">
    <v>427</v>
  </rv>
  <rv s="2">
    <fb>34538</fb>
    <v>9</v>
  </rv>
  <rv s="3">
    <v>448</v>
    <v>7</v>
    <v>963</v>
    <v>7</v>
    <v>0</v>
    <v>Image of Wedel</v>
  </rv>
  <rv s="2">
    <fb>53.583333000000003</fb>
    <v>10</v>
  </rv>
  <rv s="2">
    <fb>33.81</fb>
    <v>9</v>
  </rv>
  <rv s="2">
    <fb>9.6999999999999993</fb>
    <v>10</v>
  </rv>
  <rv s="4">
    <v>https://www.bing.com/search?q=wedel+germany&amp;form=skydnc</v>
    <v>Learn more on Bing</v>
  </rv>
  <rv s="6">
    <v>#VALUE!</v>
    <v>de-DE</v>
    <v>a0fe94d6-0cb1-5434-f427-53a48b198c83</v>
    <v>536870912</v>
    <v>1</v>
    <v>964</v>
    <v>2</v>
    <v>13</v>
    <v>Wedel</v>
    <v>5</v>
    <v>6</v>
    <v>Map</v>
    <v>7</v>
    <v>14</v>
    <v>4591</v>
    <v>Wedel is a town in the district of Pinneberg, in Schleswig-Holstein, in northern Germany. It is situated on the right bank of the Elbe, approximately 20 kilometres south of Elmshorn, and 17 kilometres west of Hamburg.</v>
    <v>4592</v>
    <v>4593</v>
    <v>4594</v>
    <v>4595</v>
    <v>21</v>
    <v>4596</v>
    <v>4597</v>
    <v>Wedel</v>
    <v>Wedel</v>
    <v>mdp/vdpid/7010833401435389953</v>
    <v>326</v>
    <v>1239</v>
  </rv>
  <rv s="0">
    <v>536870912</v>
    <v>Weiden in der Oberpfalz</v>
    <v>7b7d9785-00dc-fc26-34dd-79c326522f96</v>
    <v>de-DE</v>
    <v>Map</v>
  </rv>
  <rv s="0">
    <v>805306368</v>
    <v>Jens Meyer (Mayor)</v>
    <v>fae66dc0-224e-f06a-5e11-e62bdce4b03e</v>
    <v>de-DE</v>
    <v>Generic</v>
  </rv>
  <rv s="1">
    <v>428</v>
  </rv>
  <rv s="2">
    <fb>43052</fb>
    <v>9</v>
  </rv>
  <rv s="3">
    <v>449</v>
    <v>7</v>
    <v>965</v>
    <v>7</v>
    <v>0</v>
    <v>Image of Weiden in der Oberpfalz</v>
  </rv>
  <rv s="2">
    <fb>49.673530555555601</fb>
    <v>10</v>
  </rv>
  <rv s="2">
    <fb>70.569999999999993</fb>
    <v>9</v>
  </rv>
  <rv s="2">
    <fb>12.1660611111111</fb>
    <v>10</v>
  </rv>
  <rv s="4">
    <v>https://www.bing.com/search?q=weiden+in+der+oberpfalz&amp;form=skydnc</v>
    <v>Learn more on Bing</v>
  </rv>
  <rv s="9">
    <v>#VALUE!</v>
    <v>de-DE</v>
    <v>7b7d9785-00dc-fc26-34dd-79c326522f96</v>
    <v>536870912</v>
    <v>1</v>
    <v>966</v>
    <v>27</v>
    <v>28</v>
    <v>Weiden in der Oberpfalz</v>
    <v>5</v>
    <v>6</v>
    <v>Map</v>
    <v>7</v>
    <v>14</v>
    <v>4601</v>
    <v>Weiden in der Oberpfalz is a district-free city in Bavaria, Germany. It is located 100 km east of Nuremberg and 35 km west of the Czech border. Weiden is the second biggest city in the governmental district Oberpfalz, next to Regensburg. A ...</v>
    <v>4602</v>
    <v>4603</v>
    <v>4604</v>
    <v>4605</v>
    <v>21</v>
    <v>4606</v>
    <v>4607</v>
    <v>Weiden in der Oberpfalz</v>
    <v>Weiden in der Oberpfalz</v>
    <v>mdp/vdpid/7021224098625748993</v>
  </rv>
  <rv s="0">
    <v>536870912</v>
    <v>Weilburg</v>
    <v>f062d85b-a3ec-1794-33c9-08d48379b176</v>
    <v>de-DE</v>
    <v>Map</v>
  </rv>
  <rv s="0">
    <v>805306368</v>
    <v>Johannes Hanisch (Mayor)</v>
    <v>596c3436-79c9-1757-0888-9dba950207a5</v>
    <v>de-DE</v>
    <v>Generic</v>
  </rv>
  <rv s="1">
    <v>429</v>
  </rv>
  <rv s="2">
    <fb>13334</fb>
    <v>9</v>
  </rv>
  <rv s="3">
    <v>450</v>
    <v>7</v>
    <v>967</v>
    <v>7</v>
    <v>0</v>
    <v>Image of Weilburg</v>
  </rv>
  <rv s="2">
    <fb>50.483333333333299</fb>
    <v>10</v>
  </rv>
  <rv s="2">
    <fb>57.51</fb>
    <v>9</v>
  </rv>
  <rv s="2">
    <fb>8.25</fb>
    <v>10</v>
  </rv>
  <rv s="4">
    <v>https://www.bing.com/search?q=weilburg&amp;form=skydnc</v>
    <v>Learn more on Bing</v>
  </rv>
  <rv s="0">
    <v>536870912</v>
    <v>Limburg-Weilburg</v>
    <v>ef551593-f8d8-5b0a-4a30-38257d3032fd</v>
    <v>de-DE</v>
    <v>Map</v>
  </rv>
  <rv s="10">
    <v>#VALUE!</v>
    <v>de-DE</v>
    <v>f062d85b-a3ec-1794-33c9-08d48379b176</v>
    <v>536870912</v>
    <v>1</v>
    <v>968</v>
    <v>39</v>
    <v>40</v>
    <v>Weilburg</v>
    <v>5</v>
    <v>6</v>
    <v>Map</v>
    <v>7</v>
    <v>14</v>
    <v>4611</v>
    <v>Weilburg is, with just under 13,000 inhabitants, the third biggest town in Limburg-Weilburg district in Hesse, Germany, after Limburg an der Lahn and Bad Camberg.</v>
    <v>4612</v>
    <v>4613</v>
    <v>4614</v>
    <v>4615</v>
    <v>21</v>
    <v>4616</v>
    <v>4617</v>
    <v>Weilburg</v>
    <v>Weilburg</v>
    <v>mdp/vdpid/7014543058574245889</v>
    <v>4618</v>
  </rv>
  <rv s="0">
    <v>536870912</v>
    <v>Weimar</v>
    <v>af41e2b5-b5bc-eb4d-a3b1-44c5f13aaeb0</v>
    <v>de-DE</v>
    <v>Map</v>
  </rv>
  <rv s="0">
    <v>805306368</v>
    <v>Peter Kleine (Mayor)</v>
    <v>588a3695-1bec-f6d8-a62f-f1465b30153b</v>
    <v>de-DE</v>
    <v>Generic</v>
  </rv>
  <rv s="1">
    <v>430</v>
  </rv>
  <rv s="2">
    <fb>65620</fb>
    <v>9</v>
  </rv>
  <rv s="3">
    <v>451</v>
    <v>7</v>
    <v>969</v>
    <v>7</v>
    <v>0</v>
    <v>Image of Weimar</v>
  </rv>
  <rv s="2">
    <fb>50.981111111111098</fb>
    <v>10</v>
  </rv>
  <rv s="2">
    <fb>84.48</fb>
    <v>9</v>
  </rv>
  <rv s="2">
    <fb>11.3294444444444</fb>
    <v>10</v>
  </rv>
  <rv s="4">
    <v>https://www.bing.com/search?q=weimar&amp;form=skydnc</v>
    <v>Learn more on Bing</v>
  </rv>
  <rv s="9">
    <v>#VALUE!</v>
    <v>de-DE</v>
    <v>af41e2b5-b5bc-eb4d-a3b1-44c5f13aaeb0</v>
    <v>536870912</v>
    <v>1</v>
    <v>970</v>
    <v>27</v>
    <v>28</v>
    <v>Weimar</v>
    <v>5</v>
    <v>6</v>
    <v>Map</v>
    <v>7</v>
    <v>14</v>
    <v>4622</v>
    <v>Weimar is a city in the German state of Thuringia, in Central Germany between Erfurt to the west and Jena to the east, 80 km southwest of Leipzig, 170 km north of Nuremberg and 170 km west of Dresden. Together with the neighbouring cities of ...</v>
    <v>4623</v>
    <v>4624</v>
    <v>4625</v>
    <v>4626</v>
    <v>21</v>
    <v>4627</v>
    <v>4628</v>
    <v>Weimar</v>
    <v>Weimar</v>
    <v>mdp/vdpid/7018091896215961601</v>
  </rv>
  <rv s="0">
    <v>536870912</v>
    <v>Weinheim</v>
    <v>5bd73f4e-9f6e-4fb1-925b-6de2fa42a4b6</v>
    <v>de-DE</v>
    <v>Map</v>
  </rv>
  <rv s="0">
    <v>805306368</v>
    <v>Manuel Just (Mayor)</v>
    <v>72204a45-5576-9111-9662-4fa4cb8b176c</v>
    <v>de-DE</v>
    <v>Generic</v>
  </rv>
  <rv s="1">
    <v>431</v>
  </rv>
  <rv s="2">
    <fb>45275</fb>
    <v>9</v>
  </rv>
  <rv s="3">
    <v>452</v>
    <v>7</v>
    <v>971</v>
    <v>7</v>
    <v>0</v>
    <v>Image of Weinheim</v>
  </rv>
  <rv s="2">
    <fb>49.556111111111001</fb>
    <v>10</v>
  </rv>
  <rv s="2">
    <fb>58.11</fb>
    <v>9</v>
  </rv>
  <rv s="2">
    <fb>8.6697222222221999</fb>
    <v>10</v>
  </rv>
  <rv s="4">
    <v>https://www.bing.com/search?q=weinheim&amp;form=skydnc</v>
    <v>Learn more on Bing</v>
  </rv>
  <rv s="0">
    <v>536870912</v>
    <v>Rhein-Neckar</v>
    <v>2b51d80d-a4e0-b7a8-817e-fb7bb29a1d67</v>
    <v>de-DE</v>
    <v>Map</v>
  </rv>
  <rv s="10">
    <v>#VALUE!</v>
    <v>de-DE</v>
    <v>5bd73f4e-9f6e-4fb1-925b-6de2fa42a4b6</v>
    <v>536870912</v>
    <v>1</v>
    <v>972</v>
    <v>39</v>
    <v>40</v>
    <v>Weinheim</v>
    <v>5</v>
    <v>6</v>
    <v>Map</v>
    <v>7</v>
    <v>14</v>
    <v>4632</v>
    <v>Weinheim is a town with about 43,000 inhabitants in northwest Baden-Württemberg, Germany. It is in the Rhine-Neckar Metropolitan Region, approximately 15 km north of Heidelberg and 10 km northeast of Mannheim. Weinheim is known as the ...</v>
    <v>4633</v>
    <v>4634</v>
    <v>4635</v>
    <v>4636</v>
    <v>21</v>
    <v>4637</v>
    <v>4638</v>
    <v>Weinheim</v>
    <v>Weinheim</v>
    <v>mdp/vdpid/7014997946882064385</v>
    <v>4639</v>
  </rv>
  <rv s="0">
    <v>536870912</v>
    <v>Weißenfels</v>
    <v>40a02cf1-d0be-f260-821e-71dd4c03c349</v>
    <v>de-DE</v>
    <v>Map</v>
  </rv>
  <rv s="0">
    <v>805306368</v>
    <v>Martin Papke (Mayor)</v>
    <v>e4b54130-e3e1-6609-dbe6-763fb4cc2cee</v>
    <v>de-DE</v>
    <v>Generic</v>
  </rv>
  <rv s="1">
    <v>432</v>
  </rv>
  <rv s="2">
    <fb>39041</fb>
    <v>9</v>
  </rv>
  <rv s="3">
    <v>453</v>
    <v>7</v>
    <v>973</v>
    <v>7</v>
    <v>0</v>
    <v>Image of Weißenfels</v>
  </rv>
  <rv s="2">
    <fb>113.56</fb>
    <v>9</v>
  </rv>
  <rv s="2">
    <fb>11.966666666667001</fb>
    <v>10</v>
  </rv>
  <rv s="4">
    <v>https://www.bing.com/search?q=wei%c3%9fenfels&amp;form=skydnc</v>
    <v>Learn more on Bing</v>
  </rv>
  <rv s="0">
    <v>536870912</v>
    <v>Burgenlandkreis</v>
    <v>705ccb2a-2b67-b461-a182-8342ff6e30e6</v>
    <v>de-DE</v>
    <v>Map</v>
  </rv>
  <rv s="11">
    <v>#VALUE!</v>
    <v>de-DE</v>
    <v>40a02cf1-d0be-f260-821e-71dd4c03c349</v>
    <v>536870912</v>
    <v>1</v>
    <v>974</v>
    <v>17</v>
    <v>57</v>
    <v>Weißenfels</v>
    <v>5</v>
    <v>6</v>
    <v>Map</v>
    <v>7</v>
    <v>14</v>
    <v>4643</v>
    <v>Weißenfels is the largest town of the Burgenlandkreis district, in southern Saxony-Anhalt, central Germany. It is situated on the river Saale, approximately 30 km south of Halle.</v>
    <v>4644</v>
    <v>4645</v>
    <v>3244</v>
    <v>4646</v>
    <v>21</v>
    <v>4647</v>
    <v>4648</v>
    <v>Weißenfels</v>
    <v>Weißenfels</v>
    <v>mdp/vdpid/7018122576106881025</v>
    <v>4649</v>
  </rv>
  <rv s="0">
    <v>536870912</v>
    <v>Weißwasser/Oberlausitz</v>
    <v>3fb8a3a1-e780-8d3e-1ec1-b903e72e2b12</v>
    <v>de-DE</v>
    <v>Map</v>
  </rv>
  <rv s="0">
    <v>805306368</v>
    <v>Torsten Pötzsch (Mayor)</v>
    <v>f4b8396c-82e9-e2eb-66a7-e929a643a961</v>
    <v>de-DE</v>
    <v>Generic</v>
  </rv>
  <rv s="1">
    <v>433</v>
  </rv>
  <rv s="2">
    <fb>15136</fb>
    <v>9</v>
  </rv>
  <rv s="3">
    <v>454</v>
    <v>7</v>
    <v>975</v>
    <v>7</v>
    <v>0</v>
    <v>Image of Weißwasser</v>
  </rv>
  <rv s="2">
    <fb>63.42</fb>
    <v>9</v>
  </rv>
  <rv s="2">
    <fb>14.633055555556</fb>
    <v>10</v>
  </rv>
  <rv s="4">
    <v>https://www.bing.com/search?q=wei%c3%9fwasser+germany&amp;form=skydnc</v>
    <v>Learn more on Bing</v>
  </rv>
  <rv s="6">
    <v>#VALUE!</v>
    <v>de-DE</v>
    <v>3fb8a3a1-e780-8d3e-1ec1-b903e72e2b12</v>
    <v>536870912</v>
    <v>1</v>
    <v>976</v>
    <v>2</v>
    <v>13</v>
    <v>Weißwasser</v>
    <v>5</v>
    <v>6</v>
    <v>Map</v>
    <v>7</v>
    <v>14</v>
    <v>4653</v>
    <v>Weißwasser is a town in Upper Lusatia in eastern Saxony, Germany. Weißwasser is the third largest town in the Görlitz district after Görlitz and Zittau. The town's landmark is its water tower. The town is part of the recognized Sorbian ...</v>
    <v>4654</v>
    <v>4655</v>
    <v>2425</v>
    <v>4656</v>
    <v>21</v>
    <v>4657</v>
    <v>4658</v>
    <v>Weißwasser</v>
    <v>Weißwasser</v>
    <v>mdp/vdpid/7018611725838581761</v>
    <v>106</v>
    <v>1766</v>
  </rv>
  <rv s="0">
    <v>536870912</v>
    <v>Wendelstein</v>
    <v>7da30665-e50d-8458-f887-1841b021f746</v>
    <v>de-DE</v>
    <v>Map</v>
  </rv>
  <rv s="0">
    <v>805306368</v>
    <v>Werner Langhans (Mayor)</v>
    <v>1a769592-b97d-b510-2401-0acaeff58242</v>
    <v>de-DE</v>
    <v>Generic</v>
  </rv>
  <rv s="1">
    <v>434</v>
  </rv>
  <rv s="2">
    <fb>16089</fb>
    <v>9</v>
  </rv>
  <rv s="3">
    <v>455</v>
    <v>7</v>
    <v>977</v>
    <v>7</v>
    <v>0</v>
    <v>Image of Wendelstein, Bavaria</v>
  </rv>
  <rv s="2">
    <fb>49.353611111111</fb>
    <v>10</v>
  </rv>
  <rv s="2">
    <fb>50.88</fb>
    <v>9</v>
  </rv>
  <rv s="2">
    <fb>11.148333333332999</fb>
    <v>10</v>
  </rv>
  <rv s="4">
    <v>https://www.bing.com/search?q=wendelstein+germany&amp;form=skydnc</v>
    <v>Learn more on Bing</v>
  </rv>
  <rv s="0">
    <v>536870912</v>
    <v>Roth</v>
    <v>ec0a362c-3ee3-a080-30e0-bd5e42801774</v>
    <v>de-DE</v>
    <v>Map</v>
  </rv>
  <rv s="10">
    <v>#VALUE!</v>
    <v>de-DE</v>
    <v>7da30665-e50d-8458-f887-1841b021f746</v>
    <v>536870912</v>
    <v>1</v>
    <v>978</v>
    <v>39</v>
    <v>40</v>
    <v>Wendelstein, Bavaria</v>
    <v>5</v>
    <v>6</v>
    <v>Map</v>
    <v>7</v>
    <v>14</v>
    <v>4662</v>
    <v>Wendelstein is a municipality in the district of Roth, in Bavaria, Germany, located about 12 kilometres southeast of Nuremberg.</v>
    <v>4663</v>
    <v>4664</v>
    <v>4665</v>
    <v>4666</v>
    <v>21</v>
    <v>4667</v>
    <v>4668</v>
    <v>Wendelstein, Bavaria</v>
    <v>Wendelstein, Bavaria</v>
    <v>mdp/vdpid/7015198882984361985</v>
    <v>4669</v>
  </rv>
  <rv s="0">
    <v>536870912</v>
    <v>Werdau</v>
    <v>07deeb25-5b5c-e64d-e6cc-fdd057d3eec6</v>
    <v>de-DE</v>
    <v>Map</v>
  </rv>
  <rv s="0">
    <v>805306368</v>
    <v>Sören Kristensen (Mayor)</v>
    <v>7e09cb69-f10f-b555-e74c-068e73d278d2</v>
    <v>de-DE</v>
    <v>Generic</v>
  </rv>
  <rv s="1">
    <v>435</v>
  </rv>
  <rv s="2">
    <fb>20702</fb>
    <v>9</v>
  </rv>
  <rv s="3">
    <v>456</v>
    <v>7</v>
    <v>979</v>
    <v>7</v>
    <v>0</v>
    <v>Image of Werdau</v>
  </rv>
  <rv s="2">
    <fb>65.63</fb>
    <v>9</v>
  </rv>
  <rv s="2">
    <fb>12.383333333333001</fb>
    <v>10</v>
  </rv>
  <rv s="4">
    <v>https://www.bing.com/search?q=werdau&amp;form=skydnc</v>
    <v>Learn more on Bing</v>
  </rv>
  <rv s="6">
    <v>#VALUE!</v>
    <v>de-DE</v>
    <v>07deeb25-5b5c-e64d-e6cc-fdd057d3eec6</v>
    <v>536870912</v>
    <v>1</v>
    <v>980</v>
    <v>2</v>
    <v>13</v>
    <v>Werdau</v>
    <v>5</v>
    <v>6</v>
    <v>Map</v>
    <v>7</v>
    <v>14</v>
    <v>4673</v>
    <v>Werdau is a town in Germany, part of the Landkreis Zwickau in Saxony. It is situated on the river Pleiße, 8 km from Zwickau. The town was mentioned as early as 1304, and in 1398 it was purchased by Frederick, then margrave of Meissen, who ...</v>
    <v>4674</v>
    <v>4675</v>
    <v>1003</v>
    <v>4676</v>
    <v>21</v>
    <v>4677</v>
    <v>4678</v>
    <v>Werdau</v>
    <v>Werdau</v>
    <v>mdp/vdpid/7018153651671662593</v>
    <v>106</v>
    <v>913</v>
  </rv>
  <rv s="0">
    <v>536870912</v>
    <v>Werdohl</v>
    <v>4a041366-b93f-f140-2d8e-5d2d1caaa498</v>
    <v>de-DE</v>
    <v>Map</v>
  </rv>
  <rv s="0">
    <v>805306368</v>
    <v>Andreas Späinghaus (Mayor)</v>
    <v>74e24fba-1c51-a9b5-2242-2f5d7e48fb34</v>
    <v>de-DE</v>
    <v>Generic</v>
  </rv>
  <rv s="1">
    <v>436</v>
  </rv>
  <rv s="2">
    <fb>17827</fb>
    <v>9</v>
  </rv>
  <rv s="3">
    <v>457</v>
    <v>7</v>
    <v>981</v>
    <v>7</v>
    <v>0</v>
    <v>Image of Werdohl</v>
  </rv>
  <rv s="2">
    <fb>51.256269444444399</fb>
    <v>10</v>
  </rv>
  <rv s="2">
    <fb>33.380000000000003</fb>
    <v>9</v>
  </rv>
  <rv s="2">
    <fb>7.7561694444444402</fb>
    <v>10</v>
  </rv>
  <rv s="4">
    <v>https://www.bing.com/search?q=werdohl+germany&amp;form=skydnc</v>
    <v>Learn more on Bing</v>
  </rv>
  <rv s="10">
    <v>#VALUE!</v>
    <v>de-DE</v>
    <v>4a041366-b93f-f140-2d8e-5d2d1caaa498</v>
    <v>536870912</v>
    <v>1</v>
    <v>982</v>
    <v>39</v>
    <v>40</v>
    <v>Werdohl</v>
    <v>5</v>
    <v>6</v>
    <v>Map</v>
    <v>7</v>
    <v>14</v>
    <v>4682</v>
    <v>Werdohl is a town in the district Märkischer Kreis, in North Rhine-Westphalia, Germany.</v>
    <v>4683</v>
    <v>4684</v>
    <v>4685</v>
    <v>4686</v>
    <v>21</v>
    <v>4687</v>
    <v>4688</v>
    <v>Werdohl</v>
    <v>Werdohl</v>
    <v>mdp/vdpid/7011506894837645313</v>
    <v>2098</v>
  </rv>
  <rv s="0">
    <v>536870912</v>
    <v>Wermelskirchen</v>
    <v>eff9f5e7-f4b6-9020-6cc7-686a3a54c0a5</v>
    <v>de-DE</v>
    <v>Map</v>
  </rv>
  <rv s="0">
    <v>805306368</v>
    <v>Marion Lück (Mayor)</v>
    <v>dbf2c1d1-9179-58cd-c105-6e49de736b8a</v>
    <v>de-DE</v>
    <v>Generic</v>
  </rv>
  <rv s="1">
    <v>437</v>
  </rv>
  <rv s="2">
    <fb>34739</fb>
    <v>9</v>
  </rv>
  <rv s="3">
    <v>458</v>
    <v>7</v>
    <v>983</v>
    <v>7</v>
    <v>0</v>
    <v>Image of Wermelskirchen</v>
  </rv>
  <rv s="2">
    <fb>51.139180555555598</fb>
    <v>10</v>
  </rv>
  <rv s="2">
    <fb>74.8</fb>
    <v>9</v>
  </rv>
  <rv s="2">
    <fb>7.2051194444444402</fb>
    <v>10</v>
  </rv>
  <rv s="4">
    <v>https://www.bing.com/search?q=wermelskirchen+germany&amp;form=skydnc</v>
    <v>Learn more on Bing</v>
  </rv>
  <rv s="6">
    <v>#VALUE!</v>
    <v>de-DE</v>
    <v>eff9f5e7-f4b6-9020-6cc7-686a3a54c0a5</v>
    <v>536870912</v>
    <v>1</v>
    <v>984</v>
    <v>2</v>
    <v>13</v>
    <v>Wermelskirchen</v>
    <v>5</v>
    <v>6</v>
    <v>Map</v>
    <v>7</v>
    <v>14</v>
    <v>4692</v>
    <v>Wermelskirchen is a town in the Rheinisch-Bergischer Kreis, in North Rhine-Westphalia, Germany, southeast of Remscheid. It is home to one of Europe's biggest live Christmas trees.</v>
    <v>4693</v>
    <v>4694</v>
    <v>4695</v>
    <v>4696</v>
    <v>21</v>
    <v>4697</v>
    <v>4698</v>
    <v>Wermelskirchen</v>
    <v>Wermelskirchen</v>
    <v>mdp/vdpid/7011474974791696385</v>
    <v>10</v>
    <v>465</v>
  </rv>
  <rv s="0">
    <v>536870912</v>
    <v>Werne</v>
    <v>3f7a1b81-6436-bae5-aca1-362ddd4c8b79</v>
    <v>de-DE</v>
    <v>Map</v>
  </rv>
  <rv s="0">
    <v>805306368</v>
    <v>Lothar Christ (Mayor)</v>
    <v>aa681b59-3354-c9b1-4926-3f4af349021d</v>
    <v>de-DE</v>
    <v>Generic</v>
  </rv>
  <rv s="1">
    <v>438</v>
  </rv>
  <rv s="2">
    <fb>29680</fb>
    <v>9</v>
  </rv>
  <rv s="3">
    <v>459</v>
    <v>7</v>
    <v>985</v>
    <v>7</v>
    <v>0</v>
    <v>Image of Werne</v>
  </rv>
  <rv s="2">
    <fb>76.14</fb>
    <v>9</v>
  </rv>
  <rv s="2">
    <fb>7.6166666666666698</fb>
    <v>10</v>
  </rv>
  <rv s="4">
    <v>https://www.bing.com/search?q=werne+germany&amp;form=skydnc</v>
    <v>Learn more on Bing</v>
  </rv>
  <rv s="10">
    <v>#VALUE!</v>
    <v>de-DE</v>
    <v>3f7a1b81-6436-bae5-aca1-362ddd4c8b79</v>
    <v>536870912</v>
    <v>1</v>
    <v>986</v>
    <v>39</v>
    <v>40</v>
    <v>Werne</v>
    <v>5</v>
    <v>6</v>
    <v>Map</v>
    <v>7</v>
    <v>14</v>
    <v>4702</v>
    <v>Werne an der Lippe is a town in the Federal state of North Rhine-Westphalia in the Unna district in Germany. It is located on the southern edge of the Münsterland region near the Ruhrgebiet. The population of Werne is about 32,000.</v>
    <v>4703</v>
    <v>4704</v>
    <v>2635</v>
    <v>4705</v>
    <v>21</v>
    <v>4706</v>
    <v>4707</v>
    <v>Werne</v>
    <v>Werne</v>
    <v>mdp/vdpid/7011418405626445825</v>
    <v>2408</v>
  </rv>
  <rv s="0">
    <v>536870912</v>
    <v>Wernigerode</v>
    <v>6dd103c1-19fd-278b-cc7b-1b2f603f3f59</v>
    <v>de-DE</v>
    <v>Map</v>
  </rv>
  <rv s="0">
    <v>805306368</v>
    <v>Tobias Kascha (Mayor)</v>
    <v>3f8a2406-af0d-b981-018a-506a0b0a62a2</v>
    <v>de-DE</v>
    <v>Generic</v>
  </rv>
  <rv s="1">
    <v>439</v>
  </rv>
  <rv s="2">
    <fb>32024</fb>
    <v>9</v>
  </rv>
  <rv s="3">
    <v>460</v>
    <v>7</v>
    <v>987</v>
    <v>7</v>
    <v>0</v>
    <v>Image of Wernigerode</v>
  </rv>
  <rv s="2">
    <fb>51.835000000000001</fb>
    <v>10</v>
  </rv>
  <rv s="2">
    <fb>170.18</fb>
    <v>9</v>
  </rv>
  <rv s="2">
    <fb>10.785277777777999</fb>
    <v>10</v>
  </rv>
  <rv s="4">
    <v>https://www.bing.com/search?q=wernigerode+germany&amp;form=skydnc</v>
    <v>Learn more on Bing</v>
  </rv>
  <rv s="11">
    <v>#VALUE!</v>
    <v>de-DE</v>
    <v>6dd103c1-19fd-278b-cc7b-1b2f603f3f59</v>
    <v>536870912</v>
    <v>1</v>
    <v>988</v>
    <v>17</v>
    <v>57</v>
    <v>Wernigerode</v>
    <v>5</v>
    <v>6</v>
    <v>Map</v>
    <v>7</v>
    <v>14</v>
    <v>4711</v>
    <v>Wernigerode is a town in the district of Harz, Saxony-Anhalt, Germany. Until 2007, it was the capital of the district of Wernigerode. Its population was 35,041 in 2012. Wernigerode is located southwest of Halberstadt, and is picturesquely ...</v>
    <v>4712</v>
    <v>4713</v>
    <v>4714</v>
    <v>4715</v>
    <v>21</v>
    <v>4716</v>
    <v>4717</v>
    <v>Wernigerode</v>
    <v>Wernigerode</v>
    <v>mdp/vdpid/7012005866471686145</v>
    <v>584</v>
  </rv>
  <rv s="0">
    <v>536870912</v>
    <v>Wertheim</v>
    <v>bedd61d3-bf94-74d3-f2bc-de0bafdf47e0</v>
    <v>de-DE</v>
    <v>Map</v>
  </rv>
  <rv s="0">
    <v>805306368</v>
    <v>Markus Herrera Torrez (Mayor)</v>
    <v>68fa5b65-ce4e-3046-e983-0574436b47c6</v>
    <v>de-DE</v>
    <v>Generic</v>
  </rv>
  <rv s="1">
    <v>440</v>
  </rv>
  <rv s="2">
    <fb>23196</fb>
    <v>9</v>
  </rv>
  <rv s="3">
    <v>461</v>
    <v>7</v>
    <v>989</v>
    <v>7</v>
    <v>0</v>
    <v>Image of Wertheim am Main</v>
  </rv>
  <rv s="2">
    <fb>49.75</fb>
    <v>10</v>
  </rv>
  <rv s="2">
    <fb>138.63</fb>
    <v>9</v>
  </rv>
  <rv s="2">
    <fb>9.5166694444444406</fb>
    <v>10</v>
  </rv>
  <rv s="4">
    <v>https://www.bing.com/search?q=wertheim+am+main&amp;form=skydnc</v>
    <v>Learn more on Bing</v>
  </rv>
  <rv s="6">
    <v>#VALUE!</v>
    <v>de-DE</v>
    <v>bedd61d3-bf94-74d3-f2bc-de0bafdf47e0</v>
    <v>536870912</v>
    <v>1</v>
    <v>990</v>
    <v>2</v>
    <v>13</v>
    <v>Wertheim am Main</v>
    <v>5</v>
    <v>6</v>
    <v>Map</v>
    <v>7</v>
    <v>14</v>
    <v>4721</v>
    <v>Wertheim is a town in southwestern Germany, in the state of Baden-Württemberg with a population of around 23,400. It is located on the confluence of the rivers Tauber and Main. Wertheim is best known for its landmark castle and medieval town centre.</v>
    <v>4722</v>
    <v>4723</v>
    <v>4724</v>
    <v>4725</v>
    <v>21</v>
    <v>4726</v>
    <v>4727</v>
    <v>Wertheim am Main</v>
    <v>Wertheim am Main</v>
    <v>mdp/vdpid/7015035195355037697</v>
    <v>606</v>
    <v>2811</v>
  </rv>
  <rv s="0">
    <v>536870912</v>
    <v>Wesel</v>
    <v>0ea86e9f-1e63-6522-1190-5e6500dad6b1</v>
    <v>de-DE</v>
    <v>Map</v>
  </rv>
  <rv s="0">
    <v>805306368</v>
    <v>Ulrike Westkamp (Mayor)</v>
    <v>646ce679-990b-ae5b-fd7c-1cb08fa23c5b</v>
    <v>de-DE</v>
    <v>Generic</v>
  </rv>
  <rv s="1">
    <v>441</v>
  </rv>
  <rv s="2">
    <fb>61330</fb>
    <v>9</v>
  </rv>
  <rv s="3">
    <v>462</v>
    <v>7</v>
    <v>991</v>
    <v>7</v>
    <v>0</v>
    <v>Image of Wesel</v>
  </rv>
  <rv s="2">
    <fb>51.658611111111</fb>
    <v>10</v>
  </rv>
  <rv s="2">
    <fb>122.56</fb>
    <v>9</v>
  </rv>
  <rv s="2">
    <fb>6.6177777777777997</fb>
    <v>10</v>
  </rv>
  <rv s="4">
    <v>https://www.bing.com/search?q=wesel&amp;form=skydnc</v>
    <v>Learn more on Bing</v>
  </rv>
  <rv s="6">
    <v>#VALUE!</v>
    <v>de-DE</v>
    <v>0ea86e9f-1e63-6522-1190-5e6500dad6b1</v>
    <v>536870912</v>
    <v>1</v>
    <v>992</v>
    <v>2</v>
    <v>13</v>
    <v>Wesel</v>
    <v>5</v>
    <v>6</v>
    <v>Map</v>
    <v>7</v>
    <v>14</v>
    <v>4731</v>
    <v>Wesel is a city in North Rhine-Westphalia, Germany. It is the capital of the Wesel district.</v>
    <v>4732</v>
    <v>4733</v>
    <v>4734</v>
    <v>4735</v>
    <v>21</v>
    <v>4736</v>
    <v>4737</v>
    <v>Wesel</v>
    <v>Wesel</v>
    <v>mdp/vdpid/7011304021436661761</v>
    <v>1029</v>
    <v>1030</v>
  </rv>
  <rv s="0">
    <v>536870912</v>
    <v>Wesseling</v>
    <v>7f6d232d-75b9-e51c-c643-03a74ba24e87</v>
    <v>de-DE</v>
    <v>Map</v>
  </rv>
  <rv s="0">
    <v>805306368</v>
    <v>Erwin Esser (Mayor)</v>
    <v>98bd7b22-70c6-d4fe-9c3c-212ac8bb1868</v>
    <v>de-DE</v>
    <v>Generic</v>
  </rv>
  <rv s="1">
    <v>442</v>
  </rv>
  <rv s="2">
    <fb>38192</fb>
    <v>9</v>
  </rv>
  <rv s="3">
    <v>463</v>
    <v>7</v>
    <v>993</v>
    <v>7</v>
    <v>0</v>
    <v>Image of Wesseling</v>
  </rv>
  <rv s="2">
    <fb>50.820749999999997</fb>
    <v>10</v>
  </rv>
  <rv s="2">
    <fb>23.37</fb>
    <v>9</v>
  </rv>
  <rv s="2">
    <fb>6.9786000000000001</fb>
    <v>10</v>
  </rv>
  <rv s="4">
    <v>https://www.bing.com/search?q=wesseling&amp;form=skydnc</v>
    <v>Learn more on Bing</v>
  </rv>
  <rv s="11">
    <v>#VALUE!</v>
    <v>de-DE</v>
    <v>7f6d232d-75b9-e51c-c643-03a74ba24e87</v>
    <v>536870912</v>
    <v>1</v>
    <v>994</v>
    <v>17</v>
    <v>57</v>
    <v>Wesseling</v>
    <v>5</v>
    <v>6</v>
    <v>Map</v>
    <v>7</v>
    <v>14</v>
    <v>4741</v>
    <v>Wesseling is an industrial German city on the Rhine bordering Cologne city on the south. With three chemical plants and a petroleum refinery within its city limits, it has an important place in the international petrochemical industry.</v>
    <v>4742</v>
    <v>4743</v>
    <v>4744</v>
    <v>4745</v>
    <v>21</v>
    <v>4746</v>
    <v>4747</v>
    <v>Wesseling</v>
    <v>Wesseling</v>
    <v>mdp/vdpid/7011399489164410881</v>
    <v>10</v>
  </rv>
  <rv s="0">
    <v>536870912</v>
    <v>Wiesbaden</v>
    <v>02543f78-c4b6-5ca8-1ebf-df5ce4a9c1db</v>
    <v>de-DE</v>
    <v>Map</v>
  </rv>
  <rv s="0">
    <v>805306368</v>
    <v>Gert-Uwe Mende (Mayor)</v>
    <v>27b5bda6-353b-8bf8-4b92-6e4403f27296</v>
    <v>de-DE</v>
    <v>Generic</v>
  </rv>
  <rv s="1">
    <v>443</v>
  </rv>
  <rv s="2">
    <fb>278950</fb>
    <v>9</v>
  </rv>
  <rv s="3">
    <v>464</v>
    <v>7</v>
    <v>995</v>
    <v>7</v>
    <v>0</v>
    <v>Image of Wiesbaden</v>
  </rv>
  <rv s="2">
    <fb>50.082500000000003</fb>
    <v>10</v>
  </rv>
  <rv s="2">
    <fb>203.93</fb>
    <v>9</v>
  </rv>
  <rv s="2">
    <fb>8.24</fb>
    <v>10</v>
  </rv>
  <rv s="4">
    <v>https://www.bing.com/search?q=wiesbaden&amp;form=skydnc</v>
    <v>Learn more on Bing</v>
  </rv>
  <rv s="6">
    <v>#VALUE!</v>
    <v>de-DE</v>
    <v>02543f78-c4b6-5ca8-1ebf-df5ce4a9c1db</v>
    <v>536870912</v>
    <v>1</v>
    <v>996</v>
    <v>2</v>
    <v>13</v>
    <v>Wiesbaden</v>
    <v>5</v>
    <v>6</v>
    <v>Map</v>
    <v>7</v>
    <v>8</v>
    <v>4751</v>
    <v>Wiesbaden is the capital of the German state of Hesse, and the second-largest Hessian city after Frankfurt am Main. With around 283,000 inhabitants, it is Germany's 24th-largest city. Wiesbaden forms a conurbation with a population of around ...</v>
    <v>4752</v>
    <v>4753</v>
    <v>4754</v>
    <v>4755</v>
    <v>1341</v>
    <v>4756</v>
    <v>4757</v>
    <v>Wiesbaden</v>
    <v>Wiesbaden</v>
    <v>mdp/vdpid/7014562397352361985</v>
    <v>946</v>
    <v>303</v>
  </rv>
  <rv s="0">
    <v>536870912</v>
    <v>Wilhelmshaven</v>
    <v>65e8b443-e926-b6bc-39d3-842cd8f2e2a3</v>
    <v>de-DE</v>
    <v>Map</v>
  </rv>
  <rv s="0">
    <v>805306368</v>
    <v>Carsten Feist (Mayor)</v>
    <v>17950656-efb2-cbaa-03f7-a05565a91f37</v>
    <v>de-DE</v>
    <v>Generic</v>
  </rv>
  <rv s="1">
    <v>444</v>
  </rv>
  <rv s="2">
    <fb>76089</fb>
    <v>9</v>
  </rv>
  <rv s="3">
    <v>465</v>
    <v>7</v>
    <v>997</v>
    <v>7</v>
    <v>0</v>
    <v>Image of Wilhelmshaven</v>
  </rv>
  <rv s="2">
    <fb>53.528611111111097</fb>
    <v>10</v>
  </rv>
  <rv s="2">
    <fb>106.91</fb>
    <v>9</v>
  </rv>
  <rv s="2">
    <fb>8.1055555555555596</fb>
    <v>10</v>
  </rv>
  <rv s="4">
    <v>https://www.bing.com/search?q=wilhelmshaven&amp;form=skydnc</v>
    <v>Learn more on Bing</v>
  </rv>
  <rv s="6">
    <v>#VALUE!</v>
    <v>de-DE</v>
    <v>65e8b443-e926-b6bc-39d3-842cd8f2e2a3</v>
    <v>536870912</v>
    <v>1</v>
    <v>998</v>
    <v>2</v>
    <v>13</v>
    <v>Wilhelmshaven</v>
    <v>5</v>
    <v>6</v>
    <v>Map</v>
    <v>7</v>
    <v>14</v>
    <v>4761</v>
    <v>Wilhelmshaven is a coastal town in Lower Saxony, Germany. It is situated on the western side of the Jade Bight, a bay of the North Sea, and has a population of 76,089. Wilhelmshaven is the centre of the "Jade Bay" business region and is ...</v>
    <v>4762</v>
    <v>4763</v>
    <v>4764</v>
    <v>4765</v>
    <v>21</v>
    <v>4766</v>
    <v>4767</v>
    <v>Wilhelmshaven</v>
    <v>Wilhelmshaven</v>
    <v>mdp/vdpid/7010411609508020225</v>
    <v>247</v>
    <v>2789</v>
  </rv>
  <rv s="0">
    <v>536870912</v>
    <v>Willingen</v>
    <v>c809de7d-743a-2603-61d5-c4bcf530553f</v>
    <v>de-DE</v>
    <v>Map</v>
  </rv>
  <rv s="0">
    <v>805306368</v>
    <v>Thomas Trachte (Mayor)</v>
    <v>791e0958-02ef-6f55-37fd-d474e5705d44</v>
    <v>de-DE</v>
    <v>Generic</v>
  </rv>
  <rv s="1">
    <v>445</v>
  </rv>
  <rv s="2">
    <fb>6422</fb>
    <v>9</v>
  </rv>
  <rv s="3">
    <v>466</v>
    <v>7</v>
    <v>999</v>
    <v>7</v>
    <v>0</v>
    <v>Image of Willingen</v>
  </rv>
  <rv s="2">
    <fb>51.295000000000002</fb>
    <v>10</v>
  </rv>
  <rv s="2">
    <fb>80.260000000000005</fb>
    <v>9</v>
  </rv>
  <rv s="2">
    <fb>8.6080555555556</fb>
    <v>10</v>
  </rv>
  <rv s="4">
    <v>https://www.bing.com/search?q=willingen&amp;form=skydnc</v>
    <v>Learn more on Bing</v>
  </rv>
  <rv s="10">
    <v>#VALUE!</v>
    <v>de-DE</v>
    <v>c809de7d-743a-2603-61d5-c4bcf530553f</v>
    <v>536870912</v>
    <v>1</v>
    <v>1000</v>
    <v>39</v>
    <v>40</v>
    <v>Willingen</v>
    <v>5</v>
    <v>6</v>
    <v>Map</v>
    <v>7</v>
    <v>14</v>
    <v>4771</v>
    <v>Willingen is a municipality in Waldeck-Frankenberg in northern Hesse, Germany, some 80 km west of Kassel.</v>
    <v>4772</v>
    <v>4773</v>
    <v>4774</v>
    <v>4775</v>
    <v>21</v>
    <v>4776</v>
    <v>4777</v>
    <v>Willingen</v>
    <v>Willingen</v>
    <v>mdp/vdpid/7011894297297420289</v>
    <v>4551</v>
  </rv>
  <rv s="0">
    <v>536870912</v>
    <v>Wischhafen</v>
    <v>aa006b1a-565a-31bc-0854-ba607de556aa</v>
    <v>de-DE</v>
    <v>Map</v>
  </rv>
  <rv s="0">
    <v>805306368</v>
    <v>Heinrich von Borstel (Mayor)</v>
    <v>41d9d26d-4e72-68b9-66b3-5cf021ea48b2</v>
    <v>de-DE</v>
    <v>Generic</v>
  </rv>
  <rv s="1">
    <v>446</v>
  </rv>
  <rv s="2">
    <fb>3066</fb>
    <v>9</v>
  </rv>
  <rv s="3">
    <v>467</v>
    <v>7</v>
    <v>1001</v>
    <v>7</v>
    <v>0</v>
    <v>Image of Wischhafen</v>
  </rv>
  <rv s="2">
    <fb>53.770555555556001</fb>
    <v>10</v>
  </rv>
  <rv s="2">
    <fb>33.76</fb>
    <v>9</v>
  </rv>
  <rv s="2">
    <fb>9.3161111111111001</fb>
    <v>10</v>
  </rv>
  <rv s="4">
    <v>https://www.bing.com/search?q=wischhafen+lower+saxony&amp;form=skydnc</v>
    <v>Learn more on Bing</v>
  </rv>
  <rv s="0">
    <v>536870912</v>
    <v>Nordkehdingen</v>
    <v>14caed5d-bfe7-b046-68ad-3946e88c743a</v>
    <v>de-DE</v>
    <v>Map</v>
  </rv>
  <rv s="6">
    <v>#VALUE!</v>
    <v>de-DE</v>
    <v>aa006b1a-565a-31bc-0854-ba607de556aa</v>
    <v>536870912</v>
    <v>1</v>
    <v>1002</v>
    <v>2</v>
    <v>13</v>
    <v>Wischhafen</v>
    <v>5</v>
    <v>6</v>
    <v>Map</v>
    <v>7</v>
    <v>14</v>
    <v>4781</v>
    <v>Wischhafen is a municipality in the district of Stade, in Lower Saxony, Germany.</v>
    <v>4782</v>
    <v>4783</v>
    <v>4784</v>
    <v>4785</v>
    <v>21</v>
    <v>4786</v>
    <v>4787</v>
    <v>Wischhafen</v>
    <v>Wischhafen</v>
    <v>mdp/vdpid/7010822607998025729</v>
    <v>4324</v>
    <v>4788</v>
  </rv>
  <rv s="0">
    <v>536870912</v>
    <v>Wismar</v>
    <v>b1c2c2b7-9a3a-effa-f039-cbf8af938647</v>
    <v>de-DE</v>
    <v>Map</v>
  </rv>
  <rv s="0">
    <v>805306368</v>
    <v>Thomas Beyer (Mayor)</v>
    <v>97e8a9ce-f1f0-836e-e106-601c182d9eda</v>
    <v>de-DE</v>
    <v>Generic</v>
  </rv>
  <rv s="1">
    <v>447</v>
  </rv>
  <rv s="2">
    <fb>43878</fb>
    <v>9</v>
  </rv>
  <rv s="3">
    <v>468</v>
    <v>7</v>
    <v>1003</v>
    <v>7</v>
    <v>0</v>
    <v>Image of Wismar</v>
  </rv>
  <rv s="2">
    <fb>53.892499999999998</fb>
    <v>10</v>
  </rv>
  <rv s="2">
    <fb>41.72</fb>
    <v>9</v>
  </rv>
  <rv s="2">
    <fb>11.465</fb>
    <v>10</v>
  </rv>
  <rv s="4">
    <v>https://www.bing.com/search?q=wismar&amp;form=skydnc</v>
    <v>Learn more on Bing</v>
  </rv>
  <rv s="0">
    <v>536870912</v>
    <v>Nordwestmecklenburg District</v>
    <v>c2210a84-152c-ebf3-9da3-e140ebee1b1a</v>
    <v>de-DE</v>
    <v>Map</v>
  </rv>
  <rv s="6">
    <v>#VALUE!</v>
    <v>de-DE</v>
    <v>b1c2c2b7-9a3a-effa-f039-cbf8af938647</v>
    <v>536870912</v>
    <v>1</v>
    <v>1004</v>
    <v>2</v>
    <v>13</v>
    <v>Wismar</v>
    <v>5</v>
    <v>6</v>
    <v>Map</v>
    <v>7</v>
    <v>14</v>
    <v>4792</v>
    <v>Wismar, officially the Hanseatic City of Wismar is, with around 43,000 inhabitants, the sixth-largest city of the northeastern German state of Mecklenburg-Vorpommern, and the fourth-largest city of Mecklenburg after Rostock, Schwerin and ...</v>
    <v>4793</v>
    <v>4794</v>
    <v>4795</v>
    <v>4796</v>
    <v>21</v>
    <v>4797</v>
    <v>4798</v>
    <v>Wismar</v>
    <v>Wismar</v>
    <v>mdp/vdpid/7016967060655702017</v>
    <v>94</v>
    <v>4799</v>
  </rv>
  <rv s="0">
    <v>536870912</v>
    <v>Witten</v>
    <v>09a9c5b8-369d-1280-5d9d-ce0aa8e29847</v>
    <v>de-DE</v>
    <v>Map</v>
  </rv>
  <rv s="0">
    <v>805306368</v>
    <v>Lars König (Mayor)</v>
    <v>7617c41b-c009-ae9b-ec52-1ccfa97c6f9b</v>
    <v>de-DE</v>
    <v>Generic</v>
  </rv>
  <rv s="1">
    <v>448</v>
  </rv>
  <rv s="2">
    <fb>95897</fb>
    <v>9</v>
  </rv>
  <rv s="3">
    <v>469</v>
    <v>7</v>
    <v>1005</v>
    <v>7</v>
    <v>0</v>
    <v>Image of Witten</v>
  </rv>
  <rv s="2">
    <fb>51.433333333333302</fb>
    <v>10</v>
  </rv>
  <rv s="2">
    <fb>72.400000000000006</fb>
    <v>9</v>
  </rv>
  <rv s="2">
    <fb>7.3333333333333304</fb>
    <v>10</v>
  </rv>
  <rv s="4">
    <v>https://www.bing.com/search?q=witten+germany&amp;form=skydnc</v>
    <v>Learn more on Bing</v>
  </rv>
  <rv s="10">
    <v>#VALUE!</v>
    <v>de-DE</v>
    <v>09a9c5b8-369d-1280-5d9d-ce0aa8e29847</v>
    <v>536870912</v>
    <v>1</v>
    <v>1006</v>
    <v>39</v>
    <v>40</v>
    <v>Witten</v>
    <v>5</v>
    <v>6</v>
    <v>Map</v>
    <v>7</v>
    <v>14</v>
    <v>4803</v>
    <v>Witten is a city with almost 100,000 inhabitants in the Ennepe-Ruhr-Kreis in North Rhine-Westphalia, Germany.</v>
    <v>4804</v>
    <v>4805</v>
    <v>4806</v>
    <v>4807</v>
    <v>21</v>
    <v>4808</v>
    <v>4809</v>
    <v>Witten</v>
    <v>Witten</v>
    <v>mdp/vdpid/7011432011696963586</v>
    <v>1291</v>
  </rv>
  <rv s="0">
    <v>536870912</v>
    <v>Wittenberge</v>
    <v>544440d2-690d-8616-e0c3-71f2d4a857c2</v>
    <v>de-DE</v>
    <v>Map</v>
  </rv>
  <rv s="0">
    <v>805306368</v>
    <v>Oliver Hermann (Mayor)</v>
    <v>671b6f3c-c502-1d9e-1754-d8486fa59f30</v>
    <v>de-DE</v>
    <v>Generic</v>
  </rv>
  <rv s="1">
    <v>449</v>
  </rv>
  <rv s="2">
    <fb>16837</fb>
    <v>9</v>
  </rv>
  <rv s="3">
    <v>470</v>
    <v>7</v>
    <v>1007</v>
    <v>7</v>
    <v>0</v>
    <v>Image of Wittenberge</v>
  </rv>
  <rv s="2">
    <fb>53.005428999999999</fb>
    <v>10</v>
  </rv>
  <rv s="2">
    <fb>50.63</fb>
    <v>9</v>
  </rv>
  <rv s="2">
    <fb>11.75032</fb>
    <v>10</v>
  </rv>
  <rv s="4">
    <v>https://www.bing.com/search?q=wittenberge+germany&amp;form=skydnc</v>
    <v>Learn more on Bing</v>
  </rv>
  <rv s="0">
    <v>536870912</v>
    <v>Prignitz District</v>
    <v>17d405f5-780b-c654-1e85-0efa3849b955</v>
    <v>de-DE</v>
    <v>Map</v>
  </rv>
  <rv s="6">
    <v>#VALUE!</v>
    <v>de-DE</v>
    <v>544440d2-690d-8616-e0c3-71f2d4a857c2</v>
    <v>536870912</v>
    <v>1</v>
    <v>1008</v>
    <v>2</v>
    <v>13</v>
    <v>Wittenberge</v>
    <v>5</v>
    <v>6</v>
    <v>Map</v>
    <v>7</v>
    <v>14</v>
    <v>4813</v>
    <v>Wittenberge is a town of eighteen thousand people on the middle Elbe in the district of Prignitz, Brandenburg, Germany.</v>
    <v>4814</v>
    <v>4815</v>
    <v>4816</v>
    <v>4817</v>
    <v>21</v>
    <v>4818</v>
    <v>4819</v>
    <v>Wittenberge</v>
    <v>Wittenberge</v>
    <v>mdp/vdpid/7017761488928505857</v>
    <v>488</v>
    <v>4820</v>
  </rv>
  <rv s="0">
    <v>536870912</v>
    <v>Witzenhausen</v>
    <v>5e49d23d-df38-4b32-705e-9f5bd87c4286</v>
    <v>de-DE</v>
    <v>Map</v>
  </rv>
  <rv s="0">
    <v>805306368</v>
    <v>Daniel Herz (Mayor)</v>
    <v>9a6cbcd2-8f21-dee3-efee-b6130556e81f</v>
    <v>de-DE</v>
    <v>Generic</v>
  </rv>
  <rv s="1">
    <v>450</v>
  </rv>
  <rv s="2">
    <fb>15005</fb>
    <v>9</v>
  </rv>
  <rv s="3">
    <v>471</v>
    <v>7</v>
    <v>1009</v>
    <v>7</v>
    <v>0</v>
    <v>Image of Witzenhausen</v>
  </rv>
  <rv s="2">
    <fb>51.341666666667003</fb>
    <v>10</v>
  </rv>
  <rv s="2">
    <fb>126.78</fb>
    <v>9</v>
  </rv>
  <rv s="2">
    <fb>9.8569444444443999</fb>
    <v>10</v>
  </rv>
  <rv s="4">
    <v>https://www.bing.com/search?q=witzenhausen&amp;form=skydnc</v>
    <v>Learn more on Bing</v>
  </rv>
  <rv s="10">
    <v>#VALUE!</v>
    <v>de-DE</v>
    <v>5e49d23d-df38-4b32-705e-9f5bd87c4286</v>
    <v>536870912</v>
    <v>1</v>
    <v>1010</v>
    <v>39</v>
    <v>40</v>
    <v>Witzenhausen</v>
    <v>5</v>
    <v>6</v>
    <v>Map</v>
    <v>7</v>
    <v>14</v>
    <v>4824</v>
    <v>Witzenhausen is a small town in the Werra-Meißner-Kreis in northeastern Hesse, Germany. It was granted town rights in 1225, and until 1974 was a district seat. The University of Kassel maintains a satellite campus in Witzenhausen, which offers ...</v>
    <v>4825</v>
    <v>4826</v>
    <v>4827</v>
    <v>4828</v>
    <v>21</v>
    <v>4829</v>
    <v>4830</v>
    <v>Witzenhausen</v>
    <v>Witzenhausen</v>
    <v>mdp/vdpid/7011987279279292417</v>
    <v>1322</v>
  </rv>
  <rv s="0">
    <v>536870912</v>
    <v>Wolfen</v>
    <v>7ac56189-03d0-6b99-c10d-1252bc6ae5fa</v>
    <v>de-DE</v>
    <v>Map</v>
  </rv>
  <rv s="2">
    <fb>16449</fb>
    <v>9</v>
  </rv>
  <rv s="2">
    <fb>51.65</fb>
    <v>10</v>
  </rv>
  <rv s="2">
    <fb>23.13</fb>
    <v>9</v>
  </rv>
  <rv s="2">
    <fb>12.266666666667</fb>
    <v>10</v>
  </rv>
  <rv s="4">
    <v>https://www.bing.com/search?q=wolfen+germany&amp;form=skydnc</v>
    <v>Learn more on Bing</v>
  </rv>
  <rv s="26">
    <v>#VALUE!</v>
    <v>de-DE</v>
    <v>7ac56189-03d0-6b99-c10d-1252bc6ae5fa</v>
    <v>536870912</v>
    <v>1</v>
    <v>1012</v>
    <v>1013</v>
    <v>1014</v>
    <v>Wolfen, Germany</v>
    <v>5</v>
    <v>1015</v>
    <v>Map</v>
    <v>7</v>
    <v>540</v>
    <v>Wolfen is a town in the district Anhalt-Bitterfeld, Saxony-Anhalt, Germany. Since 1 July 2007 it is part of the town Bitterfeld-Wolfen. It is situated approximately 6 kilometres northwest of Bitterfeld, and 20 kilometres south of Dessau.</v>
    <v>4833</v>
    <v>4834</v>
    <v>4835</v>
    <v>21</v>
    <v>4836</v>
    <v>4837</v>
    <v>Wolfen, Germany</v>
    <v>Wolfen, Germany</v>
    <v>mdp/vdpid/7018059427857039361</v>
    <v>572</v>
    <v>573</v>
  </rv>
  <rv s="0">
    <v>536870912</v>
    <v>Wolfenbüttel</v>
    <v>83821bcb-a26b-68ed-250e-1c3d8af6c584</v>
    <v>de-DE</v>
    <v>Map</v>
  </rv>
  <rv s="0">
    <v>805306368</v>
    <v>Ivica Lukanic (Mayor)</v>
    <v>7707a872-9d89-b999-1eb0-2220857ecaa5</v>
    <v>de-DE</v>
    <v>Generic</v>
  </rv>
  <rv s="1">
    <v>451</v>
  </rv>
  <rv s="2">
    <fb>52681</fb>
    <v>9</v>
  </rv>
  <rv s="3">
    <v>472</v>
    <v>7</v>
    <v>1016</v>
    <v>7</v>
    <v>0</v>
    <v>Image of Wolfenbüttel</v>
  </rv>
  <rv s="2">
    <fb>52.162222222221999</fb>
    <v>10</v>
  </rv>
  <rv s="2">
    <fb>78.739999999999995</fb>
    <v>9</v>
  </rv>
  <rv s="2">
    <fb>10.536944444444</fb>
    <v>10</v>
  </rv>
  <rv s="4">
    <v>https://www.bing.com/search?q=wolfenbuttel+germany&amp;form=skydnc</v>
    <v>Learn more on Bing</v>
  </rv>
  <rv s="0">
    <v>536870912</v>
    <v>Wolfenbüttel</v>
    <v>ca380feb-fc1f-4164-bb39-c5dc14d75886</v>
    <v>de-DE</v>
    <v>Map</v>
  </rv>
  <rv s="6">
    <v>#VALUE!</v>
    <v>de-DE</v>
    <v>83821bcb-a26b-68ed-250e-1c3d8af6c584</v>
    <v>536870912</v>
    <v>1</v>
    <v>1017</v>
    <v>2</v>
    <v>13</v>
    <v>Wolfenbüttel</v>
    <v>5</v>
    <v>6</v>
    <v>Map</v>
    <v>7</v>
    <v>14</v>
    <v>4841</v>
    <v>Wolfenbüttel is a town in Lower Saxony, Germany, the administrative capital of Wolfenbüttel District. It is best known as the location of the internationally renowned Herzog August Library and for having the largest concentration of ...</v>
    <v>4842</v>
    <v>4843</v>
    <v>4844</v>
    <v>4845</v>
    <v>21</v>
    <v>4846</v>
    <v>4847</v>
    <v>Wolfenbüttel</v>
    <v>Wolfenbüttel</v>
    <v>mdp/vdpid/7011810600648966145</v>
    <v>247</v>
    <v>4848</v>
  </rv>
  <rv s="0">
    <v>536870912</v>
    <v>Wolfsburg</v>
    <v>41773eaf-3497-340f-50a4-dd2d85c07c1e</v>
    <v>de-DE</v>
    <v>Map</v>
  </rv>
  <rv s="0">
    <v>805306368</v>
    <v>Dennis Weilmann (Mayor)</v>
    <v>9ebcb5e4-7cbb-47da-9131-e8799b1d55ba</v>
    <v>de-DE</v>
    <v>Generic</v>
  </rv>
  <rv s="1">
    <v>452</v>
  </rv>
  <rv s="2">
    <fb>125961</fb>
    <v>9</v>
  </rv>
  <rv s="3">
    <v>473</v>
    <v>7</v>
    <v>1018</v>
    <v>7</v>
    <v>0</v>
    <v>Image of Wolfsburg</v>
  </rv>
  <rv s="2">
    <fb>52.423055555555997</fb>
    <v>10</v>
  </rv>
  <rv s="2">
    <fb>204.61</fb>
    <v>9</v>
  </rv>
  <rv s="2">
    <fb>10.787222222222001</fb>
    <v>10</v>
  </rv>
  <rv s="4">
    <v>https://www.bing.com/search?q=wolfsburg&amp;form=skydnc</v>
    <v>Learn more on Bing</v>
  </rv>
  <rv s="11">
    <v>#VALUE!</v>
    <v>de-DE</v>
    <v>41773eaf-3497-340f-50a4-dd2d85c07c1e</v>
    <v>536870912</v>
    <v>1</v>
    <v>1019</v>
    <v>17</v>
    <v>57</v>
    <v>Wolfsburg</v>
    <v>5</v>
    <v>6</v>
    <v>Map</v>
    <v>7</v>
    <v>14</v>
    <v>4852</v>
    <v>Wolfsburg is the fifth largest city in the German state of Lower Saxony, located on the river Aller. It lies about 75 km east of Hanover and 230 km west of Berlin. Wolfsburg is famous as the location of Volkswagen AG's headquarters and the ...</v>
    <v>4853</v>
    <v>4854</v>
    <v>4855</v>
    <v>4856</v>
    <v>21</v>
    <v>4857</v>
    <v>4858</v>
    <v>Wolfsburg</v>
    <v>Wolfsburg</v>
    <v>mdp/vdpid/7011796090034847746</v>
    <v>247</v>
  </rv>
  <rv s="0">
    <v>536870912</v>
    <v>Worms</v>
    <v>022cfd72-d3bc-eb6f-5e6f-89137dcad1e9</v>
    <v>de-DE</v>
    <v>Map</v>
  </rv>
  <rv s="0">
    <v>805306368</v>
    <v>Adolf Kessel (Mayor)</v>
    <v>7353de7e-45bc-f126-2ccf-48efb7eff149</v>
    <v>de-DE</v>
    <v>Generic</v>
  </rv>
  <rv s="1">
    <v>453</v>
  </rv>
  <rv s="2">
    <fb>84646</fb>
    <v>9</v>
  </rv>
  <rv s="3">
    <v>474</v>
    <v>7</v>
    <v>1020</v>
    <v>7</v>
    <v>0</v>
    <v>Image of Worms, Germany</v>
  </rv>
  <rv s="2">
    <fb>49.631944444444002</fb>
    <v>10</v>
  </rv>
  <rv s="2">
    <fb>108.73</fb>
    <v>9</v>
  </rv>
  <rv s="2">
    <fb>8.3652777777778002</fb>
    <v>10</v>
  </rv>
  <rv s="4">
    <v>https://www.bing.com/search?q=worms+germany&amp;form=skydnc</v>
    <v>Learn more on Bing</v>
  </rv>
  <rv s="6">
    <v>#VALUE!</v>
    <v>de-DE</v>
    <v>022cfd72-d3bc-eb6f-5e6f-89137dcad1e9</v>
    <v>536870912</v>
    <v>1</v>
    <v>1021</v>
    <v>2</v>
    <v>13</v>
    <v>Worms, Germany</v>
    <v>5</v>
    <v>6</v>
    <v>Map</v>
    <v>7</v>
    <v>14</v>
    <v>4862</v>
    <v>Worms is a city in Rhineland-Palatinate, Germany, situated on the Upper Rhine about 60 km south-southwest of Frankfurt am Main. It had about 84,646 inhabitants as of 2022. A pre-Roman foundation, Worms is one of the oldest cities in northern ...</v>
    <v>4863</v>
    <v>4864</v>
    <v>4865</v>
    <v>4866</v>
    <v>21</v>
    <v>4867</v>
    <v>4868</v>
    <v>Worms, Germany</v>
    <v>Worms, Germany</v>
    <v>mdp/vdpid/7014619020389253121</v>
    <v>60</v>
    <v>60</v>
  </rv>
  <rv s="0">
    <v>536870912</v>
    <v>Wülfrath</v>
    <v>e65736a4-2403-8031-6799-7cd0f3c903a4</v>
    <v>de-DE</v>
    <v>Map</v>
  </rv>
  <rv s="0">
    <v>805306368</v>
    <v>Rainer Otto Ritsche (Mayor)</v>
    <v>57fd8d6c-6c21-6fa8-1153-ee20645f5038</v>
    <v>de-DE</v>
    <v>Generic</v>
  </rv>
  <rv s="1">
    <v>454</v>
  </rv>
  <rv s="2">
    <fb>21100</fb>
    <v>9</v>
  </rv>
  <rv s="3">
    <v>475</v>
    <v>7</v>
    <v>1022</v>
    <v>7</v>
    <v>0</v>
    <v>Image of Wülfrath</v>
  </rv>
  <rv s="2">
    <fb>51.283333333333303</fb>
    <v>10</v>
  </rv>
  <rv s="2">
    <fb>32.270000000000003</fb>
    <v>9</v>
  </rv>
  <rv s="2">
    <fb>7.0333333333333297</fb>
    <v>10</v>
  </rv>
  <rv s="4">
    <v>https://www.bing.com/search?q=w%c3%bclfrath+north+%22rhine+westphalia%22&amp;form=skydnc</v>
    <v>Learn more on Bing</v>
  </rv>
  <rv s="6">
    <v>#VALUE!</v>
    <v>de-DE</v>
    <v>e65736a4-2403-8031-6799-7cd0f3c903a4</v>
    <v>536870912</v>
    <v>1</v>
    <v>1023</v>
    <v>2</v>
    <v>13</v>
    <v>Wülfrath</v>
    <v>5</v>
    <v>6</v>
    <v>Map</v>
    <v>7</v>
    <v>14</v>
    <v>4872</v>
    <v>Wülfrath is a town in the district of Mettmann, in North Rhine-Westphalia, Germany.</v>
    <v>4873</v>
    <v>4874</v>
    <v>4875</v>
    <v>4876</v>
    <v>21</v>
    <v>4877</v>
    <v>4878</v>
    <v>Wülfrath</v>
    <v>Wülfrath</v>
    <v>mdp/vdpid/7011471391815892993</v>
    <v>1029</v>
    <v>2076</v>
  </rv>
  <rv s="0">
    <v>536870912</v>
    <v>Wuppertal</v>
    <v>5f5509a3-0c78-d3a8-aeb0-999c6e9d47b1</v>
    <v>de-DE</v>
    <v>Map</v>
  </rv>
  <rv s="0">
    <v>805306368</v>
    <v>Uwe Schneidewind (Mayor)</v>
    <v>c0449b89-ebbf-f38d-666e-92c27e175f2c</v>
    <v>de-DE</v>
    <v>Generic</v>
  </rv>
  <rv s="1">
    <v>455</v>
  </rv>
  <rv s="2">
    <fb>358876</fb>
    <v>9</v>
  </rv>
  <rv s="3">
    <v>476</v>
    <v>7</v>
    <v>1024</v>
    <v>7</v>
    <v>0</v>
    <v>Image of Wuppertal</v>
  </rv>
  <rv s="2">
    <fb>168.39</fb>
    <v>9</v>
  </rv>
  <rv s="4">
    <v>https://www.bing.com/search?q=wuppertal&amp;form=skydnc</v>
    <v>Learn more on Bing</v>
  </rv>
  <rv s="6">
    <v>#VALUE!</v>
    <v>de-DE</v>
    <v>5f5509a3-0c78-d3a8-aeb0-999c6e9d47b1</v>
    <v>536870912</v>
    <v>1</v>
    <v>1025</v>
    <v>2</v>
    <v>13</v>
    <v>Wuppertal</v>
    <v>5</v>
    <v>6</v>
    <v>Map</v>
    <v>7</v>
    <v>14</v>
    <v>4882</v>
    <v>Wuppertal is a city in North Rhine-Westphalia, the most populous state of Germany. With a population of approximately 355,000, Wuppertal is the seventh-largest city in North Rhine-Westphalia as well as the 17th-largest city in Germany. It was ...</v>
    <v>4883</v>
    <v>4884</v>
    <v>2415</v>
    <v>4885</v>
    <v>21</v>
    <v>561</v>
    <v>4886</v>
    <v>Wuppertal</v>
    <v>Wuppertal</v>
    <v>mdp/vdpid/7011475175749189633</v>
    <v>412</v>
    <v>1029</v>
  </rv>
  <rv s="0">
    <v>536870912</v>
    <v>Würselen</v>
    <v>81ed4dbb-5d4c-8839-072e-b57e1c2f63c8</v>
    <v>de-DE</v>
    <v>Map</v>
  </rv>
  <rv s="0">
    <v>805306368</v>
    <v>Roger Nießen (Mayor)</v>
    <v>a27e3e26-7b34-3782-1c56-9553b1518b0e</v>
    <v>de-DE</v>
    <v>Generic</v>
  </rv>
  <rv s="1">
    <v>456</v>
  </rv>
  <rv s="2">
    <fb>38598</fb>
    <v>9</v>
  </rv>
  <rv s="3">
    <v>477</v>
    <v>7</v>
    <v>1026</v>
    <v>7</v>
    <v>0</v>
    <v>Image of Würselen</v>
  </rv>
  <rv s="2">
    <fb>50.824722222222</fb>
    <v>10</v>
  </rv>
  <rv s="2">
    <fb>34.39</fb>
    <v>9</v>
  </rv>
  <rv s="2">
    <fb>6.1275000000000004</fb>
    <v>10</v>
  </rv>
  <rv s="4">
    <v>https://www.bing.com/search?q=w%c3%bcrselen+germany&amp;form=skydnc</v>
    <v>Learn more on Bing</v>
  </rv>
  <rv s="6">
    <v>#VALUE!</v>
    <v>de-DE</v>
    <v>81ed4dbb-5d4c-8839-072e-b57e1c2f63c8</v>
    <v>536870912</v>
    <v>1</v>
    <v>1027</v>
    <v>2</v>
    <v>13</v>
    <v>Würselen</v>
    <v>5</v>
    <v>6</v>
    <v>Map</v>
    <v>7</v>
    <v>14</v>
    <v>4890</v>
    <v>Würselen is a town in the borough of Aachen, in North Rhine-Westphalia, Germany.</v>
    <v>4891</v>
    <v>4892</v>
    <v>4893</v>
    <v>4894</v>
    <v>21</v>
    <v>4895</v>
    <v>4896</v>
    <v>Würselen</v>
    <v>Würselen</v>
    <v>mdp/vdpid/7011360755572277249</v>
    <v>10</v>
    <v>11</v>
  </rv>
  <rv s="0">
    <v>536870912</v>
    <v>Würzburg</v>
    <v>6494d5d4-651a-a034-f0f5-7b662dd15a2b</v>
    <v>de-DE</v>
    <v>Map</v>
  </rv>
  <rv s="0">
    <v>805306368</v>
    <v>Christian Schuchardt (Mayor)</v>
    <v>6eaeff76-3d4e-b742-3189-db8d7250ac16</v>
    <v>de-DE</v>
    <v>Generic</v>
  </rv>
  <rv s="1">
    <v>457</v>
  </rv>
  <rv s="2">
    <fb>127810</fb>
    <v>9</v>
  </rv>
  <rv s="3">
    <v>478</v>
    <v>7</v>
    <v>1028</v>
    <v>7</v>
    <v>0</v>
    <v>Image of Würzburg</v>
  </rv>
  <rv s="2">
    <fb>49.794444444443997</fb>
    <v>10</v>
  </rv>
  <rv s="2">
    <fb>87.6</fb>
    <v>9</v>
  </rv>
  <rv s="2">
    <fb>9.9294444444443997</fb>
    <v>10</v>
  </rv>
  <rv s="4">
    <v>https://www.bing.com/search?q=w%c3%bcrzburg&amp;form=skydnc</v>
    <v>Learn more on Bing</v>
  </rv>
  <rv s="9">
    <v>#VALUE!</v>
    <v>de-DE</v>
    <v>6494d5d4-651a-a034-f0f5-7b662dd15a2b</v>
    <v>536870912</v>
    <v>1</v>
    <v>1029</v>
    <v>27</v>
    <v>28</v>
    <v>Würzburg</v>
    <v>5</v>
    <v>6</v>
    <v>Map</v>
    <v>7</v>
    <v>14</v>
    <v>4900</v>
    <v>Würzburg is, after Nuremberg and Fürth, the third-largest city in Franconia located in the north of Bavaria. Würzburg is the administrative seat of the Regierungsbezirk Lower Franconia. It spans the banks of the Main river.</v>
    <v>4901</v>
    <v>4902</v>
    <v>4903</v>
    <v>4904</v>
    <v>21</v>
    <v>4905</v>
    <v>4906</v>
    <v>Würzburg</v>
    <v>Würzburg</v>
    <v>mdp/vdpid/7015132392075558913</v>
  </rv>
  <rv s="0">
    <v>536870912</v>
    <v>Wurzen</v>
    <v>9b8c146b-5003-2201-dd79-d9c601a81694</v>
    <v>de-DE</v>
    <v>Map</v>
  </rv>
  <rv s="0">
    <v>805306368</v>
    <v>Marcel Buchta (Mayor)</v>
    <v>68fd4bc2-adc1-4bc0-f069-9b2e2f0997a3</v>
    <v>de-DE</v>
    <v>Generic</v>
  </rv>
  <rv s="1">
    <v>458</v>
  </rv>
  <rv s="2">
    <fb>16614</fb>
    <v>9</v>
  </rv>
  <rv s="3">
    <v>479</v>
    <v>7</v>
    <v>1030</v>
    <v>7</v>
    <v>0</v>
    <v>Image of Wurzen</v>
  </rv>
  <rv s="2">
    <fb>51.366667</fb>
    <v>10</v>
  </rv>
  <rv s="2">
    <fb>69.040000000000006</fb>
    <v>9</v>
  </rv>
  <rv s="2">
    <fb>12.733333</fb>
    <v>10</v>
  </rv>
  <rv s="4">
    <v>https://www.bing.com/search?q=wurzen&amp;form=skydnc</v>
    <v>Learn more on Bing</v>
  </rv>
  <rv s="6">
    <v>#VALUE!</v>
    <v>de-DE</v>
    <v>9b8c146b-5003-2201-dd79-d9c601a81694</v>
    <v>536870912</v>
    <v>1</v>
    <v>1031</v>
    <v>2</v>
    <v>13</v>
    <v>Wurzen</v>
    <v>5</v>
    <v>6</v>
    <v>Map</v>
    <v>7</v>
    <v>14</v>
    <v>4910</v>
    <v>Wurzen is a town in the Leipzig district, in Saxony, Germany. It is situated on the river Mulde, here crossed by two bridges, 25 km east of Leipzig, by rail N.E. of Leipzig on the main line via Riesa to Dresden. It has a cathedral dating from ...</v>
    <v>4911</v>
    <v>4912</v>
    <v>4913</v>
    <v>4914</v>
    <v>21</v>
    <v>4915</v>
    <v>4916</v>
    <v>Wurzen</v>
    <v>Wurzen</v>
    <v>mdp/vdpid/7018179685414600705</v>
    <v>106</v>
    <v>666</v>
  </rv>
  <rv s="0">
    <v>536870912</v>
    <v>Zeitz</v>
    <v>d9abe52f-baf2-82b2-8f2c-53ff0f720ff6</v>
    <v>de-DE</v>
    <v>Map</v>
  </rv>
  <rv s="0">
    <v>805306368</v>
    <v>Christian Thieme (Mayor)</v>
    <v>64a0714f-1a1c-34f8-c4d6-89f84ea1dca5</v>
    <v>de-DE</v>
    <v>Generic</v>
  </rv>
  <rv s="1">
    <v>459</v>
  </rv>
  <rv s="2">
    <fb>27976</fb>
    <v>9</v>
  </rv>
  <rv s="3">
    <v>480</v>
    <v>7</v>
    <v>1032</v>
    <v>7</v>
    <v>0</v>
    <v>Image of Zeitz</v>
  </rv>
  <rv s="2">
    <fb>51.049163700000001</fb>
    <v>10</v>
  </rv>
  <rv s="2">
    <fb>87.18</fb>
    <v>9</v>
  </rv>
  <rv s="2">
    <fb>12.1349991</fb>
    <v>10</v>
  </rv>
  <rv s="4">
    <v>https://www.bing.com/search?q=zeitz+germany&amp;form=skydnc</v>
    <v>Learn more on Bing</v>
  </rv>
  <rv s="11">
    <v>#VALUE!</v>
    <v>de-DE</v>
    <v>d9abe52f-baf2-82b2-8f2c-53ff0f720ff6</v>
    <v>536870912</v>
    <v>1</v>
    <v>1033</v>
    <v>17</v>
    <v>57</v>
    <v>Zeitz</v>
    <v>5</v>
    <v>6</v>
    <v>Map</v>
    <v>7</v>
    <v>14</v>
    <v>4920</v>
    <v>Zeitz is a town in the Burgenlandkreis district, in Saxony-Anhalt, Germany. It is situated on the river White Elster, in the triangle of the federal states Saxony-Anhalt, Thuringia, and Saxony.</v>
    <v>4921</v>
    <v>4922</v>
    <v>4923</v>
    <v>4924</v>
    <v>21</v>
    <v>4925</v>
    <v>4926</v>
    <v>Zeitz</v>
    <v>Zeitz</v>
    <v>mdp/vdpid/7018126633945006081</v>
    <v>4649</v>
  </rv>
  <rv s="0">
    <v>536870912</v>
    <v>Zerbst/Anhalt</v>
    <v>46f98d06-af85-0428-2c73-be93d714f876</v>
    <v>de-DE</v>
    <v>Map</v>
  </rv>
  <rv s="0">
    <v>805306368</v>
    <v>Andreas Dittmann (Mayor)</v>
    <v>048ee16f-f59c-7533-8084-9baa874fa5cc</v>
    <v>de-DE</v>
    <v>Generic</v>
  </rv>
  <rv s="1">
    <v>460</v>
  </rv>
  <rv s="2">
    <fb>21519</fb>
    <v>9</v>
  </rv>
  <rv s="3">
    <v>481</v>
    <v>7</v>
    <v>1034</v>
    <v>7</v>
    <v>0</v>
    <v>Image of Zerbst</v>
  </rv>
  <rv s="2">
    <fb>51.968055555555999</fb>
    <v>10</v>
  </rv>
  <rv s="2">
    <fb>468.5</fb>
    <v>9</v>
  </rv>
  <rv s="2">
    <fb>12.084444444443999</fb>
    <v>10</v>
  </rv>
  <rv s="4">
    <v>https://www.bing.com/search?q=zerbst&amp;form=skydnc</v>
    <v>Learn more on Bing</v>
  </rv>
  <rv s="11">
    <v>#VALUE!</v>
    <v>de-DE</v>
    <v>46f98d06-af85-0428-2c73-be93d714f876</v>
    <v>536870912</v>
    <v>1</v>
    <v>1035</v>
    <v>17</v>
    <v>57</v>
    <v>Zerbst</v>
    <v>5</v>
    <v>6</v>
    <v>Map</v>
    <v>7</v>
    <v>14</v>
    <v>4930</v>
    <v>Zerbst is a town in the district of Anhalt-Bitterfeld, in Saxony-Anhalt, Germany. Until an administrative reform in 2007, Zerbst was the capital of the former Anhalt-Zerbst district.</v>
    <v>4931</v>
    <v>4932</v>
    <v>4933</v>
    <v>4934</v>
    <v>21</v>
    <v>4935</v>
    <v>4936</v>
    <v>Zerbst</v>
    <v>Zerbst</v>
    <v>mdp/vdpid/7018051623565918209</v>
    <v>572</v>
  </rv>
  <rv s="0">
    <v>536870912</v>
    <v>Zittau</v>
    <v>3b9f62ff-e1c9-12e1-f5b5-5610649113b6</v>
    <v>de-DE</v>
    <v>Map</v>
  </rv>
  <rv s="0">
    <v>805306368</v>
    <v>Thomas Zenker (Mayor)</v>
    <v>312de53c-8a21-b47f-d3ff-296d3e848123</v>
    <v>de-DE</v>
    <v>Generic</v>
  </rv>
  <rv s="1">
    <v>461</v>
  </rv>
  <rv s="2">
    <fb>24794</fb>
    <v>9</v>
  </rv>
  <rv s="3">
    <v>482</v>
    <v>7</v>
    <v>1036</v>
    <v>7</v>
    <v>0</v>
    <v>Image of Zittau</v>
  </rv>
  <rv s="2">
    <fb>50.896111111110997</fb>
    <v>10</v>
  </rv>
  <rv s="2">
    <fb>66.75</fb>
    <v>9</v>
  </rv>
  <rv s="2">
    <fb>14.807222222222</fb>
    <v>10</v>
  </rv>
  <rv s="4">
    <v>https://www.bing.com/search?q=zittau+germany&amp;form=skydnc</v>
    <v>Learn more on Bing</v>
  </rv>
  <rv s="6">
    <v>#VALUE!</v>
    <v>de-DE</v>
    <v>3b9f62ff-e1c9-12e1-f5b5-5610649113b6</v>
    <v>536870912</v>
    <v>1</v>
    <v>1037</v>
    <v>2</v>
    <v>13</v>
    <v>Zittau</v>
    <v>5</v>
    <v>6</v>
    <v>Map</v>
    <v>7</v>
    <v>14</v>
    <v>4940</v>
    <v>Zittau is the southeasternmost city in the German state of Saxony, and is located in the district of Görlitz, Germany's easternmost district. It has a population of around 25,000, and is one of the most important cities in the region of Lusatia.</v>
    <v>4941</v>
    <v>4942</v>
    <v>4943</v>
    <v>4944</v>
    <v>21</v>
    <v>4945</v>
    <v>4946</v>
    <v>Zittau</v>
    <v>Zittau</v>
    <v>mdp/vdpid/7018702161643044865</v>
    <v>106</v>
    <v>1766</v>
  </rv>
  <rv s="0">
    <v>536870912</v>
    <v>Zweibrücken</v>
    <v>fc5e525f-ec46-07f8-d359-9d2d208023ee</v>
    <v>de-DE</v>
    <v>Map</v>
  </rv>
  <rv s="0">
    <v>805306368</v>
    <v>Marold Wosnitza (Mayor)</v>
    <v>d7a0d5bb-3569-2285-5167-60ce82f20a8e</v>
    <v>de-DE</v>
    <v>Generic</v>
  </rv>
  <rv s="1">
    <v>462</v>
  </rv>
  <rv s="3">
    <v>483</v>
    <v>7</v>
    <v>1038</v>
    <v>7</v>
    <v>0</v>
    <v>Image of Zweibrücken</v>
  </rv>
  <rv s="2">
    <fb>49.249444444444002</fb>
    <v>10</v>
  </rv>
  <rv s="2">
    <fb>70.64</fb>
    <v>9</v>
  </rv>
  <rv s="2">
    <fb>7.3608333333333</fb>
    <v>10</v>
  </rv>
  <rv s="4">
    <v>https://www.bing.com/search?q=zweibr%c3%bccken&amp;form=skydnc</v>
    <v>Learn more on Bing</v>
  </rv>
  <rv s="11">
    <v>#VALUE!</v>
    <v>de-DE</v>
    <v>fc5e525f-ec46-07f8-d359-9d2d208023ee</v>
    <v>536870912</v>
    <v>1</v>
    <v>1039</v>
    <v>17</v>
    <v>57</v>
    <v>Zweibrücken</v>
    <v>5</v>
    <v>6</v>
    <v>Map</v>
    <v>7</v>
    <v>14</v>
    <v>4950</v>
    <v>Zweibrücken is a town in Rhineland-Palatinate, Germany, on the Schwarzbach river.</v>
    <v>4508</v>
    <v>4951</v>
    <v>4952</v>
    <v>4953</v>
    <v>21</v>
    <v>4954</v>
    <v>4955</v>
    <v>Zweibrücken</v>
    <v>Zweibrücken</v>
    <v>mdp/vdpid/7014593800307736577</v>
    <v>60</v>
  </rv>
  <rv s="0">
    <v>536870912</v>
    <v>Zwickau</v>
    <v>08a3365e-2b39-93f5-cc2a-26b6d0882832</v>
    <v>de-DE</v>
    <v>Map</v>
  </rv>
  <rv s="0">
    <v>805306368</v>
    <v>Constance Arndt (Mayor)</v>
    <v>79c74d85-0d39-6c3e-b25f-68a4771e6ab0</v>
    <v>de-DE</v>
    <v>Generic</v>
  </rv>
  <rv s="1">
    <v>463</v>
  </rv>
  <rv s="2">
    <fb>87172</fb>
    <v>9</v>
  </rv>
  <rv s="3">
    <v>484</v>
    <v>7</v>
    <v>1040</v>
    <v>7</v>
    <v>0</v>
    <v>Image of Zwickau</v>
  </rv>
  <rv s="2">
    <fb>50.718888888888998</fb>
    <v>10</v>
  </rv>
  <rv s="2">
    <fb>102.58</fb>
    <v>9</v>
  </rv>
  <rv s="2">
    <fb>12.496111111111</fb>
    <v>10</v>
  </rv>
  <rv s="4">
    <v>https://www.bing.com/search?q=zwickau&amp;form=skydnc</v>
    <v>Learn more on Bing</v>
  </rv>
  <rv s="6">
    <v>#VALUE!</v>
    <v>de-DE</v>
    <v>08a3365e-2b39-93f5-cc2a-26b6d0882832</v>
    <v>536870912</v>
    <v>1</v>
    <v>1041</v>
    <v>2</v>
    <v>13</v>
    <v>Zwickau</v>
    <v>5</v>
    <v>6</v>
    <v>Map</v>
    <v>7</v>
    <v>14</v>
    <v>4959</v>
    <v>Zwickau is, with around 87,500 inhabitants, the fourth-largest city of Saxony, Germany, after Leipzig, Dresden and Chemnitz and it is the seat of the Zwickau District. The West Saxon city is situated in the valley of the Zwickau Mulde, and lies ...</v>
    <v>4960</v>
    <v>4961</v>
    <v>4962</v>
    <v>4963</v>
    <v>21</v>
    <v>4964</v>
    <v>4965</v>
    <v>Zwickau</v>
    <v>Zwickau</v>
    <v>mdp/vdpid/7018152958286102529</v>
    <v>106</v>
    <v>913</v>
  </rv>
</rvData>
</file>

<file path=xl/richData/rdrichvaluestructure.xml><?xml version="1.0" encoding="utf-8"?>
<rvStructures xmlns="http://schemas.microsoft.com/office/spreadsheetml/2017/richdata" count="27">
  <s t="_linkedentity2">
    <k n="%EntityServiceId" t="i"/>
    <k n="_DisplayString" t="s"/>
    <k n="%EntityId" t="s"/>
    <k n="%EntityCulture" t="s"/>
    <k n="_Icon" t="s"/>
  </s>
  <s t="_array">
    <k n="array" t="a"/>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Offizielle Sprache" t="r"/>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Größte Stadt" t="r"/>
    <k n="Land/Region" t="r"/>
    <k n="LearnMoreOnLink"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Beschreibung" t="s"/>
    <k n="Bild" t="r"/>
    <k n="Breitengrad" t="r"/>
    <k n="Land/Region" t="r"/>
    <k n="Längengrad"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ild" t="r"/>
    <k n="Breitengrad" t="r"/>
    <k n="Fläche"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Beschreibung" t="s"/>
    <k n="Bild" t="r"/>
    <k n="Breitengrad" t="r"/>
    <k n="Land/Region" t="r"/>
    <k n="Längengrad" t="r"/>
    <k n="LearnMoreOnLink" t="r"/>
    <k n="Name" t="s"/>
    <k n="UniqueName" t="s"/>
    <k n="VDPID/VSID"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Verwaltungsabteilung 2 (Landkreis/Bezirk/Sonstiges)" t="r"/>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kürzung" t="s"/>
    <k n="Anführer" t="r"/>
    <k n="Beschreibung" t="s"/>
    <k n="Bevölkerung" t="r"/>
    <k n="Bild" t="r"/>
    <k n="Fläche" t="r"/>
    <k n="Haushalte" t="r"/>
    <k n="Land/Region" t="r"/>
    <k n="LearnMoreOnLink" t="r"/>
    <k n="Name" t="s"/>
    <k n="Personen pro Haushalt" t="r"/>
    <k n="UniqueName" t="s"/>
    <k n="VDPID/VSID" t="s"/>
    <k n="Wohneinheit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Fläche" t="r"/>
    <k n="Größte Stadt" t="r"/>
    <k n="Land/Region" t="r"/>
    <k n="LearnMoreOnLink" t="r"/>
    <k n="Name" t="s"/>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DPID/VSID" t="s"/>
    <k n="Zeitzone(n)"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ild" t="r"/>
    <k n="Breitengrad" t="r"/>
    <k n="Fläche" t="r"/>
    <k n="Land/Region" t="r"/>
    <k n="Längengrad" t="r"/>
    <k n="Name" t="s"/>
    <k n="UniqueName" t="s"/>
    <k n="VDPID/VSID" t="s"/>
    <k n="Verwaltungsabteilung 1 (Bundesstaat/Provinz/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nführer" t="r"/>
    <k n="Beschreibung" t="s"/>
    <k n="Bevölkerung" t="r"/>
    <k n="Bild" t="r"/>
    <k n="Breitengrad" t="r"/>
    <k n="Fläche" t="r"/>
    <k n="Land/Region" t="r"/>
    <k n="Längengrad" t="r"/>
    <k n="LearnMoreOnLink" t="r"/>
    <k n="Name" t="s"/>
    <k n="UniqueName" t="s"/>
    <k n="Verwaltungsabteilung 1 (Bundesstaat/Provinz/Sonstiges)" t="r"/>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ild" t="r"/>
    <k n="Breitengrad" t="r"/>
    <k n="Fläche" t="r"/>
    <k n="Land/Region" t="r"/>
    <k n="Längengrad" t="r"/>
    <k n="LearnMoreOnLink" t="r"/>
    <k n="Name" t="s"/>
    <k n="UniqueName" t="s"/>
    <k n="VDPID/VSID" t="s"/>
    <k n="Verwaltungsabteilung 2 (Landkreis/Bezirk/Sonstige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Beschreibung" t="s"/>
    <k n="Bevölkerung" t="r"/>
    <k n="Breitengrad" t="r"/>
    <k n="Fläche" t="r"/>
    <k n="Land/Region" t="r"/>
    <k n="Längengrad" t="r"/>
    <k n="LearnMoreOnLink" t="r"/>
    <k n="Name" t="s"/>
    <k n="UniqueName" t="s"/>
    <k n="VDPID/VSID" t="s"/>
    <k n="Verwaltungsabteilung 1 (Bundesstaat/Provinz/Sonstiges)" t="r"/>
    <k n="Verwaltungsabteilung 2 (Landkreis/Bezirk/Sonstiges)" t="r"/>
  </s>
</rvStructures>
</file>

<file path=xl/richData/rdsupportingpropertybag.xml><?xml version="1.0" encoding="utf-8"?>
<supportingPropertyBags xmlns="http://schemas.microsoft.com/office/spreadsheetml/2017/richdata2">
  <spbArrays count="22">
    <a count="28">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Zeitzone(n)</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Verwaltungsabteilung 1 (Bundesstaat/Provinz/Sonstiges)</v>
      <v t="s">Land/Region</v>
      <v t="s">Anführer</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LearnMoreOnLink</v>
      <v t="s">Bild</v>
      <v t="s">Beschreibung</v>
    </a>
    <a count="28">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Offizielle Sprache</v>
      <v t="s">Haushalte</v>
      <v t="s">Wohneinheiten</v>
      <v t="s">Personen pro Haushalt</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Größte Stadt</v>
      <v t="s">_Flags</v>
      <v t="s">VDPID/VSID</v>
      <v t="s">UniqueName</v>
      <v t="s">_DisplayString</v>
      <v t="s">LearnMoreOnLink</v>
      <v t="s">Bild</v>
      <v t="s">Beschreibung</v>
    </a>
    <a count="20">
      <v t="s">%EntityServiceId</v>
      <v t="s">%IsRefreshable</v>
      <v t="s">_CanonicalPropertyNames</v>
      <v t="s">%EntityCulture</v>
      <v t="s">%EntityId</v>
      <v t="s">_Icon</v>
      <v t="s">_Provider</v>
      <v t="s">_Attribution</v>
      <v t="s">_Display</v>
      <v t="s">Name</v>
      <v t="s">_Format</v>
      <v t="s">Land/Region</v>
      <v t="s">Breitengrad</v>
      <v t="s">Längengrad</v>
      <v t="s">_Flags</v>
      <v t="s">VDPID/VSID</v>
      <v t="s">UniqueName</v>
      <v t="s">_DisplayString</v>
      <v t="s">Bild</v>
      <v t="s">Beschreibung</v>
    </a>
    <a count="24">
      <v t="s">%EntityServiceId</v>
      <v t="s">%IsRefreshable</v>
      <v t="s">_CanonicalPropertyNames</v>
      <v t="s">%EntityCulture</v>
      <v t="s">%EntityId</v>
      <v t="s">_Icon</v>
      <v t="s">_Provider</v>
      <v t="s">_Attribution</v>
      <v t="s">_Display</v>
      <v t="s">Name</v>
      <v t="s">_Format</v>
      <v t="s">Land/Region</v>
      <v t="s">_SubLabel</v>
      <v t="s">Bevölkerung</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Fläche</v>
      <v t="s">Breitengrad</v>
      <v t="s">Längengrad</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Breitengrad</v>
      <v t="s">Längengrad</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Verwaltungsabteilung 2 (Landkreis/Bezirk/Sonstiges)</v>
      <v t="s">Land/Region</v>
      <v t="s">Anführer</v>
      <v t="s">_SubLabel</v>
      <v t="s">Bevölkerung</v>
      <v t="s">Fläche</v>
      <v t="s">Breitengrad</v>
      <v t="s">Längengrad</v>
      <v t="s">Zeitzone(n)</v>
      <v t="s">_Flags</v>
      <v t="s">VDPID/VSID</v>
      <v t="s">UniqueName</v>
      <v t="s">_DisplayString</v>
      <v t="s">LearnMoreOnLink</v>
      <v t="s">Bild</v>
      <v t="s">Beschreibung</v>
    </a>
    <a count="27">
      <v t="s">%EntityServiceId</v>
      <v t="s">%IsRefreshable</v>
      <v t="s">_CanonicalPropertyNames</v>
      <v t="s">%EntityCulture</v>
      <v t="s">%EntityId</v>
      <v t="s">_Icon</v>
      <v t="s">_Provider</v>
      <v t="s">_Attribution</v>
      <v t="s">_Display</v>
      <v t="s">Name</v>
      <v t="s">_Format</v>
      <v t="s">Anführer</v>
      <v t="s">Land/Region</v>
      <v t="s">_SubLabel</v>
      <v t="s">Bevölkerung</v>
      <v t="s">Fläche</v>
      <v t="s">Abkürzung</v>
      <v t="s">Haushalte</v>
      <v t="s">Wohneinheiten</v>
      <v t="s">Personen pro Haushalt</v>
      <v t="s">_Flags</v>
      <v t="s">VDPID/VSID</v>
      <v t="s">UniqueName</v>
      <v t="s">_DisplayString</v>
      <v t="s">LearnMoreOnLink</v>
      <v t="s">Bild</v>
      <v t="s">Beschreibung</v>
    </a>
    <a count="23">
      <v t="s">%EntityServiceId</v>
      <v t="s">%IsRefreshable</v>
      <v t="s">_CanonicalPropertyNames</v>
      <v t="s">%EntityCulture</v>
      <v t="s">%EntityId</v>
      <v t="s">_Icon</v>
      <v t="s">_Provider</v>
      <v t="s">_Attribution</v>
      <v t="s">_Display</v>
      <v t="s">Name</v>
      <v t="s">_Format</v>
      <v t="s">Land/Region</v>
      <v t="s">_SubLabel</v>
      <v t="s">Bevölkerung</v>
      <v t="s">Fläche</v>
      <v t="s">Größte Stadt</v>
      <v t="s">_Flags</v>
      <v t="s">VDPID/VSID</v>
      <v t="s">UniqueName</v>
      <v t="s">_DisplayString</v>
      <v t="s">LearnMoreOnLink</v>
      <v t="s">Bild</v>
      <v t="s">Beschreibung</v>
    </a>
    <a count="26">
      <v t="s">%EntityServiceId</v>
      <v t="s">%IsRefreshable</v>
      <v t="s">_CanonicalPropertyNames</v>
      <v t="s">%EntityCulture</v>
      <v t="s">%EntityId</v>
      <v t="s">_Icon</v>
      <v t="s">_Provider</v>
      <v t="s">_Attribution</v>
      <v t="s">_Display</v>
      <v t="s">Name</v>
      <v t="s">_Format</v>
      <v t="s">Land/Region</v>
      <v t="s">Anführer</v>
      <v t="s">_SubLabel</v>
      <v t="s">Bevölkerung</v>
      <v t="s">Fläche</v>
      <v t="s">Breitengrad</v>
      <v t="s">Längengrad</v>
      <v t="s">Zeitzone(n)</v>
      <v t="s">_Flags</v>
      <v t="s">VDPID/VSID</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1 (Bundesstaat/Provinz/Sonstiges)</v>
      <v t="s">Land/Region</v>
      <v t="s">_SubLabel</v>
      <v t="s">Bevölkerung</v>
      <v t="s">Fläche</v>
      <v t="s">Breitengrad</v>
      <v t="s">Längengrad</v>
      <v t="s">_Flags</v>
      <v t="s">VDPID/VSID</v>
      <v t="s">UniqueName</v>
      <v t="s">_DisplayString</v>
      <v t="s">Bild</v>
      <v t="s">Beschreibung</v>
    </a>
    <a count="26">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Anführer</v>
      <v t="s">_SubLabel</v>
      <v t="s">Bevölkerung</v>
      <v t="s">Fläche</v>
      <v t="s">Breitengrad</v>
      <v t="s">Längengrad</v>
      <v t="s">_Flags</v>
      <v t="s">UniqueName</v>
      <v t="s">_DisplayString</v>
      <v t="s">LearnMoreOnLink</v>
      <v t="s">Bild</v>
      <v t="s">Beschreibung</v>
    </a>
    <a count="24">
      <v t="s">%EntityServiceId</v>
      <v t="s">%IsRefreshable</v>
      <v t="s">_CanonicalPropertyNames</v>
      <v t="s">%EntityCulture</v>
      <v t="s">%EntityId</v>
      <v t="s">_Icon</v>
      <v t="s">_Provider</v>
      <v t="s">_Attribution</v>
      <v t="s">_Display</v>
      <v t="s">Name</v>
      <v t="s">_Format</v>
      <v t="s">Verwaltungsabteilung 2 (Landkreis/Bezirk/Sonstiges)</v>
      <v t="s">Land/Region</v>
      <v t="s">_SubLabel</v>
      <v t="s">Fläche</v>
      <v t="s">Breitengrad</v>
      <v t="s">Längengrad</v>
      <v t="s">_Flags</v>
      <v t="s">VDPID/VSID</v>
      <v t="s">UniqueName</v>
      <v t="s">_DisplayString</v>
      <v t="s">LearnMoreOnLink</v>
      <v t="s">Bild</v>
      <v t="s">Beschreibung</v>
    </a>
    <a count="25">
      <v t="s">%EntityServiceId</v>
      <v t="s">%IsRefreshable</v>
      <v t="s">_CanonicalPropertyNames</v>
      <v t="s">%EntityCulture</v>
      <v t="s">%EntityId</v>
      <v t="s">_Icon</v>
      <v t="s">_Provider</v>
      <v t="s">_Attribution</v>
      <v t="s">_Display</v>
      <v t="s">Name</v>
      <v t="s">_Format</v>
      <v t="s">Verwaltungsabteilung 2 (Landkreis/Bezirk/Sonstiges)</v>
      <v t="s">Verwaltungsabteilung 1 (Bundesstaat/Provinz/Sonstiges)</v>
      <v t="s">Land/Region</v>
      <v t="s">_SubLabel</v>
      <v t="s">Bevölkerung</v>
      <v t="s">Fläche</v>
      <v t="s">Breitengrad</v>
      <v t="s">Längengrad</v>
      <v t="s">_Flags</v>
      <v t="s">VDPID/VSID</v>
      <v t="s">UniqueName</v>
      <v t="s">_DisplayString</v>
      <v t="s">LearnMoreOnLink</v>
      <v t="s">Beschreibung</v>
    </a>
  </spbArrays>
  <spbData count="1042">
    <spb s="0">
      <v xml:space="preserve">Wikipedia	</v>
      <v xml:space="preserve">CC BY-SA 3.0	</v>
      <v xml:space="preserve">https://en.wikipedia.org/wiki/Aachen	</v>
      <v xml:space="preserve">https://creativecommons.org/licenses/by-sa/3.0	</v>
    </spb>
    <spb s="1">
      <v>0</v>
      <v>0</v>
      <v>0</v>
      <v>0</v>
      <v>0</v>
      <v>0</v>
      <v>0</v>
      <v>0</v>
      <v>0</v>
      <v>0</v>
    </spb>
    <spb s="2">
      <v>Image</v>
      <v>Name</v>
      <v>Area</v>
      <v>Longitude</v>
      <v>UniqueName</v>
      <v>VDPID/VSID</v>
      <v>Population</v>
      <v>Latitude</v>
      <v>Country/region</v>
      <v>Description</v>
      <v>LearnMoreOnLink</v>
      <v>Admin Division 2 (County/district/other)</v>
      <v>Admin Division 1 (State/province/other)</v>
    </spb>
    <spb s="3">
      <v>0</v>
      <v>Name</v>
      <v>LearnMoreOnLink</v>
    </spb>
    <spb s="4">
      <v>0</v>
      <v>0</v>
      <v>0</v>
    </spb>
    <spb s="5">
      <v>4</v>
      <v>4</v>
      <v>4</v>
    </spb>
    <spb s="6">
      <v>1</v>
      <v>2</v>
    </spb>
    <spb s="7">
      <v>https://www.bing.com</v>
      <v>https://www.bing.com/th?id=Ga%5Cbing_yt.png&amp;w=100&amp;h=40&amp;c=0&amp;pid=0.1</v>
      <v>Unterstützt von Bing</v>
    </spb>
    <spb s="8">
      <v>Quadratkilometer</v>
      <v>2021</v>
    </spb>
    <spb s="9">
      <v>3</v>
    </spb>
    <spb s="9">
      <v>4</v>
    </spb>
    <spb s="0">
      <v xml:space="preserve">Wikipedia	</v>
      <v xml:space="preserve">CC BY-SA 3.0	</v>
      <v xml:space="preserve">https://en.wikipedia.org/wiki/Ahlen	</v>
      <v xml:space="preserve">https://creativecommons.org/licenses/by-sa/3.0	</v>
    </spb>
    <spb s="1">
      <v>11</v>
      <v>11</v>
      <v>11</v>
      <v>11</v>
      <v>11</v>
      <v>11</v>
      <v>11</v>
      <v>11</v>
      <v>11</v>
      <v>11</v>
    </spb>
    <spb s="3">
      <v>1</v>
      <v>Name</v>
      <v>LearnMoreOnLink</v>
    </spb>
    <spb s="8">
      <v>Quadratkilometer</v>
      <v>2022</v>
    </spb>
    <spb s="0">
      <v xml:space="preserve">Wikipedia	</v>
      <v xml:space="preserve">CC BY-SA 3.0	</v>
      <v xml:space="preserve">https://en.wikipedia.org/wiki/Alba_Iulia	</v>
      <v xml:space="preserve">https://creativecommons.org/licenses/by-sa/3.0	</v>
    </spb>
    <spb s="10">
      <v>15</v>
      <v>15</v>
      <v>15</v>
      <v>15</v>
      <v>15</v>
      <v>15</v>
      <v>15</v>
      <v>15</v>
      <v>15</v>
    </spb>
    <spb s="11">
      <v>Image</v>
      <v>Name</v>
      <v>Area</v>
      <v>Longitude</v>
      <v>UniqueName</v>
      <v>VDPID/VSID</v>
      <v>Population</v>
      <v>Latitude</v>
      <v>Country/region</v>
      <v>Description</v>
      <v>LearnMoreOnLink</v>
      <v>Admin Division 1 (State/province/other)</v>
    </spb>
    <spb s="3">
      <v>2</v>
      <v>Name</v>
      <v>LearnMoreOnLink</v>
    </spb>
    <spb s="0">
      <v xml:space="preserve">Wikipedia	</v>
      <v xml:space="preserve">CC BY-SA 3.0	</v>
      <v xml:space="preserve">https://en.wikipedia.org/wiki/Altena,_Drenthe	</v>
      <v xml:space="preserve">https://creativecommons.org/licenses/by-sa/3.0	</v>
    </spb>
    <spb s="0">
      <v xml:space="preserve">Wikipedia	</v>
      <v xml:space="preserve">CC-BY-SA	</v>
      <v xml:space="preserve">http://en.wikipedia.org/wiki/Altena,_Drenthe	</v>
      <v xml:space="preserve">http://creativecommons.org/licenses/by-sa/3.0/	</v>
    </spb>
    <spb s="1">
      <v>19</v>
      <v>20</v>
      <v>19</v>
      <v>19</v>
      <v>20</v>
      <v>19</v>
      <v>19</v>
      <v>19</v>
      <v>19</v>
      <v>19</v>
    </spb>
    <spb s="3">
      <v>3</v>
      <v>Name</v>
      <v>LearnMoreOnLink</v>
    </spb>
    <spb s="0">
      <v xml:space="preserve">Wikipedia	</v>
      <v xml:space="preserve">CC BY-SA 3.0	</v>
      <v xml:space="preserve">https://en.wikipedia.org/wiki/Alzey	</v>
      <v xml:space="preserve">https://creativecommons.org/licenses/by-sa/3.0	</v>
    </spb>
    <spb s="1">
      <v>23</v>
      <v>23</v>
      <v>23</v>
      <v>23</v>
      <v>23</v>
      <v>23</v>
      <v>23</v>
      <v>23</v>
      <v>23</v>
      <v>23</v>
    </spb>
    <spb s="0">
      <v xml:space="preserve">Wikipedia	</v>
      <v xml:space="preserve">CC BY-SA 3.0	</v>
      <v xml:space="preserve">https://en.wikipedia.org/wiki/Amberg	</v>
      <v xml:space="preserve">https://creativecommons.org/licenses/by-sa/3.0	</v>
    </spb>
    <spb s="12">
      <v>25</v>
      <v>25</v>
      <v>25</v>
      <v>25</v>
      <v>25</v>
      <v>25</v>
      <v>25</v>
      <v>25</v>
    </spb>
    <spb s="13">
      <v>Image</v>
      <v>Name</v>
      <v>Area</v>
      <v>Longitude</v>
      <v>UniqueName</v>
      <v>VDPID/VSID</v>
      <v>Population</v>
      <v>Latitude</v>
      <v>Country/region</v>
      <v>Description</v>
      <v>LearnMoreOnLink</v>
    </spb>
    <spb s="3">
      <v>4</v>
      <v>Name</v>
      <v>LearnMoreOnLink</v>
    </spb>
    <spb s="0">
      <v xml:space="preserve">Wikipedia	</v>
      <v xml:space="preserve">CC BY-SA 3.0	</v>
      <v xml:space="preserve">https://en.wikipedia.org/wiki/Andernach	</v>
      <v xml:space="preserve">https://creativecommons.org/licenses/by-sa/3.0	</v>
    </spb>
    <spb s="1">
      <v>29</v>
      <v>29</v>
      <v>29</v>
      <v>29</v>
      <v>29</v>
      <v>29</v>
      <v>29</v>
      <v>29</v>
      <v>29</v>
      <v>29</v>
    </spb>
    <spb s="0">
      <v xml:space="preserve">Wikipedia	</v>
      <v xml:space="preserve">CC BY-SA 3.0	</v>
      <v xml:space="preserve">https://en.wikipedia.org/wiki/Anklam	</v>
      <v xml:space="preserve">https://creativecommons.org/licenses/by-sa/3.0	</v>
    </spb>
    <spb s="1">
      <v>31</v>
      <v>31</v>
      <v>31</v>
      <v>31</v>
      <v>31</v>
      <v>31</v>
      <v>31</v>
      <v>31</v>
      <v>31</v>
      <v>31</v>
    </spb>
    <spb s="0">
      <v xml:space="preserve">Wikipedia	</v>
      <v xml:space="preserve">CC BY-SA 3.0	</v>
      <v xml:space="preserve">https://en.wikipedia.org/wiki/Annaberg-Buchholz	</v>
      <v xml:space="preserve">https://creativecommons.org/licenses/by-sa/3.0	</v>
    </spb>
    <spb s="1">
      <v>33</v>
      <v>33</v>
      <v>33</v>
      <v>33</v>
      <v>33</v>
      <v>33</v>
      <v>33</v>
      <v>33</v>
      <v>33</v>
      <v>33</v>
    </spb>
    <spb s="0">
      <v xml:space="preserve">Wikipedia	</v>
      <v xml:space="preserve">CC BY-SA 3.0	</v>
      <v xml:space="preserve">https://en.wikipedia.org/wiki/Ansbach	</v>
      <v xml:space="preserve">https://creativecommons.org/licenses/by-sa/3.0	</v>
    </spb>
    <spb s="12">
      <v>35</v>
      <v>35</v>
      <v>35</v>
      <v>35</v>
      <v>35</v>
      <v>35</v>
      <v>35</v>
      <v>35</v>
    </spb>
    <spb s="0">
      <v xml:space="preserve">Wikipedia	</v>
      <v xml:space="preserve">CC BY-SA 3.0	</v>
      <v xml:space="preserve">https://en.wikipedia.org/wiki/Apolda	</v>
      <v xml:space="preserve">https://creativecommons.org/licenses/by-sa/3.0	</v>
    </spb>
    <spb s="14">
      <v>37</v>
      <v>37</v>
      <v>37</v>
      <v>37</v>
      <v>37</v>
      <v>37</v>
      <v>37</v>
      <v>37</v>
      <v>37</v>
    </spb>
    <spb s="15">
      <v>Image</v>
      <v>Name</v>
      <v>Area</v>
      <v>Longitude</v>
      <v>UniqueName</v>
      <v>VDPID/VSID</v>
      <v>Population</v>
      <v>Latitude</v>
      <v>Country/region</v>
      <v>Description</v>
      <v>LearnMoreOnLink</v>
      <v>Admin Division 2 (County/district/other)</v>
    </spb>
    <spb s="3">
      <v>5</v>
      <v>Name</v>
      <v>LearnMoreOnLink</v>
    </spb>
    <spb s="0">
      <v xml:space="preserve">Wikipedia	</v>
      <v xml:space="preserve">CC BY-SA 3.0	</v>
      <v xml:space="preserve">https://en.wikipedia.org/wiki/Arnsberg	</v>
      <v xml:space="preserve">https://creativecommons.org/licenses/by-sa/3.0	</v>
    </spb>
    <spb s="14">
      <v>41</v>
      <v>41</v>
      <v>41</v>
      <v>41</v>
      <v>41</v>
      <v>41</v>
      <v>41</v>
      <v>41</v>
      <v>41</v>
    </spb>
    <spb s="0">
      <v xml:space="preserve">Wikipedia	</v>
      <v xml:space="preserve">CC BY-SA 3.0	</v>
      <v xml:space="preserve">https://en.wikipedia.org/wiki/Arnstadt	</v>
      <v xml:space="preserve">https://creativecommons.org/licenses/by-sa/3.0	</v>
    </spb>
    <spb s="14">
      <v>43</v>
      <v>43</v>
      <v>43</v>
      <v>43</v>
      <v>43</v>
      <v>43</v>
      <v>43</v>
      <v>43</v>
      <v>43</v>
    </spb>
    <spb s="0">
      <v xml:space="preserve">Wikipedia	</v>
      <v xml:space="preserve">CC BY-SA 3.0	</v>
      <v xml:space="preserve">https://en.wikipedia.org/wiki/Aschaffenburg	</v>
      <v xml:space="preserve">https://creativecommons.org/licenses/by-sa/3.0	</v>
    </spb>
    <spb s="12">
      <v>45</v>
      <v>45</v>
      <v>45</v>
      <v>45</v>
      <v>45</v>
      <v>45</v>
      <v>45</v>
      <v>45</v>
    </spb>
    <spb s="0">
      <v xml:space="preserve">Wikipedia	</v>
      <v xml:space="preserve">CC BY-SA 3.0	</v>
      <v xml:space="preserve">https://en.wikipedia.org/wiki/Aschersleben	</v>
      <v xml:space="preserve">https://creativecommons.org/licenses/by-sa/3.0	</v>
    </spb>
    <spb s="10">
      <v>47</v>
      <v>47</v>
      <v>47</v>
      <v>47</v>
      <v>47</v>
      <v>47</v>
      <v>47</v>
      <v>47</v>
      <v>47</v>
    </spb>
    <spb s="0">
      <v xml:space="preserve">Wikipedia	</v>
      <v xml:space="preserve">CC BY-SA 3.0	</v>
      <v xml:space="preserve">https://en.wikipedia.org/wiki/Auerbach_(Vogtland)	</v>
      <v xml:space="preserve">https://creativecommons.org/licenses/by-sa/3.0	</v>
    </spb>
    <spb s="1">
      <v>49</v>
      <v>49</v>
      <v>49</v>
      <v>49</v>
      <v>49</v>
      <v>49</v>
      <v>49</v>
      <v>49</v>
      <v>49</v>
      <v>49</v>
    </spb>
    <spb s="0">
      <v xml:space="preserve">Wikipedia	</v>
      <v xml:space="preserve">CC BY-SA 3.0	</v>
      <v xml:space="preserve">https://en.wikipedia.org/wiki/Augsburg	</v>
      <v xml:space="preserve">https://creativecommons.org/licenses/by-sa/3.0	</v>
    </spb>
    <spb s="12">
      <v>51</v>
      <v>51</v>
      <v>51</v>
      <v>51</v>
      <v>51</v>
      <v>51</v>
      <v>51</v>
      <v>51</v>
    </spb>
    <spb s="0">
      <v xml:space="preserve">Wikipedia	</v>
      <v xml:space="preserve">CC BY-SA 3.0	</v>
      <v xml:space="preserve">https://en.wikipedia.org/wiki/Aulendorf	</v>
      <v xml:space="preserve">https://creativecommons.org/licenses/by-sa/3.0	</v>
    </spb>
    <spb s="14">
      <v>53</v>
      <v>53</v>
      <v>53</v>
      <v>53</v>
      <v>53</v>
      <v>53</v>
      <v>53</v>
      <v>53</v>
      <v>53</v>
    </spb>
    <spb s="0">
      <v xml:space="preserve">Wikipedia	</v>
      <v xml:space="preserve">CC BY-SA 3.0	</v>
      <v xml:space="preserve">https://en.wikipedia.org/wiki/Backnang	</v>
      <v xml:space="preserve">https://creativecommons.org/licenses/by-sa/3.0	</v>
    </spb>
    <spb s="10">
      <v>55</v>
      <v>55</v>
      <v>55</v>
      <v>55</v>
      <v>55</v>
      <v>55</v>
      <v>55</v>
      <v>55</v>
      <v>55</v>
    </spb>
    <spb s="3">
      <v>6</v>
      <v>Name</v>
      <v>LearnMoreOnLink</v>
    </spb>
    <spb s="0">
      <v xml:space="preserve">Wikipedia	</v>
      <v xml:space="preserve">CC BY-SA 3.0	</v>
      <v xml:space="preserve">https://en.wikipedia.org/wiki/Bad_Bergzabern	</v>
      <v xml:space="preserve">https://creativecommons.org/licenses/by-sa/3.0	</v>
    </spb>
    <spb s="10">
      <v>58</v>
      <v>58</v>
      <v>58</v>
      <v>58</v>
      <v>58</v>
      <v>58</v>
      <v>58</v>
      <v>58</v>
      <v>58</v>
    </spb>
    <spb s="0">
      <v xml:space="preserve">Wikipedia	</v>
      <v xml:space="preserve">CC BY-SA 3.0	</v>
      <v xml:space="preserve">https://en.wikipedia.org/wiki/Bad_Ems	</v>
      <v xml:space="preserve">https://creativecommons.org/licenses/by-sa/3.0	</v>
    </spb>
    <spb s="10">
      <v>60</v>
      <v>60</v>
      <v>60</v>
      <v>60</v>
      <v>60</v>
      <v>60</v>
      <v>60</v>
      <v>60</v>
      <v>60</v>
    </spb>
    <spb s="0">
      <v xml:space="preserve">Wikipedia	</v>
      <v xml:space="preserve">CC BY-SA 3.0	</v>
      <v xml:space="preserve">https://en.wikipedia.org/wiki/Bad_Harzburg	</v>
      <v xml:space="preserve">https://creativecommons.org/licenses/by-sa/3.0	</v>
    </spb>
    <spb s="1">
      <v>62</v>
      <v>62</v>
      <v>62</v>
      <v>62</v>
      <v>62</v>
      <v>62</v>
      <v>62</v>
      <v>62</v>
      <v>62</v>
      <v>62</v>
    </spb>
    <spb s="0">
      <v xml:space="preserve">Wikipedia	</v>
      <v xml:space="preserve">CC BY-SA 3.0	</v>
      <v xml:space="preserve">https://en.wikipedia.org/wiki/Bad_Herrenalb	</v>
      <v xml:space="preserve">https://creativecommons.org/licenses/by-sa/3.0	</v>
    </spb>
    <spb s="10">
      <v>64</v>
      <v>64</v>
      <v>64</v>
      <v>64</v>
      <v>64</v>
      <v>64</v>
      <v>64</v>
      <v>64</v>
      <v>64</v>
    </spb>
    <spb s="0">
      <v xml:space="preserve">Wikipedia	</v>
      <v xml:space="preserve">CC BY-SA 3.0	</v>
      <v xml:space="preserve">https://en.wikipedia.org/wiki/Bad_Hersfeld	</v>
      <v xml:space="preserve">https://creativecommons.org/licenses/by-sa/3.0	</v>
    </spb>
    <spb s="14">
      <v>66</v>
      <v>66</v>
      <v>66</v>
      <v>66</v>
      <v>66</v>
      <v>66</v>
      <v>66</v>
      <v>66</v>
      <v>66</v>
    </spb>
    <spb s="0">
      <v xml:space="preserve">Wikipedia	</v>
      <v xml:space="preserve">CC BY-SA 3.0	</v>
      <v xml:space="preserve">https://en.wikipedia.org/wiki/Bad_Kissingen	</v>
      <v xml:space="preserve">https://creativecommons.org/licenses/by-sa/3.0	</v>
    </spb>
    <spb s="14">
      <v>68</v>
      <v>68</v>
      <v>68</v>
      <v>68</v>
      <v>68</v>
      <v>68</v>
      <v>68</v>
      <v>68</v>
      <v>68</v>
    </spb>
    <spb s="0">
      <v xml:space="preserve">Wikipedia	</v>
      <v xml:space="preserve">CC BY-SA 3.0	</v>
      <v xml:space="preserve">https://en.wikipedia.org/wiki/Bad_Kohlgrub	</v>
      <v xml:space="preserve">https://creativecommons.org/licenses/by-sa/3.0	</v>
    </spb>
    <spb s="14">
      <v>70</v>
      <v>70</v>
      <v>70</v>
      <v>70</v>
      <v>70</v>
      <v>70</v>
      <v>70</v>
      <v>70</v>
      <v>70</v>
    </spb>
    <spb s="0">
      <v xml:space="preserve">Wikipedia	</v>
      <v xml:space="preserve">CC BY-SA 3.0	</v>
      <v xml:space="preserve">https://en.wikipedia.org/wiki/Bad_Nauheim	</v>
      <v xml:space="preserve">https://creativecommons.org/licenses/by-sa/3.0	</v>
    </spb>
    <spb s="1">
      <v>72</v>
      <v>72</v>
      <v>72</v>
      <v>72</v>
      <v>72</v>
      <v>72</v>
      <v>72</v>
      <v>72</v>
      <v>72</v>
      <v>72</v>
    </spb>
    <spb s="0">
      <v xml:space="preserve">Wikipedia	</v>
      <v xml:space="preserve">CC BY-SA 3.0	</v>
      <v xml:space="preserve">https://en.wikipedia.org/wiki/Bad_Salzungen	</v>
      <v xml:space="preserve">https://creativecommons.org/licenses/by-sa/3.0	</v>
    </spb>
    <spb s="14">
      <v>74</v>
      <v>74</v>
      <v>74</v>
      <v>74</v>
      <v>74</v>
      <v>74</v>
      <v>74</v>
      <v>74</v>
      <v>74</v>
    </spb>
    <spb s="0">
      <v xml:space="preserve">Wikipedia	</v>
      <v xml:space="preserve">CC BY-SA 3.0	</v>
      <v xml:space="preserve">https://en.wikipedia.org/wiki/Bad_Segeberg	</v>
      <v xml:space="preserve">https://creativecommons.org/licenses/by-sa/3.0	</v>
    </spb>
    <spb s="1">
      <v>76</v>
      <v>76</v>
      <v>76</v>
      <v>76</v>
      <v>76</v>
      <v>76</v>
      <v>76</v>
      <v>76</v>
      <v>76</v>
      <v>76</v>
    </spb>
    <spb s="0">
      <v xml:space="preserve">Wikipedia	</v>
      <v xml:space="preserve">CC BY-SA 3.0	</v>
      <v xml:space="preserve">https://en.wikipedia.org/wiki/Bad_T%C3%B6lz	</v>
      <v xml:space="preserve">https://creativecommons.org/licenses/by-sa/3.0	</v>
    </spb>
    <spb s="14">
      <v>78</v>
      <v>78</v>
      <v>78</v>
      <v>78</v>
      <v>78</v>
      <v>78</v>
      <v>78</v>
      <v>78</v>
      <v>78</v>
    </spb>
    <spb s="0">
      <v xml:space="preserve">Wikipedia	</v>
      <v xml:space="preserve">CC BY-SA 3.0	</v>
      <v xml:space="preserve">https://en.wikipedia.org/wiki/Bad_Wildbad	</v>
      <v xml:space="preserve">https://creativecommons.org/licenses/by-sa/3.0	</v>
    </spb>
    <spb s="10">
      <v>80</v>
      <v>80</v>
      <v>80</v>
      <v>80</v>
      <v>80</v>
      <v>80</v>
      <v>80</v>
      <v>80</v>
      <v>80</v>
    </spb>
    <spb s="0">
      <v xml:space="preserve">Wikipedia	</v>
      <v xml:space="preserve">CC BY-SA 3.0	</v>
      <v xml:space="preserve">https://en.wikipedia.org/wiki/Baden-Baden	</v>
      <v xml:space="preserve">https://creativecommons.org/licenses/by-sa/3.0	</v>
    </spb>
    <spb s="10">
      <v>82</v>
      <v>82</v>
      <v>82</v>
      <v>82</v>
      <v>82</v>
      <v>82</v>
      <v>82</v>
      <v>82</v>
      <v>82</v>
    </spb>
    <spb s="0">
      <v xml:space="preserve">Wikipedia	</v>
      <v xml:space="preserve">CC BY-SA 3.0	</v>
      <v xml:space="preserve">https://en.wikipedia.org/wiki/Badenweiler	</v>
      <v xml:space="preserve">https://creativecommons.org/licenses/by-sa/3.0	</v>
    </spb>
    <spb s="10">
      <v>84</v>
      <v>84</v>
      <v>84</v>
      <v>84</v>
      <v>84</v>
      <v>84</v>
      <v>84</v>
      <v>84</v>
      <v>84</v>
    </spb>
    <spb s="0">
      <v xml:space="preserve">Wikipedia	</v>
      <v xml:space="preserve">CC BY-SA 3.0	</v>
      <v xml:space="preserve">https://en.wikipedia.org/wiki/Bamberg	</v>
      <v xml:space="preserve">https://creativecommons.org/licenses/by-sa/3.0	</v>
    </spb>
    <spb s="12">
      <v>86</v>
      <v>86</v>
      <v>86</v>
      <v>86</v>
      <v>86</v>
      <v>86</v>
      <v>86</v>
      <v>86</v>
    </spb>
    <spb s="0">
      <v xml:space="preserve">Wikipedia	</v>
      <v xml:space="preserve">CC BY-SA 3.0	</v>
      <v xml:space="preserve">https://en.wikipedia.org/wiki/Bautzen	</v>
      <v xml:space="preserve">https://creativecommons.org/licenses/by-sa/3.0	</v>
    </spb>
    <spb s="1">
      <v>88</v>
      <v>88</v>
      <v>88</v>
      <v>88</v>
      <v>88</v>
      <v>88</v>
      <v>88</v>
      <v>88</v>
      <v>88</v>
      <v>88</v>
    </spb>
    <spb s="0">
      <v xml:space="preserve">Wikipedia	</v>
      <v xml:space="preserve">CC BY-SA 3.0	</v>
      <v xml:space="preserve">https://en.wikipedia.org/wiki/Bayreuth	</v>
      <v xml:space="preserve">https://creativecommons.org/licenses/by-sa/3.0	</v>
    </spb>
    <spb s="12">
      <v>90</v>
      <v>90</v>
      <v>90</v>
      <v>90</v>
      <v>90</v>
      <v>90</v>
      <v>90</v>
      <v>90</v>
    </spb>
    <spb s="0">
      <v xml:space="preserve">Wikipedia	</v>
      <v xml:space="preserve">CC BY-SA 3.0	</v>
      <v xml:space="preserve">https://en.wikipedia.org/wiki/Beckum,_Germany	</v>
      <v xml:space="preserve">https://creativecommons.org/licenses/by-sa/3.0	</v>
    </spb>
    <spb s="1">
      <v>92</v>
      <v>92</v>
      <v>92</v>
      <v>92</v>
      <v>92</v>
      <v>92</v>
      <v>92</v>
      <v>92</v>
      <v>92</v>
      <v>92</v>
    </spb>
    <spb s="0">
      <v xml:space="preserve">Wikipedia	</v>
      <v xml:space="preserve">CC BY-SA 3.0	</v>
      <v xml:space="preserve">https://en.wikipedia.org/wiki/Beerfelden	</v>
      <v xml:space="preserve">https://creativecommons.org/licenses/by-sa/3.0	</v>
    </spb>
    <spb s="10">
      <v>94</v>
      <v>94</v>
      <v>94</v>
      <v>94</v>
      <v>94</v>
      <v>94</v>
      <v>94</v>
      <v>94</v>
      <v>94</v>
    </spb>
    <spb s="3">
      <v>7</v>
      <v>Name</v>
      <v>LearnMoreOnLink</v>
    </spb>
    <spb s="8">
      <v>Quadratkilometer</v>
      <v>2015</v>
    </spb>
    <spb s="0">
      <v xml:space="preserve">Wikipedia	</v>
      <v xml:space="preserve">CC BY-SA 3.0	</v>
      <v xml:space="preserve">https://en.wikipedia.org/wiki/Bensheim	</v>
      <v xml:space="preserve">https://creativecommons.org/licenses/by-sa/3.0	</v>
    </spb>
    <spb s="1">
      <v>98</v>
      <v>98</v>
      <v>98</v>
      <v>98</v>
      <v>98</v>
      <v>98</v>
      <v>98</v>
      <v>98</v>
      <v>98</v>
      <v>98</v>
    </spb>
    <spb s="0">
      <v xml:space="preserve">Wikipedia	</v>
      <v xml:space="preserve">CC BY-SA 3.0	</v>
      <v xml:space="preserve">https://en.wikipedia.org/wiki/Berchtesgaden	</v>
      <v xml:space="preserve">https://creativecommons.org/licenses/by-sa/3.0	</v>
    </spb>
    <spb s="14">
      <v>100</v>
      <v>100</v>
      <v>100</v>
      <v>100</v>
      <v>100</v>
      <v>100</v>
      <v>100</v>
      <v>100</v>
      <v>100</v>
    </spb>
    <spb s="0">
      <v xml:space="preserve">Wikipedia	</v>
      <v xml:space="preserve">CC BY-SA 3.0	</v>
      <v xml:space="preserve">https://en.wikipedia.org/wiki/Bergen_auf_R%C3%BCgen	</v>
      <v xml:space="preserve">https://creativecommons.org/licenses/by-sa/3.0	</v>
    </spb>
    <spb s="1">
      <v>102</v>
      <v>102</v>
      <v>102</v>
      <v>102</v>
      <v>102</v>
      <v>102</v>
      <v>102</v>
      <v>102</v>
      <v>102</v>
      <v>102</v>
    </spb>
    <spb s="0">
      <v xml:space="preserve">Wikipedia	</v>
      <v xml:space="preserve">CC BY-SA 3.0	</v>
      <v xml:space="preserve">https://en.wikipedia.org/wiki/Bergisch_Gladbach	</v>
      <v xml:space="preserve">https://creativecommons.org/licenses/by-sa/3.0	</v>
    </spb>
    <spb s="1">
      <v>104</v>
      <v>104</v>
      <v>104</v>
      <v>104</v>
      <v>104</v>
      <v>104</v>
      <v>104</v>
      <v>104</v>
      <v>104</v>
      <v>104</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16">
      <v>106</v>
      <v>106</v>
      <v>107</v>
      <v>108</v>
      <v>106</v>
      <v>106</v>
      <v>106</v>
      <v>106</v>
      <v>108</v>
      <v>108</v>
    </spb>
    <spb s="17">
      <v>Image</v>
      <v>Name</v>
      <v>Area</v>
      <v>Abbreviation</v>
      <v>Households</v>
      <v>UniqueName</v>
      <v>VDPID/VSID</v>
      <v>Population</v>
      <v>Country/region</v>
      <v>Description</v>
      <v>Housing units</v>
      <v>LearnMoreOnLink</v>
      <v>Persons per household</v>
    </spb>
    <spb s="3">
      <v>8</v>
      <v>Name</v>
      <v>LearnMoreOnLink</v>
    </spb>
    <spb s="18">
      <v>Quadratkilometer</v>
      <v>2011</v>
      <v>2022</v>
      <v>2011</v>
      <v>2011</v>
    </spb>
    <spb s="9">
      <v>5</v>
    </spb>
    <spb s="0">
      <v xml:space="preserve">Wikipedia	</v>
      <v xml:space="preserve">CC BY-SA 3.0	</v>
      <v xml:space="preserve">https://en.wikipedia.org/wiki/Bernau_bei_Berlin	</v>
      <v xml:space="preserve">https://creativecommons.org/licenses/by-sa/3.0	</v>
    </spb>
    <spb s="1">
      <v>114</v>
      <v>114</v>
      <v>114</v>
      <v>114</v>
      <v>114</v>
      <v>114</v>
      <v>114</v>
      <v>114</v>
      <v>114</v>
      <v>114</v>
    </spb>
    <spb s="0">
      <v xml:space="preserve">Wikipedia	</v>
      <v xml:space="preserve">CC BY-SA 3.0	</v>
      <v xml:space="preserve">https://en.wikipedia.org/wiki/Bernburg	</v>
      <v xml:space="preserve">https://creativecommons.org/licenses/by-sa/3.0	</v>
    </spb>
    <spb s="10">
      <v>116</v>
      <v>116</v>
      <v>116</v>
      <v>116</v>
      <v>116</v>
      <v>116</v>
      <v>116</v>
      <v>116</v>
      <v>116</v>
    </spb>
    <spb s="0">
      <v xml:space="preserve">Wikipedia	</v>
      <v xml:space="preserve">CC BY-SA 3.0	</v>
      <v xml:space="preserve">https://en.wikipedia.org/wiki/Bernkastel-Kues	</v>
      <v xml:space="preserve">https://creativecommons.org/licenses/by-sa/3.0	</v>
    </spb>
    <spb s="1">
      <v>118</v>
      <v>118</v>
      <v>118</v>
      <v>118</v>
      <v>118</v>
      <v>118</v>
      <v>118</v>
      <v>118</v>
      <v>118</v>
      <v>118</v>
    </spb>
    <spb s="0">
      <v xml:space="preserve">Wikipedia	</v>
      <v xml:space="preserve">CC BY-SA 3.0	</v>
      <v xml:space="preserve">https://en.wikipedia.org/wiki/Berus	</v>
      <v xml:space="preserve">https://creativecommons.org/licenses/by-sa/3.0	</v>
    </spb>
    <spb s="0">
      <v xml:space="preserve">Wikipedia	</v>
      <v xml:space="preserve">CC-BY-SA	</v>
      <v xml:space="preserve">http://en.wikipedia.org/wiki/Berus	</v>
      <v xml:space="preserve">http://creativecommons.org/licenses/by-sa/3.0/	</v>
    </spb>
    <spb s="1">
      <v>120</v>
      <v>120</v>
      <v>120</v>
      <v>120</v>
      <v>121</v>
      <v>120</v>
      <v>120</v>
      <v>120</v>
      <v>120</v>
      <v>120</v>
    </spb>
    <spb s="8">
      <v>Quadratkilometer</v>
      <v>2010</v>
    </spb>
    <spb s="0">
      <v xml:space="preserve">Wikipedia	</v>
      <v xml:space="preserve">CC BY-SA 3.0	</v>
      <v xml:space="preserve">https://en.wikipedia.org/wiki/Biedenkopf	</v>
      <v xml:space="preserve">https://creativecommons.org/licenses/by-sa/3.0	</v>
    </spb>
    <spb s="14">
      <v>124</v>
      <v>124</v>
      <v>124</v>
      <v>124</v>
      <v>124</v>
      <v>124</v>
      <v>124</v>
      <v>124</v>
      <v>124</v>
    </spb>
    <spb s="0">
      <v xml:space="preserve">Wikipedia	</v>
      <v xml:space="preserve">CC BY-SA 3.0	</v>
      <v xml:space="preserve">https://en.wikipedia.org/wiki/Bielefeld	</v>
      <v xml:space="preserve">https://creativecommons.org/licenses/by-sa/3.0	</v>
    </spb>
    <spb s="10">
      <v>126</v>
      <v>126</v>
      <v>126</v>
      <v>126</v>
      <v>126</v>
      <v>126</v>
      <v>126</v>
      <v>126</v>
      <v>126</v>
    </spb>
    <spb s="0">
      <v xml:space="preserve">Wikipedia	</v>
      <v xml:space="preserve">CC BY-SA 3.0	</v>
      <v xml:space="preserve">https://en.wikipedia.org/wiki/Bingen_am_Rhein	</v>
      <v xml:space="preserve">https://creativecommons.org/licenses/by-sa/3.0	</v>
    </spb>
    <spb s="1">
      <v>128</v>
      <v>128</v>
      <v>128</v>
      <v>128</v>
      <v>128</v>
      <v>128</v>
      <v>128</v>
      <v>128</v>
      <v>128</v>
      <v>128</v>
    </spb>
    <spb s="0">
      <v xml:space="preserve">Wikipedia	</v>
      <v xml:space="preserve">CC BY-SA 3.0	</v>
      <v xml:space="preserve">https://en.wikipedia.org/wiki/Birkenfeld	</v>
      <v xml:space="preserve">https://creativecommons.org/licenses/by-sa/3.0	</v>
    </spb>
    <spb s="10">
      <v>130</v>
      <v>130</v>
      <v>130</v>
      <v>130</v>
      <v>130</v>
      <v>130</v>
      <v>130</v>
      <v>130</v>
      <v>130</v>
    </spb>
    <spb s="0">
      <v xml:space="preserve">Wikipedia	</v>
      <v xml:space="preserve">CC BY-SA 3.0	</v>
      <v xml:space="preserve">https://en.wikipedia.org/wiki/Bitterfeld	</v>
      <v xml:space="preserve">https://creativecommons.org/licenses/by-sa/3.0	</v>
    </spb>
    <spb s="1">
      <v>132</v>
      <v>132</v>
      <v>132</v>
      <v>132</v>
      <v>132</v>
      <v>132</v>
      <v>132</v>
      <v>132</v>
      <v>132</v>
      <v>132</v>
    </spb>
    <spb s="8">
      <v>Quadratkilometer</v>
      <v>2008</v>
    </spb>
    <spb s="0">
      <v xml:space="preserve">Wikipedia	</v>
      <v xml:space="preserve">CC BY-SA 3.0	</v>
      <v xml:space="preserve">https://en.wikipedia.org/wiki/Blankenburg_(Harz)	</v>
      <v xml:space="preserve">https://creativecommons.org/licenses/by-sa/3.0	</v>
    </spb>
    <spb s="10">
      <v>135</v>
      <v>135</v>
      <v>135</v>
      <v>135</v>
      <v>135</v>
      <v>135</v>
      <v>135</v>
      <v>135</v>
      <v>135</v>
    </spb>
    <spb s="0">
      <v xml:space="preserve">Wikipedia	</v>
      <v xml:space="preserve">CC BY-SA 3.0	</v>
      <v xml:space="preserve">https://en.wikipedia.org/wiki/Blankenrath	</v>
      <v xml:space="preserve">https://creativecommons.org/licenses/by-sa/3.0	</v>
    </spb>
    <spb s="1">
      <v>137</v>
      <v>137</v>
      <v>137</v>
      <v>137</v>
      <v>137</v>
      <v>137</v>
      <v>137</v>
      <v>137</v>
      <v>137</v>
      <v>137</v>
    </spb>
    <spb s="0">
      <v xml:space="preserve">Wikipedia	</v>
      <v xml:space="preserve">CC BY-SA 3.0	</v>
      <v xml:space="preserve">https://en.wikipedia.org/wiki/B%C3%B6blingen	</v>
      <v xml:space="preserve">https://creativecommons.org/licenses/by-sa/3.0	</v>
    </spb>
    <spb s="1">
      <v>139</v>
      <v>139</v>
      <v>139</v>
      <v>139</v>
      <v>139</v>
      <v>139</v>
      <v>139</v>
      <v>139</v>
      <v>139</v>
      <v>139</v>
    </spb>
    <spb s="0">
      <v xml:space="preserve">Wikipedia	</v>
      <v xml:space="preserve">CC BY-SA 3.0	</v>
      <v xml:space="preserve">https://en.wikipedia.org/wiki/Bocholt,_Germany	</v>
      <v xml:space="preserve">https://creativecommons.org/licenses/by-sa/3.0	</v>
    </spb>
    <spb s="1">
      <v>141</v>
      <v>141</v>
      <v>141</v>
      <v>141</v>
      <v>141</v>
      <v>141</v>
      <v>141</v>
      <v>141</v>
      <v>141</v>
      <v>141</v>
    </spb>
    <spb s="0">
      <v xml:space="preserve">Wikipedia	</v>
      <v xml:space="preserve">CC BY-SA 3.0	</v>
      <v xml:space="preserve">https://en.wikipedia.org/wiki/Bochum	</v>
      <v xml:space="preserve">https://creativecommons.org/licenses/by-sa/3.0	</v>
    </spb>
    <spb s="10">
      <v>143</v>
      <v>143</v>
      <v>143</v>
      <v>143</v>
      <v>143</v>
      <v>143</v>
      <v>143</v>
      <v>143</v>
      <v>143</v>
    </spb>
    <spb s="0">
      <v xml:space="preserve">Wikipedia	</v>
      <v xml:space="preserve">CC BY-SA 3.0	</v>
      <v xml:space="preserve">https://en.wikipedia.org/wiki/Bonn	</v>
      <v xml:space="preserve">https://creativecommons.org/licenses/by-sa/3.0	</v>
    </spb>
    <spb s="1">
      <v>145</v>
      <v>145</v>
      <v>145</v>
      <v>145</v>
      <v>145</v>
      <v>145</v>
      <v>145</v>
      <v>145</v>
      <v>145</v>
      <v>145</v>
    </spb>
    <spb s="0">
      <v xml:space="preserve">Wikipedia	</v>
      <v xml:space="preserve">CC BY-SA 3.0	</v>
      <v xml:space="preserve">https://en.wikipedia.org/wiki/Borkum	</v>
      <v xml:space="preserve">https://creativecommons.org/licenses/by-sa/3.0	</v>
    </spb>
    <spb s="1">
      <v>147</v>
      <v>147</v>
      <v>147</v>
      <v>147</v>
      <v>147</v>
      <v>147</v>
      <v>147</v>
      <v>147</v>
      <v>147</v>
      <v>147</v>
    </spb>
    <spb s="0">
      <v xml:space="preserve">Wikipedia	</v>
      <v xml:space="preserve">CC BY-SA 3.0	</v>
      <v xml:space="preserve">https://en.wikipedia.org/wiki/Leer_(district)	</v>
      <v xml:space="preserve">https://creativecommons.org/licenses/by-sa/3.0	</v>
    </spb>
    <spb s="19">
      <v>149</v>
      <v>149</v>
      <v>149</v>
      <v>149</v>
      <v>149</v>
      <v>149</v>
      <v>149</v>
      <v>149</v>
    </spb>
    <spb s="20">
      <v>Image</v>
      <v>Name</v>
      <v>Area</v>
      <v>UniqueName</v>
      <v>VDPID/VSID</v>
      <v>Population</v>
      <v>Country/region</v>
      <v>Description</v>
      <v>Largest city</v>
      <v>LearnMoreOnLink</v>
      <v>Admin Division 1 (State/province/other)</v>
    </spb>
    <spb s="3">
      <v>9</v>
      <v>Name</v>
      <v>LearnMoreOnLink</v>
    </spb>
    <spb s="8">
      <v>Quadratkilometer</v>
      <v>2019</v>
    </spb>
    <spb s="0">
      <v xml:space="preserve">Wikipedia	</v>
      <v xml:space="preserve">CC BY-SA 3.0	</v>
      <v xml:space="preserve">https://en.wikipedia.org/wiki/Borna,_Leipzig	</v>
      <v xml:space="preserve">https://creativecommons.org/licenses/by-sa/3.0	</v>
    </spb>
    <spb s="1">
      <v>154</v>
      <v>154</v>
      <v>154</v>
      <v>154</v>
      <v>154</v>
      <v>154</v>
      <v>154</v>
      <v>154</v>
      <v>154</v>
      <v>154</v>
    </spb>
    <spb s="0">
      <v xml:space="preserve">Wikipedia	</v>
      <v xml:space="preserve">CC BY-SA 3.0	</v>
      <v xml:space="preserve">https://en.wikipedia.org/wiki/Bottrop	</v>
      <v xml:space="preserve">https://creativecommons.org/licenses/by-sa/3.0	</v>
    </spb>
    <spb s="1">
      <v>156</v>
      <v>156</v>
      <v>156</v>
      <v>156</v>
      <v>156</v>
      <v>156</v>
      <v>156</v>
      <v>156</v>
      <v>156</v>
      <v>156</v>
    </spb>
    <spb s="0">
      <v xml:space="preserve">Wikipedia	</v>
      <v xml:space="preserve">CC BY-SA 3.0	</v>
      <v xml:space="preserve">https://en.wikipedia.org/wiki/Brandenburg_an_der_Havel	</v>
      <v xml:space="preserve">https://creativecommons.org/licenses/by-sa/3.0	</v>
    </spb>
    <spb s="10">
      <v>158</v>
      <v>158</v>
      <v>158</v>
      <v>158</v>
      <v>158</v>
      <v>158</v>
      <v>158</v>
      <v>158</v>
      <v>158</v>
    </spb>
    <spb s="0">
      <v xml:space="preserve">Wikipedia	</v>
      <v xml:space="preserve">CC BY-SA 3.0	</v>
      <v xml:space="preserve">https://en.wikipedia.org/wiki/Braunschweig	</v>
      <v xml:space="preserve">https://creativecommons.org/licenses/by-sa/3.0	</v>
    </spb>
    <spb s="10">
      <v>160</v>
      <v>160</v>
      <v>160</v>
      <v>160</v>
      <v>160</v>
      <v>160</v>
      <v>160</v>
      <v>160</v>
      <v>160</v>
    </spb>
    <spb s="0">
      <v xml:space="preserve">Wikipedia	</v>
      <v xml:space="preserve">CC BY-SA 3.0	</v>
      <v xml:space="preserve">https://en.wikipedia.org/wiki/Bremen	</v>
      <v xml:space="preserve">https://creativecommons.org/licenses/by-sa/3.0	</v>
    </spb>
    <spb s="10">
      <v>162</v>
      <v>162</v>
      <v>162</v>
      <v>162</v>
      <v>162</v>
      <v>162</v>
      <v>162</v>
      <v>162</v>
      <v>162</v>
    </spb>
    <spb s="0">
      <v xml:space="preserve">Wikipedia	</v>
      <v xml:space="preserve">CC BY-SA 3.0	</v>
      <v xml:space="preserve">https://en.wikipedia.org/wiki/Bremerhaven	</v>
      <v xml:space="preserve">https://creativecommons.org/licenses/by-sa/3.0	</v>
    </spb>
    <spb s="10">
      <v>164</v>
      <v>164</v>
      <v>164</v>
      <v>164</v>
      <v>164</v>
      <v>164</v>
      <v>164</v>
      <v>164</v>
      <v>164</v>
    </spb>
    <spb s="0">
      <v xml:space="preserve">Wikipedia	</v>
      <v xml:space="preserve">CC BY-SA 3.0	</v>
      <v xml:space="preserve">https://en.wikipedia.org/wiki/Bremerv%C3%B6rde	</v>
      <v xml:space="preserve">https://creativecommons.org/licenses/by-sa/3.0	</v>
    </spb>
    <spb s="1">
      <v>166</v>
      <v>166</v>
      <v>166</v>
      <v>166</v>
      <v>166</v>
      <v>166</v>
      <v>166</v>
      <v>166</v>
      <v>166</v>
      <v>166</v>
    </spb>
    <spb s="0">
      <v xml:space="preserve">Wikipedia	</v>
      <v xml:space="preserve">CC BY-SA 3.0	</v>
      <v xml:space="preserve">https://en.wikipedia.org/wiki/Brilon	</v>
      <v xml:space="preserve">https://creativecommons.org/licenses/by-sa/3.0	</v>
    </spb>
    <spb s="14">
      <v>168</v>
      <v>168</v>
      <v>168</v>
      <v>168</v>
      <v>168</v>
      <v>168</v>
      <v>168</v>
      <v>168</v>
      <v>168</v>
    </spb>
    <spb s="0">
      <v xml:space="preserve">Wikipedia	</v>
      <v xml:space="preserve">CC BY-SA 3.0	</v>
      <v xml:space="preserve">https://en.wikipedia.org/wiki/Brockel	</v>
      <v xml:space="preserve">https://creativecommons.org/licenses/by-sa/3.0	</v>
    </spb>
    <spb s="10">
      <v>170</v>
      <v>170</v>
      <v>170</v>
      <v>170</v>
      <v>170</v>
      <v>170</v>
      <v>170</v>
      <v>170</v>
      <v>170</v>
    </spb>
    <spb s="0">
      <v xml:space="preserve">	</v>
      <v xml:space="preserve">	</v>
      <v xml:space="preserve">https://en.wikipedia.org/wiki/Brockel	</v>
      <v xml:space="preserve">https://creativecommons.org/licenses/by-sa/3.0	</v>
    </spb>
    <spb s="0">
      <v xml:space="preserve">Wikipedia	</v>
      <v xml:space="preserve">CC BY-SA 3.0	</v>
      <v xml:space="preserve">https://en.wikipedia.org/wiki/Bruchsal	</v>
      <v xml:space="preserve">https://creativecommons.org/licenses/by-sa/3.0	</v>
    </spb>
    <spb s="10">
      <v>173</v>
      <v>173</v>
      <v>173</v>
      <v>173</v>
      <v>173</v>
      <v>173</v>
      <v>173</v>
      <v>173</v>
      <v>173</v>
    </spb>
    <spb s="0">
      <v xml:space="preserve">Wikipedia	</v>
      <v xml:space="preserve">CC BY-SA 3.0	</v>
      <v xml:space="preserve">https://en.wikipedia.org/wiki/Br%C3%BChl_(Rhineland)	</v>
      <v xml:space="preserve">https://creativecommons.org/licenses/by-sa/3.0	</v>
    </spb>
    <spb s="10">
      <v>175</v>
      <v>175</v>
      <v>175</v>
      <v>175</v>
      <v>175</v>
      <v>175</v>
      <v>175</v>
      <v>175</v>
      <v>175</v>
    </spb>
    <spb s="0">
      <v xml:space="preserve">Wikipedia	</v>
      <v xml:space="preserve">CC BY-SA 3.0	</v>
      <v xml:space="preserve">https://en.wikipedia.org/wiki/Buchen	</v>
      <v xml:space="preserve">https://creativecommons.org/licenses/by-sa/3.0	</v>
    </spb>
    <spb s="14">
      <v>177</v>
      <v>177</v>
      <v>177</v>
      <v>177</v>
      <v>177</v>
      <v>177</v>
      <v>177</v>
      <v>177</v>
      <v>177</v>
    </spb>
    <spb s="0">
      <v xml:space="preserve">Wikipedia	</v>
      <v xml:space="preserve">CC BY-SA 3.0	</v>
      <v xml:space="preserve">https://en.wikipedia.org/wiki/Burg_bei_Magdeburg	</v>
      <v xml:space="preserve">https://creativecommons.org/licenses/by-sa/3.0	</v>
    </spb>
    <spb s="10">
      <v>179</v>
      <v>179</v>
      <v>179</v>
      <v>179</v>
      <v>179</v>
      <v>179</v>
      <v>179</v>
      <v>179</v>
      <v>179</v>
    </spb>
    <spb s="0">
      <v xml:space="preserve">Wikipedia	</v>
      <v xml:space="preserve">CC BY-SA 3.0	</v>
      <v xml:space="preserve">https://en.wikipedia.org/wiki/Burghaslach	</v>
      <v xml:space="preserve">https://creativecommons.org/licenses/by-sa/3.0	</v>
    </spb>
    <spb s="14">
      <v>181</v>
      <v>181</v>
      <v>181</v>
      <v>181</v>
      <v>181</v>
      <v>181</v>
      <v>181</v>
      <v>181</v>
      <v>181</v>
    </spb>
    <spb s="0">
      <v xml:space="preserve">Wikipedia	</v>
      <v xml:space="preserve">CC BY-SA 3.0	</v>
      <v xml:space="preserve">https://en.wikipedia.org/wiki/Castrop-Rauxel	</v>
      <v xml:space="preserve">https://creativecommons.org/licenses/by-sa/3.0	</v>
    </spb>
    <spb s="1">
      <v>183</v>
      <v>183</v>
      <v>183</v>
      <v>183</v>
      <v>183</v>
      <v>183</v>
      <v>183</v>
      <v>183</v>
      <v>183</v>
      <v>183</v>
    </spb>
    <spb s="0">
      <v xml:space="preserve">Wikipedia	</v>
      <v xml:space="preserve">CC BY-SA 3.0	</v>
      <v xml:space="preserve">https://en.wikipedia.org/wiki/Celle	</v>
      <v xml:space="preserve">https://creativecommons.org/licenses/by-sa/3.0	</v>
    </spb>
    <spb s="1">
      <v>185</v>
      <v>185</v>
      <v>185</v>
      <v>185</v>
      <v>185</v>
      <v>185</v>
      <v>185</v>
      <v>185</v>
      <v>185</v>
      <v>185</v>
    </spb>
    <spb s="0">
      <v xml:space="preserve">Wikipedia	</v>
      <v xml:space="preserve">CC BY-SA 3.0	</v>
      <v xml:space="preserve">https://en.wikipedia.org/wiki/Chemnitz	</v>
      <v xml:space="preserve">https://creativecommons.org/licenses/by-sa/3.0	</v>
    </spb>
    <spb s="10">
      <v>187</v>
      <v>187</v>
      <v>187</v>
      <v>187</v>
      <v>187</v>
      <v>187</v>
      <v>187</v>
      <v>187</v>
      <v>187</v>
    </spb>
    <spb s="0">
      <v xml:space="preserve">Wikipedia	</v>
      <v xml:space="preserve">CC BY-SA 3.0	</v>
      <v xml:space="preserve">https://en.wikipedia.org/wiki/Clausthal-Zellerfeld	</v>
      <v xml:space="preserve">https://creativecommons.org/licenses/by-sa/3.0	</v>
    </spb>
    <spb s="1">
      <v>189</v>
      <v>189</v>
      <v>189</v>
      <v>189</v>
      <v>189</v>
      <v>189</v>
      <v>189</v>
      <v>189</v>
      <v>189</v>
      <v>189</v>
    </spb>
    <spb s="0">
      <v xml:space="preserve">Wikipedia	</v>
      <v xml:space="preserve">CC BY-SA 3.0	</v>
      <v xml:space="preserve">https://en.wikipedia.org/wiki/Coburg	</v>
      <v xml:space="preserve">https://creativecommons.org/licenses/by-sa/3.0	</v>
    </spb>
    <spb s="12">
      <v>191</v>
      <v>191</v>
      <v>191</v>
      <v>191</v>
      <v>191</v>
      <v>191</v>
      <v>191</v>
      <v>191</v>
    </spb>
    <spb s="0">
      <v xml:space="preserve">Wikipedia	</v>
      <v xml:space="preserve">CC BY-SA 3.0	</v>
      <v xml:space="preserve">https://en.wikipedia.org/wiki/Coesfeld	</v>
      <v xml:space="preserve">https://creativecommons.org/licenses/by-sa/3.0	</v>
    </spb>
    <spb s="1">
      <v>193</v>
      <v>193</v>
      <v>193</v>
      <v>193</v>
      <v>193</v>
      <v>193</v>
      <v>193</v>
      <v>193</v>
      <v>193</v>
      <v>193</v>
    </spb>
    <spb s="0">
      <v xml:space="preserve">Wikipedia	</v>
      <v xml:space="preserve">CC BY-SA 3.0	</v>
      <v xml:space="preserve">https://en.wikipedia.org/wiki/Coswig,_Saxony	</v>
      <v xml:space="preserve">https://creativecommons.org/licenses/by-sa/3.0	</v>
    </spb>
    <spb s="1">
      <v>195</v>
      <v>195</v>
      <v>195</v>
      <v>195</v>
      <v>195</v>
      <v>195</v>
      <v>195</v>
      <v>195</v>
      <v>195</v>
      <v>195</v>
    </spb>
    <spb s="0">
      <v xml:space="preserve">Wikipedia	</v>
      <v xml:space="preserve">CC BY-SA 3.0	</v>
      <v xml:space="preserve">https://en.wikipedia.org/wiki/Cottbus	</v>
      <v xml:space="preserve">https://creativecommons.org/licenses/by-sa/3.0	</v>
    </spb>
    <spb s="10">
      <v>197</v>
      <v>197</v>
      <v>197</v>
      <v>197</v>
      <v>197</v>
      <v>197</v>
      <v>197</v>
      <v>197</v>
      <v>197</v>
    </spb>
    <spb s="0">
      <v xml:space="preserve">Wikipedia	</v>
      <v xml:space="preserve">CC BY-SA 3.0	</v>
      <v xml:space="preserve">https://en.wikipedia.org/wiki/Crailsheim	</v>
      <v xml:space="preserve">https://creativecommons.org/licenses/by-sa/3.0	</v>
    </spb>
    <spb s="1">
      <v>199</v>
      <v>199</v>
      <v>199</v>
      <v>199</v>
      <v>199</v>
      <v>199</v>
      <v>199</v>
      <v>199</v>
      <v>199</v>
      <v>199</v>
    </spb>
    <spb s="0">
      <v xml:space="preserve">Wikipedia	</v>
      <v xml:space="preserve">CC BY-SA 3.0	</v>
      <v xml:space="preserve">https://en.wikipedia.org/wiki/Schw%C3%A4bisch_Hall_(district)	</v>
      <v xml:space="preserve">https://creativecommons.org/licenses/by-sa/3.0	</v>
    </spb>
    <spb s="19">
      <v>201</v>
      <v>201</v>
      <v>201</v>
      <v>201</v>
      <v>201</v>
      <v>201</v>
      <v>201</v>
      <v>201</v>
    </spb>
    <spb s="0">
      <v xml:space="preserve">Wikipedia	</v>
      <v xml:space="preserve">CC BY-SA 3.0	</v>
      <v xml:space="preserve">https://en.wikipedia.org/wiki/Crimmitschau	</v>
      <v xml:space="preserve">https://creativecommons.org/licenses/by-sa/3.0	</v>
    </spb>
    <spb s="1">
      <v>203</v>
      <v>203</v>
      <v>203</v>
      <v>203</v>
      <v>203</v>
      <v>203</v>
      <v>203</v>
      <v>203</v>
      <v>203</v>
      <v>203</v>
    </spb>
    <spb s="0">
      <v xml:space="preserve">Wikipedia	</v>
      <v xml:space="preserve">CC BY-SA 3.0	</v>
      <v xml:space="preserve">https://en.wikipedia.org/wiki/Cuxhaven	</v>
      <v xml:space="preserve">https://creativecommons.org/licenses/by-sa/3.0	</v>
    </spb>
    <spb s="1">
      <v>205</v>
      <v>205</v>
      <v>205</v>
      <v>205</v>
      <v>205</v>
      <v>205</v>
      <v>205</v>
      <v>205</v>
      <v>205</v>
      <v>205</v>
    </spb>
    <spb s="0">
      <v xml:space="preserve">Wikipedia	</v>
      <v xml:space="preserve">CC BY-SA 3.0	</v>
      <v xml:space="preserve">https://en.wikipedia.org/wiki/Dachau,_Bavaria	</v>
      <v xml:space="preserve">https://creativecommons.org/licenses/by-sa/3.0	</v>
    </spb>
    <spb s="14">
      <v>207</v>
      <v>207</v>
      <v>207</v>
      <v>207</v>
      <v>207</v>
      <v>207</v>
      <v>207</v>
      <v>207</v>
      <v>207</v>
    </spb>
    <spb s="0">
      <v xml:space="preserve">Wikipedia	</v>
      <v xml:space="preserve">CC BY-SA 3.0	</v>
      <v xml:space="preserve">https://en.wikipedia.org/wiki/Darmstadt	</v>
      <v xml:space="preserve">https://creativecommons.org/licenses/by-sa/3.0	</v>
    </spb>
    <spb s="1">
      <v>209</v>
      <v>209</v>
      <v>209</v>
      <v>209</v>
      <v>209</v>
      <v>209</v>
      <v>209</v>
      <v>209</v>
      <v>209</v>
      <v>209</v>
    </spb>
    <spb s="0">
      <v xml:space="preserve">Wikipedia	</v>
      <v xml:space="preserve">CC BY-SA 3.0	</v>
      <v xml:space="preserve">https://en.wikipedia.org/wiki/Datteln	</v>
      <v xml:space="preserve">https://creativecommons.org/licenses/by-sa/3.0	</v>
    </spb>
    <spb s="1">
      <v>211</v>
      <v>211</v>
      <v>211</v>
      <v>211</v>
      <v>211</v>
      <v>211</v>
      <v>211</v>
      <v>211</v>
      <v>211</v>
      <v>211</v>
    </spb>
    <spb s="0">
      <v xml:space="preserve">Wikipedia	</v>
      <v xml:space="preserve">CC BY-SA 3.0	</v>
      <v xml:space="preserve">https://en.wikipedia.org/wiki/Delitzsch	</v>
      <v xml:space="preserve">https://creativecommons.org/licenses/by-sa/3.0	</v>
    </spb>
    <spb s="1">
      <v>213</v>
      <v>213</v>
      <v>213</v>
      <v>213</v>
      <v>213</v>
      <v>213</v>
      <v>213</v>
      <v>213</v>
      <v>213</v>
      <v>213</v>
    </spb>
    <spb s="0">
      <v xml:space="preserve">Wikipedia	</v>
      <v xml:space="preserve">CC BY-SA 3.0	</v>
      <v xml:space="preserve">https://en.wikipedia.org/wiki/Delmenhorst	</v>
      <v xml:space="preserve">https://creativecommons.org/licenses/by-sa/3.0	</v>
    </spb>
    <spb s="10">
      <v>215</v>
      <v>215</v>
      <v>215</v>
      <v>215</v>
      <v>215</v>
      <v>215</v>
      <v>215</v>
      <v>215</v>
      <v>215</v>
    </spb>
    <spb s="0">
      <v xml:space="preserve">Wikipedia	</v>
      <v xml:space="preserve">CC BY-SA 3.0	</v>
      <v xml:space="preserve">https://en.wikipedia.org/wiki/Dessau	</v>
      <v xml:space="preserve">https://creativecommons.org/licenses/by-sa/3.0	</v>
    </spb>
    <spb s="10">
      <v>217</v>
      <v>217</v>
      <v>217</v>
      <v>217</v>
      <v>217</v>
      <v>217</v>
      <v>217</v>
      <v>217</v>
      <v>217</v>
    </spb>
    <spb s="8">
      <v>Quadratkilometer</v>
      <v>2013</v>
    </spb>
    <spb s="0">
      <v xml:space="preserve">Wikipedia	</v>
      <v xml:space="preserve">CC BY-SA 3.0	</v>
      <v xml:space="preserve">https://en.wikipedia.org/wiki/Detmold	</v>
      <v xml:space="preserve">https://creativecommons.org/licenses/by-sa/3.0	</v>
    </spb>
    <spb s="14">
      <v>220</v>
      <v>220</v>
      <v>220</v>
      <v>220</v>
      <v>220</v>
      <v>220</v>
      <v>220</v>
      <v>220</v>
      <v>220</v>
    </spb>
    <spb s="0">
      <v xml:space="preserve">Wikipedia	</v>
      <v xml:space="preserve">CC BY-SA 3.0	</v>
      <v xml:space="preserve">https://en.wikipedia.org/wiki/Dillenburg	</v>
      <v xml:space="preserve">https://creativecommons.org/licenses/by-sa/3.0	</v>
    </spb>
    <spb s="14">
      <v>222</v>
      <v>222</v>
      <v>222</v>
      <v>222</v>
      <v>222</v>
      <v>222</v>
      <v>222</v>
      <v>222</v>
      <v>222</v>
    </spb>
    <spb s="0">
      <v xml:space="preserve">Wikipedia	</v>
      <v xml:space="preserve">CC BY-SA 3.0	</v>
      <v xml:space="preserve">https://en.wikipedia.org/wiki/Dillingen_an_der_Donau	</v>
      <v xml:space="preserve">https://creativecommons.org/licenses/by-sa/3.0	</v>
    </spb>
    <spb s="14">
      <v>224</v>
      <v>224</v>
      <v>224</v>
      <v>224</v>
      <v>224</v>
      <v>224</v>
      <v>224</v>
      <v>224</v>
      <v>224</v>
    </spb>
    <spb s="0">
      <v xml:space="preserve">Wikipedia	</v>
      <v xml:space="preserve">CC BY-SA 3.0	</v>
      <v xml:space="preserve">https://en.wikipedia.org/wiki/Dinslaken	</v>
      <v xml:space="preserve">https://creativecommons.org/licenses/by-sa/3.0	</v>
    </spb>
    <spb s="1">
      <v>226</v>
      <v>226</v>
      <v>226</v>
      <v>226</v>
      <v>226</v>
      <v>226</v>
      <v>226</v>
      <v>226</v>
      <v>226</v>
      <v>226</v>
    </spb>
    <spb s="0">
      <v xml:space="preserve">Wikipedia	</v>
      <v xml:space="preserve">CC BY-SA 3.0	</v>
      <v xml:space="preserve">https://en.wikipedia.org/wiki/D%C3%B6beln	</v>
      <v xml:space="preserve">https://creativecommons.org/licenses/by-sa/3.0	</v>
    </spb>
    <spb s="1">
      <v>228</v>
      <v>228</v>
      <v>228</v>
      <v>228</v>
      <v>228</v>
      <v>228</v>
      <v>228</v>
      <v>228</v>
      <v>228</v>
      <v>228</v>
    </spb>
    <spb s="0">
      <v xml:space="preserve">Wikipedia	</v>
      <v xml:space="preserve">CC BY-SA 3.0	</v>
      <v xml:space="preserve">https://en.wikipedia.org/wiki/Dorsten	</v>
      <v xml:space="preserve">https://creativecommons.org/licenses/by-sa/3.0	</v>
    </spb>
    <spb s="1">
      <v>230</v>
      <v>230</v>
      <v>230</v>
      <v>230</v>
      <v>230</v>
      <v>230</v>
      <v>230</v>
      <v>230</v>
      <v>230</v>
      <v>230</v>
    </spb>
    <spb s="0">
      <v xml:space="preserve">Wikipedia	</v>
      <v xml:space="preserve">CC BY-SA 3.0	</v>
      <v xml:space="preserve">https://en.wikipedia.org/wiki/Dortmund	</v>
      <v xml:space="preserve">https://creativecommons.org/licenses/by-sa/3.0	</v>
    </spb>
    <spb s="10">
      <v>232</v>
      <v>232</v>
      <v>232</v>
      <v>232</v>
      <v>232</v>
      <v>232</v>
      <v>232</v>
      <v>232</v>
      <v>232</v>
    </spb>
    <spb s="0">
      <v xml:space="preserve">Wikipedia	</v>
      <v xml:space="preserve">CC BY-SA 3.0	</v>
      <v xml:space="preserve">https://en.wikipedia.org/wiki/Dresden	</v>
      <v xml:space="preserve">https://creativecommons.org/licenses/by-sa/3.0	</v>
    </spb>
    <spb s="10">
      <v>234</v>
      <v>234</v>
      <v>234</v>
      <v>234</v>
      <v>234</v>
      <v>234</v>
      <v>234</v>
      <v>234</v>
      <v>234</v>
    </spb>
    <spb s="0">
      <v xml:space="preserve">Wikipedia	</v>
      <v xml:space="preserve">CC BY-SA 3.0	</v>
      <v xml:space="preserve">https://en.wikipedia.org/wiki/Drze%C5%84sko,_S%C5%82awno_County	</v>
      <v xml:space="preserve">https://creativecommons.org/licenses/by-sa/3.0	</v>
    </spb>
    <spb s="21">
      <v>236</v>
      <v>236</v>
      <v>236</v>
      <v>236</v>
      <v>236</v>
      <v>236</v>
    </spb>
    <spb s="22">
      <v>Image</v>
      <v>Name</v>
      <v>Longitude</v>
      <v>UniqueName</v>
      <v>VDPID/VSID</v>
      <v>Latitude</v>
      <v>Country/region</v>
      <v>Description</v>
    </spb>
    <spb s="23">
      <v>10</v>
      <v>Name</v>
    </spb>
    <spb s="24">
      <v>4</v>
      <v>4</v>
    </spb>
    <spb s="0">
      <v xml:space="preserve">Wikipedia	</v>
      <v xml:space="preserve">CC BY-SA 3.0	</v>
      <v xml:space="preserve">https://en.wikipedia.org/wiki/Dudweiler	</v>
      <v xml:space="preserve">https://creativecommons.org/licenses/by-sa/3.0	</v>
    </spb>
    <spb s="12">
      <v>241</v>
      <v>241</v>
      <v>241</v>
      <v>241</v>
      <v>241</v>
      <v>241</v>
      <v>241</v>
      <v>241</v>
    </spb>
    <spb s="3">
      <v>11</v>
      <v>Name</v>
      <v>LearnMoreOnLink</v>
    </spb>
    <spb s="8">
      <v>Quadratkilometer</v>
      <v>2020</v>
    </spb>
    <spb s="0">
      <v xml:space="preserve">Wikipedia	</v>
      <v xml:space="preserve">CC BY-SA 3.0	</v>
      <v xml:space="preserve">https://en.wikipedia.org/wiki/Duisburg	</v>
      <v xml:space="preserve">https://creativecommons.org/licenses/by-sa/3.0	</v>
    </spb>
    <spb s="1">
      <v>245</v>
      <v>245</v>
      <v>245</v>
      <v>245</v>
      <v>245</v>
      <v>245</v>
      <v>245</v>
      <v>245</v>
      <v>245</v>
      <v>245</v>
    </spb>
    <spb s="0">
      <v xml:space="preserve">Wikipedia	</v>
      <v xml:space="preserve">CC BY-SA 3.0	</v>
      <v xml:space="preserve">https://en.wikipedia.org/wiki/D%C3%BClken	</v>
      <v xml:space="preserve">https://creativecommons.org/licenses/by-sa/3.0	</v>
    </spb>
    <spb s="0">
      <v xml:space="preserve">Wikipedia	</v>
      <v xml:space="preserve">CC-BY-SA	</v>
      <v xml:space="preserve">http://en.wikipedia.org/wiki/Dülken	</v>
      <v xml:space="preserve">http://creativecommons.org/licenses/by-sa/3.0/	</v>
    </spb>
    <spb s="1">
      <v>247</v>
      <v>247</v>
      <v>247</v>
      <v>247</v>
      <v>248</v>
      <v>247</v>
      <v>247</v>
      <v>247</v>
      <v>247</v>
      <v>247</v>
    </spb>
    <spb s="0">
      <v xml:space="preserve">Wikipedia	</v>
      <v xml:space="preserve">CC BY-SA 3.0	</v>
      <v xml:space="preserve">https://en.wikipedia.org/wiki/Viersen	</v>
      <v xml:space="preserve">https://creativecommons.org/licenses/by-sa/3.0	</v>
    </spb>
    <spb s="1">
      <v>250</v>
      <v>250</v>
      <v>250</v>
      <v>250</v>
      <v>250</v>
      <v>250</v>
      <v>250</v>
      <v>250</v>
      <v>250</v>
      <v>250</v>
    </spb>
    <spb s="0">
      <v xml:space="preserve">Wikipedia	</v>
      <v xml:space="preserve">CC BY-SA 3.0	</v>
      <v xml:space="preserve">https://en.wikipedia.org/wiki/D%C3%BClmen	</v>
      <v xml:space="preserve">https://creativecommons.org/licenses/by-sa/3.0	</v>
    </spb>
    <spb s="1">
      <v>252</v>
      <v>252</v>
      <v>252</v>
      <v>252</v>
      <v>252</v>
      <v>252</v>
      <v>252</v>
      <v>252</v>
      <v>252</v>
      <v>252</v>
    </spb>
    <spb s="0">
      <v xml:space="preserve">Wikipedia	</v>
      <v xml:space="preserve">CC BY-SA 3.0	</v>
      <v xml:space="preserve">https://en.wikipedia.org/wiki/D%C3%BCren	</v>
      <v xml:space="preserve">https://creativecommons.org/licenses/by-sa/3.0	</v>
    </spb>
    <spb s="1">
      <v>254</v>
      <v>254</v>
      <v>254</v>
      <v>254</v>
      <v>254</v>
      <v>254</v>
      <v>254</v>
      <v>254</v>
      <v>254</v>
      <v>254</v>
    </spb>
    <spb s="0">
      <v xml:space="preserve">Wikipedia	</v>
      <v xml:space="preserve">CC BY-SA 3.0	</v>
      <v xml:space="preserve">https://en.wikipedia.org/wiki/D%C3%BCsseldorf	</v>
      <v xml:space="preserve">https://creativecommons.org/licenses/by-sa/3.0	</v>
    </spb>
    <spb s="1">
      <v>256</v>
      <v>256</v>
      <v>256</v>
      <v>256</v>
      <v>256</v>
      <v>256</v>
      <v>256</v>
      <v>256</v>
      <v>256</v>
      <v>256</v>
    </spb>
    <spb s="0">
      <v xml:space="preserve">Wikipedia	</v>
      <v xml:space="preserve">CC BY-SA 3.0	</v>
      <v xml:space="preserve">https://en.wikipedia.org/wiki/Eberswalde	</v>
      <v xml:space="preserve">https://creativecommons.org/licenses/by-sa/3.0	</v>
    </spb>
    <spb s="1">
      <v>258</v>
      <v>258</v>
      <v>258</v>
      <v>258</v>
      <v>258</v>
      <v>258</v>
      <v>258</v>
      <v>258</v>
      <v>258</v>
      <v>258</v>
    </spb>
    <spb s="8">
      <v>Quadratkilometer</v>
      <v>2023</v>
    </spb>
    <spb s="0">
      <v xml:space="preserve">Wikipedia	</v>
      <v xml:space="preserve">CC BY-SA 3.0	</v>
      <v xml:space="preserve">https://en.wikipedia.org/wiki/Ebingen	</v>
      <v xml:space="preserve">https://creativecommons.org/licenses/by-sa/3.0	</v>
    </spb>
    <spb s="25">
      <v>261</v>
      <v>261</v>
      <v>261</v>
      <v>261</v>
      <v>261</v>
      <v>261</v>
      <v>261</v>
      <v>261</v>
      <v>261</v>
    </spb>
    <spb s="26">
      <v>Image</v>
      <v>Name</v>
      <v>Area</v>
      <v>Longitude</v>
      <v>UniqueName</v>
      <v>VDPID/VSID</v>
      <v>Latitude</v>
      <v>Country/region</v>
      <v>Description</v>
      <v>LearnMoreOnLink</v>
      <v>Admin Division 2 (County/district/other)</v>
      <v>Admin Division 1 (State/province/other)</v>
    </spb>
    <spb s="3">
      <v>12</v>
      <v>Name</v>
      <v>LearnMoreOnLink</v>
    </spb>
    <spb s="27">
      <v>Quadratkilometer</v>
    </spb>
    <spb s="0">
      <v xml:space="preserve">Wikipedia	</v>
      <v xml:space="preserve">CC BY-SA 3.0	</v>
      <v xml:space="preserve">https://en.wikipedia.org/wiki/Eckernf%C3%B6rde	</v>
      <v xml:space="preserve">https://creativecommons.org/licenses/by-sa/3.0	</v>
    </spb>
    <spb s="1">
      <v>266</v>
      <v>266</v>
      <v>266</v>
      <v>266</v>
      <v>266</v>
      <v>266</v>
      <v>266</v>
      <v>266</v>
      <v>266</v>
      <v>266</v>
    </spb>
    <spb s="0">
      <v xml:space="preserve">Wikipedia	</v>
      <v xml:space="preserve">CC BY-SA 3.0	</v>
      <v xml:space="preserve">https://en.wikipedia.org/wiki/Eilenburg	</v>
      <v xml:space="preserve">https://creativecommons.org/licenses/by-sa/3.0	</v>
    </spb>
    <spb s="1">
      <v>268</v>
      <v>268</v>
      <v>268</v>
      <v>268</v>
      <v>268</v>
      <v>268</v>
      <v>268</v>
      <v>268</v>
      <v>268</v>
      <v>268</v>
    </spb>
    <spb s="0">
      <v xml:space="preserve">Wikipedia	</v>
      <v xml:space="preserve">CC BY-SA 3.0	</v>
      <v xml:space="preserve">https://en.wikipedia.org/wiki/Einbeck	</v>
      <v xml:space="preserve">https://creativecommons.org/licenses/by-sa/3.0	</v>
    </spb>
    <spb s="1">
      <v>270</v>
      <v>270</v>
      <v>270</v>
      <v>270</v>
      <v>270</v>
      <v>270</v>
      <v>270</v>
      <v>270</v>
      <v>270</v>
      <v>270</v>
    </spb>
    <spb s="0">
      <v xml:space="preserve">Wikipedia	</v>
      <v xml:space="preserve">CC BY-SA 3.0	</v>
      <v xml:space="preserve">https://en.wikipedia.org/wiki/Eisenach	</v>
      <v xml:space="preserve">https://creativecommons.org/licenses/by-sa/3.0	</v>
    </spb>
    <spb s="14">
      <v>272</v>
      <v>272</v>
      <v>272</v>
      <v>272</v>
      <v>272</v>
      <v>272</v>
      <v>272</v>
      <v>272</v>
      <v>272</v>
    </spb>
    <spb s="0">
      <v xml:space="preserve">Wikipedia	</v>
      <v xml:space="preserve">CC BY-SA 3.0	</v>
      <v xml:space="preserve">https://en.wikipedia.org/wiki/Eisenh%C3%BCttenstadt	</v>
      <v xml:space="preserve">https://creativecommons.org/licenses/by-sa/3.0	</v>
    </spb>
    <spb s="1">
      <v>274</v>
      <v>274</v>
      <v>274</v>
      <v>274</v>
      <v>274</v>
      <v>274</v>
      <v>274</v>
      <v>274</v>
      <v>274</v>
      <v>274</v>
    </spb>
    <spb s="0">
      <v xml:space="preserve">Wikipedia	</v>
      <v xml:space="preserve">CC BY-SA 3.0	</v>
      <v xml:space="preserve">https://en.wikipedia.org/wiki/Ellwangen	</v>
      <v xml:space="preserve">https://creativecommons.org/licenses/by-sa/3.0	</v>
    </spb>
    <spb s="10">
      <v>276</v>
      <v>276</v>
      <v>276</v>
      <v>276</v>
      <v>276</v>
      <v>276</v>
      <v>276</v>
      <v>276</v>
      <v>276</v>
    </spb>
    <spb s="0">
      <v xml:space="preserve">Wikipedia	</v>
      <v xml:space="preserve">CC BY-SA 3.0	</v>
      <v xml:space="preserve">https://en.wikipedia.org/wiki/Elmshorn	</v>
      <v xml:space="preserve">https://creativecommons.org/licenses/by-sa/3.0	</v>
    </spb>
    <spb s="1">
      <v>278</v>
      <v>278</v>
      <v>278</v>
      <v>278</v>
      <v>278</v>
      <v>278</v>
      <v>278</v>
      <v>278</v>
      <v>278</v>
      <v>278</v>
    </spb>
    <spb s="0">
      <v xml:space="preserve">Wikipedia	</v>
      <v xml:space="preserve">CC BY-SA 3.0	</v>
      <v xml:space="preserve">https://en.wikipedia.org/wiki/Elsdorf	</v>
      <v xml:space="preserve">https://creativecommons.org/licenses/by-sa/3.0	</v>
    </spb>
    <spb s="10">
      <v>280</v>
      <v>280</v>
      <v>280</v>
      <v>280</v>
      <v>280</v>
      <v>280</v>
      <v>280</v>
      <v>280</v>
      <v>280</v>
    </spb>
    <spb s="0">
      <v xml:space="preserve">Wikipedia	</v>
      <v xml:space="preserve">CC BY-SA 3.0	</v>
      <v xml:space="preserve">https://en.wikipedia.org/wiki/Emden	</v>
      <v xml:space="preserve">https://creativecommons.org/licenses/by-sa/3.0	</v>
    </spb>
    <spb s="10">
      <v>282</v>
      <v>282</v>
      <v>282</v>
      <v>282</v>
      <v>282</v>
      <v>282</v>
      <v>282</v>
      <v>282</v>
      <v>282</v>
    </spb>
    <spb s="0">
      <v xml:space="preserve">Wikipedia	</v>
      <v xml:space="preserve">CC BY-SA 3.0	</v>
      <v xml:space="preserve">https://en.wikipedia.org/wiki/Emsdetten	</v>
      <v xml:space="preserve">https://creativecommons.org/licenses/by-sa/3.0	</v>
    </spb>
    <spb s="1">
      <v>284</v>
      <v>284</v>
      <v>284</v>
      <v>284</v>
      <v>284</v>
      <v>284</v>
      <v>284</v>
      <v>284</v>
      <v>284</v>
      <v>284</v>
    </spb>
    <spb s="0">
      <v xml:space="preserve">Wikipedia	</v>
      <v xml:space="preserve">CC BY-SA 3.0	</v>
      <v xml:space="preserve">https://en.wikipedia.org/wiki/Engelskirchen	</v>
      <v xml:space="preserve">https://creativecommons.org/licenses/by-sa/3.0	</v>
    </spb>
    <spb s="1">
      <v>286</v>
      <v>286</v>
      <v>286</v>
      <v>286</v>
      <v>286</v>
      <v>286</v>
      <v>286</v>
      <v>286</v>
      <v>286</v>
      <v>286</v>
    </spb>
    <spb s="0">
      <v xml:space="preserve">Wikipedia	</v>
      <v xml:space="preserve">CC BY-SA 3.0	</v>
      <v xml:space="preserve">https://en.wikipedia.org/wiki/Ennepetal	</v>
      <v xml:space="preserve">https://creativecommons.org/licenses/by-sa/3.0	</v>
    </spb>
    <spb s="14">
      <v>288</v>
      <v>288</v>
      <v>288</v>
      <v>288</v>
      <v>288</v>
      <v>288</v>
      <v>288</v>
      <v>288</v>
      <v>288</v>
    </spb>
    <spb s="0">
      <v xml:space="preserve">Wikipedia	</v>
      <v xml:space="preserve">CC BY-SA 3.0	</v>
      <v xml:space="preserve">https://en.wikipedia.org/wiki/Erfurt	</v>
      <v xml:space="preserve">https://creativecommons.org/licenses/by-sa/3.0	</v>
    </spb>
    <spb s="12">
      <v>290</v>
      <v>290</v>
      <v>290</v>
      <v>290</v>
      <v>290</v>
      <v>290</v>
      <v>290</v>
      <v>290</v>
    </spb>
    <spb s="0">
      <v xml:space="preserve">Wikipedia	</v>
      <v xml:space="preserve">CC BY-SA 3.0	</v>
      <v xml:space="preserve">https://en.wikipedia.org/wiki/Erlangen	</v>
      <v xml:space="preserve">https://creativecommons.org/licenses/by-sa/3.0	</v>
    </spb>
    <spb s="12">
      <v>292</v>
      <v>292</v>
      <v>292</v>
      <v>292</v>
      <v>292</v>
      <v>292</v>
      <v>292</v>
      <v>292</v>
    </spb>
    <spb s="0">
      <v xml:space="preserve">Wikipedia	</v>
      <v xml:space="preserve">CC BY-SA 3.0	</v>
      <v xml:space="preserve">https://en.wikipedia.org/wiki/Eschwege	</v>
      <v xml:space="preserve">https://creativecommons.org/licenses/by-sa/3.0	</v>
    </spb>
    <spb s="14">
      <v>294</v>
      <v>294</v>
      <v>294</v>
      <v>294</v>
      <v>294</v>
      <v>294</v>
      <v>294</v>
      <v>294</v>
      <v>294</v>
    </spb>
    <spb s="0">
      <v xml:space="preserve">Wikipedia	</v>
      <v xml:space="preserve">CC BY-SA 3.0	</v>
      <v xml:space="preserve">https://en.wikipedia.org/wiki/Eschweiler	</v>
      <v xml:space="preserve">https://creativecommons.org/licenses/by-sa/3.0	</v>
    </spb>
    <spb s="1">
      <v>296</v>
      <v>296</v>
      <v>296</v>
      <v>296</v>
      <v>296</v>
      <v>296</v>
      <v>296</v>
      <v>296</v>
      <v>296</v>
      <v>296</v>
    </spb>
    <spb s="0">
      <v xml:space="preserve">Wikipedia	</v>
      <v xml:space="preserve">CC BY-SA 3.0	</v>
      <v xml:space="preserve">https://en.wikipedia.org/wiki/Essen	</v>
      <v xml:space="preserve">https://creativecommons.org/licenses/by-sa/3.0	</v>
    </spb>
    <spb s="1">
      <v>298</v>
      <v>298</v>
      <v>298</v>
      <v>298</v>
      <v>298</v>
      <v>298</v>
      <v>298</v>
      <v>298</v>
      <v>298</v>
      <v>298</v>
    </spb>
    <spb s="0">
      <v xml:space="preserve">Wikipedia	</v>
      <v xml:space="preserve">CC BY-SA 3.0	</v>
      <v xml:space="preserve">https://en.wikipedia.org/wiki/Esslingen_am_Neckar	</v>
      <v xml:space="preserve">https://creativecommons.org/licenses/by-sa/3.0	</v>
    </spb>
    <spb s="1">
      <v>300</v>
      <v>300</v>
      <v>300</v>
      <v>300</v>
      <v>300</v>
      <v>300</v>
      <v>300</v>
      <v>300</v>
      <v>300</v>
      <v>300</v>
    </spb>
    <spb s="0">
      <v xml:space="preserve">Wikipedia	</v>
      <v xml:space="preserve">CC BY-SA 3.0	</v>
      <v xml:space="preserve">https://en.wikipedia.org/wiki/Ettlingen	</v>
      <v xml:space="preserve">https://creativecommons.org/licenses/by-sa/3.0	</v>
    </spb>
    <spb s="14">
      <v>302</v>
      <v>302</v>
      <v>302</v>
      <v>302</v>
      <v>302</v>
      <v>302</v>
      <v>302</v>
      <v>302</v>
      <v>302</v>
    </spb>
    <spb s="0">
      <v xml:space="preserve">Wikipedia	</v>
      <v xml:space="preserve">CC BY-SA 3.0	</v>
      <v xml:space="preserve">https://en.wikipedia.org/wiki/Euskirchen	</v>
      <v xml:space="preserve">https://creativecommons.org/licenses/by-sa/3.0	</v>
    </spb>
    <spb s="1">
      <v>304</v>
      <v>304</v>
      <v>304</v>
      <v>304</v>
      <v>304</v>
      <v>304</v>
      <v>304</v>
      <v>304</v>
      <v>304</v>
      <v>304</v>
    </spb>
    <spb s="0">
      <v xml:space="preserve">Wikipedia	</v>
      <v xml:space="preserve">CC BY-SA 3.0	</v>
      <v xml:space="preserve">https://en.wikipedia.org/wiki/Eutin	</v>
      <v xml:space="preserve">https://creativecommons.org/licenses/by-sa/3.0	</v>
    </spb>
    <spb s="1">
      <v>306</v>
      <v>306</v>
      <v>306</v>
      <v>306</v>
      <v>306</v>
      <v>306</v>
      <v>306</v>
      <v>306</v>
      <v>306</v>
      <v>306</v>
    </spb>
    <spb s="0">
      <v xml:space="preserve">Wikipedia	</v>
      <v xml:space="preserve">CC BY-SA 3.0	</v>
      <v xml:space="preserve">https://en.wikipedia.org/wiki/Falkensee	</v>
      <v xml:space="preserve">https://creativecommons.org/licenses/by-sa/3.0	</v>
    </spb>
    <spb s="10">
      <v>308</v>
      <v>308</v>
      <v>308</v>
      <v>308</v>
      <v>308</v>
      <v>308</v>
      <v>308</v>
      <v>308</v>
      <v>308</v>
    </spb>
    <spb s="0">
      <v xml:space="preserve">Wikipedia	</v>
      <v xml:space="preserve">CC BY-SA 3.0	</v>
      <v xml:space="preserve">https://en.wikipedia.org/wiki/Feldberg,_Baden-W%C3%BCrttemberg	</v>
      <v xml:space="preserve">https://creativecommons.org/licenses/by-sa/3.0	</v>
    </spb>
    <spb s="10">
      <v>310</v>
      <v>310</v>
      <v>310</v>
      <v>310</v>
      <v>310</v>
      <v>310</v>
      <v>310</v>
      <v>310</v>
      <v>310</v>
    </spb>
    <spb s="0">
      <v xml:space="preserve">Wikipedia	</v>
      <v xml:space="preserve">CC BY-SA 3.0	</v>
      <v xml:space="preserve">https://en.wikipedia.org/wiki/Feldberg_(Black_Forest)	</v>
      <v xml:space="preserve">https://creativecommons.org/licenses/by-sa/3.0	</v>
    </spb>
    <spb s="28">
      <v>312</v>
      <v>312</v>
      <v>312</v>
      <v>312</v>
      <v>312</v>
      <v>312</v>
      <v>312</v>
      <v>312</v>
    </spb>
    <spb s="29">
      <v>Image</v>
      <v>Name</v>
      <v>Longitude</v>
      <v>UniqueName</v>
      <v>VDPID/VSID</v>
      <v>Latitude</v>
      <v>Country/region</v>
      <v>Description</v>
      <v>LearnMoreOnLink</v>
      <v>Admin Division 2 (County/district/other)</v>
      <v>Admin Division 1 (State/province/other)</v>
    </spb>
    <spb s="3">
      <v>13</v>
      <v>Name</v>
      <v>LearnMoreOnLink</v>
    </spb>
    <spb s="0">
      <v xml:space="preserve">Wikipedia	</v>
      <v xml:space="preserve">CC BY-SA 3.0	</v>
      <v xml:space="preserve">https://en.wikipedia.org/wiki/Fellbach	</v>
      <v xml:space="preserve">https://creativecommons.org/licenses/by-sa/3.0	</v>
    </spb>
    <spb s="1">
      <v>316</v>
      <v>316</v>
      <v>316</v>
      <v>316</v>
      <v>316</v>
      <v>316</v>
      <v>316</v>
      <v>316</v>
      <v>316</v>
      <v>316</v>
    </spb>
    <spb s="0">
      <v xml:space="preserve">Wikipedia	</v>
      <v xml:space="preserve">CC BY-SA 3.0	</v>
      <v xml:space="preserve">https://en.wikipedia.org/wiki/Fichtelberg,_Bavaria	</v>
      <v xml:space="preserve">https://creativecommons.org/licenses/by-sa/3.0	</v>
    </spb>
    <spb s="14">
      <v>318</v>
      <v>318</v>
      <v>318</v>
      <v>318</v>
      <v>318</v>
      <v>318</v>
      <v>318</v>
      <v>318</v>
      <v>318</v>
    </spb>
    <spb s="0">
      <v xml:space="preserve">Wikipedia	</v>
      <v xml:space="preserve">CC BY-SA 3.0	</v>
      <v xml:space="preserve">https://en.wikipedia.org/wiki/Finsterwalde	</v>
      <v xml:space="preserve">https://creativecommons.org/licenses/by-sa/3.0	</v>
    </spb>
    <spb s="1">
      <v>320</v>
      <v>320</v>
      <v>320</v>
      <v>320</v>
      <v>320</v>
      <v>320</v>
      <v>320</v>
      <v>320</v>
      <v>320</v>
      <v>320</v>
    </spb>
    <spb s="0">
      <v xml:space="preserve">Wikipedia	</v>
      <v xml:space="preserve">CC BY-SA 3.0	</v>
      <v xml:space="preserve">https://en.wikipedia.org/wiki/Flensburg	</v>
      <v xml:space="preserve">https://creativecommons.org/licenses/by-sa/3.0	</v>
    </spb>
    <spb s="1">
      <v>322</v>
      <v>322</v>
      <v>322</v>
      <v>322</v>
      <v>322</v>
      <v>322</v>
      <v>322</v>
      <v>322</v>
      <v>322</v>
      <v>322</v>
    </spb>
    <spb s="0">
      <v xml:space="preserve">Wikipedia	</v>
      <v xml:space="preserve">CC BY-SA 3.0	</v>
      <v xml:space="preserve">https://en.wikipedia.org/wiki/Forchheim	</v>
      <v xml:space="preserve">https://creativecommons.org/licenses/by-sa/3.0	</v>
    </spb>
    <spb s="14">
      <v>324</v>
      <v>324</v>
      <v>324</v>
      <v>324</v>
      <v>324</v>
      <v>324</v>
      <v>324</v>
      <v>324</v>
      <v>324</v>
    </spb>
    <spb s="0">
      <v xml:space="preserve">Wikipedia	</v>
      <v xml:space="preserve">CC BY-SA 3.0	</v>
      <v xml:space="preserve">https://en.wikipedia.org/wiki/Forst_(Lausitz)	</v>
      <v xml:space="preserve">https://creativecommons.org/licenses/by-sa/3.0	</v>
    </spb>
    <spb s="1">
      <v>326</v>
      <v>326</v>
      <v>326</v>
      <v>326</v>
      <v>326</v>
      <v>326</v>
      <v>326</v>
      <v>326</v>
      <v>326</v>
      <v>326</v>
    </spb>
    <spb s="0">
      <v xml:space="preserve">Wikipedia	</v>
      <v xml:space="preserve">CC BY-SA 3.0	</v>
      <v xml:space="preserve">https://en.wikipedia.org/wiki/Frankenthal	</v>
      <v xml:space="preserve">https://creativecommons.org/licenses/by-sa/3.0	</v>
    </spb>
    <spb s="10">
      <v>328</v>
      <v>328</v>
      <v>328</v>
      <v>328</v>
      <v>328</v>
      <v>328</v>
      <v>328</v>
      <v>328</v>
      <v>328</v>
    </spb>
    <spb s="0">
      <v xml:space="preserve">Wikipedia	</v>
      <v xml:space="preserve">CC BY-SA 3.0	</v>
      <v xml:space="preserve">https://en.wikipedia.org/wiki/Frankfurt_(Oder)	</v>
      <v xml:space="preserve">https://creativecommons.org/licenses/by-sa/3.0	</v>
    </spb>
    <spb s="10">
      <v>330</v>
      <v>330</v>
      <v>330</v>
      <v>330</v>
      <v>330</v>
      <v>330</v>
      <v>330</v>
      <v>330</v>
      <v>330</v>
    </spb>
    <spb s="0">
      <v xml:space="preserve">Wikipedia	</v>
      <v xml:space="preserve">CC BY-SA 3.0	</v>
      <v xml:space="preserve">https://en.wikipedia.org/wiki/Frankfurt	</v>
      <v xml:space="preserve">https://creativecommons.org/licenses/by-sa/3.0	</v>
    </spb>
    <spb s="1">
      <v>332</v>
      <v>332</v>
      <v>332</v>
      <v>332</v>
      <v>332</v>
      <v>332</v>
      <v>332</v>
      <v>332</v>
      <v>332</v>
      <v>332</v>
    </spb>
    <spb s="0">
      <v xml:space="preserve">Wikipedia	</v>
      <v xml:space="preserve">CC BY-SA 3.0	</v>
      <v xml:space="preserve">https://en.wikipedia.org/wiki/Frechen	</v>
      <v xml:space="preserve">https://creativecommons.org/licenses/by-sa/3.0	</v>
    </spb>
    <spb s="10">
      <v>334</v>
      <v>334</v>
      <v>334</v>
      <v>334</v>
      <v>334</v>
      <v>334</v>
      <v>334</v>
      <v>334</v>
      <v>334</v>
    </spb>
    <spb s="0">
      <v xml:space="preserve">Wikipedia	</v>
      <v xml:space="preserve">CC BY-SA 3.0	</v>
      <v xml:space="preserve">https://en.wikipedia.org/wiki/Freiberg	</v>
      <v xml:space="preserve">https://creativecommons.org/licenses/by-sa/3.0	</v>
    </spb>
    <spb s="1">
      <v>336</v>
      <v>336</v>
      <v>336</v>
      <v>336</v>
      <v>336</v>
      <v>336</v>
      <v>336</v>
      <v>336</v>
      <v>336</v>
      <v>336</v>
    </spb>
    <spb s="0">
      <v xml:space="preserve">Wikipedia	</v>
      <v xml:space="preserve">CC BY-SA 3.0	</v>
      <v xml:space="preserve">https://en.wikipedia.org/wiki/Freiburg_im_Breisgau	</v>
      <v xml:space="preserve">https://creativecommons.org/licenses/by-sa/3.0	</v>
    </spb>
    <spb s="1">
      <v>338</v>
      <v>338</v>
      <v>338</v>
      <v>338</v>
      <v>338</v>
      <v>338</v>
      <v>338</v>
      <v>338</v>
      <v>338</v>
      <v>338</v>
    </spb>
    <spb s="0">
      <v xml:space="preserve">Wikipedia	</v>
      <v xml:space="preserve">CC BY-SA 3.0	</v>
      <v xml:space="preserve">https://en.wikipedia.org/wiki/Freising	</v>
      <v xml:space="preserve">https://creativecommons.org/licenses/by-sa/3.0	</v>
    </spb>
    <spb s="14">
      <v>340</v>
      <v>340</v>
      <v>340</v>
      <v>340</v>
      <v>340</v>
      <v>340</v>
      <v>340</v>
      <v>340</v>
      <v>340</v>
    </spb>
    <spb s="0">
      <v xml:space="preserve">Wikipedia	</v>
      <v xml:space="preserve">CC BY-SA 3.0	</v>
      <v xml:space="preserve">https://en.wikipedia.org/wiki/Freital	</v>
      <v xml:space="preserve">https://creativecommons.org/licenses/by-sa/3.0	</v>
    </spb>
    <spb s="1">
      <v>342</v>
      <v>342</v>
      <v>342</v>
      <v>342</v>
      <v>342</v>
      <v>342</v>
      <v>342</v>
      <v>342</v>
      <v>342</v>
      <v>342</v>
    </spb>
    <spb s="0">
      <v xml:space="preserve">Wikipedia	</v>
      <v xml:space="preserve">CC BY-SA 3.0	</v>
      <v xml:space="preserve">https://en.wikipedia.org/wiki/Freudenstadt	</v>
      <v xml:space="preserve">https://creativecommons.org/licenses/by-sa/3.0	</v>
    </spb>
    <spb s="10">
      <v>344</v>
      <v>344</v>
      <v>344</v>
      <v>344</v>
      <v>344</v>
      <v>344</v>
      <v>344</v>
      <v>344</v>
      <v>344</v>
    </spb>
    <spb s="0">
      <v xml:space="preserve">Wikipedia	</v>
      <v xml:space="preserve">CC BY-SA 3.0	</v>
      <v xml:space="preserve">https://en.wikipedia.org/wiki/Friedrichshafen	</v>
      <v xml:space="preserve">https://creativecommons.org/licenses/by-sa/3.0	</v>
    </spb>
    <spb s="10">
      <v>346</v>
      <v>346</v>
      <v>346</v>
      <v>346</v>
      <v>346</v>
      <v>346</v>
      <v>346</v>
      <v>346</v>
      <v>346</v>
    </spb>
    <spb s="0">
      <v xml:space="preserve">Wikipedia	</v>
      <v xml:space="preserve">CC BY-SA 3.0	</v>
      <v xml:space="preserve">https://en.wikipedia.org/wiki/Fulda	</v>
      <v xml:space="preserve">https://creativecommons.org/licenses/by-sa/3.0	</v>
    </spb>
    <spb s="14">
      <v>348</v>
      <v>348</v>
      <v>348</v>
      <v>348</v>
      <v>348</v>
      <v>348</v>
      <v>348</v>
      <v>348</v>
      <v>348</v>
    </spb>
    <spb s="0">
      <v xml:space="preserve">Wikipedia	</v>
      <v xml:space="preserve">CC BY-SA 3.0	</v>
      <v xml:space="preserve">https://en.wikipedia.org/wiki/F%C3%BCrstenfeldbruck	</v>
      <v xml:space="preserve">https://creativecommons.org/licenses/by-sa/3.0	</v>
    </spb>
    <spb s="14">
      <v>350</v>
      <v>350</v>
      <v>350</v>
      <v>350</v>
      <v>350</v>
      <v>350</v>
      <v>350</v>
      <v>350</v>
      <v>350</v>
    </spb>
    <spb s="0">
      <v xml:space="preserve">Wikipedia	</v>
      <v xml:space="preserve">CC BY-SA 3.0	</v>
      <v xml:space="preserve">https://en.wikipedia.org/wiki/F%C3%BCrstenwalde	</v>
      <v xml:space="preserve">https://creativecommons.org/licenses/by-sa/3.0	</v>
    </spb>
    <spb s="1">
      <v>352</v>
      <v>352</v>
      <v>352</v>
      <v>352</v>
      <v>352</v>
      <v>352</v>
      <v>352</v>
      <v>352</v>
      <v>352</v>
      <v>352</v>
    </spb>
    <spb s="0">
      <v xml:space="preserve">Wikipedia	</v>
      <v xml:space="preserve">CC BY-SA 3.0	</v>
      <v xml:space="preserve">https://en.wikipedia.org/wiki/F%C3%BCrth	</v>
      <v xml:space="preserve">https://creativecommons.org/licenses/by-sa/3.0	</v>
    </spb>
    <spb s="12">
      <v>354</v>
      <v>354</v>
      <v>354</v>
      <v>354</v>
      <v>354</v>
      <v>354</v>
      <v>354</v>
      <v>354</v>
    </spb>
    <spb s="0">
      <v xml:space="preserve">Wikipedia	</v>
      <v xml:space="preserve">CC BY-SA 3.0	</v>
      <v xml:space="preserve">https://en.wikipedia.org/wiki/Garmisch-Partenkirchen	</v>
      <v xml:space="preserve">https://creativecommons.org/licenses/by-sa/3.0	</v>
    </spb>
    <spb s="14">
      <v>356</v>
      <v>356</v>
      <v>356</v>
      <v>356</v>
      <v>356</v>
      <v>356</v>
      <v>356</v>
      <v>356</v>
      <v>356</v>
    </spb>
    <spb s="0">
      <v xml:space="preserve">Wikipedia	</v>
      <v xml:space="preserve">CC BY-SA 3.0	</v>
      <v xml:space="preserve">https://en.wikipedia.org/wiki/Geesthacht	</v>
      <v xml:space="preserve">https://creativecommons.org/licenses/by-sa/3.0	</v>
    </spb>
    <spb s="1">
      <v>358</v>
      <v>358</v>
      <v>358</v>
      <v>358</v>
      <v>358</v>
      <v>358</v>
      <v>358</v>
      <v>358</v>
      <v>358</v>
      <v>358</v>
    </spb>
    <spb s="0">
      <v xml:space="preserve">Wikipedia	</v>
      <v xml:space="preserve">CC BY-SA 3.0	</v>
      <v xml:space="preserve">https://en.wikipedia.org/wiki/Geislingen_an_der_Steige	</v>
      <v xml:space="preserve">https://creativecommons.org/licenses/by-sa/3.0	</v>
    </spb>
    <spb s="1">
      <v>360</v>
      <v>360</v>
      <v>360</v>
      <v>360</v>
      <v>360</v>
      <v>360</v>
      <v>360</v>
      <v>360</v>
      <v>360</v>
      <v>360</v>
    </spb>
    <spb s="0">
      <v xml:space="preserve">Wikipedia	</v>
      <v xml:space="preserve">CC BY-SA 3.0	</v>
      <v xml:space="preserve">https://en.wikipedia.org/wiki/Gelsenkirchen	</v>
      <v xml:space="preserve">https://creativecommons.org/licenses/by-sa/3.0	</v>
    </spb>
    <spb s="1">
      <v>362</v>
      <v>362</v>
      <v>362</v>
      <v>362</v>
      <v>362</v>
      <v>362</v>
      <v>362</v>
      <v>362</v>
      <v>362</v>
      <v>362</v>
    </spb>
    <spb s="0">
      <v xml:space="preserve">Wikipedia	</v>
      <v xml:space="preserve">CC BY-SA 3.0	</v>
      <v xml:space="preserve">https://en.wikipedia.org/wiki/Gera	</v>
      <v xml:space="preserve">https://creativecommons.org/licenses/by-sa/3.0	</v>
    </spb>
    <spb s="12">
      <v>364</v>
      <v>364</v>
      <v>364</v>
      <v>364</v>
      <v>364</v>
      <v>364</v>
      <v>364</v>
      <v>364</v>
    </spb>
    <spb s="0">
      <v xml:space="preserve">Wikipedia	</v>
      <v xml:space="preserve">CC BY-SA 3.0	</v>
      <v xml:space="preserve">https://en.wikipedia.org/wiki/Gevelsberg	</v>
      <v xml:space="preserve">https://creativecommons.org/licenses/by-sa/3.0	</v>
    </spb>
    <spb s="14">
      <v>366</v>
      <v>366</v>
      <v>366</v>
      <v>366</v>
      <v>366</v>
      <v>366</v>
      <v>366</v>
      <v>366</v>
      <v>366</v>
    </spb>
    <spb s="0">
      <v xml:space="preserve">Wikipedia	</v>
      <v xml:space="preserve">CC BY-SA 3.0	</v>
      <v xml:space="preserve">https://en.wikipedia.org/wiki/Giessen	</v>
      <v xml:space="preserve">https://creativecommons.org/licenses/by-sa/3.0	</v>
    </spb>
    <spb s="14">
      <v>368</v>
      <v>368</v>
      <v>368</v>
      <v>368</v>
      <v>368</v>
      <v>368</v>
      <v>368</v>
      <v>368</v>
      <v>368</v>
    </spb>
    <spb s="0">
      <v xml:space="preserve">Wikipedia	</v>
      <v xml:space="preserve">CC BY-SA 3.0	</v>
      <v xml:space="preserve">https://en.wikipedia.org/wiki/Gifhorn	</v>
      <v xml:space="preserve">https://creativecommons.org/licenses/by-sa/3.0	</v>
    </spb>
    <spb s="10">
      <v>370</v>
      <v>370</v>
      <v>370</v>
      <v>370</v>
      <v>370</v>
      <v>370</v>
      <v>370</v>
      <v>370</v>
      <v>370</v>
    </spb>
    <spb s="0">
      <v xml:space="preserve">Wikipedia	</v>
      <v xml:space="preserve">CC BY-SA 3.0	</v>
      <v xml:space="preserve">https://en.wikipedia.org/wiki/Gilserberg	</v>
      <v xml:space="preserve">https://creativecommons.org/licenses/by-sa/3.0	</v>
    </spb>
    <spb s="14">
      <v>372</v>
      <v>372</v>
      <v>372</v>
      <v>372</v>
      <v>372</v>
      <v>372</v>
      <v>372</v>
      <v>372</v>
      <v>372</v>
    </spb>
    <spb s="0">
      <v xml:space="preserve">Wikipedia	</v>
      <v xml:space="preserve">CC BY-SA 3.0	</v>
      <v xml:space="preserve">https://en.wikipedia.org/wiki/Gladbeck	</v>
      <v xml:space="preserve">https://creativecommons.org/licenses/by-sa/3.0	</v>
    </spb>
    <spb s="1">
      <v>374</v>
      <v>374</v>
      <v>374</v>
      <v>374</v>
      <v>374</v>
      <v>374</v>
      <v>374</v>
      <v>374</v>
      <v>374</v>
      <v>374</v>
    </spb>
    <spb s="0">
      <v xml:space="preserve">Wikipedia	</v>
      <v xml:space="preserve">CC BY-SA 3.0	</v>
      <v xml:space="preserve">https://en.wikipedia.org/wiki/Glauchau	</v>
      <v xml:space="preserve">https://creativecommons.org/licenses/by-sa/3.0	</v>
    </spb>
    <spb s="1">
      <v>376</v>
      <v>376</v>
      <v>376</v>
      <v>376</v>
      <v>376</v>
      <v>376</v>
      <v>376</v>
      <v>376</v>
      <v>376</v>
      <v>376</v>
    </spb>
    <spb s="0">
      <v xml:space="preserve">Wikipedia	</v>
      <v xml:space="preserve">CC BY-SA 3.0	</v>
      <v xml:space="preserve">https://en.wikipedia.org/wiki/Gl%C3%BCckstadt	</v>
      <v xml:space="preserve">https://creativecommons.org/licenses/by-sa/3.0	</v>
    </spb>
    <spb s="1">
      <v>378</v>
      <v>378</v>
      <v>378</v>
      <v>378</v>
      <v>378</v>
      <v>378</v>
      <v>378</v>
      <v>378</v>
      <v>378</v>
      <v>378</v>
    </spb>
    <spb s="0">
      <v xml:space="preserve">Wikipedia	</v>
      <v xml:space="preserve">CC BY-SA 3.0	</v>
      <v xml:space="preserve">https://en.wikipedia.org/wiki/G%C3%B6ppingen	</v>
      <v xml:space="preserve">https://creativecommons.org/licenses/by-sa/3.0	</v>
    </spb>
    <spb s="10">
      <v>380</v>
      <v>380</v>
      <v>380</v>
      <v>380</v>
      <v>380</v>
      <v>380</v>
      <v>380</v>
      <v>380</v>
      <v>380</v>
    </spb>
    <spb s="0">
      <v xml:space="preserve">Wikipedia	</v>
      <v xml:space="preserve">CC BY-SA 3.0	</v>
      <v xml:space="preserve">https://en.wikipedia.org/wiki/G%C3%B6rlitz	</v>
      <v xml:space="preserve">https://creativecommons.org/licenses/by-sa/3.0	</v>
    </spb>
    <spb s="1">
      <v>382</v>
      <v>382</v>
      <v>382</v>
      <v>382</v>
      <v>382</v>
      <v>382</v>
      <v>382</v>
      <v>382</v>
      <v>382</v>
      <v>382</v>
    </spb>
    <spb s="0">
      <v xml:space="preserve">Wikipedia	</v>
      <v xml:space="preserve">CC BY-SA 3.0	</v>
      <v xml:space="preserve">https://en.wikipedia.org/wiki/Goslar	</v>
      <v xml:space="preserve">https://creativecommons.org/licenses/by-sa/3.0	</v>
    </spb>
    <spb s="1">
      <v>384</v>
      <v>384</v>
      <v>384</v>
      <v>384</v>
      <v>384</v>
      <v>384</v>
      <v>384</v>
      <v>384</v>
      <v>384</v>
      <v>384</v>
    </spb>
    <spb s="0">
      <v xml:space="preserve">Wikipedia	</v>
      <v xml:space="preserve">CC BY-SA 3.0	</v>
      <v xml:space="preserve">https://en.wikipedia.org/wiki/G%C3%B6%C3%9Fweinstein	</v>
      <v xml:space="preserve">https://creativecommons.org/licenses/by-sa/3.0	</v>
    </spb>
    <spb s="14">
      <v>386</v>
      <v>386</v>
      <v>386</v>
      <v>386</v>
      <v>386</v>
      <v>386</v>
      <v>386</v>
      <v>386</v>
      <v>386</v>
    </spb>
    <spb s="0">
      <v xml:space="preserve">Wikipedia	</v>
      <v xml:space="preserve">CC BY-SA 3.0	</v>
      <v xml:space="preserve">https://en.wikipedia.org/wiki/Gotha	</v>
      <v xml:space="preserve">https://creativecommons.org/licenses/by-sa/3.0	</v>
    </spb>
    <spb s="14">
      <v>388</v>
      <v>388</v>
      <v>388</v>
      <v>388</v>
      <v>388</v>
      <v>388</v>
      <v>388</v>
      <v>388</v>
      <v>388</v>
    </spb>
    <spb s="0">
      <v xml:space="preserve">Wikipedia	</v>
      <v xml:space="preserve">CC BY-SA 3.0	</v>
      <v xml:space="preserve">https://en.wikipedia.org/wiki/G%C3%B6ttingen	</v>
      <v xml:space="preserve">https://creativecommons.org/licenses/by-sa/3.0	</v>
    </spb>
    <spb s="10">
      <v>390</v>
      <v>390</v>
      <v>390</v>
      <v>390</v>
      <v>390</v>
      <v>390</v>
      <v>390</v>
      <v>390</v>
      <v>390</v>
    </spb>
    <spb s="0">
      <v xml:space="preserve">Wikipedia	</v>
      <v xml:space="preserve">CC BY-SA 3.0	</v>
      <v xml:space="preserve">https://en.wikipedia.org/wiki/Greifswald	</v>
      <v xml:space="preserve">https://creativecommons.org/licenses/by-sa/3.0	</v>
    </spb>
    <spb s="1">
      <v>392</v>
      <v>392</v>
      <v>392</v>
      <v>392</v>
      <v>392</v>
      <v>392</v>
      <v>392</v>
      <v>392</v>
      <v>392</v>
      <v>392</v>
    </spb>
    <spb s="0">
      <v xml:space="preserve">Wikipedia	</v>
      <v xml:space="preserve">CC BY-SA 3.0	</v>
      <v xml:space="preserve">https://en.wikipedia.org/wiki/Greiz	</v>
      <v xml:space="preserve">https://creativecommons.org/licenses/by-sa/3.0	</v>
    </spb>
    <spb s="14">
      <v>394</v>
      <v>394</v>
      <v>394</v>
      <v>394</v>
      <v>394</v>
      <v>394</v>
      <v>394</v>
      <v>394</v>
      <v>394</v>
    </spb>
    <spb s="0">
      <v xml:space="preserve">Wikipedia	</v>
      <v xml:space="preserve">CC BY-SA 3.0	</v>
      <v xml:space="preserve">https://en.wikipedia.org/wiki/Greven	</v>
      <v xml:space="preserve">https://creativecommons.org/licenses/by-sa/3.0	</v>
    </spb>
    <spb s="1">
      <v>396</v>
      <v>396</v>
      <v>396</v>
      <v>396</v>
      <v>396</v>
      <v>396</v>
      <v>396</v>
      <v>396</v>
      <v>396</v>
      <v>396</v>
    </spb>
    <spb s="0">
      <v xml:space="preserve">Wikipedia	</v>
      <v xml:space="preserve">CC BY-SA 3.0	</v>
      <v xml:space="preserve">https://en.wikipedia.org/wiki/Grevenbroich	</v>
      <v xml:space="preserve">https://creativecommons.org/licenses/by-sa/3.0	</v>
    </spb>
    <spb s="10">
      <v>398</v>
      <v>398</v>
      <v>398</v>
      <v>398</v>
      <v>398</v>
      <v>398</v>
      <v>398</v>
      <v>398</v>
      <v>398</v>
    </spb>
    <spb s="0">
      <v xml:space="preserve">Wikipedia	</v>
      <v xml:space="preserve">CC BY-SA 3.0	</v>
      <v xml:space="preserve">https://en.wikipedia.org/wiki/Gronau,_North_Rhine-Westphalia	</v>
      <v xml:space="preserve">https://creativecommons.org/licenses/by-sa/3.0	</v>
    </spb>
    <spb s="1">
      <v>400</v>
      <v>400</v>
      <v>400</v>
      <v>400</v>
      <v>400</v>
      <v>400</v>
      <v>400</v>
      <v>400</v>
      <v>400</v>
      <v>400</v>
    </spb>
    <spb s="0">
      <v xml:space="preserve">Wikipedia	</v>
      <v xml:space="preserve">CC BY-SA 3.0	</v>
      <v xml:space="preserve">https://en.wikipedia.org/wiki/Gro%C3%9Fenhain	</v>
      <v xml:space="preserve">https://creativecommons.org/licenses/by-sa/3.0	</v>
    </spb>
    <spb s="1">
      <v>402</v>
      <v>402</v>
      <v>402</v>
      <v>402</v>
      <v>402</v>
      <v>402</v>
      <v>402</v>
      <v>402</v>
      <v>402</v>
      <v>402</v>
    </spb>
    <spb s="0">
      <v xml:space="preserve">Wikipedia	</v>
      <v xml:space="preserve">CC BY-SA 3.0	</v>
      <v xml:space="preserve">https://en.wikipedia.org/wiki/Gschwend,_Baden-W%C3%BCrttemberg	</v>
      <v xml:space="preserve">https://creativecommons.org/licenses/by-sa/3.0	</v>
    </spb>
    <spb s="1">
      <v>404</v>
      <v>404</v>
      <v>404</v>
      <v>404</v>
      <v>404</v>
      <v>404</v>
      <v>404</v>
      <v>404</v>
      <v>404</v>
      <v>404</v>
    </spb>
    <spb s="0">
      <v xml:space="preserve">Wikipedia	</v>
      <v xml:space="preserve">CC BY-SA 3.0	</v>
      <v xml:space="preserve">https://en.wikipedia.org/wiki/Guben	</v>
      <v xml:space="preserve">https://creativecommons.org/licenses/by-sa/3.0	</v>
    </spb>
    <spb s="1">
      <v>406</v>
      <v>406</v>
      <v>406</v>
      <v>406</v>
      <v>406</v>
      <v>406</v>
      <v>406</v>
      <v>406</v>
      <v>406</v>
      <v>406</v>
    </spb>
    <spb s="0">
      <v xml:space="preserve">Wikipedia	</v>
      <v xml:space="preserve">CC BY-SA 3.0	</v>
      <v xml:space="preserve">https://en.wikipedia.org/wiki/Gummersbach	</v>
      <v xml:space="preserve">https://creativecommons.org/licenses/by-sa/3.0	</v>
    </spb>
    <spb s="1">
      <v>408</v>
      <v>408</v>
      <v>408</v>
      <v>408</v>
      <v>408</v>
      <v>408</v>
      <v>408</v>
      <v>408</v>
      <v>408</v>
      <v>408</v>
    </spb>
    <spb s="0">
      <v xml:space="preserve">Wikipedia	</v>
      <v xml:space="preserve">CC BY-SA 3.0	</v>
      <v xml:space="preserve">https://en.wikipedia.org/wiki/G%C3%BCtersloh	</v>
      <v xml:space="preserve">https://creativecommons.org/licenses/by-sa/3.0	</v>
    </spb>
    <spb s="14">
      <v>410</v>
      <v>410</v>
      <v>410</v>
      <v>410</v>
      <v>410</v>
      <v>410</v>
      <v>410</v>
      <v>410</v>
      <v>410</v>
    </spb>
    <spb s="3">
      <v>14</v>
      <v>Name</v>
      <v>LearnMoreOnLink</v>
    </spb>
    <spb s="0">
      <v xml:space="preserve">Wikipedia	</v>
      <v xml:space="preserve">CC BY-SA 3.0	</v>
      <v xml:space="preserve">https://en.wikipedia.org/wiki/Hagen	</v>
      <v xml:space="preserve">https://creativecommons.org/licenses/by-sa/3.0	</v>
    </spb>
    <spb s="10">
      <v>413</v>
      <v>413</v>
      <v>413</v>
      <v>413</v>
      <v>413</v>
      <v>413</v>
      <v>413</v>
      <v>413</v>
      <v>413</v>
    </spb>
    <spb s="0">
      <v xml:space="preserve">Wikipedia	</v>
      <v xml:space="preserve">CC BY-SA 3.0	</v>
      <v xml:space="preserve">https://en.wikipedia.org/wiki/Halberstadt	</v>
      <v xml:space="preserve">https://creativecommons.org/licenses/by-sa/3.0	</v>
    </spb>
    <spb s="10">
      <v>415</v>
      <v>415</v>
      <v>415</v>
      <v>415</v>
      <v>415</v>
      <v>415</v>
      <v>415</v>
      <v>415</v>
      <v>415</v>
    </spb>
    <spb s="0">
      <v xml:space="preserve">Wikipedia	</v>
      <v xml:space="preserve">CC BY-SA 3.0	</v>
      <v xml:space="preserve">https://en.wikipedia.org/wiki/Haldensleben	</v>
      <v xml:space="preserve">https://creativecommons.org/licenses/by-sa/3.0	</v>
    </spb>
    <spb s="12">
      <v>417</v>
      <v>417</v>
      <v>417</v>
      <v>417</v>
      <v>417</v>
      <v>417</v>
      <v>417</v>
      <v>417</v>
    </spb>
    <spb s="0">
      <v xml:space="preserve">Wikipedia	</v>
      <v xml:space="preserve">CC BY-SA 3.0	</v>
      <v xml:space="preserve">https://en.wikipedia.org/wiki/Halle_(Saale)	</v>
      <v xml:space="preserve">https://creativecommons.org/licenses/by-sa/3.0	</v>
    </spb>
    <spb s="12">
      <v>419</v>
      <v>419</v>
      <v>419</v>
      <v>419</v>
      <v>419</v>
      <v>419</v>
      <v>419</v>
      <v>419</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16">
      <v>421</v>
      <v>421</v>
      <v>422</v>
      <v>108</v>
      <v>421</v>
      <v>421</v>
      <v>421</v>
      <v>421</v>
      <v>108</v>
      <v>108</v>
    </spb>
    <spb s="3">
      <v>15</v>
      <v>Name</v>
      <v>LearnMoreOnLink</v>
    </spb>
    <spb s="0">
      <v xml:space="preserve">Wikipedia	</v>
      <v xml:space="preserve">CC BY-SA 3.0	</v>
      <v xml:space="preserve">https://en.wikipedia.org/wiki/Hamelin	</v>
      <v xml:space="preserve">https://creativecommons.org/licenses/by-sa/3.0	</v>
    </spb>
    <spb s="1">
      <v>425</v>
      <v>425</v>
      <v>425</v>
      <v>425</v>
      <v>425</v>
      <v>425</v>
      <v>425</v>
      <v>425</v>
      <v>425</v>
      <v>425</v>
    </spb>
    <spb s="0">
      <v xml:space="preserve">Wikipedia	</v>
      <v xml:space="preserve">CC BY-SA 3.0	</v>
      <v xml:space="preserve">https://en.wikipedia.org/wiki/Hamm	</v>
      <v xml:space="preserve">https://creativecommons.org/licenses/by-sa/3.0	</v>
    </spb>
    <spb s="10">
      <v>427</v>
      <v>427</v>
      <v>427</v>
      <v>427</v>
      <v>427</v>
      <v>427</v>
      <v>427</v>
      <v>427</v>
      <v>427</v>
    </spb>
    <spb s="0">
      <v xml:space="preserve">Wikipedia	</v>
      <v xml:space="preserve">CC BY-SA 3.0	</v>
      <v xml:space="preserve">https://en.wikipedia.org/wiki/Hanau	</v>
      <v xml:space="preserve">https://creativecommons.org/licenses/by-sa/3.0	</v>
    </spb>
    <spb s="1">
      <v>429</v>
      <v>429</v>
      <v>429</v>
      <v>429</v>
      <v>429</v>
      <v>429</v>
      <v>429</v>
      <v>429</v>
      <v>429</v>
      <v>429</v>
    </spb>
    <spb s="0">
      <v xml:space="preserve">Wikipedia	</v>
      <v xml:space="preserve">CC BY-SA 3.0	</v>
      <v xml:space="preserve">https://en.wikipedia.org/wiki/Hanover	</v>
      <v xml:space="preserve">https://creativecommons.org/licenses/by-sa/3.0	</v>
    </spb>
    <spb s="1">
      <v>431</v>
      <v>431</v>
      <v>431</v>
      <v>431</v>
      <v>431</v>
      <v>431</v>
      <v>431</v>
      <v>431</v>
      <v>431</v>
      <v>431</v>
    </spb>
    <spb s="0">
      <v xml:space="preserve">Wikipedia	</v>
      <v xml:space="preserve">CC BY-SA 3.0	</v>
      <v xml:space="preserve">https://en.wikipedia.org/wiki/Hattingen	</v>
      <v xml:space="preserve">https://creativecommons.org/licenses/by-sa/3.0	</v>
    </spb>
    <spb s="14">
      <v>433</v>
      <v>433</v>
      <v>433</v>
      <v>433</v>
      <v>433</v>
      <v>433</v>
      <v>433</v>
      <v>433</v>
      <v>433</v>
    </spb>
    <spb s="0">
      <v xml:space="preserve">Wikipedia	</v>
      <v xml:space="preserve">CC BY-SA 3.0	</v>
      <v xml:space="preserve">https://en.wikipedia.org/wiki/Heide	</v>
      <v xml:space="preserve">https://creativecommons.org/licenses/by-sa/3.0	</v>
    </spb>
    <spb s="1">
      <v>435</v>
      <v>435</v>
      <v>435</v>
      <v>435</v>
      <v>435</v>
      <v>435</v>
      <v>435</v>
      <v>435</v>
      <v>435</v>
      <v>435</v>
    </spb>
    <spb s="0">
      <v xml:space="preserve">Wikipedia	</v>
      <v xml:space="preserve">CC BY-SA 3.0	</v>
      <v xml:space="preserve">https://en.wikipedia.org/wiki/Heidelberg	</v>
      <v xml:space="preserve">https://creativecommons.org/licenses/by-sa/3.0	</v>
    </spb>
    <spb s="10">
      <v>437</v>
      <v>437</v>
      <v>437</v>
      <v>437</v>
      <v>437</v>
      <v>437</v>
      <v>437</v>
      <v>437</v>
      <v>437</v>
    </spb>
    <spb s="0">
      <v xml:space="preserve">Wikipedia	</v>
      <v xml:space="preserve">CC BY-SA 3.0	</v>
      <v xml:space="preserve">https://en.wikipedia.org/wiki/Heidenau	</v>
      <v xml:space="preserve">https://creativecommons.org/licenses/by-sa/3.0	</v>
    </spb>
    <spb s="1">
      <v>439</v>
      <v>439</v>
      <v>439</v>
      <v>439</v>
      <v>439</v>
      <v>439</v>
      <v>439</v>
      <v>439</v>
      <v>439</v>
      <v>439</v>
    </spb>
    <spb s="0">
      <v xml:space="preserve">Wikipedia	</v>
      <v xml:space="preserve">CC BY-SA 3.0	</v>
      <v xml:space="preserve">https://en.wikipedia.org/wiki/Heidenheim_an_der_Brenz	</v>
      <v xml:space="preserve">https://creativecommons.org/licenses/by-sa/3.0	</v>
    </spb>
    <spb s="10">
      <v>441</v>
      <v>441</v>
      <v>441</v>
      <v>441</v>
      <v>441</v>
      <v>441</v>
      <v>441</v>
      <v>441</v>
      <v>441</v>
    </spb>
    <spb s="0">
      <v xml:space="preserve">Wikipedia	</v>
      <v xml:space="preserve">CC BY-SA 3.0	</v>
      <v xml:space="preserve">https://en.wikipedia.org/wiki/Heilbronn	</v>
      <v xml:space="preserve">https://creativecommons.org/licenses/by-sa/3.0	</v>
    </spb>
    <spb s="1">
      <v>443</v>
      <v>443</v>
      <v>443</v>
      <v>443</v>
      <v>443</v>
      <v>443</v>
      <v>443</v>
      <v>443</v>
      <v>443</v>
      <v>443</v>
    </spb>
    <spb s="0">
      <v xml:space="preserve">Wikipedia	</v>
      <v xml:space="preserve">CC BY-SA 3.0	</v>
      <v xml:space="preserve">https://en.wikipedia.org/wiki/Heiligenhaus	</v>
      <v xml:space="preserve">https://creativecommons.org/licenses/by-sa/3.0	</v>
    </spb>
    <spb s="1">
      <v>445</v>
      <v>445</v>
      <v>445</v>
      <v>445</v>
      <v>445</v>
      <v>445</v>
      <v>445</v>
      <v>445</v>
      <v>445</v>
      <v>445</v>
    </spb>
    <spb s="0">
      <v xml:space="preserve">Wikipedia	</v>
      <v xml:space="preserve">CC BY-SA 3.0	</v>
      <v xml:space="preserve">https://en.wikipedia.org/wiki/Helmstedt	</v>
      <v xml:space="preserve">https://creativecommons.org/licenses/by-sa/3.0	</v>
    </spb>
    <spb s="1">
      <v>447</v>
      <v>447</v>
      <v>447</v>
      <v>447</v>
      <v>447</v>
      <v>447</v>
      <v>447</v>
      <v>447</v>
      <v>447</v>
      <v>447</v>
    </spb>
    <spb s="0">
      <v xml:space="preserve">Wikipedia	</v>
      <v xml:space="preserve">CC BY-SA 3.0	</v>
      <v xml:space="preserve">https://en.wikipedia.org/wiki/Hemer	</v>
      <v xml:space="preserve">https://creativecommons.org/licenses/by-sa/3.0	</v>
    </spb>
    <spb s="14">
      <v>449</v>
      <v>449</v>
      <v>449</v>
      <v>449</v>
      <v>449</v>
      <v>449</v>
      <v>449</v>
      <v>449</v>
      <v>449</v>
    </spb>
    <spb s="0">
      <v xml:space="preserve">Wikipedia	</v>
      <v xml:space="preserve">CC BY-SA 3.0	</v>
      <v xml:space="preserve">https://en.wikipedia.org/wiki/Hennigsdorf	</v>
      <v xml:space="preserve">https://creativecommons.org/licenses/by-sa/3.0	</v>
    </spb>
    <spb s="1">
      <v>451</v>
      <v>451</v>
      <v>451</v>
      <v>451</v>
      <v>451</v>
      <v>451</v>
      <v>451</v>
      <v>451</v>
      <v>451</v>
      <v>451</v>
    </spb>
    <spb s="0">
      <v xml:space="preserve">Wikipedia	</v>
      <v xml:space="preserve">CC BY-SA 3.0	</v>
      <v xml:space="preserve">https://en.wikipedia.org/wiki/Herford	</v>
      <v xml:space="preserve">https://creativecommons.org/licenses/by-sa/3.0	</v>
    </spb>
    <spb s="14">
      <v>453</v>
      <v>453</v>
      <v>453</v>
      <v>453</v>
      <v>453</v>
      <v>453</v>
      <v>453</v>
      <v>453</v>
      <v>453</v>
    </spb>
    <spb s="0">
      <v xml:space="preserve">Wikipedia	</v>
      <v xml:space="preserve">CC BY-SA 3.0	</v>
      <v xml:space="preserve">https://en.wikipedia.org/wiki/Herleshausen	</v>
      <v xml:space="preserve">https://creativecommons.org/licenses/by-sa/3.0	</v>
    </spb>
    <spb s="14">
      <v>455</v>
      <v>455</v>
      <v>455</v>
      <v>455</v>
      <v>455</v>
      <v>455</v>
      <v>455</v>
      <v>455</v>
      <v>455</v>
    </spb>
    <spb s="0">
      <v xml:space="preserve">Wikipedia	</v>
      <v xml:space="preserve">CC BY-SA 3.0	</v>
      <v xml:space="preserve">https://en.wikipedia.org/wiki/Herne,_North_Rhine-Westphalia	</v>
      <v xml:space="preserve">https://creativecommons.org/licenses/by-sa/3.0	</v>
    </spb>
    <spb s="10">
      <v>457</v>
      <v>457</v>
      <v>457</v>
      <v>457</v>
      <v>457</v>
      <v>457</v>
      <v>457</v>
      <v>457</v>
      <v>457</v>
    </spb>
    <spb s="0">
      <v xml:space="preserve">Wikipedia	</v>
      <v xml:space="preserve">CC BY-SA 3.0	</v>
      <v xml:space="preserve">https://en.wikipedia.org/wiki/Herten	</v>
      <v xml:space="preserve">https://creativecommons.org/licenses/by-sa/3.0	</v>
    </spb>
    <spb s="1">
      <v>459</v>
      <v>459</v>
      <v>459</v>
      <v>459</v>
      <v>459</v>
      <v>459</v>
      <v>459</v>
      <v>459</v>
      <v>459</v>
      <v>459</v>
    </spb>
    <spb s="0">
      <v xml:space="preserve">Wikipedia	</v>
      <v xml:space="preserve">CC BY-SA 3.0	</v>
      <v xml:space="preserve">https://en.wikipedia.org/wiki/Hettstedt	</v>
      <v xml:space="preserve">https://creativecommons.org/licenses/by-sa/3.0	</v>
    </spb>
    <spb s="10">
      <v>461</v>
      <v>461</v>
      <v>461</v>
      <v>461</v>
      <v>461</v>
      <v>461</v>
      <v>461</v>
      <v>461</v>
      <v>461</v>
    </spb>
    <spb s="0">
      <v xml:space="preserve">Wikipedia	</v>
      <v xml:space="preserve">CC BY-SA 3.0	</v>
      <v xml:space="preserve">https://en.wikipedia.org/wiki/Hilden	</v>
      <v xml:space="preserve">https://creativecommons.org/licenses/by-sa/3.0	</v>
    </spb>
    <spb s="1">
      <v>463</v>
      <v>463</v>
      <v>463</v>
      <v>463</v>
      <v>463</v>
      <v>463</v>
      <v>463</v>
      <v>463</v>
      <v>463</v>
      <v>463</v>
    </spb>
    <spb s="0">
      <v xml:space="preserve">Wikipedia	</v>
      <v xml:space="preserve">CC BY-SA 3.0	</v>
      <v xml:space="preserve">https://en.wikipedia.org/wiki/Hildesheim	</v>
      <v xml:space="preserve">https://creativecommons.org/licenses/by-sa/3.0	</v>
    </spb>
    <spb s="1">
      <v>465</v>
      <v>465</v>
      <v>465</v>
      <v>465</v>
      <v>465</v>
      <v>465</v>
      <v>465</v>
      <v>465</v>
      <v>465</v>
      <v>465</v>
    </spb>
    <spb s="0">
      <v xml:space="preserve">Wikipedia	</v>
      <v xml:space="preserve">CC BY-SA 3.0	</v>
      <v xml:space="preserve">https://en.wikipedia.org/wiki/H%C3%B6chenschwand	</v>
      <v xml:space="preserve">https://creativecommons.org/licenses/by-sa/3.0	</v>
    </spb>
    <spb s="10">
      <v>467</v>
      <v>467</v>
      <v>467</v>
      <v>467</v>
      <v>467</v>
      <v>467</v>
      <v>467</v>
      <v>467</v>
      <v>467</v>
    </spb>
    <spb s="0">
      <v xml:space="preserve">Wikipedia	</v>
      <v xml:space="preserve">CC BY-SA 3.0	</v>
      <v xml:space="preserve">https://en.wikipedia.org/wiki/Hof,_Bavaria	</v>
      <v xml:space="preserve">https://creativecommons.org/licenses/by-sa/3.0	</v>
    </spb>
    <spb s="12">
      <v>469</v>
      <v>469</v>
      <v>469</v>
      <v>469</v>
      <v>469</v>
      <v>469</v>
      <v>469</v>
      <v>469</v>
    </spb>
    <spb s="0">
      <v xml:space="preserve">Wikipedia	</v>
      <v xml:space="preserve">CC BY-SA 3.0	</v>
      <v xml:space="preserve">https://en.wikipedia.org/wiki/Hofheim,_Hesse	</v>
      <v xml:space="preserve">https://creativecommons.org/licenses/by-sa/3.0	</v>
    </spb>
    <spb s="1">
      <v>471</v>
      <v>471</v>
      <v>471</v>
      <v>471</v>
      <v>471</v>
      <v>471</v>
      <v>471</v>
      <v>471</v>
      <v>471</v>
      <v>471</v>
    </spb>
    <spb s="0">
      <v xml:space="preserve">Wikipedia	</v>
      <v xml:space="preserve">CC BY-SA 3.0	</v>
      <v xml:space="preserve">https://en.wikipedia.org/wiki/Hagen-Hohenlimburg	</v>
      <v xml:space="preserve">https://creativecommons.org/licenses/by-sa/3.0	</v>
    </spb>
    <spb s="25">
      <v>473</v>
      <v>473</v>
      <v>473</v>
      <v>473</v>
      <v>473</v>
      <v>473</v>
      <v>473</v>
      <v>473</v>
      <v>473</v>
    </spb>
    <spb s="0">
      <v xml:space="preserve">Wikipedia	</v>
      <v xml:space="preserve">CC BY-SA 3.0	</v>
      <v xml:space="preserve">https://en.wikipedia.org/wiki/Hohenpei%C3%9Fenberg	</v>
      <v xml:space="preserve">https://creativecommons.org/licenses/by-sa/3.0	</v>
    </spb>
    <spb s="14">
      <v>475</v>
      <v>475</v>
      <v>475</v>
      <v>475</v>
      <v>475</v>
      <v>475</v>
      <v>475</v>
      <v>475</v>
      <v>475</v>
    </spb>
    <spb s="0">
      <v xml:space="preserve">Wikipedia	</v>
      <v xml:space="preserve">CC BY-SA 3.0	</v>
      <v xml:space="preserve">https://en.wikipedia.org/wiki/Holzminden	</v>
      <v xml:space="preserve">https://creativecommons.org/licenses/by-sa/3.0	</v>
    </spb>
    <spb s="1">
      <v>477</v>
      <v>477</v>
      <v>477</v>
      <v>477</v>
      <v>477</v>
      <v>477</v>
      <v>477</v>
      <v>477</v>
      <v>477</v>
      <v>477</v>
    </spb>
    <spb s="0">
      <v xml:space="preserve">Wikipedia	</v>
      <v xml:space="preserve">CC BY-SA 3.0	</v>
      <v xml:space="preserve">https://en.wikipedia.org/wiki/Homberg_(Efze)	</v>
      <v xml:space="preserve">https://creativecommons.org/licenses/by-sa/3.0	</v>
    </spb>
    <spb s="14">
      <v>479</v>
      <v>479</v>
      <v>479</v>
      <v>479</v>
      <v>479</v>
      <v>479</v>
      <v>479</v>
      <v>479</v>
      <v>479</v>
    </spb>
    <spb s="0">
      <v xml:space="preserve">Wikipedia	</v>
      <v xml:space="preserve">CC BY-SA 3.0	</v>
      <v xml:space="preserve">https://en.wikipedia.org/wiki/Homburg,_Saarland	</v>
      <v xml:space="preserve">https://creativecommons.org/licenses/by-sa/3.0	</v>
    </spb>
    <spb s="1">
      <v>481</v>
      <v>481</v>
      <v>481</v>
      <v>481</v>
      <v>481</v>
      <v>481</v>
      <v>481</v>
      <v>481</v>
      <v>481</v>
      <v>481</v>
    </spb>
    <spb s="0">
      <v xml:space="preserve">Wikipedia	</v>
      <v xml:space="preserve">CC BY-SA 3.0	</v>
      <v xml:space="preserve">https://en.wikipedia.org/wiki/Hoyerswerda	</v>
      <v xml:space="preserve">https://creativecommons.org/licenses/by-sa/3.0	</v>
    </spb>
    <spb s="1">
      <v>483</v>
      <v>483</v>
      <v>483</v>
      <v>483</v>
      <v>483</v>
      <v>483</v>
      <v>483</v>
      <v>483</v>
      <v>483</v>
      <v>483</v>
    </spb>
    <spb s="0">
      <v xml:space="preserve">Wikipedia	</v>
      <v xml:space="preserve">CC BY-SA 3.0	</v>
      <v xml:space="preserve">https://en.wikipedia.org/wiki/H%C3%BCckelhoven	</v>
      <v xml:space="preserve">https://creativecommons.org/licenses/by-sa/3.0	</v>
    </spb>
    <spb s="1">
      <v>485</v>
      <v>485</v>
      <v>485</v>
      <v>485</v>
      <v>485</v>
      <v>485</v>
      <v>485</v>
      <v>485</v>
      <v>485</v>
      <v>485</v>
    </spb>
    <spb s="0">
      <v xml:space="preserve">Wikipedia	</v>
      <v xml:space="preserve">CC BY-SA 3.0	</v>
      <v xml:space="preserve">https://en.wikipedia.org/wiki/H%C3%BCrth	</v>
      <v xml:space="preserve">https://creativecommons.org/licenses/by-sa/3.0	</v>
    </spb>
    <spb s="10">
      <v>487</v>
      <v>487</v>
      <v>487</v>
      <v>487</v>
      <v>487</v>
      <v>487</v>
      <v>487</v>
      <v>487</v>
      <v>487</v>
    </spb>
    <spb s="0">
      <v xml:space="preserve">Wikipedia	</v>
      <v xml:space="preserve">CC BY-SA 3.0	</v>
      <v xml:space="preserve">https://en.wikipedia.org/wiki/Husum	</v>
      <v xml:space="preserve">https://creativecommons.org/licenses/by-sa/3.0	</v>
    </spb>
    <spb s="1">
      <v>489</v>
      <v>489</v>
      <v>489</v>
      <v>489</v>
      <v>489</v>
      <v>489</v>
      <v>489</v>
      <v>489</v>
      <v>489</v>
      <v>489</v>
    </spb>
    <spb s="0">
      <v xml:space="preserve">Wikipedia	</v>
      <v xml:space="preserve">CC BY-SA 3.0	</v>
      <v xml:space="preserve">https://en.wikipedia.org/wiki/Ibbenb%C3%BCren	</v>
      <v xml:space="preserve">https://creativecommons.org/licenses/by-sa/3.0	</v>
    </spb>
    <spb s="1">
      <v>491</v>
      <v>491</v>
      <v>491</v>
      <v>491</v>
      <v>491</v>
      <v>491</v>
      <v>491</v>
      <v>491</v>
      <v>491</v>
      <v>491</v>
    </spb>
    <spb s="0">
      <v xml:space="preserve">Wikipedia	</v>
      <v xml:space="preserve">CC BY-SA 3.0	</v>
      <v xml:space="preserve">https://en.wikipedia.org/wiki/Idar-Oberstein	</v>
      <v xml:space="preserve">https://creativecommons.org/licenses/by-sa/3.0	</v>
    </spb>
    <spb s="1">
      <v>493</v>
      <v>493</v>
      <v>493</v>
      <v>493</v>
      <v>493</v>
      <v>493</v>
      <v>493</v>
      <v>493</v>
      <v>493</v>
      <v>493</v>
    </spb>
    <spb s="0">
      <v xml:space="preserve">Wikipedia	</v>
      <v xml:space="preserve">CC BY-SA 3.0	</v>
      <v xml:space="preserve">https://en.wikipedia.org/wiki/Ilmenau	</v>
      <v xml:space="preserve">https://creativecommons.org/licenses/by-sa/3.0	</v>
    </spb>
    <spb s="14">
      <v>495</v>
      <v>495</v>
      <v>495</v>
      <v>495</v>
      <v>495</v>
      <v>495</v>
      <v>495</v>
      <v>495</v>
      <v>495</v>
    </spb>
    <spb s="0">
      <v xml:space="preserve">Wikipedia	</v>
      <v xml:space="preserve">CC BY-SA 3.0	</v>
      <v xml:space="preserve">https://en.wikipedia.org/wiki/Ingolstadt	</v>
      <v xml:space="preserve">https://creativecommons.org/licenses/by-sa/3.0	</v>
    </spb>
    <spb s="12">
      <v>497</v>
      <v>497</v>
      <v>497</v>
      <v>497</v>
      <v>497</v>
      <v>497</v>
      <v>497</v>
      <v>497</v>
    </spb>
    <spb s="0">
      <v xml:space="preserve">Wikipedia	</v>
      <v xml:space="preserve">CC BY-SA 3.0	</v>
      <v xml:space="preserve">https://en.wikipedia.org/wiki/Iserlohn	</v>
      <v xml:space="preserve">https://creativecommons.org/licenses/by-sa/3.0	</v>
    </spb>
    <spb s="14">
      <v>499</v>
      <v>499</v>
      <v>499</v>
      <v>499</v>
      <v>499</v>
      <v>499</v>
      <v>499</v>
      <v>499</v>
      <v>499</v>
    </spb>
    <spb s="0">
      <v xml:space="preserve">Wikipedia	</v>
      <v xml:space="preserve">CC BY-SA 3.0	</v>
      <v xml:space="preserve">https://en.wikipedia.org/wiki/Itzehoe	</v>
      <v xml:space="preserve">https://creativecommons.org/licenses/by-sa/3.0	</v>
    </spb>
    <spb s="1">
      <v>501</v>
      <v>501</v>
      <v>501</v>
      <v>501</v>
      <v>501</v>
      <v>501</v>
      <v>501</v>
      <v>501</v>
      <v>501</v>
      <v>501</v>
    </spb>
    <spb s="0">
      <v xml:space="preserve">Wikipedia	</v>
      <v xml:space="preserve">CC BY-SA 3.0	</v>
      <v xml:space="preserve">https://en.wikipedia.org/wiki/Jena	</v>
      <v xml:space="preserve">https://creativecommons.org/licenses/by-sa/3.0	</v>
    </spb>
    <spb s="12">
      <v>503</v>
      <v>503</v>
      <v>503</v>
      <v>503</v>
      <v>503</v>
      <v>503</v>
      <v>503</v>
      <v>503</v>
    </spb>
    <spb s="0">
      <v xml:space="preserve">Wikipedia	</v>
      <v xml:space="preserve">CC BY-SA 3.0	</v>
      <v xml:space="preserve">https://en.wikipedia.org/wiki/Kahl_am_Main	</v>
      <v xml:space="preserve">https://creativecommons.org/licenses/by-sa/3.0	</v>
    </spb>
    <spb s="14">
      <v>505</v>
      <v>505</v>
      <v>505</v>
      <v>505</v>
      <v>505</v>
      <v>505</v>
      <v>505</v>
      <v>505</v>
      <v>505</v>
    </spb>
    <spb s="0">
      <v xml:space="preserve">Wikipedia	</v>
      <v xml:space="preserve">CC BY-SA 3.0	</v>
      <v xml:space="preserve">https://en.wikipedia.org/wiki/Kaiserslautern	</v>
      <v xml:space="preserve">https://creativecommons.org/licenses/by-sa/3.0	</v>
    </spb>
    <spb s="10">
      <v>507</v>
      <v>507</v>
      <v>507</v>
      <v>507</v>
      <v>507</v>
      <v>507</v>
      <v>507</v>
      <v>507</v>
      <v>507</v>
    </spb>
    <spb s="0">
      <v xml:space="preserve">Wikipedia	</v>
      <v xml:space="preserve">CC BY-SA 3.0	</v>
      <v xml:space="preserve">https://en.wikipedia.org/wiki/Kamen	</v>
      <v xml:space="preserve">https://creativecommons.org/licenses/by-sa/3.0	</v>
    </spb>
    <spb s="14">
      <v>509</v>
      <v>509</v>
      <v>509</v>
      <v>509</v>
      <v>509</v>
      <v>509</v>
      <v>509</v>
      <v>509</v>
      <v>509</v>
    </spb>
    <spb s="0">
      <v xml:space="preserve">Wikipedia	</v>
      <v xml:space="preserve">CC BY-SA 3.0	</v>
      <v xml:space="preserve">https://en.wikipedia.org/wiki/Kamenz	</v>
      <v xml:space="preserve">https://creativecommons.org/licenses/by-sa/3.0	</v>
    </spb>
    <spb s="1">
      <v>511</v>
      <v>511</v>
      <v>511</v>
      <v>511</v>
      <v>511</v>
      <v>511</v>
      <v>511</v>
      <v>511</v>
      <v>511</v>
      <v>511</v>
    </spb>
    <spb s="0">
      <v xml:space="preserve">Wikipedia	</v>
      <v xml:space="preserve">CC BY-SA 3.0	</v>
      <v xml:space="preserve">https://en.wikipedia.org/wiki/Kamp-Lintfort	</v>
      <v xml:space="preserve">https://creativecommons.org/licenses/by-sa/3.0	</v>
    </spb>
    <spb s="1">
      <v>513</v>
      <v>513</v>
      <v>513</v>
      <v>513</v>
      <v>513</v>
      <v>513</v>
      <v>513</v>
      <v>513</v>
      <v>513</v>
      <v>513</v>
    </spb>
    <spb s="0">
      <v xml:space="preserve">Wikipedia	</v>
      <v xml:space="preserve">CC BY-SA 3.0	</v>
      <v xml:space="preserve">https://en.wikipedia.org/wiki/Karlshuld	</v>
      <v xml:space="preserve">https://creativecommons.org/licenses/by-sa/3.0	</v>
    </spb>
    <spb s="14">
      <v>515</v>
      <v>515</v>
      <v>515</v>
      <v>515</v>
      <v>515</v>
      <v>515</v>
      <v>515</v>
      <v>515</v>
      <v>515</v>
    </spb>
    <spb s="0">
      <v xml:space="preserve">Wikipedia	</v>
      <v xml:space="preserve">CC BY-SA 3.0	</v>
      <v xml:space="preserve">https://en.wikipedia.org/wiki/Karlsruhe	</v>
      <v xml:space="preserve">https://creativecommons.org/licenses/by-sa/3.0	</v>
    </spb>
    <spb s="10">
      <v>517</v>
      <v>517</v>
      <v>517</v>
      <v>517</v>
      <v>517</v>
      <v>517</v>
      <v>517</v>
      <v>517</v>
      <v>517</v>
    </spb>
    <spb s="0">
      <v xml:space="preserve">Wikipedia	</v>
      <v xml:space="preserve">CC BY-SA 3.0	</v>
      <v xml:space="preserve">https://en.wikipedia.org/wiki/Kassel	</v>
      <v xml:space="preserve">https://creativecommons.org/licenses/by-sa/3.0	</v>
    </spb>
    <spb s="10">
      <v>519</v>
      <v>519</v>
      <v>519</v>
      <v>519</v>
      <v>519</v>
      <v>519</v>
      <v>519</v>
      <v>519</v>
      <v>519</v>
    </spb>
    <spb s="0">
      <v xml:space="preserve">Wikipedia	</v>
      <v xml:space="preserve">CC BY-SA 3.0	</v>
      <v xml:space="preserve">https://en.wikipedia.org/wiki/Kaufbeuren	</v>
      <v xml:space="preserve">https://creativecommons.org/licenses/by-sa/3.0	</v>
    </spb>
    <spb s="12">
      <v>521</v>
      <v>521</v>
      <v>521</v>
      <v>521</v>
      <v>521</v>
      <v>521</v>
      <v>521</v>
      <v>521</v>
    </spb>
    <spb s="0">
      <v xml:space="preserve">Wikipedia	</v>
      <v xml:space="preserve">CC BY-SA 3.0	</v>
      <v xml:space="preserve">https://en.wikipedia.org/wiki/Kempten	</v>
      <v xml:space="preserve">https://creativecommons.org/licenses/by-sa/3.0	</v>
    </spb>
    <spb s="12">
      <v>523</v>
      <v>523</v>
      <v>523</v>
      <v>523</v>
      <v>523</v>
      <v>523</v>
      <v>523</v>
      <v>523</v>
    </spb>
    <spb s="0">
      <v xml:space="preserve">Wikipedia	</v>
      <v xml:space="preserve">CC BY-SA 3.0	</v>
      <v xml:space="preserve">https://en.wikipedia.org/wiki/Kiel	</v>
      <v xml:space="preserve">https://creativecommons.org/licenses/by-sa/3.0	</v>
    </spb>
    <spb s="10">
      <v>525</v>
      <v>525</v>
      <v>525</v>
      <v>525</v>
      <v>525</v>
      <v>525</v>
      <v>525</v>
      <v>525</v>
      <v>525</v>
    </spb>
    <spb s="0">
      <v xml:space="preserve">Wikipedia	</v>
      <v xml:space="preserve">CC BY-SA 3.0	</v>
      <v xml:space="preserve">https://en.wikipedia.org/wiki/Kirchberg_am_Walde	</v>
      <v xml:space="preserve">https://creativecommons.org/licenses/by-sa/3.0	</v>
    </spb>
    <spb s="1">
      <v>527</v>
      <v>527</v>
      <v>527</v>
      <v>527</v>
      <v>527</v>
      <v>527</v>
      <v>527</v>
      <v>527</v>
      <v>527</v>
      <v>527</v>
    </spb>
    <spb s="8">
      <v>Quadratkilometer</v>
      <v>2018</v>
    </spb>
    <spb s="0">
      <v xml:space="preserve">Wikipedia	</v>
      <v xml:space="preserve">CC BY-SA 3.0	</v>
      <v xml:space="preserve">https://en.wikipedia.org/wiki/Kirchheim_unter_Teck	</v>
      <v xml:space="preserve">https://creativecommons.org/licenses/by-sa/3.0	</v>
    </spb>
    <spb s="10">
      <v>530</v>
      <v>530</v>
      <v>530</v>
      <v>530</v>
      <v>530</v>
      <v>530</v>
      <v>530</v>
      <v>530</v>
      <v>530</v>
    </spb>
    <spb s="0">
      <v xml:space="preserve">Wikipedia	</v>
      <v xml:space="preserve">CC BY-SA 3.0	</v>
      <v xml:space="preserve">https://en.wikipedia.org/wiki/Kleve	</v>
      <v xml:space="preserve">https://creativecommons.org/licenses/by-sa/3.0	</v>
    </spb>
    <spb s="1">
      <v>532</v>
      <v>532</v>
      <v>532</v>
      <v>532</v>
      <v>532</v>
      <v>532</v>
      <v>532</v>
      <v>532</v>
      <v>532</v>
      <v>532</v>
    </spb>
    <spb s="0">
      <v xml:space="preserve">Wikipedia	</v>
      <v xml:space="preserve">CC BY-SA 3.0	</v>
      <v xml:space="preserve">https://en.wikipedia.org/wiki/Koblenz	</v>
      <v xml:space="preserve">https://creativecommons.org/licenses/by-sa/3.0	</v>
    </spb>
    <spb s="10">
      <v>534</v>
      <v>534</v>
      <v>534</v>
      <v>534</v>
      <v>534</v>
      <v>534</v>
      <v>534</v>
      <v>534</v>
      <v>534</v>
    </spb>
    <spb s="0">
      <v xml:space="preserve">Wikipedia	</v>
      <v xml:space="preserve">CC BY-SA 3.0	</v>
      <v xml:space="preserve">https://en.wikipedia.org/wiki/Cologne	</v>
      <v xml:space="preserve">https://creativecommons.org/licenses/by-sa/3.0	</v>
    </spb>
    <spb s="1">
      <v>536</v>
      <v>536</v>
      <v>536</v>
      <v>536</v>
      <v>536</v>
      <v>536</v>
      <v>536</v>
      <v>536</v>
      <v>536</v>
      <v>536</v>
    </spb>
    <spb s="0">
      <v xml:space="preserve">Wikipedia	</v>
      <v xml:space="preserve">CC BY-SA 3.0	</v>
      <v xml:space="preserve">https://en.wikipedia.org/wiki/Porz	</v>
      <v xml:space="preserve">https://creativecommons.org/licenses/by-sa/3.0	</v>
    </spb>
    <spb s="1">
      <v>538</v>
      <v>538</v>
      <v>538</v>
      <v>538</v>
      <v>538</v>
      <v>538</v>
      <v>538</v>
      <v>538</v>
      <v>538</v>
      <v>538</v>
    </spb>
    <spb s="8">
      <v>Quadratkilometer</v>
      <v>2017</v>
    </spb>
    <spb s="0">
      <v xml:space="preserve">Wikipedia	</v>
      <v xml:space="preserve">CC BY-SA 3.0	</v>
      <v xml:space="preserve">https://en.wikipedia.org/wiki/Rodenkirchen	</v>
      <v xml:space="preserve">https://creativecommons.org/licenses/by-sa/3.0	</v>
    </spb>
    <spb s="0">
      <v xml:space="preserve">Wikipedia	</v>
      <v xml:space="preserve">CC-BY-SA	</v>
      <v xml:space="preserve">http://en.wikipedia.org/wiki/Rodenkirchen	</v>
      <v xml:space="preserve">http://creativecommons.org/licenses/by-sa/3.0/	</v>
    </spb>
    <spb s="1">
      <v>541</v>
      <v>541</v>
      <v>541</v>
      <v>541</v>
      <v>542</v>
      <v>541</v>
      <v>541</v>
      <v>541</v>
      <v>541</v>
      <v>541</v>
    </spb>
    <spb s="0">
      <v xml:space="preserve">Wikipedia	</v>
      <v xml:space="preserve">CC BY-SA 3.0	</v>
      <v xml:space="preserve">https://en.wikipedia.org/wiki/K%C3%B6nigs_Wusterhausen	</v>
      <v xml:space="preserve">https://creativecommons.org/licenses/by-sa/3.0	</v>
    </spb>
    <spb s="1">
      <v>544</v>
      <v>544</v>
      <v>544</v>
      <v>544</v>
      <v>544</v>
      <v>544</v>
      <v>544</v>
      <v>544</v>
      <v>544</v>
      <v>544</v>
    </spb>
    <spb s="0">
      <v xml:space="preserve">Wikipedia	</v>
      <v xml:space="preserve">CC BY-SA 3.0	</v>
      <v xml:space="preserve">https://en.wikipedia.org/wiki/K%C3%B6nigstein_im_Taunus	</v>
      <v xml:space="preserve">https://creativecommons.org/licenses/by-sa/3.0	</v>
    </spb>
    <spb s="1">
      <v>546</v>
      <v>546</v>
      <v>546</v>
      <v>546</v>
      <v>546</v>
      <v>546</v>
      <v>546</v>
      <v>546</v>
      <v>546</v>
      <v>546</v>
    </spb>
    <spb s="0">
      <v xml:space="preserve">Wikipedia	</v>
      <v xml:space="preserve">CC BY-SA 3.0	</v>
      <v xml:space="preserve">https://en.wikipedia.org/wiki/Konstanz	</v>
      <v xml:space="preserve">https://creativecommons.org/licenses/by-sa/3.0	</v>
    </spb>
    <spb s="12">
      <v>548</v>
      <v>548</v>
      <v>548</v>
      <v>548</v>
      <v>548</v>
      <v>548</v>
      <v>548</v>
      <v>548</v>
    </spb>
    <spb s="0">
      <v xml:space="preserve">Wikipedia	</v>
      <v xml:space="preserve">CC BY-SA 3.0	</v>
      <v xml:space="preserve">https://en.wikipedia.org/wiki/Kornwestheim	</v>
      <v xml:space="preserve">https://creativecommons.org/licenses/by-sa/3.0	</v>
    </spb>
    <spb s="1">
      <v>550</v>
      <v>550</v>
      <v>550</v>
      <v>550</v>
      <v>550</v>
      <v>550</v>
      <v>550</v>
      <v>550</v>
      <v>550</v>
      <v>550</v>
    </spb>
    <spb s="0">
      <v xml:space="preserve">Wikipedia	</v>
      <v xml:space="preserve">CC BY-SA 3.0	</v>
      <v xml:space="preserve">https://en.wikipedia.org/wiki/K%C3%B6then	</v>
      <v xml:space="preserve">https://creativecommons.org/licenses/by-sa/3.0	</v>
    </spb>
    <spb s="10">
      <v>552</v>
      <v>552</v>
      <v>552</v>
      <v>552</v>
      <v>552</v>
      <v>552</v>
      <v>552</v>
      <v>552</v>
      <v>552</v>
    </spb>
    <spb s="0">
      <v xml:space="preserve">Wikipedia	</v>
      <v xml:space="preserve">CC BY-SA 3.0	</v>
      <v xml:space="preserve">https://en.wikipedia.org/wiki/Krefeld	</v>
      <v xml:space="preserve">https://creativecommons.org/licenses/by-sa/3.0	</v>
    </spb>
    <spb s="1">
      <v>554</v>
      <v>554</v>
      <v>554</v>
      <v>554</v>
      <v>554</v>
      <v>554</v>
      <v>554</v>
      <v>554</v>
      <v>554</v>
      <v>554</v>
    </spb>
    <spb s="0">
      <v xml:space="preserve">Wikipedia	</v>
      <v xml:space="preserve">CC BY-SA 3.0	</v>
      <v xml:space="preserve">https://en.wikipedia.org/wiki/Soest_(district)	</v>
      <v xml:space="preserve">https://creativecommons.org/licenses/by-sa/3.0	</v>
    </spb>
    <spb s="30">
      <v>556</v>
      <v>556</v>
      <v>556</v>
      <v>556</v>
      <v>556</v>
      <v>556</v>
      <v>556</v>
    </spb>
    <spb s="0">
      <v xml:space="preserve">Wikipedia	</v>
      <v xml:space="preserve">CC BY-SA 3.0	</v>
      <v xml:space="preserve">https://en.wikipedia.org/wiki/Lippstadt	</v>
      <v xml:space="preserve">https://creativecommons.org/licenses/by-sa/3.0	</v>
    </spb>
    <spb s="14">
      <v>558</v>
      <v>558</v>
      <v>558</v>
      <v>558</v>
      <v>558</v>
      <v>558</v>
      <v>558</v>
      <v>558</v>
      <v>558</v>
    </spb>
    <spb s="0">
      <v xml:space="preserve">Wikipedia	</v>
      <v xml:space="preserve">CC BY-SA 3.0	</v>
      <v xml:space="preserve">https://en.wikipedia.org/wiki/Kronach	</v>
      <v xml:space="preserve">https://creativecommons.org/licenses/by-sa/3.0	</v>
    </spb>
    <spb s="14">
      <v>560</v>
      <v>560</v>
      <v>560</v>
      <v>560</v>
      <v>560</v>
      <v>560</v>
      <v>560</v>
      <v>560</v>
      <v>560</v>
    </spb>
    <spb s="0">
      <v xml:space="preserve">Wikipedia	</v>
      <v xml:space="preserve">CC BY-SA 3.0	</v>
      <v xml:space="preserve">https://en.wikipedia.org/wiki/Kulmbach	</v>
      <v xml:space="preserve">https://creativecommons.org/licenses/by-sa/3.0	</v>
    </spb>
    <spb s="14">
      <v>562</v>
      <v>562</v>
      <v>562</v>
      <v>562</v>
      <v>562</v>
      <v>562</v>
      <v>562</v>
      <v>562</v>
      <v>562</v>
    </spb>
    <spb s="0">
      <v xml:space="preserve">Wikipedia	</v>
      <v xml:space="preserve">CC BY-SA 3.0	</v>
      <v xml:space="preserve">https://en.wikipedia.org/wiki/K%C3%BCnzelsau	</v>
      <v xml:space="preserve">https://creativecommons.org/licenses/by-sa/3.0	</v>
    </spb>
    <spb s="10">
      <v>564</v>
      <v>564</v>
      <v>564</v>
      <v>564</v>
      <v>564</v>
      <v>564</v>
      <v>564</v>
      <v>564</v>
      <v>564</v>
    </spb>
    <spb s="0">
      <v xml:space="preserve">Wikipedia	</v>
      <v xml:space="preserve">CC BY-SA 3.0	</v>
      <v xml:space="preserve">https://en.wikipedia.org/wiki/Lahr	</v>
      <v xml:space="preserve">https://creativecommons.org/licenses/by-sa/3.0	</v>
    </spb>
    <spb s="10">
      <v>566</v>
      <v>566</v>
      <v>566</v>
      <v>566</v>
      <v>566</v>
      <v>566</v>
      <v>566</v>
      <v>566</v>
      <v>566</v>
    </spb>
    <spb s="0">
      <v xml:space="preserve">Wikipedia	</v>
      <v xml:space="preserve">CC BY-SA 3.0	</v>
      <v xml:space="preserve">https://en.wikipedia.org/wiki/Lampertheim	</v>
      <v xml:space="preserve">https://creativecommons.org/licenses/by-sa/3.0	</v>
    </spb>
    <spb s="1">
      <v>568</v>
      <v>568</v>
      <v>568</v>
      <v>568</v>
      <v>568</v>
      <v>568</v>
      <v>568</v>
      <v>568</v>
      <v>568</v>
      <v>568</v>
    </spb>
    <spb s="0">
      <v xml:space="preserve">Wikipedia	</v>
      <v xml:space="preserve">CC BY-SA 3.0	</v>
      <v xml:space="preserve">https://en.wikipedia.org/wiki/Landau	</v>
      <v xml:space="preserve">https://creativecommons.org/licenses/by-sa/3.0	</v>
    </spb>
    <spb s="10">
      <v>570</v>
      <v>570</v>
      <v>570</v>
      <v>570</v>
      <v>570</v>
      <v>570</v>
      <v>570</v>
      <v>570</v>
      <v>570</v>
    </spb>
    <spb s="0">
      <v xml:space="preserve">Wikipedia	</v>
      <v xml:space="preserve">CC BY-SA 3.0	</v>
      <v xml:space="preserve">https://en.wikipedia.org/wiki/Biberach_(district)	</v>
      <v xml:space="preserve">https://creativecommons.org/licenses/by-sa/3.0	</v>
    </spb>
    <spb s="19">
      <v>572</v>
      <v>572</v>
      <v>572</v>
      <v>572</v>
      <v>572</v>
      <v>572</v>
      <v>572</v>
      <v>572</v>
    </spb>
    <spb s="0">
      <v xml:space="preserve">Wikipedia	</v>
      <v xml:space="preserve">CC BY-SA 3.0	</v>
      <v xml:space="preserve">https://en.wikipedia.org/wiki/G%C3%BCstrow_(district)	</v>
      <v xml:space="preserve">https://creativecommons.org/licenses/by-sa/3.0	</v>
    </spb>
    <spb s="0">
      <v xml:space="preserve">Wikipedia	</v>
      <v xml:space="preserve">CC-BY-SA	</v>
      <v xml:space="preserve">http://en.wikipedia.org/wiki/Güstrow_(district)	</v>
      <v xml:space="preserve">http://creativecommons.org/licenses/by-sa/3.0/	</v>
    </spb>
    <spb s="30">
      <v>574</v>
      <v>575</v>
      <v>574</v>
      <v>575</v>
      <v>574</v>
      <v>574</v>
      <v>574</v>
    </spb>
    <spb s="0">
      <v xml:space="preserve">Wikipedia	</v>
      <v xml:space="preserve">CC BY-SA 3.0	</v>
      <v xml:space="preserve">https://en.wikipedia.org/wiki/Regensburg_(district)	</v>
      <v xml:space="preserve">https://creativecommons.org/licenses/by-sa/3.0	</v>
    </spb>
    <spb s="31">
      <v>577</v>
      <v>577</v>
      <v>577</v>
      <v>577</v>
      <v>577</v>
      <v>577</v>
      <v>577</v>
    </spb>
    <spb s="32">
      <v>Image</v>
      <v>Name</v>
      <v>Area</v>
      <v>UniqueName</v>
      <v>VDPID/VSID</v>
      <v>Population</v>
      <v>Country/region</v>
      <v>Description</v>
      <v>Largest city</v>
      <v>LearnMoreOnLink</v>
    </spb>
    <spb s="3">
      <v>16</v>
      <v>Name</v>
      <v>LearnMoreOnLink</v>
    </spb>
    <spb s="0">
      <v xml:space="preserve">Wikipedia	</v>
      <v xml:space="preserve">CC BY-SA 3.0	</v>
      <v xml:space="preserve">https://en.wikipedia.org/wiki/Reutlingen_(district)	</v>
      <v xml:space="preserve">https://creativecommons.org/licenses/by-sa/3.0	</v>
    </spb>
    <spb s="19">
      <v>581</v>
      <v>581</v>
      <v>581</v>
      <v>581</v>
      <v>581</v>
      <v>581</v>
      <v>581</v>
      <v>581</v>
    </spb>
    <spb s="0">
      <v xml:space="preserve">Wikipedia	</v>
      <v xml:space="preserve">CC BY-SA 3.0	</v>
      <v xml:space="preserve">https://en.wikipedia.org/wiki/Schweinfurt_(district)	</v>
      <v xml:space="preserve">https://creativecommons.org/licenses/by-sa/3.0	</v>
    </spb>
    <spb s="31">
      <v>583</v>
      <v>583</v>
      <v>583</v>
      <v>583</v>
      <v>583</v>
      <v>583</v>
      <v>583</v>
    </spb>
    <spb s="0">
      <v xml:space="preserve">Wikipedia	</v>
      <v xml:space="preserve">CC BY-SA 3.0	</v>
      <v xml:space="preserve">https://en.wikipedia.org/wiki/Landshut	</v>
      <v xml:space="preserve">https://creativecommons.org/licenses/by-sa/3.0	</v>
    </spb>
    <spb s="12">
      <v>585</v>
      <v>585</v>
      <v>585</v>
      <v>585</v>
      <v>585</v>
      <v>585</v>
      <v>585</v>
      <v>585</v>
    </spb>
    <spb s="0">
      <v xml:space="preserve">Wikipedia	</v>
      <v xml:space="preserve">CC BY-SA 3.0	</v>
      <v xml:space="preserve">https://en.wikipedia.org/wiki/Langen,_Hesse	</v>
      <v xml:space="preserve">https://creativecommons.org/licenses/by-sa/3.0	</v>
    </spb>
    <spb s="1">
      <v>587</v>
      <v>587</v>
      <v>587</v>
      <v>587</v>
      <v>587</v>
      <v>587</v>
      <v>587</v>
      <v>587</v>
      <v>587</v>
      <v>587</v>
    </spb>
    <spb s="0">
      <v xml:space="preserve">Wikipedia	</v>
      <v xml:space="preserve">CC BY-SA 3.0	</v>
      <v xml:space="preserve">https://en.wikipedia.org/wiki/Langenfeld,_Rhineland	</v>
      <v xml:space="preserve">https://creativecommons.org/licenses/by-sa/3.0	</v>
    </spb>
    <spb s="1">
      <v>589</v>
      <v>589</v>
      <v>589</v>
      <v>589</v>
      <v>589</v>
      <v>589</v>
      <v>589</v>
      <v>589</v>
      <v>589</v>
      <v>589</v>
    </spb>
    <spb s="0">
      <v xml:space="preserve">Wikipedia	</v>
      <v xml:space="preserve">CC BY-SA 3.0	</v>
      <v xml:space="preserve">https://en.wikipedia.org/wiki/Langenhagen	</v>
      <v xml:space="preserve">https://creativecommons.org/licenses/by-sa/3.0	</v>
    </spb>
    <spb s="1">
      <v>591</v>
      <v>591</v>
      <v>591</v>
      <v>591</v>
      <v>591</v>
      <v>591</v>
      <v>591</v>
      <v>591</v>
      <v>591</v>
      <v>591</v>
    </spb>
    <spb s="0">
      <v xml:space="preserve">Wikipedia	</v>
      <v xml:space="preserve">CC BY-SA 3.0	</v>
      <v xml:space="preserve">https://en.wikipedia.org/wiki/Langeoog	</v>
      <v xml:space="preserve">https://creativecommons.org/licenses/by-sa/3.0	</v>
    </spb>
    <spb s="1">
      <v>593</v>
      <v>593</v>
      <v>593</v>
      <v>593</v>
      <v>593</v>
      <v>593</v>
      <v>593</v>
      <v>593</v>
      <v>593</v>
      <v>593</v>
    </spb>
    <spb s="0">
      <v xml:space="preserve">Wikipedia	</v>
      <v xml:space="preserve">CC BY-SA 3.0	</v>
      <v xml:space="preserve">https://en.wikipedia.org/wiki/Lauchhammer	</v>
      <v xml:space="preserve">https://creativecommons.org/licenses/by-sa/3.0	</v>
    </spb>
    <spb s="1">
      <v>595</v>
      <v>595</v>
      <v>595</v>
      <v>595</v>
      <v>595</v>
      <v>595</v>
      <v>595</v>
      <v>595</v>
      <v>595</v>
      <v>595</v>
    </spb>
    <spb s="0">
      <v xml:space="preserve">Wikipedia	</v>
      <v xml:space="preserve">CC BY-SA 3.0	</v>
      <v xml:space="preserve">https://en.wikipedia.org/wiki/Lauda-K%C3%B6nigshofen	</v>
      <v xml:space="preserve">https://creativecommons.org/licenses/by-sa/3.0	</v>
    </spb>
    <spb s="1">
      <v>597</v>
      <v>597</v>
      <v>597</v>
      <v>597</v>
      <v>597</v>
      <v>597</v>
      <v>597</v>
      <v>597</v>
      <v>597</v>
      <v>597</v>
    </spb>
    <spb s="0">
      <v xml:space="preserve">Wikipedia	</v>
      <v xml:space="preserve">CC BY-SA 3.0	</v>
      <v xml:space="preserve">https://en.wikipedia.org/wiki/Lehrte	</v>
      <v xml:space="preserve">https://creativecommons.org/licenses/by-sa/3.0	</v>
    </spb>
    <spb s="1">
      <v>599</v>
      <v>599</v>
      <v>599</v>
      <v>599</v>
      <v>599</v>
      <v>599</v>
      <v>599</v>
      <v>599</v>
      <v>599</v>
      <v>599</v>
    </spb>
    <spb s="0">
      <v xml:space="preserve">Wikipedia	</v>
      <v xml:space="preserve">CC BY-SA 3.0	</v>
      <v xml:space="preserve">https://en.wikipedia.org/wiki/Leipzig	</v>
      <v xml:space="preserve">https://creativecommons.org/licenses/by-sa/3.0	</v>
    </spb>
    <spb s="10">
      <v>601</v>
      <v>601</v>
      <v>601</v>
      <v>601</v>
      <v>601</v>
      <v>601</v>
      <v>601</v>
      <v>601</v>
      <v>601</v>
    </spb>
    <spb s="0">
      <v xml:space="preserve">Wikipedia	</v>
      <v xml:space="preserve">CC BY-SA 3.0	</v>
      <v xml:space="preserve">https://en.wikipedia.org/wiki/Lemgo	</v>
      <v xml:space="preserve">https://creativecommons.org/licenses/by-sa/3.0	</v>
    </spb>
    <spb s="14">
      <v>603</v>
      <v>603</v>
      <v>603</v>
      <v>603</v>
      <v>603</v>
      <v>603</v>
      <v>603</v>
      <v>603</v>
      <v>603</v>
    </spb>
    <spb s="0">
      <v xml:space="preserve">Wikipedia	</v>
      <v xml:space="preserve">CC BY-SA 3.0	</v>
      <v xml:space="preserve">https://en.wikipedia.org/wiki/Lengerich,_Westphalia	</v>
      <v xml:space="preserve">https://creativecommons.org/licenses/by-sa/3.0	</v>
    </spb>
    <spb s="1">
      <v>605</v>
      <v>605</v>
      <v>605</v>
      <v>605</v>
      <v>605</v>
      <v>605</v>
      <v>605</v>
      <v>605</v>
      <v>605</v>
      <v>605</v>
    </spb>
    <spb s="0">
      <v xml:space="preserve">Wikipedia	</v>
      <v xml:space="preserve">CC BY-SA 3.0	</v>
      <v xml:space="preserve">https://en.wikipedia.org/wiki/Leonberg	</v>
      <v xml:space="preserve">https://creativecommons.org/licenses/by-sa/3.0	</v>
    </spb>
    <spb s="1">
      <v>607</v>
      <v>607</v>
      <v>607</v>
      <v>607</v>
      <v>607</v>
      <v>607</v>
      <v>607</v>
      <v>607</v>
      <v>607</v>
      <v>607</v>
    </spb>
    <spb s="0">
      <v xml:space="preserve">Wikipedia	</v>
      <v xml:space="preserve">CC BY-SA 3.0	</v>
      <v xml:space="preserve">https://en.wikipedia.org/wiki/Leverkusen	</v>
      <v xml:space="preserve">https://creativecommons.org/licenses/by-sa/3.0	</v>
    </spb>
    <spb s="1">
      <v>609</v>
      <v>609</v>
      <v>609</v>
      <v>609</v>
      <v>609</v>
      <v>609</v>
      <v>609</v>
      <v>609</v>
      <v>609</v>
      <v>609</v>
    </spb>
    <spb s="0">
      <v xml:space="preserve">Wikipedia	</v>
      <v xml:space="preserve">CC BY-SA 3.0	</v>
      <v xml:space="preserve">https://en.wikipedia.org/wiki/Limbach-Oberfrohna	</v>
      <v xml:space="preserve">https://creativecommons.org/licenses/by-sa/3.0	</v>
    </spb>
    <spb s="10">
      <v>611</v>
      <v>611</v>
      <v>611</v>
      <v>611</v>
      <v>611</v>
      <v>611</v>
      <v>611</v>
      <v>611</v>
      <v>611</v>
    </spb>
    <spb s="0">
      <v xml:space="preserve">Wikipedia	</v>
      <v xml:space="preserve">CC BY-SA 3.0	</v>
      <v xml:space="preserve">https://en.wikipedia.org/wiki/Lindau	</v>
      <v xml:space="preserve">https://creativecommons.org/licenses/by-sa/3.0	</v>
    </spb>
    <spb s="14">
      <v>613</v>
      <v>613</v>
      <v>613</v>
      <v>613</v>
      <v>613</v>
      <v>613</v>
      <v>613</v>
      <v>613</v>
      <v>613</v>
    </spb>
    <spb s="0">
      <v xml:space="preserve">Wikipedia	</v>
      <v xml:space="preserve">CC BY-SA 3.0	</v>
      <v xml:space="preserve">https://en.wikipedia.org/wiki/Lingen,_Germany	</v>
      <v xml:space="preserve">https://creativecommons.org/licenses/by-sa/3.0	</v>
    </spb>
    <spb s="1">
      <v>615</v>
      <v>615</v>
      <v>615</v>
      <v>615</v>
      <v>615</v>
      <v>615</v>
      <v>615</v>
      <v>615</v>
      <v>615</v>
      <v>615</v>
    </spb>
    <spb s="0">
      <v xml:space="preserve">Wikipedia	</v>
      <v xml:space="preserve">CC BY-SA 3.0	</v>
      <v xml:space="preserve">https://en.wikipedia.org/wiki/L%C3%B6bau	</v>
      <v xml:space="preserve">https://creativecommons.org/licenses/by-sa/3.0	</v>
    </spb>
    <spb s="1">
      <v>617</v>
      <v>617</v>
      <v>617</v>
      <v>617</v>
      <v>617</v>
      <v>617</v>
      <v>617</v>
      <v>617</v>
      <v>617</v>
      <v>617</v>
    </spb>
    <spb s="0">
      <v xml:space="preserve">Wikipedia	</v>
      <v xml:space="preserve">CC BY-SA 3.0	</v>
      <v xml:space="preserve">https://en.wikipedia.org/wiki/Lorch_am_Rhein	</v>
      <v xml:space="preserve">https://creativecommons.org/licenses/by-sa/3.0	</v>
    </spb>
    <spb s="1">
      <v>619</v>
      <v>619</v>
      <v>619</v>
      <v>619</v>
      <v>619</v>
      <v>619</v>
      <v>619</v>
      <v>619</v>
      <v>619</v>
      <v>619</v>
    </spb>
    <spb s="0">
      <v xml:space="preserve">Wikipedia	</v>
      <v xml:space="preserve">CC BY-SA 3.0	</v>
      <v xml:space="preserve">https://en.wikipedia.org/wiki/L%C3%B6rrach	</v>
      <v xml:space="preserve">https://creativecommons.org/licenses/by-sa/3.0	</v>
    </spb>
    <spb s="10">
      <v>621</v>
      <v>621</v>
      <v>621</v>
      <v>621</v>
      <v>621</v>
      <v>621</v>
      <v>621</v>
      <v>621</v>
      <v>621</v>
    </spb>
    <spb s="0">
      <v xml:space="preserve">Wikipedia	</v>
      <v xml:space="preserve">CC BY-SA 3.0	</v>
      <v xml:space="preserve">https://en.wikipedia.org/wiki/L%C3%BCbbenau	</v>
      <v xml:space="preserve">https://creativecommons.org/licenses/by-sa/3.0	</v>
    </spb>
    <spb s="1">
      <v>623</v>
      <v>623</v>
      <v>623</v>
      <v>623</v>
      <v>623</v>
      <v>623</v>
      <v>623</v>
      <v>623</v>
      <v>623</v>
      <v>623</v>
    </spb>
    <spb s="0">
      <v xml:space="preserve">Wikipedia	</v>
      <v xml:space="preserve">CC BY-SA 3.0	</v>
      <v xml:space="preserve">https://en.wikipedia.org/wiki/L%C3%BCbeck	</v>
      <v xml:space="preserve">https://creativecommons.org/licenses/by-sa/3.0	</v>
    </spb>
    <spb s="10">
      <v>625</v>
      <v>625</v>
      <v>625</v>
      <v>625</v>
      <v>625</v>
      <v>625</v>
      <v>625</v>
      <v>625</v>
      <v>625</v>
    </spb>
    <spb s="0">
      <v xml:space="preserve">Wikipedia	</v>
      <v xml:space="preserve">CC BY-SA 3.0	</v>
      <v xml:space="preserve">https://en.wikipedia.org/wiki/Luckenwalde	</v>
      <v xml:space="preserve">https://creativecommons.org/licenses/by-sa/3.0	</v>
    </spb>
    <spb s="1">
      <v>627</v>
      <v>627</v>
      <v>627</v>
      <v>627</v>
      <v>627</v>
      <v>627</v>
      <v>627</v>
      <v>627</v>
      <v>627</v>
      <v>627</v>
    </spb>
    <spb s="0">
      <v xml:space="preserve">Wikipedia	</v>
      <v xml:space="preserve">CC BY-SA 3.0	</v>
      <v xml:space="preserve">https://en.wikipedia.org/wiki/L%C3%BCdenscheid	</v>
      <v xml:space="preserve">https://creativecommons.org/licenses/by-sa/3.0	</v>
    </spb>
    <spb s="14">
      <v>629</v>
      <v>629</v>
      <v>629</v>
      <v>629</v>
      <v>629</v>
      <v>629</v>
      <v>629</v>
      <v>629</v>
      <v>629</v>
    </spb>
    <spb s="0">
      <v xml:space="preserve">Wikipedia	</v>
      <v xml:space="preserve">CC BY-SA 3.0	</v>
      <v xml:space="preserve">https://en.wikipedia.org/wiki/Ludwigsburg	</v>
      <v xml:space="preserve">https://creativecommons.org/licenses/by-sa/3.0	</v>
    </spb>
    <spb s="1">
      <v>631</v>
      <v>631</v>
      <v>631</v>
      <v>631</v>
      <v>631</v>
      <v>631</v>
      <v>631</v>
      <v>631</v>
      <v>631</v>
      <v>631</v>
    </spb>
    <spb s="0">
      <v xml:space="preserve">Wikipedia	</v>
      <v xml:space="preserve">CC BY-SA 3.0	</v>
      <v xml:space="preserve">https://en.wikipedia.org/wiki/Ludwigsfelde	</v>
      <v xml:space="preserve">https://creativecommons.org/licenses/by-sa/3.0	</v>
    </spb>
    <spb s="1">
      <v>633</v>
      <v>633</v>
      <v>633</v>
      <v>633</v>
      <v>633</v>
      <v>633</v>
      <v>633</v>
      <v>633</v>
      <v>633</v>
      <v>633</v>
    </spb>
    <spb s="0">
      <v xml:space="preserve">Wikipedia	</v>
      <v xml:space="preserve">CC BY-SA 3.0	</v>
      <v xml:space="preserve">https://en.wikipedia.org/wiki/Ludwigshafen	</v>
      <v xml:space="preserve">https://creativecommons.org/licenses/by-sa/3.0	</v>
    </spb>
    <spb s="10">
      <v>635</v>
      <v>635</v>
      <v>635</v>
      <v>635</v>
      <v>635</v>
      <v>635</v>
      <v>635</v>
      <v>635</v>
      <v>635</v>
    </spb>
    <spb s="0">
      <v xml:space="preserve">Wikipedia	</v>
      <v xml:space="preserve">CC BY-SA 3.0	</v>
      <v xml:space="preserve">https://en.wikipedia.org/wiki/L%C3%BCneburg	</v>
      <v xml:space="preserve">https://creativecommons.org/licenses/by-sa/3.0	</v>
    </spb>
    <spb s="1">
      <v>637</v>
      <v>637</v>
      <v>637</v>
      <v>637</v>
      <v>637</v>
      <v>637</v>
      <v>637</v>
      <v>637</v>
      <v>637</v>
      <v>637</v>
    </spb>
    <spb s="0">
      <v xml:space="preserve">Wikipedia	</v>
      <v xml:space="preserve">CC BY-SA 3.0	</v>
      <v xml:space="preserve">https://en.wikipedia.org/wiki/L%C3%BCnen	</v>
      <v xml:space="preserve">https://creativecommons.org/licenses/by-sa/3.0	</v>
    </spb>
    <spb s="14">
      <v>639</v>
      <v>639</v>
      <v>639</v>
      <v>639</v>
      <v>639</v>
      <v>639</v>
      <v>639</v>
      <v>639</v>
      <v>639</v>
    </spb>
    <spb s="0">
      <v xml:space="preserve">Wikipedia	</v>
      <v xml:space="preserve">CC BY-SA 3.0	</v>
      <v xml:space="preserve">https://en.wikipedia.org/wiki/Eisleben	</v>
      <v xml:space="preserve">https://creativecommons.org/licenses/by-sa/3.0	</v>
    </spb>
    <spb s="10">
      <v>641</v>
      <v>641</v>
      <v>641</v>
      <v>641</v>
      <v>641</v>
      <v>641</v>
      <v>641</v>
      <v>641</v>
      <v>641</v>
    </spb>
    <spb s="0">
      <v xml:space="preserve">Wikipedia	</v>
      <v xml:space="preserve">CC BY-SA 3.0	</v>
      <v xml:space="preserve">https://en.wikipedia.org/wiki/Magdeburg	</v>
      <v xml:space="preserve">https://creativecommons.org/licenses/by-sa/3.0	</v>
    </spb>
    <spb s="12">
      <v>643</v>
      <v>643</v>
      <v>643</v>
      <v>643</v>
      <v>643</v>
      <v>643</v>
      <v>643</v>
      <v>643</v>
    </spb>
    <spb s="0">
      <v xml:space="preserve">Wikipedia	</v>
      <v xml:space="preserve">CC BY-SA 3.0	</v>
      <v xml:space="preserve">https://en.wikipedia.org/wiki/Mainz	</v>
      <v xml:space="preserve">https://creativecommons.org/licenses/by-sa/3.0	</v>
    </spb>
    <spb s="10">
      <v>645</v>
      <v>645</v>
      <v>645</v>
      <v>645</v>
      <v>645</v>
      <v>645</v>
      <v>645</v>
      <v>645</v>
      <v>645</v>
    </spb>
    <spb s="0">
      <v xml:space="preserve">Wikipedia	</v>
      <v xml:space="preserve">CC BY-SA 3.0	</v>
      <v xml:space="preserve">https://en.wikipedia.org/wiki/Mannheim	</v>
      <v xml:space="preserve">https://creativecommons.org/licenses/by-sa/3.0	</v>
    </spb>
    <spb s="10">
      <v>647</v>
      <v>647</v>
      <v>647</v>
      <v>647</v>
      <v>647</v>
      <v>647</v>
      <v>647</v>
      <v>647</v>
      <v>647</v>
    </spb>
    <spb s="0">
      <v xml:space="preserve">Wikipedia	</v>
      <v xml:space="preserve">CC BY-SA 3.0	</v>
      <v xml:space="preserve">https://en.wikipedia.org/wiki/Marburg	</v>
      <v xml:space="preserve">https://creativecommons.org/licenses/by-sa/3.0	</v>
    </spb>
    <spb s="14">
      <v>649</v>
      <v>649</v>
      <v>649</v>
      <v>649</v>
      <v>649</v>
      <v>649</v>
      <v>649</v>
      <v>649</v>
      <v>649</v>
    </spb>
    <spb s="0">
      <v xml:space="preserve">Wikipedia	</v>
      <v xml:space="preserve">CC BY-SA 3.0	</v>
      <v xml:space="preserve">https://en.wikipedia.org/wiki/Markkleeberg	</v>
      <v xml:space="preserve">https://creativecommons.org/licenses/by-sa/3.0	</v>
    </spb>
    <spb s="1">
      <v>651</v>
      <v>651</v>
      <v>651</v>
      <v>651</v>
      <v>651</v>
      <v>651</v>
      <v>651</v>
      <v>651</v>
      <v>651</v>
      <v>651</v>
    </spb>
    <spb s="0">
      <v xml:space="preserve">Wikipedia	</v>
      <v xml:space="preserve">CC BY-SA 3.0	</v>
      <v xml:space="preserve">https://en.wikipedia.org/wiki/Marl,_North_Rhine-Westphalia	</v>
      <v xml:space="preserve">https://creativecommons.org/licenses/by-sa/3.0	</v>
    </spb>
    <spb s="1">
      <v>653</v>
      <v>653</v>
      <v>653</v>
      <v>653</v>
      <v>653</v>
      <v>653</v>
      <v>653</v>
      <v>653</v>
      <v>653</v>
      <v>653</v>
    </spb>
    <spb s="0">
      <v xml:space="preserve">Wikipedia	</v>
      <v xml:space="preserve">CC BY-SA 3.0	</v>
      <v xml:space="preserve">https://en.wikipedia.org/wiki/Meerane	</v>
      <v xml:space="preserve">https://creativecommons.org/licenses/by-sa/3.0	</v>
    </spb>
    <spb s="1">
      <v>655</v>
      <v>655</v>
      <v>655</v>
      <v>655</v>
      <v>655</v>
      <v>655</v>
      <v>655</v>
      <v>655</v>
      <v>655</v>
      <v>655</v>
    </spb>
    <spb s="0">
      <v xml:space="preserve">Wikipedia	</v>
      <v xml:space="preserve">CC BY-SA 3.0	</v>
      <v xml:space="preserve">https://en.wikipedia.org/wiki/Meersburg	</v>
      <v xml:space="preserve">https://creativecommons.org/licenses/by-sa/3.0	</v>
    </spb>
    <spb s="14">
      <v>657</v>
      <v>657</v>
      <v>657</v>
      <v>657</v>
      <v>657</v>
      <v>657</v>
      <v>657</v>
      <v>657</v>
      <v>657</v>
    </spb>
    <spb s="0">
      <v xml:space="preserve">Wikipedia	</v>
      <v xml:space="preserve">CC BY-SA 3.0	</v>
      <v xml:space="preserve">https://en.wikipedia.org/wiki/Meiningen	</v>
      <v xml:space="preserve">https://creativecommons.org/licenses/by-sa/3.0	</v>
    </spb>
    <spb s="14">
      <v>659</v>
      <v>659</v>
      <v>659</v>
      <v>659</v>
      <v>659</v>
      <v>659</v>
      <v>659</v>
      <v>659</v>
      <v>659</v>
    </spb>
    <spb s="0">
      <v xml:space="preserve">Wikipedia	</v>
      <v xml:space="preserve">CC BY-SA 3.0	</v>
      <v xml:space="preserve">https://en.wikipedia.org/wiki/Meissen	</v>
      <v xml:space="preserve">https://creativecommons.org/licenses/by-sa/3.0	</v>
    </spb>
    <spb s="1">
      <v>661</v>
      <v>661</v>
      <v>661</v>
      <v>661</v>
      <v>661</v>
      <v>661</v>
      <v>661</v>
      <v>661</v>
      <v>661</v>
      <v>661</v>
    </spb>
    <spb s="0">
      <v xml:space="preserve">Wikipedia	</v>
      <v xml:space="preserve">CC BY-SA 3.0	</v>
      <v xml:space="preserve">https://en.wikipedia.org/wiki/Memmingen	</v>
      <v xml:space="preserve">https://creativecommons.org/licenses/by-sa/3.0	</v>
    </spb>
    <spb s="12">
      <v>663</v>
      <v>663</v>
      <v>663</v>
      <v>663</v>
      <v>663</v>
      <v>663</v>
      <v>663</v>
      <v>663</v>
    </spb>
    <spb s="0">
      <v xml:space="preserve">Wikipedia	</v>
      <v xml:space="preserve">CC BY-SA 3.0	</v>
      <v xml:space="preserve">https://en.wikipedia.org/wiki/Menden	</v>
      <v xml:space="preserve">https://creativecommons.org/licenses/by-sa/3.0	</v>
    </spb>
    <spb s="14">
      <v>665</v>
      <v>665</v>
      <v>665</v>
      <v>665</v>
      <v>665</v>
      <v>665</v>
      <v>665</v>
      <v>665</v>
      <v>665</v>
    </spb>
    <spb s="0">
      <v xml:space="preserve">Wikipedia	</v>
      <v xml:space="preserve">CC BY-SA 3.0	</v>
      <v xml:space="preserve">https://en.wikipedia.org/wiki/Mengen,_Germany	</v>
      <v xml:space="preserve">https://creativecommons.org/licenses/by-sa/3.0	</v>
    </spb>
    <spb s="10">
      <v>667</v>
      <v>667</v>
      <v>667</v>
      <v>667</v>
      <v>667</v>
      <v>667</v>
      <v>667</v>
      <v>667</v>
      <v>667</v>
    </spb>
    <spb s="0">
      <v xml:space="preserve">Wikipedia	</v>
      <v xml:space="preserve">CC BY-SA 3.0	</v>
      <v xml:space="preserve">https://en.wikipedia.org/wiki/Merklingen	</v>
      <v xml:space="preserve">https://creativecommons.org/licenses/by-sa/3.0	</v>
    </spb>
    <spb s="10">
      <v>669</v>
      <v>669</v>
      <v>669</v>
      <v>669</v>
      <v>669</v>
      <v>669</v>
      <v>669</v>
      <v>669</v>
      <v>669</v>
    </spb>
    <spb s="0">
      <v xml:space="preserve">Wikipedia	</v>
      <v xml:space="preserve">CC BY-SA 3.0	</v>
      <v xml:space="preserve">https://en.wikipedia.org/wiki/Metten	</v>
      <v xml:space="preserve">https://creativecommons.org/licenses/by-sa/3.0	</v>
    </spb>
    <spb s="14">
      <v>671</v>
      <v>671</v>
      <v>671</v>
      <v>671</v>
      <v>671</v>
      <v>671</v>
      <v>671</v>
      <v>671</v>
      <v>671</v>
    </spb>
    <spb s="0">
      <v xml:space="preserve">Wikipedia	</v>
      <v xml:space="preserve">CC BY-SA 3.0	</v>
      <v xml:space="preserve">https://en.wikipedia.org/wiki/Mettmann	</v>
      <v xml:space="preserve">https://creativecommons.org/licenses/by-sa/3.0	</v>
    </spb>
    <spb s="1">
      <v>673</v>
      <v>673</v>
      <v>673</v>
      <v>673</v>
      <v>673</v>
      <v>673</v>
      <v>673</v>
      <v>673</v>
      <v>673</v>
      <v>673</v>
    </spb>
    <spb s="0">
      <v xml:space="preserve">Wikipedia	</v>
      <v xml:space="preserve">CC BY-SA 3.0	</v>
      <v xml:space="preserve">https://en.wikipedia.org/wiki/Minden	</v>
      <v xml:space="preserve">https://creativecommons.org/licenses/by-sa/3.0	</v>
    </spb>
    <spb s="14">
      <v>675</v>
      <v>675</v>
      <v>675</v>
      <v>675</v>
      <v>675</v>
      <v>675</v>
      <v>675</v>
      <v>675</v>
      <v>675</v>
    </spb>
    <spb s="0">
      <v xml:space="preserve">Wikipedia	</v>
      <v xml:space="preserve">CC BY-SA 3.0	</v>
      <v xml:space="preserve">https://en.wikipedia.org/wiki/Mittenwald	</v>
      <v xml:space="preserve">https://creativecommons.org/licenses/by-sa/3.0	</v>
    </spb>
    <spb s="14">
      <v>677</v>
      <v>677</v>
      <v>677</v>
      <v>677</v>
      <v>677</v>
      <v>677</v>
      <v>677</v>
      <v>677</v>
      <v>677</v>
    </spb>
    <spb s="0">
      <v xml:space="preserve">Wikipedia	</v>
      <v xml:space="preserve">CC BY-SA 3.0	</v>
      <v xml:space="preserve">https://en.wikipedia.org/wiki/Mittweida	</v>
      <v xml:space="preserve">https://creativecommons.org/licenses/by-sa/3.0	</v>
    </spb>
    <spb s="1">
      <v>679</v>
      <v>679</v>
      <v>679</v>
      <v>679</v>
      <v>679</v>
      <v>679</v>
      <v>679</v>
      <v>679</v>
      <v>679</v>
      <v>679</v>
    </spb>
    <spb s="0">
      <v xml:space="preserve">Wikipedia	</v>
      <v xml:space="preserve">CC BY-SA 3.0	</v>
      <v xml:space="preserve">https://en.wikipedia.org/wiki/Moers	</v>
      <v xml:space="preserve">https://creativecommons.org/licenses/by-sa/3.0	</v>
    </spb>
    <spb s="1">
      <v>681</v>
      <v>681</v>
      <v>681</v>
      <v>681</v>
      <v>681</v>
      <v>681</v>
      <v>681</v>
      <v>681</v>
      <v>681</v>
      <v>681</v>
    </spb>
    <spb s="0">
      <v xml:space="preserve">Wikipedia	</v>
      <v xml:space="preserve">CC BY-SA 3.0	</v>
      <v xml:space="preserve">https://en.wikipedia.org/wiki/M%C3%B6nchengladbach	</v>
      <v xml:space="preserve">https://creativecommons.org/licenses/by-sa/3.0	</v>
    </spb>
    <spb s="1">
      <v>683</v>
      <v>683</v>
      <v>683</v>
      <v>683</v>
      <v>683</v>
      <v>683</v>
      <v>683</v>
      <v>683</v>
      <v>683</v>
      <v>683</v>
    </spb>
    <spb s="0">
      <v xml:space="preserve">Wikipedia	</v>
      <v xml:space="preserve">CC BY-SA 3.0	</v>
      <v xml:space="preserve">https://en.wikipedia.org/wiki/Monheim_am_Rhein	</v>
      <v xml:space="preserve">https://creativecommons.org/licenses/by-sa/3.0	</v>
    </spb>
    <spb s="1">
      <v>685</v>
      <v>685</v>
      <v>685</v>
      <v>685</v>
      <v>685</v>
      <v>685</v>
      <v>685</v>
      <v>685</v>
      <v>685</v>
      <v>685</v>
    </spb>
    <spb s="0">
      <v xml:space="preserve">Wikipedia	</v>
      <v xml:space="preserve">CC BY-SA 3.0	</v>
      <v xml:space="preserve">https://en.wikipedia.org/wiki/M%C3%BChlhausen	</v>
      <v xml:space="preserve">https://creativecommons.org/licenses/by-sa/3.0	</v>
    </spb>
    <spb s="14">
      <v>687</v>
      <v>687</v>
      <v>687</v>
      <v>687</v>
      <v>687</v>
      <v>687</v>
      <v>687</v>
      <v>687</v>
      <v>687</v>
    </spb>
    <spb s="0">
      <v xml:space="preserve">Wikipedia	</v>
      <v xml:space="preserve">CC BY-SA 3.0	</v>
      <v xml:space="preserve">https://en.wikipedia.org/wiki/M%C3%BChlheim_an_der_Donau	</v>
      <v xml:space="preserve">https://creativecommons.org/licenses/by-sa/3.0	</v>
    </spb>
    <spb s="10">
      <v>689</v>
      <v>689</v>
      <v>689</v>
      <v>689</v>
      <v>689</v>
      <v>689</v>
      <v>689</v>
      <v>689</v>
      <v>689</v>
    </spb>
    <spb s="0">
      <v xml:space="preserve">Wikipedia	</v>
      <v xml:space="preserve">CC BY-SA 3.0	</v>
      <v xml:space="preserve">https://en.wikipedia.org/wiki/Munich	</v>
      <v xml:space="preserve">https://creativecommons.org/licenses/by-sa/3.0	</v>
    </spb>
    <spb s="12">
      <v>691</v>
      <v>691</v>
      <v>691</v>
      <v>691</v>
      <v>691</v>
      <v>691</v>
      <v>691</v>
      <v>691</v>
    </spb>
    <spb s="0">
      <v xml:space="preserve">Wikipedia	</v>
      <v xml:space="preserve">CC BY-SA 3.0	</v>
      <v xml:space="preserve">https://en.wikipedia.org/wiki/M%C3%BCnsingen,_Germany	</v>
      <v xml:space="preserve">https://creativecommons.org/licenses/by-sa/3.0	</v>
    </spb>
    <spb s="10">
      <v>693</v>
      <v>693</v>
      <v>693</v>
      <v>693</v>
      <v>693</v>
      <v>693</v>
      <v>693</v>
      <v>693</v>
      <v>693</v>
    </spb>
    <spb s="0">
      <v xml:space="preserve">Wikipedia	</v>
      <v xml:space="preserve">CC BY-SA 3.0	</v>
      <v xml:space="preserve">https://en.wikipedia.org/wiki/M%C3%BCnster	</v>
      <v xml:space="preserve">https://creativecommons.org/licenses/by-sa/3.0	</v>
    </spb>
    <spb s="1">
      <v>695</v>
      <v>695</v>
      <v>695</v>
      <v>695</v>
      <v>695</v>
      <v>695</v>
      <v>695</v>
      <v>695</v>
      <v>695</v>
      <v>695</v>
    </spb>
    <spb s="0">
      <v xml:space="preserve">Wikipedia	</v>
      <v xml:space="preserve">CC BY-SA 3.0	</v>
      <v xml:space="preserve">https://en.wikipedia.org/wiki/Neubrandenburg	</v>
      <v xml:space="preserve">https://creativecommons.org/licenses/by-sa/3.0	</v>
    </spb>
    <spb s="1">
      <v>697</v>
      <v>697</v>
      <v>697</v>
      <v>697</v>
      <v>697</v>
      <v>697</v>
      <v>697</v>
      <v>697</v>
      <v>697</v>
      <v>697</v>
    </spb>
    <spb s="0">
      <v xml:space="preserve">Wikipedia	</v>
      <v xml:space="preserve">CC BY-SA 3.0	</v>
      <v xml:space="preserve">https://en.wikipedia.org/wiki/Neu-Isenburg	</v>
      <v xml:space="preserve">https://creativecommons.org/licenses/by-sa/3.0	</v>
    </spb>
    <spb s="1">
      <v>699</v>
      <v>699</v>
      <v>699</v>
      <v>699</v>
      <v>699</v>
      <v>699</v>
      <v>699</v>
      <v>699</v>
      <v>699</v>
      <v>699</v>
    </spb>
    <spb s="0">
      <v xml:space="preserve">Wikipedia	</v>
      <v xml:space="preserve">CC BY-SA 3.0	</v>
      <v xml:space="preserve">https://en.wikipedia.org/wiki/Neukirchen-Vluyn	</v>
      <v xml:space="preserve">https://creativecommons.org/licenses/by-sa/3.0	</v>
    </spb>
    <spb s="1">
      <v>701</v>
      <v>701</v>
      <v>701</v>
      <v>701</v>
      <v>701</v>
      <v>701</v>
      <v>701</v>
      <v>701</v>
      <v>701</v>
      <v>701</v>
    </spb>
    <spb s="0">
      <v xml:space="preserve">Wikipedia	</v>
      <v xml:space="preserve">CC BY-SA 3.0	</v>
      <v xml:space="preserve">https://en.wikipedia.org/wiki/Neum%C3%BCnster	</v>
      <v xml:space="preserve">https://creativecommons.org/licenses/by-sa/3.0	</v>
    </spb>
    <spb s="10">
      <v>703</v>
      <v>703</v>
      <v>703</v>
      <v>703</v>
      <v>703</v>
      <v>703</v>
      <v>703</v>
      <v>703</v>
      <v>703</v>
    </spb>
    <spb s="0">
      <v xml:space="preserve">Wikipedia	</v>
      <v xml:space="preserve">CC BY-SA 3.0	</v>
      <v xml:space="preserve">https://en.wikipedia.org/wiki/Neunkirchen,_Saarland	</v>
      <v xml:space="preserve">https://creativecommons.org/licenses/by-sa/3.0	</v>
    </spb>
    <spb s="1">
      <v>705</v>
      <v>705</v>
      <v>705</v>
      <v>705</v>
      <v>705</v>
      <v>705</v>
      <v>705</v>
      <v>705</v>
      <v>705</v>
      <v>705</v>
    </spb>
    <spb s="0">
      <v xml:space="preserve">Wikipedia	</v>
      <v xml:space="preserve">CC BY-SA 3.0	</v>
      <v xml:space="preserve">https://en.wikipedia.org/wiki/Neuruppin	</v>
      <v xml:space="preserve">https://creativecommons.org/licenses/by-sa/3.0	</v>
    </spb>
    <spb s="1">
      <v>707</v>
      <v>707</v>
      <v>707</v>
      <v>707</v>
      <v>707</v>
      <v>707</v>
      <v>707</v>
      <v>707</v>
      <v>707</v>
      <v>707</v>
    </spb>
    <spb s="0">
      <v xml:space="preserve">Wikipedia	</v>
      <v xml:space="preserve">CC BY-SA 3.0	</v>
      <v xml:space="preserve">https://en.wikipedia.org/wiki/Neuss	</v>
      <v xml:space="preserve">https://creativecommons.org/licenses/by-sa/3.0	</v>
    </spb>
    <spb s="10">
      <v>709</v>
      <v>709</v>
      <v>709</v>
      <v>709</v>
      <v>709</v>
      <v>709</v>
      <v>709</v>
      <v>709</v>
      <v>709</v>
    </spb>
    <spb s="0">
      <v xml:space="preserve">Wikipedia	</v>
      <v xml:space="preserve">CC BY-SA 3.0	</v>
      <v xml:space="preserve">https://en.wikipedia.org/wiki/Neustadt_an_der_Weinstra%C3%9Fe	</v>
      <v xml:space="preserve">https://creativecommons.org/licenses/by-sa/3.0	</v>
    </spb>
    <spb s="10">
      <v>711</v>
      <v>711</v>
      <v>711</v>
      <v>711</v>
      <v>711</v>
      <v>711</v>
      <v>711</v>
      <v>711</v>
      <v>711</v>
    </spb>
    <spb s="0">
      <v xml:space="preserve">Wikipedia	</v>
      <v xml:space="preserve">CC BY-SA 3.0	</v>
      <v xml:space="preserve">https://en.wikipedia.org/wiki/Neustrelitz	</v>
      <v xml:space="preserve">https://creativecommons.org/licenses/by-sa/3.0	</v>
    </spb>
    <spb s="1">
      <v>713</v>
      <v>713</v>
      <v>713</v>
      <v>713</v>
      <v>713</v>
      <v>713</v>
      <v>713</v>
      <v>713</v>
      <v>713</v>
      <v>713</v>
    </spb>
    <spb s="0">
      <v xml:space="preserve">Wikipedia	</v>
      <v xml:space="preserve">CC BY-SA 3.0	</v>
      <v xml:space="preserve">https://en.wikipedia.org/wiki/Neu-Ulm	</v>
      <v xml:space="preserve">https://creativecommons.org/licenses/by-sa/3.0	</v>
    </spb>
    <spb s="14">
      <v>715</v>
      <v>715</v>
      <v>715</v>
      <v>715</v>
      <v>715</v>
      <v>715</v>
      <v>715</v>
      <v>715</v>
      <v>715</v>
    </spb>
    <spb s="0">
      <v xml:space="preserve">Wikipedia	</v>
      <v xml:space="preserve">CC BY-SA 3.0	</v>
      <v xml:space="preserve">https://en.wikipedia.org/wiki/Neuwied	</v>
      <v xml:space="preserve">https://creativecommons.org/licenses/by-sa/3.0	</v>
    </spb>
    <spb s="1">
      <v>717</v>
      <v>717</v>
      <v>717</v>
      <v>717</v>
      <v>717</v>
      <v>717</v>
      <v>717</v>
      <v>717</v>
      <v>717</v>
      <v>717</v>
    </spb>
    <spb s="0">
      <v xml:space="preserve">Wikipedia	</v>
      <v xml:space="preserve">CC BY-SA 3.0	</v>
      <v xml:space="preserve">https://en.wikipedia.org/wiki/Nienburg,_Lower_Saxony	</v>
      <v xml:space="preserve">https://creativecommons.org/licenses/by-sa/3.0	</v>
    </spb>
    <spb s="10">
      <v>719</v>
      <v>719</v>
      <v>719</v>
      <v>719</v>
      <v>719</v>
      <v>719</v>
      <v>719</v>
      <v>719</v>
      <v>719</v>
    </spb>
    <spb s="0">
      <v xml:space="preserve">Wikipedia	</v>
      <v xml:space="preserve">CC BY-SA 3.0	</v>
      <v xml:space="preserve">https://en.wikipedia.org/wiki/Nordenham	</v>
      <v xml:space="preserve">https://creativecommons.org/licenses/by-sa/3.0	</v>
    </spb>
    <spb s="1">
      <v>721</v>
      <v>721</v>
      <v>721</v>
      <v>721</v>
      <v>721</v>
      <v>721</v>
      <v>721</v>
      <v>721</v>
      <v>721</v>
      <v>721</v>
    </spb>
    <spb s="0">
      <v xml:space="preserve">Wikipedia	</v>
      <v xml:space="preserve">CC BY-SA 3.0	</v>
      <v xml:space="preserve">https://en.wikipedia.org/wiki/Norderney	</v>
      <v xml:space="preserve">https://creativecommons.org/licenses/by-sa/3.0	</v>
    </spb>
    <spb s="1">
      <v>723</v>
      <v>723</v>
      <v>723</v>
      <v>723</v>
      <v>723</v>
      <v>723</v>
      <v>723</v>
      <v>723</v>
      <v>723</v>
      <v>723</v>
    </spb>
    <spb s="0">
      <v xml:space="preserve">Wikipedia	</v>
      <v xml:space="preserve">CC BY-SA 3.0	</v>
      <v xml:space="preserve">https://en.wikipedia.org/wiki/Nordhorn	</v>
      <v xml:space="preserve">https://creativecommons.org/licenses/by-sa/3.0	</v>
    </spb>
    <spb s="10">
      <v>725</v>
      <v>725</v>
      <v>725</v>
      <v>725</v>
      <v>725</v>
      <v>725</v>
      <v>725</v>
      <v>725</v>
      <v>725</v>
    </spb>
    <spb s="0">
      <v xml:space="preserve">Wikipedia	</v>
      <v xml:space="preserve">CC BY-SA 3.0	</v>
      <v xml:space="preserve">https://en.wikipedia.org/wiki/N%C3%B6rdlingen	</v>
      <v xml:space="preserve">https://creativecommons.org/licenses/by-sa/3.0	</v>
    </spb>
    <spb s="14">
      <v>727</v>
      <v>727</v>
      <v>727</v>
      <v>727</v>
      <v>727</v>
      <v>727</v>
      <v>727</v>
      <v>727</v>
      <v>727</v>
    </spb>
    <spb s="0">
      <v xml:space="preserve">Wikipedia	</v>
      <v xml:space="preserve">CC BY-SA 3.0	</v>
      <v xml:space="preserve">https://en.wikipedia.org/wiki/Nuremberg	</v>
      <v xml:space="preserve">https://creativecommons.org/licenses/by-sa/3.0	</v>
    </spb>
    <spb s="12">
      <v>729</v>
      <v>729</v>
      <v>729</v>
      <v>729</v>
      <v>729</v>
      <v>729</v>
      <v>729</v>
      <v>729</v>
    </spb>
    <spb s="3">
      <v>17</v>
      <v>Name</v>
      <v>LearnMoreOnLink</v>
    </spb>
    <spb s="0">
      <v xml:space="preserve">Wikipedia	</v>
      <v xml:space="preserve">CC BY-SA 3.0	</v>
      <v xml:space="preserve">https://en.wikipedia.org/wiki/N%C3%BCrtingen	</v>
      <v xml:space="preserve">https://creativecommons.org/licenses/by-sa/3.0	</v>
    </spb>
    <spb s="10">
      <v>732</v>
      <v>732</v>
      <v>732</v>
      <v>732</v>
      <v>732</v>
      <v>732</v>
      <v>732</v>
      <v>732</v>
      <v>732</v>
    </spb>
    <spb s="0">
      <v xml:space="preserve">Wikipedia	</v>
      <v xml:space="preserve">CC BY-SA 3.0	</v>
      <v xml:space="preserve">https://en.wikipedia.org/wiki/Oberaudorf	</v>
      <v xml:space="preserve">https://creativecommons.org/licenses/by-sa/3.0	</v>
    </spb>
    <spb s="14">
      <v>734</v>
      <v>734</v>
      <v>734</v>
      <v>734</v>
      <v>734</v>
      <v>734</v>
      <v>734</v>
      <v>734</v>
      <v>734</v>
    </spb>
    <spb s="0">
      <v xml:space="preserve">Wikipedia	</v>
      <v xml:space="preserve">CC BY-SA 3.0	</v>
      <v xml:space="preserve">https://en.wikipedia.org/wiki/Oberhausen	</v>
      <v xml:space="preserve">https://creativecommons.org/licenses/by-sa/3.0	</v>
    </spb>
    <spb s="1">
      <v>736</v>
      <v>736</v>
      <v>736</v>
      <v>736</v>
      <v>736</v>
      <v>736</v>
      <v>736</v>
      <v>736</v>
      <v>736</v>
      <v>736</v>
    </spb>
    <spb s="0">
      <v xml:space="preserve">Wikipedia	</v>
      <v xml:space="preserve">CC BY-SA 3.0	</v>
      <v xml:space="preserve">https://en.wikipedia.org/wiki/Oberstdorf	</v>
      <v xml:space="preserve">https://creativecommons.org/licenses/by-sa/3.0	</v>
    </spb>
    <spb s="14">
      <v>738</v>
      <v>738</v>
      <v>738</v>
      <v>738</v>
      <v>738</v>
      <v>738</v>
      <v>738</v>
      <v>738</v>
      <v>738</v>
    </spb>
    <spb s="0">
      <v xml:space="preserve">Wikipedia	</v>
      <v xml:space="preserve">CC BY-SA 3.0	</v>
      <v xml:space="preserve">https://en.wikipedia.org/wiki/Oberursel_(Taunus)	</v>
      <v xml:space="preserve">https://creativecommons.org/licenses/by-sa/3.0	</v>
    </spb>
    <spb s="1">
      <v>740</v>
      <v>740</v>
      <v>740</v>
      <v>740</v>
      <v>740</v>
      <v>740</v>
      <v>740</v>
      <v>740</v>
      <v>740</v>
      <v>740</v>
    </spb>
    <spb s="0">
      <v xml:space="preserve">Wikipedia	</v>
      <v xml:space="preserve">CC BY-SA 3.0	</v>
      <v xml:space="preserve">https://en.wikipedia.org/wiki/Oberviechtach	</v>
      <v xml:space="preserve">https://creativecommons.org/licenses/by-sa/3.0	</v>
    </spb>
    <spb s="14">
      <v>742</v>
      <v>742</v>
      <v>742</v>
      <v>742</v>
      <v>742</v>
      <v>742</v>
      <v>742</v>
      <v>742</v>
      <v>742</v>
    </spb>
    <spb s="0">
      <v xml:space="preserve">Wikipedia	</v>
      <v xml:space="preserve">CC BY-SA 3.0	</v>
      <v xml:space="preserve">https://en.wikipedia.org/wiki/Oberwiesenthal	</v>
      <v xml:space="preserve">https://creativecommons.org/licenses/by-sa/3.0	</v>
    </spb>
    <spb s="1">
      <v>744</v>
      <v>744</v>
      <v>744</v>
      <v>744</v>
      <v>744</v>
      <v>744</v>
      <v>744</v>
      <v>744</v>
      <v>744</v>
      <v>744</v>
    </spb>
    <spb s="0">
      <v xml:space="preserve">Wikipedia	</v>
      <v xml:space="preserve">CC BY-SA 3.0	</v>
      <v xml:space="preserve">https://en.wikipedia.org/wiki/Oer-Erkenschwick	</v>
      <v xml:space="preserve">https://creativecommons.org/licenses/by-sa/3.0	</v>
    </spb>
    <spb s="1">
      <v>746</v>
      <v>746</v>
      <v>746</v>
      <v>746</v>
      <v>746</v>
      <v>746</v>
      <v>746</v>
      <v>746</v>
      <v>746</v>
      <v>746</v>
    </spb>
    <spb s="0">
      <v xml:space="preserve">Wikipedia	</v>
      <v xml:space="preserve">CC BY-SA 3.0	</v>
      <v xml:space="preserve">https://en.wikipedia.org/wiki/Offenbach_am_Main	</v>
      <v xml:space="preserve">https://creativecommons.org/licenses/by-sa/3.0	</v>
    </spb>
    <spb s="1">
      <v>748</v>
      <v>748</v>
      <v>748</v>
      <v>748</v>
      <v>748</v>
      <v>748</v>
      <v>748</v>
      <v>748</v>
      <v>748</v>
      <v>748</v>
    </spb>
    <spb s="0">
      <v xml:space="preserve">Wikipedia	</v>
      <v xml:space="preserve">CC BY-SA 3.0	</v>
      <v xml:space="preserve">https://en.wikipedia.org/wiki/%C3%96hringen	</v>
      <v xml:space="preserve">https://creativecommons.org/licenses/by-sa/3.0	</v>
    </spb>
    <spb s="10">
      <v>750</v>
      <v>750</v>
      <v>750</v>
      <v>750</v>
      <v>750</v>
      <v>750</v>
      <v>750</v>
      <v>750</v>
      <v>750</v>
    </spb>
    <spb s="0">
      <v xml:space="preserve">Wikipedia	</v>
      <v xml:space="preserve">CC BY-SA 3.0	</v>
      <v xml:space="preserve">https://en.wikipedia.org/wiki/Oldenburg_(city)	</v>
      <v xml:space="preserve">https://creativecommons.org/licenses/by-sa/3.0	</v>
    </spb>
    <spb s="10">
      <v>752</v>
      <v>752</v>
      <v>752</v>
      <v>752</v>
      <v>752</v>
      <v>752</v>
      <v>752</v>
      <v>752</v>
      <v>752</v>
    </spb>
    <spb s="0">
      <v xml:space="preserve">Wikipedia	</v>
      <v xml:space="preserve">CC BY-SA 3.0	</v>
      <v xml:space="preserve">https://en.wikipedia.org/wiki/Oranienburg	</v>
      <v xml:space="preserve">https://creativecommons.org/licenses/by-sa/3.0	</v>
    </spb>
    <spb s="1">
      <v>754</v>
      <v>754</v>
      <v>754</v>
      <v>754</v>
      <v>754</v>
      <v>754</v>
      <v>754</v>
      <v>754</v>
      <v>754</v>
      <v>754</v>
    </spb>
    <spb s="0">
      <v xml:space="preserve">Wikipedia	</v>
      <v xml:space="preserve">CC BY-SA 3.0	</v>
      <v xml:space="preserve">https://en.wikipedia.org/wiki/Oschatz	</v>
      <v xml:space="preserve">https://creativecommons.org/licenses/by-sa/3.0	</v>
    </spb>
    <spb s="1">
      <v>756</v>
      <v>756</v>
      <v>756</v>
      <v>756</v>
      <v>756</v>
      <v>756</v>
      <v>756</v>
      <v>756</v>
      <v>756</v>
      <v>756</v>
    </spb>
    <spb s="0">
      <v xml:space="preserve">Wikipedia	</v>
      <v xml:space="preserve">CC BY-SA 3.0	</v>
      <v xml:space="preserve">https://en.wikipedia.org/wiki/Osnabr%C3%BCck	</v>
      <v xml:space="preserve">https://creativecommons.org/licenses/by-sa/3.0	</v>
    </spb>
    <spb s="10">
      <v>758</v>
      <v>758</v>
      <v>758</v>
      <v>758</v>
      <v>758</v>
      <v>758</v>
      <v>758</v>
      <v>758</v>
      <v>758</v>
    </spb>
    <spb s="0">
      <v xml:space="preserve">Wikipedia	</v>
      <v xml:space="preserve">CC BY-SA 3.0	</v>
      <v xml:space="preserve">https://en.wikipedia.org/wiki/Oy-Mittelberg	</v>
      <v xml:space="preserve">https://creativecommons.org/licenses/by-sa/3.0	</v>
    </spb>
    <spb s="14">
      <v>760</v>
      <v>760</v>
      <v>760</v>
      <v>760</v>
      <v>760</v>
      <v>760</v>
      <v>760</v>
      <v>760</v>
      <v>760</v>
    </spb>
    <spb s="0">
      <v xml:space="preserve">Wikipedia	</v>
      <v xml:space="preserve">CC BY-SA 3.0	</v>
      <v xml:space="preserve">https://en.wikipedia.org/wiki/Paderborn	</v>
      <v xml:space="preserve">https://creativecommons.org/licenses/by-sa/3.0	</v>
    </spb>
    <spb s="14">
      <v>762</v>
      <v>762</v>
      <v>762</v>
      <v>762</v>
      <v>762</v>
      <v>762</v>
      <v>762</v>
      <v>762</v>
      <v>762</v>
    </spb>
    <spb s="0">
      <v xml:space="preserve">Wikipedia	</v>
      <v xml:space="preserve">CC BY-SA 3.0	</v>
      <v xml:space="preserve">https://en.wikipedia.org/wiki/Parchim	</v>
      <v xml:space="preserve">https://creativecommons.org/licenses/by-sa/3.0	</v>
    </spb>
    <spb s="1">
      <v>764</v>
      <v>764</v>
      <v>764</v>
      <v>764</v>
      <v>764</v>
      <v>764</v>
      <v>764</v>
      <v>764</v>
      <v>764</v>
      <v>764</v>
    </spb>
    <spb s="0">
      <v xml:space="preserve">Wikipedia	</v>
      <v xml:space="preserve">CC BY-SA 3.0	</v>
      <v xml:space="preserve">https://en.wikipedia.org/wiki/Parsberg	</v>
      <v xml:space="preserve">https://creativecommons.org/licenses/by-sa/3.0	</v>
    </spb>
    <spb s="14">
      <v>766</v>
      <v>766</v>
      <v>766</v>
      <v>766</v>
      <v>766</v>
      <v>766</v>
      <v>766</v>
      <v>766</v>
      <v>766</v>
    </spb>
    <spb s="0">
      <v xml:space="preserve">Wikipedia	</v>
      <v xml:space="preserve">CC BY-SA 3.0	</v>
      <v xml:space="preserve">https://en.wikipedia.org/wiki/Passau	</v>
      <v xml:space="preserve">https://creativecommons.org/licenses/by-sa/3.0	</v>
    </spb>
    <spb s="12">
      <v>768</v>
      <v>768</v>
      <v>768</v>
      <v>768</v>
      <v>768</v>
      <v>768</v>
      <v>768</v>
      <v>768</v>
    </spb>
    <spb s="0">
      <v xml:space="preserve">Wikipedia	</v>
      <v xml:space="preserve">CC BY-SA 3.0	</v>
      <v xml:space="preserve">https://en.wikipedia.org/wiki/Peine	</v>
      <v xml:space="preserve">https://creativecommons.org/licenses/by-sa/3.0	</v>
    </spb>
    <spb s="1">
      <v>770</v>
      <v>770</v>
      <v>770</v>
      <v>770</v>
      <v>770</v>
      <v>770</v>
      <v>770</v>
      <v>770</v>
      <v>770</v>
      <v>770</v>
    </spb>
    <spb s="0">
      <v xml:space="preserve">Wikipedia	</v>
      <v xml:space="preserve">CC BY-SA 3.0	</v>
      <v xml:space="preserve">https://en.wikipedia.org/wiki/Pforzheim	</v>
      <v xml:space="preserve">https://creativecommons.org/licenses/by-sa/3.0	</v>
    </spb>
    <spb s="10">
      <v>772</v>
      <v>772</v>
      <v>772</v>
      <v>772</v>
      <v>772</v>
      <v>772</v>
      <v>772</v>
      <v>772</v>
      <v>772</v>
    </spb>
    <spb s="0">
      <v xml:space="preserve">Wikipedia	</v>
      <v xml:space="preserve">CC BY-SA 3.0	</v>
      <v xml:space="preserve">https://en.wikipedia.org/wiki/Pinneberg	</v>
      <v xml:space="preserve">https://creativecommons.org/licenses/by-sa/3.0	</v>
    </spb>
    <spb s="1">
      <v>774</v>
      <v>774</v>
      <v>774</v>
      <v>774</v>
      <v>774</v>
      <v>774</v>
      <v>774</v>
      <v>774</v>
      <v>774</v>
      <v>774</v>
    </spb>
    <spb s="0">
      <v xml:space="preserve">Wikipedia	</v>
      <v xml:space="preserve">CC BY-SA 3.0	</v>
      <v xml:space="preserve">https://en.wikipedia.org/wiki/Pirmasens	</v>
      <v xml:space="preserve">https://creativecommons.org/licenses/by-sa/3.0	</v>
    </spb>
    <spb s="10">
      <v>776</v>
      <v>776</v>
      <v>776</v>
      <v>776</v>
      <v>776</v>
      <v>776</v>
      <v>776</v>
      <v>776</v>
      <v>776</v>
    </spb>
    <spb s="0">
      <v xml:space="preserve">Wikipedia	</v>
      <v xml:space="preserve">CC BY-SA 3.0	</v>
      <v xml:space="preserve">https://en.wikipedia.org/wiki/Pirna	</v>
      <v xml:space="preserve">https://creativecommons.org/licenses/by-sa/3.0	</v>
    </spb>
    <spb s="1">
      <v>778</v>
      <v>778</v>
      <v>778</v>
      <v>778</v>
      <v>778</v>
      <v>778</v>
      <v>778</v>
      <v>778</v>
      <v>778</v>
      <v>778</v>
    </spb>
    <spb s="0">
      <v xml:space="preserve">Wikipedia	</v>
      <v xml:space="preserve">CC BY-SA 3.0	</v>
      <v xml:space="preserve">https://en.wikipedia.org/wiki/Plauen	</v>
      <v xml:space="preserve">https://creativecommons.org/licenses/by-sa/3.0	</v>
    </spb>
    <spb s="1">
      <v>780</v>
      <v>780</v>
      <v>780</v>
      <v>780</v>
      <v>780</v>
      <v>780</v>
      <v>780</v>
      <v>780</v>
      <v>780</v>
      <v>780</v>
    </spb>
    <spb s="0">
      <v xml:space="preserve">Wikipedia	</v>
      <v xml:space="preserve">CC BY-SA 3.0	</v>
      <v xml:space="preserve">https://en.wikipedia.org/wiki/Plettenberg	</v>
      <v xml:space="preserve">https://creativecommons.org/licenses/by-sa/3.0	</v>
    </spb>
    <spb s="14">
      <v>782</v>
      <v>782</v>
      <v>782</v>
      <v>782</v>
      <v>782</v>
      <v>782</v>
      <v>782</v>
      <v>782</v>
      <v>782</v>
    </spb>
    <spb s="0">
      <v xml:space="preserve">Wikipedia	</v>
      <v xml:space="preserve">CC BY-SA 3.0	</v>
      <v xml:space="preserve">https://en.wikipedia.org/wiki/Pommelsbrunn	</v>
      <v xml:space="preserve">https://creativecommons.org/licenses/by-sa/3.0	</v>
    </spb>
    <spb s="14">
      <v>784</v>
      <v>784</v>
      <v>784</v>
      <v>784</v>
      <v>784</v>
      <v>784</v>
      <v>784</v>
      <v>784</v>
      <v>784</v>
    </spb>
    <spb s="0">
      <v xml:space="preserve">Wikipedia	</v>
      <v xml:space="preserve">CC BY-SA 3.0	</v>
      <v xml:space="preserve">https://en.wikipedia.org/wiki/Potsdam	</v>
      <v xml:space="preserve">https://creativecommons.org/licenses/by-sa/3.0	</v>
    </spb>
    <spb s="10">
      <v>786</v>
      <v>786</v>
      <v>786</v>
      <v>786</v>
      <v>786</v>
      <v>786</v>
      <v>786</v>
      <v>786</v>
      <v>786</v>
    </spb>
    <spb s="0">
      <v xml:space="preserve">Wikipedia	</v>
      <v xml:space="preserve">CC BY-SA 3.0	</v>
      <v xml:space="preserve">https://en.wikipedia.org/wiki/Prenzlau	</v>
      <v xml:space="preserve">https://creativecommons.org/licenses/by-sa/3.0	</v>
    </spb>
    <spb s="1">
      <v>788</v>
      <v>788</v>
      <v>788</v>
      <v>788</v>
      <v>788</v>
      <v>788</v>
      <v>788</v>
      <v>788</v>
      <v>788</v>
      <v>788</v>
    </spb>
    <spb s="0">
      <v xml:space="preserve">Wikipedia	</v>
      <v xml:space="preserve">CC BY-SA 3.0	</v>
      <v xml:space="preserve">https://en.wikipedia.org/wiki/Quedlinburg	</v>
      <v xml:space="preserve">https://creativecommons.org/licenses/by-sa/3.0	</v>
    </spb>
    <spb s="10">
      <v>790</v>
      <v>790</v>
      <v>790</v>
      <v>790</v>
      <v>790</v>
      <v>790</v>
      <v>790</v>
      <v>790</v>
      <v>790</v>
    </spb>
    <spb s="0">
      <v xml:space="preserve">Wikipedia	</v>
      <v xml:space="preserve">CC BY-SA 3.0	</v>
      <v xml:space="preserve">https://en.wikipedia.org/wiki/Quickborn	</v>
      <v xml:space="preserve">https://creativecommons.org/licenses/by-sa/3.0	</v>
    </spb>
    <spb s="1">
      <v>792</v>
      <v>792</v>
      <v>792</v>
      <v>792</v>
      <v>792</v>
      <v>792</v>
      <v>792</v>
      <v>792</v>
      <v>792</v>
      <v>792</v>
    </spb>
    <spb s="0">
      <v xml:space="preserve">Wikipedia	</v>
      <v xml:space="preserve">CC BY-SA 3.0	</v>
      <v xml:space="preserve">https://en.wikipedia.org/wiki/Radebeul	</v>
      <v xml:space="preserve">https://creativecommons.org/licenses/by-sa/3.0	</v>
    </spb>
    <spb s="1">
      <v>794</v>
      <v>794</v>
      <v>794</v>
      <v>794</v>
      <v>794</v>
      <v>794</v>
      <v>794</v>
      <v>794</v>
      <v>794</v>
      <v>794</v>
    </spb>
    <spb s="0">
      <v xml:space="preserve">Wikipedia	</v>
      <v xml:space="preserve">CC BY-SA 3.0	</v>
      <v xml:space="preserve">https://en.wikipedia.org/wiki/Radevormwald	</v>
      <v xml:space="preserve">https://creativecommons.org/licenses/by-sa/3.0	</v>
    </spb>
    <spb s="1">
      <v>796</v>
      <v>796</v>
      <v>796</v>
      <v>796</v>
      <v>796</v>
      <v>796</v>
      <v>796</v>
      <v>796</v>
      <v>796</v>
      <v>796</v>
    </spb>
    <spb s="0">
      <v xml:space="preserve">Wikipedia	</v>
      <v xml:space="preserve">CC BY-SA 3.0	</v>
      <v xml:space="preserve">https://en.wikipedia.org/wiki/Rastatt	</v>
      <v xml:space="preserve">https://creativecommons.org/licenses/by-sa/3.0	</v>
    </spb>
    <spb s="10">
      <v>798</v>
      <v>798</v>
      <v>798</v>
      <v>798</v>
      <v>798</v>
      <v>798</v>
      <v>798</v>
      <v>798</v>
      <v>798</v>
    </spb>
    <spb s="0">
      <v xml:space="preserve">Wikipedia	</v>
      <v xml:space="preserve">CC BY-SA 3.0	</v>
      <v xml:space="preserve">https://en.wikipedia.org/wiki/Rathenow	</v>
      <v xml:space="preserve">https://creativecommons.org/licenses/by-sa/3.0	</v>
    </spb>
    <spb s="10">
      <v>800</v>
      <v>800</v>
      <v>800</v>
      <v>800</v>
      <v>800</v>
      <v>800</v>
      <v>800</v>
      <v>800</v>
      <v>800</v>
    </spb>
    <spb s="0">
      <v xml:space="preserve">Wikipedia	</v>
      <v xml:space="preserve">CC BY-SA 3.0	</v>
      <v xml:space="preserve">https://en.wikipedia.org/wiki/Ratingen	</v>
      <v xml:space="preserve">https://creativecommons.org/licenses/by-sa/3.0	</v>
    </spb>
    <spb s="1">
      <v>802</v>
      <v>802</v>
      <v>802</v>
      <v>802</v>
      <v>802</v>
      <v>802</v>
      <v>802</v>
      <v>802</v>
      <v>802</v>
      <v>802</v>
    </spb>
    <spb s="0">
      <v xml:space="preserve">Wikipedia	</v>
      <v xml:space="preserve">CC BY-SA 3.0	</v>
      <v xml:space="preserve">https://en.wikipedia.org/wiki/Ravensburg	</v>
      <v xml:space="preserve">https://creativecommons.org/licenses/by-sa/3.0	</v>
    </spb>
    <spb s="14">
      <v>804</v>
      <v>804</v>
      <v>804</v>
      <v>804</v>
      <v>804</v>
      <v>804</v>
      <v>804</v>
      <v>804</v>
      <v>804</v>
    </spb>
    <spb s="0">
      <v xml:space="preserve">Wikipedia	</v>
      <v xml:space="preserve">CC BY-SA 3.0	</v>
      <v xml:space="preserve">https://en.wikipedia.org/wiki/Recklinghausen	</v>
      <v xml:space="preserve">https://creativecommons.org/licenses/by-sa/3.0	</v>
    </spb>
    <spb s="1">
      <v>806</v>
      <v>806</v>
      <v>806</v>
      <v>806</v>
      <v>806</v>
      <v>806</v>
      <v>806</v>
      <v>806</v>
      <v>806</v>
      <v>806</v>
    </spb>
    <spb s="0">
      <v xml:space="preserve">Wikipedia	</v>
      <v xml:space="preserve">CC BY-SA 3.0	</v>
      <v xml:space="preserve">https://en.wikipedia.org/wiki/Saarbr%C3%BCcken_(district)	</v>
      <v xml:space="preserve">https://creativecommons.org/licenses/by-sa/3.0	</v>
    </spb>
    <spb s="0">
      <v xml:space="preserve">Wikipedia	</v>
      <v xml:space="preserve">CC-BY-SA	</v>
      <v xml:space="preserve">http://en.wikipedia.org/wiki/Saarbrücken_(district)	</v>
      <v xml:space="preserve">http://creativecommons.org/licenses/by-sa/3.0/	</v>
    </spb>
    <spb s="19">
      <v>808</v>
      <v>808</v>
      <v>808</v>
      <v>809</v>
      <v>808</v>
      <v>808</v>
      <v>808</v>
      <v>808</v>
    </spb>
    <spb s="8">
      <v>Quadratkilometer</v>
      <v>2002</v>
    </spb>
    <spb s="0">
      <v xml:space="preserve">Wikipedia	</v>
      <v xml:space="preserve">CC BY-SA 3.0	</v>
      <v xml:space="preserve">https://en.wikipedia.org/wiki/V%C3%B6lklingen	</v>
      <v xml:space="preserve">https://creativecommons.org/licenses/by-sa/3.0	</v>
    </spb>
    <spb s="1">
      <v>812</v>
      <v>812</v>
      <v>812</v>
      <v>812</v>
      <v>812</v>
      <v>812</v>
      <v>812</v>
      <v>812</v>
      <v>812</v>
      <v>812</v>
    </spb>
    <spb s="0">
      <v xml:space="preserve">Wikipedia	</v>
      <v xml:space="preserve">CC BY-SA 3.0	</v>
      <v xml:space="preserve">https://en.wikipedia.org/wiki/Reichenbach_im_Vogtland	</v>
      <v xml:space="preserve">https://creativecommons.org/licenses/by-sa/3.0	</v>
    </spb>
    <spb s="1">
      <v>814</v>
      <v>814</v>
      <v>814</v>
      <v>814</v>
      <v>814</v>
      <v>814</v>
      <v>814</v>
      <v>814</v>
      <v>814</v>
      <v>814</v>
    </spb>
    <spb s="0">
      <v xml:space="preserve">Wikipedia	</v>
      <v xml:space="preserve">CC BY-SA 3.0	</v>
      <v xml:space="preserve">https://en.wikipedia.org/wiki/Remscheid	</v>
      <v xml:space="preserve">https://creativecommons.org/licenses/by-sa/3.0	</v>
    </spb>
    <spb s="1">
      <v>816</v>
      <v>816</v>
      <v>816</v>
      <v>816</v>
      <v>816</v>
      <v>816</v>
      <v>816</v>
      <v>816</v>
      <v>816</v>
      <v>816</v>
    </spb>
    <spb s="0">
      <v xml:space="preserve">Wikipedia	</v>
      <v xml:space="preserve">CC BY-SA 3.0	</v>
      <v xml:space="preserve">https://en.wikipedia.org/wiki/Rendsburg	</v>
      <v xml:space="preserve">https://creativecommons.org/licenses/by-sa/3.0	</v>
    </spb>
    <spb s="1">
      <v>818</v>
      <v>818</v>
      <v>818</v>
      <v>818</v>
      <v>818</v>
      <v>818</v>
      <v>818</v>
      <v>818</v>
      <v>818</v>
      <v>818</v>
    </spb>
    <spb s="0">
      <v xml:space="preserve">Wikipedia	</v>
      <v xml:space="preserve">CC BY-SA 3.0	</v>
      <v xml:space="preserve">https://en.wikipedia.org/wiki/Rheine	</v>
      <v xml:space="preserve">https://creativecommons.org/licenses/by-sa/3.0	</v>
    </spb>
    <spb s="1">
      <v>820</v>
      <v>820</v>
      <v>820</v>
      <v>820</v>
      <v>820</v>
      <v>820</v>
      <v>820</v>
      <v>820</v>
      <v>820</v>
      <v>820</v>
    </spb>
    <spb s="0">
      <v xml:space="preserve">Wikipedia	</v>
      <v xml:space="preserve">CC BY-SA 3.0	</v>
      <v xml:space="preserve">https://en.wikipedia.org/wiki/Rheinhausen_(Breisgau)	</v>
      <v xml:space="preserve">https://creativecommons.org/licenses/by-sa/3.0	</v>
    </spb>
    <spb s="10">
      <v>822</v>
      <v>822</v>
      <v>822</v>
      <v>822</v>
      <v>822</v>
      <v>822</v>
      <v>822</v>
      <v>822</v>
      <v>822</v>
    </spb>
    <spb s="0">
      <v xml:space="preserve">Wikipedia	</v>
      <v xml:space="preserve">CC BY-SA 3.0	</v>
      <v xml:space="preserve">https://en.wikipedia.org/wiki/Rheydt	</v>
      <v xml:space="preserve">https://creativecommons.org/licenses/by-sa/3.0	</v>
    </spb>
    <spb s="25">
      <v>824</v>
      <v>824</v>
      <v>824</v>
      <v>824</v>
      <v>824</v>
      <v>824</v>
      <v>824</v>
      <v>824</v>
      <v>824</v>
    </spb>
    <spb s="0">
      <v xml:space="preserve">Wikipedia	</v>
      <v xml:space="preserve">CC BY-SA 3.0	</v>
      <v xml:space="preserve">https://en.wikipedia.org/wiki/Riesa	</v>
      <v xml:space="preserve">https://creativecommons.org/licenses/by-sa/3.0	</v>
    </spb>
    <spb s="1">
      <v>826</v>
      <v>826</v>
      <v>826</v>
      <v>826</v>
      <v>826</v>
      <v>826</v>
      <v>826</v>
      <v>826</v>
      <v>826</v>
      <v>826</v>
    </spb>
    <spb s="0">
      <v xml:space="preserve">Wikipedia	</v>
      <v xml:space="preserve">CC BY-SA 3.0	</v>
      <v xml:space="preserve">https://en.wikipedia.org/wiki/Rosenheim	</v>
      <v xml:space="preserve">https://creativecommons.org/licenses/by-sa/3.0	</v>
    </spb>
    <spb s="12">
      <v>828</v>
      <v>828</v>
      <v>828</v>
      <v>828</v>
      <v>828</v>
      <v>828</v>
      <v>828</v>
      <v>828</v>
    </spb>
    <spb s="0">
      <v xml:space="preserve">Wikipedia	</v>
      <v xml:space="preserve">CC BY-SA 3.0	</v>
      <v xml:space="preserve">https://en.wikipedia.org/wiki/Rostock	</v>
      <v xml:space="preserve">https://creativecommons.org/licenses/by-sa/3.0	</v>
    </spb>
    <spb s="10">
      <v>830</v>
      <v>830</v>
      <v>830</v>
      <v>830</v>
      <v>830</v>
      <v>830</v>
      <v>830</v>
      <v>830</v>
      <v>830</v>
    </spb>
    <spb s="0">
      <v xml:space="preserve">Wikipedia	</v>
      <v xml:space="preserve">CC BY-SA 3.0	</v>
      <v xml:space="preserve">https://en.wikipedia.org/wiki/Rudolstadt	</v>
      <v xml:space="preserve">https://creativecommons.org/licenses/by-sa/3.0	</v>
    </spb>
    <spb s="14">
      <v>832</v>
      <v>832</v>
      <v>832</v>
      <v>832</v>
      <v>832</v>
      <v>832</v>
      <v>832</v>
      <v>832</v>
      <v>832</v>
    </spb>
    <spb s="0">
      <v xml:space="preserve">Wikipedia	</v>
      <v xml:space="preserve">CC BY-SA 3.0	</v>
      <v xml:space="preserve">https://en.wikipedia.org/wiki/R%C3%BCsselsheim_am_Main	</v>
      <v xml:space="preserve">https://creativecommons.org/licenses/by-sa/3.0	</v>
    </spb>
    <spb s="1">
      <v>834</v>
      <v>834</v>
      <v>834</v>
      <v>834</v>
      <v>834</v>
      <v>834</v>
      <v>834</v>
      <v>834</v>
      <v>834</v>
      <v>834</v>
    </spb>
    <spb s="0">
      <v xml:space="preserve">Wikipedia	</v>
      <v xml:space="preserve">CC BY-SA 3.0	</v>
      <v xml:space="preserve">https://en.wikipedia.org/wiki/Saalfeld	</v>
      <v xml:space="preserve">https://creativecommons.org/licenses/by-sa/3.0	</v>
    </spb>
    <spb s="14">
      <v>836</v>
      <v>836</v>
      <v>836</v>
      <v>836</v>
      <v>836</v>
      <v>836</v>
      <v>836</v>
      <v>836</v>
      <v>836</v>
    </spb>
    <spb s="0">
      <v xml:space="preserve">Wikipedia	</v>
      <v xml:space="preserve">CC BY-SA 3.0	</v>
      <v xml:space="preserve">https://en.wikipedia.org/wiki/Saarlouis	</v>
      <v xml:space="preserve">https://creativecommons.org/licenses/by-sa/3.0	</v>
    </spb>
    <spb s="1">
      <v>838</v>
      <v>838</v>
      <v>838</v>
      <v>838</v>
      <v>838</v>
      <v>838</v>
      <v>838</v>
      <v>838</v>
      <v>838</v>
      <v>838</v>
    </spb>
    <spb s="0">
      <v xml:space="preserve">Wikipedia	</v>
      <v xml:space="preserve">CC BY-SA 3.0	</v>
      <v xml:space="preserve">https://en.wikipedia.org/wiki/Salzgitter	</v>
      <v xml:space="preserve">https://creativecommons.org/licenses/by-sa/3.0	</v>
    </spb>
    <spb s="10">
      <v>840</v>
      <v>840</v>
      <v>840</v>
      <v>840</v>
      <v>840</v>
      <v>840</v>
      <v>840</v>
      <v>840</v>
      <v>840</v>
    </spb>
    <spb s="0">
      <v xml:space="preserve">Wikipedia	</v>
      <v xml:space="preserve">CC BY-SA 3.0	</v>
      <v xml:space="preserve">https://en.wikipedia.org/wiki/Salzwedel	</v>
      <v xml:space="preserve">https://creativecommons.org/licenses/by-sa/3.0	</v>
    </spb>
    <spb s="10">
      <v>842</v>
      <v>842</v>
      <v>842</v>
      <v>842</v>
      <v>842</v>
      <v>842</v>
      <v>842</v>
      <v>842</v>
      <v>842</v>
    </spb>
    <spb s="0">
      <v xml:space="preserve">Wikipedia	</v>
      <v xml:space="preserve">CC BY-SA 3.0	</v>
      <v xml:space="preserve">https://en.wikipedia.org/wiki/Sangerhausen	</v>
      <v xml:space="preserve">https://creativecommons.org/licenses/by-sa/3.0	</v>
    </spb>
    <spb s="10">
      <v>844</v>
      <v>844</v>
      <v>844</v>
      <v>844</v>
      <v>844</v>
      <v>844</v>
      <v>844</v>
      <v>844</v>
      <v>844</v>
    </spb>
    <spb s="0">
      <v xml:space="preserve">Wikipedia	</v>
      <v xml:space="preserve">CC BY-SA 3.0	</v>
      <v xml:space="preserve">https://en.wikipedia.org/wiki/Schneeberg,_Saxony	</v>
      <v xml:space="preserve">https://creativecommons.org/licenses/by-sa/3.0	</v>
    </spb>
    <spb s="1">
      <v>846</v>
      <v>846</v>
      <v>846</v>
      <v>846</v>
      <v>846</v>
      <v>846</v>
      <v>846</v>
      <v>846</v>
      <v>846</v>
      <v>846</v>
    </spb>
    <spb s="0">
      <v xml:space="preserve">Wikipedia	</v>
      <v xml:space="preserve">CC BY-SA 3.0	</v>
      <v xml:space="preserve">https://en.wikipedia.org/wiki/Sch%C3%B6mberg,_Zollernalbkreis	</v>
      <v xml:space="preserve">https://creativecommons.org/licenses/by-sa/3.0	</v>
    </spb>
    <spb s="10">
      <v>848</v>
      <v>848</v>
      <v>848</v>
      <v>848</v>
      <v>848</v>
      <v>848</v>
      <v>848</v>
      <v>848</v>
      <v>848</v>
    </spb>
    <spb s="33">
      <v>Image</v>
      <v>Name</v>
      <v>Area</v>
      <v>Longitude</v>
      <v>UniqueName</v>
      <v>VDPID/VSID</v>
      <v>Population</v>
      <v>Latitude</v>
      <v>Country/region</v>
      <v>Description</v>
      <v>Admin Division 1 (State/province/other)</v>
    </spb>
    <spb s="23">
      <v>18</v>
      <v>Name</v>
    </spb>
    <spb s="0">
      <v xml:space="preserve">Wikipedia	</v>
      <v xml:space="preserve">CC BY-SA 3.0	</v>
      <v xml:space="preserve">https://en.wikipedia.org/wiki/Sch%C3%B6nebeck	</v>
      <v xml:space="preserve">https://creativecommons.org/licenses/by-sa/3.0	</v>
    </spb>
    <spb s="10">
      <v>852</v>
      <v>852</v>
      <v>852</v>
      <v>852</v>
      <v>852</v>
      <v>852</v>
      <v>852</v>
      <v>852</v>
      <v>852</v>
    </spb>
    <spb s="0">
      <v xml:space="preserve">Wikipedia	</v>
      <v xml:space="preserve">CC BY-SA 3.0	</v>
      <v xml:space="preserve">https://en.wikipedia.org/wiki/Schopfloch	</v>
      <v xml:space="preserve">https://creativecommons.org/licenses/by-sa/3.0	</v>
    </spb>
    <spb s="10">
      <v>854</v>
      <v>854</v>
      <v>854</v>
      <v>854</v>
      <v>854</v>
      <v>854</v>
      <v>854</v>
      <v>854</v>
      <v>854</v>
    </spb>
    <spb s="0">
      <v xml:space="preserve">Wikipedia	</v>
      <v xml:space="preserve">CC BY-SA 3.0	</v>
      <v xml:space="preserve">https://en.wikipedia.org/wiki/Schorndorf	</v>
      <v xml:space="preserve">https://creativecommons.org/licenses/by-sa/3.0	</v>
    </spb>
    <spb s="1">
      <v>856</v>
      <v>856</v>
      <v>856</v>
      <v>856</v>
      <v>856</v>
      <v>856</v>
      <v>856</v>
      <v>856</v>
      <v>856</v>
      <v>856</v>
    </spb>
    <spb s="0">
      <v xml:space="preserve">Wikipedia	</v>
      <v xml:space="preserve">CC BY-SA 3.0	</v>
      <v xml:space="preserve">https://en.wikipedia.org/wiki/Schotten	</v>
      <v xml:space="preserve">https://creativecommons.org/licenses/by-sa/3.0	</v>
    </spb>
    <spb s="14">
      <v>858</v>
      <v>858</v>
      <v>858</v>
      <v>858</v>
      <v>858</v>
      <v>858</v>
      <v>858</v>
      <v>858</v>
      <v>858</v>
    </spb>
    <spb s="0">
      <v xml:space="preserve">Wikipedia	</v>
      <v xml:space="preserve">CC BY-SA 3.0	</v>
      <v xml:space="preserve">https://en.wikipedia.org/wiki/Schwabach	</v>
      <v xml:space="preserve">https://creativecommons.org/licenses/by-sa/3.0	</v>
    </spb>
    <spb s="12">
      <v>860</v>
      <v>860</v>
      <v>860</v>
      <v>860</v>
      <v>860</v>
      <v>860</v>
      <v>860</v>
      <v>860</v>
    </spb>
    <spb s="0">
      <v xml:space="preserve">Wikipedia	</v>
      <v xml:space="preserve">CC BY-SA 3.0	</v>
      <v xml:space="preserve">https://en.wikipedia.org/wiki/Schwarzenberg,_Saxony	</v>
      <v xml:space="preserve">https://creativecommons.org/licenses/by-sa/3.0	</v>
    </spb>
    <spb s="1">
      <v>862</v>
      <v>862</v>
      <v>862</v>
      <v>862</v>
      <v>862</v>
      <v>862</v>
      <v>862</v>
      <v>862</v>
      <v>862</v>
      <v>862</v>
    </spb>
    <spb s="0">
      <v xml:space="preserve">Wikipedia	</v>
      <v xml:space="preserve">CC BY-SA 3.0	</v>
      <v xml:space="preserve">https://en.wikipedia.org/wiki/Schwedt	</v>
      <v xml:space="preserve">https://creativecommons.org/licenses/by-sa/3.0	</v>
    </spb>
    <spb s="1">
      <v>864</v>
      <v>864</v>
      <v>864</v>
      <v>864</v>
      <v>864</v>
      <v>864</v>
      <v>864</v>
      <v>864</v>
      <v>864</v>
      <v>864</v>
    </spb>
    <spb s="0">
      <v xml:space="preserve">Wikipedia	</v>
      <v xml:space="preserve">CC BY-SA 3.0	</v>
      <v xml:space="preserve">https://en.wikipedia.org/wiki/Schwelm	</v>
      <v xml:space="preserve">https://creativecommons.org/licenses/by-sa/3.0	</v>
    </spb>
    <spb s="14">
      <v>866</v>
      <v>866</v>
      <v>866</v>
      <v>866</v>
      <v>866</v>
      <v>866</v>
      <v>866</v>
      <v>866</v>
      <v>866</v>
    </spb>
    <spb s="0">
      <v xml:space="preserve">Wikipedia	</v>
      <v xml:space="preserve">CC BY-SA 3.0	</v>
      <v xml:space="preserve">https://en.wikipedia.org/wiki/Schwerte	</v>
      <v xml:space="preserve">https://creativecommons.org/licenses/by-sa/3.0	</v>
    </spb>
    <spb s="14">
      <v>868</v>
      <v>868</v>
      <v>868</v>
      <v>868</v>
      <v>868</v>
      <v>868</v>
      <v>868</v>
      <v>868</v>
      <v>868</v>
    </spb>
    <spb s="0">
      <v xml:space="preserve">Wikipedia	</v>
      <v xml:space="preserve">CC BY-SA 3.0	</v>
      <v xml:space="preserve">https://en.wikipedia.org/wiki/Selb	</v>
      <v xml:space="preserve">https://creativecommons.org/licenses/by-sa/3.0	</v>
    </spb>
    <spb s="14">
      <v>870</v>
      <v>870</v>
      <v>870</v>
      <v>870</v>
      <v>870</v>
      <v>870</v>
      <v>870</v>
      <v>870</v>
      <v>870</v>
    </spb>
    <spb s="0">
      <v xml:space="preserve">Wikipedia	</v>
      <v xml:space="preserve">CC BY-SA 3.0	</v>
      <v xml:space="preserve">https://en.wikipedia.org/wiki/Senftenberg	</v>
      <v xml:space="preserve">https://creativecommons.org/licenses/by-sa/3.0	</v>
    </spb>
    <spb s="1">
      <v>872</v>
      <v>872</v>
      <v>872</v>
      <v>872</v>
      <v>872</v>
      <v>872</v>
      <v>872</v>
      <v>872</v>
      <v>872</v>
      <v>872</v>
    </spb>
    <spb s="0">
      <v xml:space="preserve">Wikipedia	</v>
      <v xml:space="preserve">CC BY-SA 3.0	</v>
      <v xml:space="preserve">https://en.wikipedia.org/wiki/Siegburg	</v>
      <v xml:space="preserve">https://creativecommons.org/licenses/by-sa/3.0	</v>
    </spb>
    <spb s="1">
      <v>874</v>
      <v>874</v>
      <v>874</v>
      <v>874</v>
      <v>874</v>
      <v>874</v>
      <v>874</v>
      <v>874</v>
      <v>874</v>
      <v>874</v>
    </spb>
    <spb s="0">
      <v xml:space="preserve">Wikipedia	</v>
      <v xml:space="preserve">CC BY-SA 3.0	</v>
      <v xml:space="preserve">https://en.wikipedia.org/wiki/Siegen	</v>
      <v xml:space="preserve">https://creativecommons.org/licenses/by-sa/3.0	</v>
    </spb>
    <spb s="12">
      <v>876</v>
      <v>876</v>
      <v>876</v>
      <v>876</v>
      <v>876</v>
      <v>876</v>
      <v>876</v>
      <v>876</v>
    </spb>
    <spb s="0">
      <v xml:space="preserve">Wikipedia	</v>
      <v xml:space="preserve">CC BY-SA 3.0	</v>
      <v xml:space="preserve">https://en.wikipedia.org/wiki/Sigmaringen	</v>
      <v xml:space="preserve">https://creativecommons.org/licenses/by-sa/3.0	</v>
    </spb>
    <spb s="10">
      <v>878</v>
      <v>878</v>
      <v>878</v>
      <v>878</v>
      <v>878</v>
      <v>878</v>
      <v>878</v>
      <v>878</v>
      <v>878</v>
    </spb>
    <spb s="0">
      <v xml:space="preserve">Wikipedia	</v>
      <v xml:space="preserve">CC BY-SA 3.0	</v>
      <v xml:space="preserve">https://en.wikipedia.org/wiki/Sindelfingen	</v>
      <v xml:space="preserve">https://creativecommons.org/licenses/by-sa/3.0	</v>
    </spb>
    <spb s="1">
      <v>880</v>
      <v>880</v>
      <v>880</v>
      <v>880</v>
      <v>880</v>
      <v>880</v>
      <v>880</v>
      <v>880</v>
      <v>880</v>
      <v>880</v>
    </spb>
    <spb s="0">
      <v xml:space="preserve">Wikipedia	</v>
      <v xml:space="preserve">CC BY-SA 3.0	</v>
      <v xml:space="preserve">https://en.wikipedia.org/wiki/Singen	</v>
      <v xml:space="preserve">https://creativecommons.org/licenses/by-sa/3.0	</v>
    </spb>
    <spb s="12">
      <v>882</v>
      <v>882</v>
      <v>882</v>
      <v>882</v>
      <v>882</v>
      <v>882</v>
      <v>882</v>
      <v>882</v>
    </spb>
    <spb s="0">
      <v xml:space="preserve">Wikipedia	</v>
      <v xml:space="preserve">CC BY-SA 3.0	</v>
      <v xml:space="preserve">https://en.wikipedia.org/wiki/Solingen	</v>
      <v xml:space="preserve">https://creativecommons.org/licenses/by-sa/3.0	</v>
    </spb>
    <spb s="1">
      <v>884</v>
      <v>884</v>
      <v>884</v>
      <v>884</v>
      <v>884</v>
      <v>884</v>
      <v>884</v>
      <v>884</v>
      <v>884</v>
      <v>884</v>
    </spb>
    <spb s="0">
      <v xml:space="preserve">Wikipedia	</v>
      <v xml:space="preserve">CC BY-SA 3.0	</v>
      <v xml:space="preserve">https://en.wikipedia.org/wiki/Soltau	</v>
      <v xml:space="preserve">https://creativecommons.org/licenses/by-sa/3.0	</v>
    </spb>
    <spb s="1">
      <v>886</v>
      <v>886</v>
      <v>886</v>
      <v>886</v>
      <v>886</v>
      <v>886</v>
      <v>886</v>
      <v>886</v>
      <v>886</v>
      <v>886</v>
    </spb>
    <spb s="0">
      <v xml:space="preserve">Wikipedia	</v>
      <v xml:space="preserve">CC BY-SA 3.0	</v>
      <v xml:space="preserve">https://en.wikipedia.org/wiki/S%C3%B6mmerda	</v>
      <v xml:space="preserve">https://creativecommons.org/licenses/by-sa/3.0	</v>
    </spb>
    <spb s="14">
      <v>888</v>
      <v>888</v>
      <v>888</v>
      <v>888</v>
      <v>888</v>
      <v>888</v>
      <v>888</v>
      <v>888</v>
      <v>888</v>
    </spb>
    <spb s="0">
      <v xml:space="preserve">Wikipedia	</v>
      <v xml:space="preserve">CC BY-SA 3.0	</v>
      <v xml:space="preserve">https://en.wikipedia.org/wiki/Sondershausen	</v>
      <v xml:space="preserve">https://creativecommons.org/licenses/by-sa/3.0	</v>
    </spb>
    <spb s="14">
      <v>890</v>
      <v>890</v>
      <v>890</v>
      <v>890</v>
      <v>890</v>
      <v>890</v>
      <v>890</v>
      <v>890</v>
      <v>890</v>
    </spb>
    <spb s="0">
      <v xml:space="preserve">Wikipedia	</v>
      <v xml:space="preserve">CC BY-SA 3.0	</v>
      <v xml:space="preserve">https://en.wikipedia.org/wiki/Sonneberg	</v>
      <v xml:space="preserve">https://creativecommons.org/licenses/by-sa/3.0	</v>
    </spb>
    <spb s="14">
      <v>892</v>
      <v>892</v>
      <v>892</v>
      <v>892</v>
      <v>892</v>
      <v>892</v>
      <v>892</v>
      <v>892</v>
      <v>892</v>
    </spb>
    <spb s="0">
      <v xml:space="preserve">Wikipedia	</v>
      <v xml:space="preserve">CC BY-SA 3.0	</v>
      <v xml:space="preserve">https://en.wikipedia.org/wiki/Speyer	</v>
      <v xml:space="preserve">https://creativecommons.org/licenses/by-sa/3.0	</v>
    </spb>
    <spb s="1">
      <v>894</v>
      <v>894</v>
      <v>894</v>
      <v>894</v>
      <v>894</v>
      <v>894</v>
      <v>894</v>
      <v>894</v>
      <v>894</v>
      <v>894</v>
    </spb>
    <spb s="34">
      <v>Image</v>
      <v>Name</v>
      <v>Area</v>
      <v>Longitude</v>
      <v>UniqueName</v>
      <v>Population</v>
      <v>Latitude</v>
      <v>Country/region</v>
      <v>Description</v>
      <v>LearnMoreOnLink</v>
      <v>Admin Division 2 (County/district/other)</v>
      <v>Admin Division 1 (State/province/other)</v>
    </spb>
    <spb s="3">
      <v>19</v>
      <v>Name</v>
      <v>LearnMoreOnLink</v>
    </spb>
    <spb s="35">
      <v>4</v>
      <v>4</v>
    </spb>
    <spb s="0">
      <v xml:space="preserve">Wikipedia	</v>
      <v xml:space="preserve">CC BY-SA 3.0	</v>
      <v xml:space="preserve">https://en.wikipedia.org/wiki/Spremberg	</v>
      <v xml:space="preserve">https://creativecommons.org/licenses/by-sa/3.0	</v>
    </spb>
    <spb s="1">
      <v>899</v>
      <v>899</v>
      <v>899</v>
      <v>899</v>
      <v>899</v>
      <v>899</v>
      <v>899</v>
      <v>899</v>
      <v>899</v>
      <v>899</v>
    </spb>
    <spb s="0">
      <v xml:space="preserve">Wikipedia	</v>
      <v xml:space="preserve">CC BY-SA 3.0	</v>
      <v xml:space="preserve">https://en.wikipedia.org/wiki/Sankt_Blasien	</v>
      <v xml:space="preserve">https://creativecommons.org/licenses/by-sa/3.0	</v>
    </spb>
    <spb s="10">
      <v>901</v>
      <v>901</v>
      <v>901</v>
      <v>901</v>
      <v>901</v>
      <v>901</v>
      <v>901</v>
      <v>901</v>
      <v>901</v>
    </spb>
    <spb s="0">
      <v xml:space="preserve">Wikipedia	</v>
      <v xml:space="preserve">CC BY-SA 3.0	</v>
      <v xml:space="preserve">https://en.wikipedia.org/wiki/Sankt_Ingbert	</v>
      <v xml:space="preserve">https://creativecommons.org/licenses/by-sa/3.0	</v>
    </spb>
    <spb s="1">
      <v>903</v>
      <v>903</v>
      <v>903</v>
      <v>903</v>
      <v>903</v>
      <v>903</v>
      <v>903</v>
      <v>903</v>
      <v>903</v>
      <v>903</v>
    </spb>
    <spb s="0">
      <v xml:space="preserve">Wikipedia	</v>
      <v xml:space="preserve">CC BY-SA 3.0	</v>
      <v xml:space="preserve">https://en.wikipedia.org/wiki/Stade	</v>
      <v xml:space="preserve">https://creativecommons.org/licenses/by-sa/3.0	</v>
    </spb>
    <spb s="1">
      <v>905</v>
      <v>905</v>
      <v>905</v>
      <v>905</v>
      <v>905</v>
      <v>905</v>
      <v>905</v>
      <v>905</v>
      <v>905</v>
      <v>905</v>
    </spb>
    <spb s="0">
      <v xml:space="preserve">Wikipedia	</v>
      <v xml:space="preserve">CC BY-SA 3.0	</v>
      <v xml:space="preserve">https://en.wikipedia.org/wiki/Sta%C3%9Ffurt	</v>
      <v xml:space="preserve">https://creativecommons.org/licenses/by-sa/3.0	</v>
    </spb>
    <spb s="10">
      <v>907</v>
      <v>907</v>
      <v>907</v>
      <v>907</v>
      <v>907</v>
      <v>907</v>
      <v>907</v>
      <v>907</v>
      <v>907</v>
    </spb>
    <spb s="0">
      <v xml:space="preserve">Wikipedia	</v>
      <v xml:space="preserve">CC BY-SA 3.0	</v>
      <v xml:space="preserve">https://en.wikipedia.org/wiki/Stendal	</v>
      <v xml:space="preserve">https://creativecommons.org/licenses/by-sa/3.0	</v>
    </spb>
    <spb s="10">
      <v>909</v>
      <v>909</v>
      <v>909</v>
      <v>909</v>
      <v>909</v>
      <v>909</v>
      <v>909</v>
      <v>909</v>
      <v>909</v>
    </spb>
    <spb s="0">
      <v xml:space="preserve">Wikipedia	</v>
      <v xml:space="preserve">CC BY-SA 3.0	</v>
      <v xml:space="preserve">https://en.wikipedia.org/wiki/Stolberg_(Rhineland)	</v>
      <v xml:space="preserve">https://creativecommons.org/licenses/by-sa/3.0	</v>
    </spb>
    <spb s="1">
      <v>911</v>
      <v>911</v>
      <v>911</v>
      <v>911</v>
      <v>911</v>
      <v>911</v>
      <v>911</v>
      <v>911</v>
      <v>911</v>
      <v>911</v>
    </spb>
    <spb s="0">
      <v xml:space="preserve">Wikipedia	</v>
      <v xml:space="preserve">CC BY-SA 3.0	</v>
      <v xml:space="preserve">https://en.wikipedia.org/wiki/Stralsund	</v>
      <v xml:space="preserve">https://creativecommons.org/licenses/by-sa/3.0	</v>
    </spb>
    <spb s="1">
      <v>913</v>
      <v>913</v>
      <v>913</v>
      <v>913</v>
      <v>913</v>
      <v>913</v>
      <v>913</v>
      <v>913</v>
      <v>913</v>
      <v>913</v>
    </spb>
    <spb s="0">
      <v xml:space="preserve">Wikipedia	</v>
      <v xml:space="preserve">CC BY-SA 3.0	</v>
      <v xml:space="preserve">https://en.wikipedia.org/wiki/Straubing	</v>
      <v xml:space="preserve">https://creativecommons.org/licenses/by-sa/3.0	</v>
    </spb>
    <spb s="12">
      <v>915</v>
      <v>915</v>
      <v>915</v>
      <v>915</v>
      <v>915</v>
      <v>915</v>
      <v>915</v>
      <v>915</v>
    </spb>
    <spb s="0">
      <v xml:space="preserve">Wikipedia	</v>
      <v xml:space="preserve">CC BY-SA 3.0	</v>
      <v xml:space="preserve">https://en.wikipedia.org/wiki/Strausberg	</v>
      <v xml:space="preserve">https://creativecommons.org/licenses/by-sa/3.0	</v>
    </spb>
    <spb s="1">
      <v>917</v>
      <v>917</v>
      <v>917</v>
      <v>917</v>
      <v>917</v>
      <v>917</v>
      <v>917</v>
      <v>917</v>
      <v>917</v>
      <v>917</v>
    </spb>
    <spb s="0">
      <v xml:space="preserve">Wikipedia	</v>
      <v xml:space="preserve">CC BY-SA 3.0	</v>
      <v xml:space="preserve">https://en.wikipedia.org/wiki/Stuttgart	</v>
      <v xml:space="preserve">https://creativecommons.org/licenses/by-sa/3.0	</v>
    </spb>
    <spb s="1">
      <v>919</v>
      <v>919</v>
      <v>919</v>
      <v>919</v>
      <v>919</v>
      <v>919</v>
      <v>919</v>
      <v>919</v>
      <v>919</v>
      <v>919</v>
    </spb>
    <spb s="0">
      <v xml:space="preserve">Wikipedia	</v>
      <v xml:space="preserve">CC BY-SA 3.0	</v>
      <v xml:space="preserve">https://en.wikipedia.org/wiki/Suhl	</v>
      <v xml:space="preserve">https://creativecommons.org/licenses/by-sa/3.0	</v>
    </spb>
    <spb s="12">
      <v>921</v>
      <v>921</v>
      <v>921</v>
      <v>921</v>
      <v>921</v>
      <v>921</v>
      <v>921</v>
      <v>921</v>
    </spb>
    <spb s="0">
      <v xml:space="preserve">Wikipedia	</v>
      <v xml:space="preserve">CC BY-SA 3.0	</v>
      <v xml:space="preserve">https://en.wikipedia.org/wiki/Sulzbach,_Saarland	</v>
      <v xml:space="preserve">https://creativecommons.org/licenses/by-sa/3.0	</v>
    </spb>
    <spb s="1">
      <v>923</v>
      <v>923</v>
      <v>923</v>
      <v>923</v>
      <v>923</v>
      <v>923</v>
      <v>923</v>
      <v>923</v>
      <v>923</v>
      <v>923</v>
    </spb>
    <spb s="0">
      <v xml:space="preserve">Wikipedia	</v>
      <v xml:space="preserve">CC BY-SA 3.0	</v>
      <v xml:space="preserve">https://en.wikipedia.org/wiki/Torgau	</v>
      <v xml:space="preserve">https://creativecommons.org/licenses/by-sa/3.0	</v>
    </spb>
    <spb s="1">
      <v>925</v>
      <v>925</v>
      <v>925</v>
      <v>925</v>
      <v>925</v>
      <v>925</v>
      <v>925</v>
      <v>925</v>
      <v>925</v>
      <v>925</v>
    </spb>
    <spb s="0">
      <v xml:space="preserve">Wikipedia	</v>
      <v xml:space="preserve">CC BY-SA 3.0	</v>
      <v xml:space="preserve">https://en.wikipedia.org/wiki/Trier	</v>
      <v xml:space="preserve">https://creativecommons.org/licenses/by-sa/3.0	</v>
    </spb>
    <spb s="10">
      <v>927</v>
      <v>927</v>
      <v>927</v>
      <v>927</v>
      <v>927</v>
      <v>927</v>
      <v>927</v>
      <v>927</v>
      <v>927</v>
    </spb>
    <spb s="0">
      <v xml:space="preserve">Wikipedia	</v>
      <v xml:space="preserve">CC BY-SA 3.0	</v>
      <v xml:space="preserve">https://en.wikipedia.org/wiki/T%C3%BCbingen	</v>
      <v xml:space="preserve">https://creativecommons.org/licenses/by-sa/3.0	</v>
    </spb>
    <spb s="12">
      <v>929</v>
      <v>929</v>
      <v>929</v>
      <v>929</v>
      <v>929</v>
      <v>929</v>
      <v>929</v>
      <v>929</v>
    </spb>
    <spb s="0">
      <v xml:space="preserve">Wikipedia	</v>
      <v xml:space="preserve">CC BY-SA 3.0	</v>
      <v xml:space="preserve">https://en.wikipedia.org/wiki/Tuttlingen	</v>
      <v xml:space="preserve">https://creativecommons.org/licenses/by-sa/3.0	</v>
    </spb>
    <spb s="10">
      <v>931</v>
      <v>931</v>
      <v>931</v>
      <v>931</v>
      <v>931</v>
      <v>931</v>
      <v>931</v>
      <v>931</v>
      <v>931</v>
    </spb>
    <spb s="0">
      <v xml:space="preserve">Wikipedia	</v>
      <v xml:space="preserve">CC BY-SA 3.0	</v>
      <v xml:space="preserve">https://en.wikipedia.org/wiki/%C3%9Cbach-Palenberg	</v>
      <v xml:space="preserve">https://creativecommons.org/licenses/by-sa/3.0	</v>
    </spb>
    <spb s="1">
      <v>933</v>
      <v>933</v>
      <v>933</v>
      <v>933</v>
      <v>933</v>
      <v>933</v>
      <v>933</v>
      <v>933</v>
      <v>933</v>
      <v>933</v>
    </spb>
    <spb s="0">
      <v xml:space="preserve">Wikipedia	</v>
      <v xml:space="preserve">CC BY-SA 3.0	</v>
      <v xml:space="preserve">https://en.wikipedia.org/wiki/Uelzen	</v>
      <v xml:space="preserve">https://creativecommons.org/licenses/by-sa/3.0	</v>
    </spb>
    <spb s="1">
      <v>935</v>
      <v>935</v>
      <v>935</v>
      <v>935</v>
      <v>935</v>
      <v>935</v>
      <v>935</v>
      <v>935</v>
      <v>935</v>
      <v>935</v>
    </spb>
    <spb s="0">
      <v xml:space="preserve">Wikipedia	</v>
      <v xml:space="preserve">CC BY-SA 3.0	</v>
      <v xml:space="preserve">https://en.wikipedia.org/wiki/Ulm	</v>
      <v xml:space="preserve">https://creativecommons.org/licenses/by-sa/3.0	</v>
    </spb>
    <spb s="10">
      <v>937</v>
      <v>937</v>
      <v>937</v>
      <v>937</v>
      <v>937</v>
      <v>937</v>
      <v>937</v>
      <v>937</v>
      <v>937</v>
    </spb>
    <spb s="0">
      <v xml:space="preserve">Wikipedia	</v>
      <v xml:space="preserve">CC BY-SA 3.0	</v>
      <v xml:space="preserve">https://en.wikipedia.org/wiki/Unna	</v>
      <v xml:space="preserve">https://creativecommons.org/licenses/by-sa/3.0	</v>
    </spb>
    <spb s="14">
      <v>939</v>
      <v>939</v>
      <v>939</v>
      <v>939</v>
      <v>939</v>
      <v>939</v>
      <v>939</v>
      <v>939</v>
      <v>939</v>
    </spb>
    <spb s="0">
      <v xml:space="preserve">Wikipedia	</v>
      <v xml:space="preserve">CC BY-SA 3.0	</v>
      <v xml:space="preserve">https://en.wikipedia.org/wiki/Velbert	</v>
      <v xml:space="preserve">https://creativecommons.org/licenses/by-sa/3.0	</v>
    </spb>
    <spb s="1">
      <v>941</v>
      <v>941</v>
      <v>941</v>
      <v>941</v>
      <v>941</v>
      <v>941</v>
      <v>941</v>
      <v>941</v>
      <v>941</v>
      <v>941</v>
    </spb>
    <spb s="0">
      <v xml:space="preserve">Wikipedia	</v>
      <v xml:space="preserve">CC BY-SA 3.0	</v>
      <v xml:space="preserve">https://en.wikipedia.org/wiki/Viernheim	</v>
      <v xml:space="preserve">https://creativecommons.org/licenses/by-sa/3.0	</v>
    </spb>
    <spb s="1">
      <v>943</v>
      <v>943</v>
      <v>943</v>
      <v>943</v>
      <v>943</v>
      <v>943</v>
      <v>943</v>
      <v>943</v>
      <v>943</v>
      <v>943</v>
    </spb>
    <spb s="0">
      <v xml:space="preserve">Wikipedia	</v>
      <v xml:space="preserve">CC BY-SA 3.0	</v>
      <v xml:space="preserve">https://en.wikipedia.org/wiki/Villingen-Schwenningen	</v>
      <v xml:space="preserve">https://creativecommons.org/licenses/by-sa/3.0	</v>
    </spb>
    <spb s="10">
      <v>945</v>
      <v>945</v>
      <v>945</v>
      <v>945</v>
      <v>945</v>
      <v>945</v>
      <v>945</v>
      <v>945</v>
      <v>945</v>
    </spb>
    <spb s="0">
      <v xml:space="preserve">Wikipedia	</v>
      <v xml:space="preserve">CC BY-SA 3.0	</v>
      <v xml:space="preserve">https://en.wikipedia.org/wiki/Voerde	</v>
      <v xml:space="preserve">https://creativecommons.org/licenses/by-sa/3.0	</v>
    </spb>
    <spb s="1">
      <v>947</v>
      <v>947</v>
      <v>947</v>
      <v>947</v>
      <v>947</v>
      <v>947</v>
      <v>947</v>
      <v>947</v>
      <v>947</v>
      <v>947</v>
    </spb>
    <spb s="0">
      <v xml:space="preserve">Wikipedia	</v>
      <v xml:space="preserve">CC BY-SA 3.0	</v>
      <v xml:space="preserve">https://en.wikipedia.org/wiki/Waiblingen	</v>
      <v xml:space="preserve">https://creativecommons.org/licenses/by-sa/3.0	</v>
    </spb>
    <spb s="1">
      <v>949</v>
      <v>949</v>
      <v>949</v>
      <v>949</v>
      <v>949</v>
      <v>949</v>
      <v>949</v>
      <v>949</v>
      <v>949</v>
      <v>949</v>
    </spb>
    <spb s="0">
      <v xml:space="preserve">Wikipedia	</v>
      <v xml:space="preserve">CC BY-SA 3.0	</v>
      <v xml:space="preserve">https://en.wikipedia.org/wiki/Waldeck,_Hesse	</v>
      <v xml:space="preserve">https://creativecommons.org/licenses/by-sa/3.0	</v>
    </spb>
    <spb s="14">
      <v>951</v>
      <v>951</v>
      <v>951</v>
      <v>951</v>
      <v>951</v>
      <v>951</v>
      <v>951</v>
      <v>951</v>
      <v>951</v>
    </spb>
    <spb s="0">
      <v xml:space="preserve">Wikipedia	</v>
      <v xml:space="preserve">CC BY-SA 3.0	</v>
      <v xml:space="preserve">https://en.wikipedia.org/wiki/Waltrop	</v>
      <v xml:space="preserve">https://creativecommons.org/licenses/by-sa/3.0	</v>
    </spb>
    <spb s="1">
      <v>953</v>
      <v>953</v>
      <v>953</v>
      <v>953</v>
      <v>953</v>
      <v>953</v>
      <v>953</v>
      <v>953</v>
      <v>953</v>
      <v>953</v>
    </spb>
    <spb s="0">
      <v xml:space="preserve">Wikipedia	</v>
      <v xml:space="preserve">CC BY-SA 3.0	</v>
      <v xml:space="preserve">https://en.wikipedia.org/wiki/Waren_(M%C3%BCritz)	</v>
      <v xml:space="preserve">https://creativecommons.org/licenses/by-sa/3.0	</v>
    </spb>
    <spb s="1">
      <v>955</v>
      <v>955</v>
      <v>955</v>
      <v>955</v>
      <v>955</v>
      <v>955</v>
      <v>955</v>
      <v>955</v>
      <v>955</v>
      <v>955</v>
    </spb>
    <spb s="0">
      <v xml:space="preserve">Wikipedia	</v>
      <v xml:space="preserve">CC BY-SA 3.0	</v>
      <v xml:space="preserve">https://en.wikipedia.org/wiki/Wasserburg_am_Inn	</v>
      <v xml:space="preserve">https://creativecommons.org/licenses/by-sa/3.0	</v>
    </spb>
    <spb s="14">
      <v>957</v>
      <v>957</v>
      <v>957</v>
      <v>957</v>
      <v>957</v>
      <v>957</v>
      <v>957</v>
      <v>957</v>
      <v>957</v>
    </spb>
    <spb s="0">
      <v xml:space="preserve">Wikipedia	</v>
      <v xml:space="preserve">CC BY-SA 3.0	</v>
      <v xml:space="preserve">https://en.wikipedia.org/wiki/Wattenscheid	</v>
      <v xml:space="preserve">https://creativecommons.org/licenses/by-sa/3.0	</v>
    </spb>
    <spb s="36">
      <v>959</v>
      <v>959</v>
      <v>959</v>
      <v>959</v>
      <v>959</v>
      <v>959</v>
      <v>959</v>
      <v>959</v>
    </spb>
    <spb s="37">
      <v>Image</v>
      <v>Name</v>
      <v>Area</v>
      <v>Longitude</v>
      <v>UniqueName</v>
      <v>VDPID/VSID</v>
      <v>Latitude</v>
      <v>Country/region</v>
      <v>Description</v>
      <v>LearnMoreOnLink</v>
      <v>Admin Division 2 (County/district/other)</v>
    </spb>
    <spb s="3">
      <v>20</v>
      <v>Name</v>
      <v>LearnMoreOnLink</v>
    </spb>
    <spb s="0">
      <v xml:space="preserve">Wikipedia	</v>
      <v xml:space="preserve">CC BY-SA 3.0	</v>
      <v xml:space="preserve">https://en.wikipedia.org/wiki/Wedel	</v>
      <v xml:space="preserve">https://creativecommons.org/licenses/by-sa/3.0	</v>
    </spb>
    <spb s="1">
      <v>963</v>
      <v>963</v>
      <v>963</v>
      <v>963</v>
      <v>963</v>
      <v>963</v>
      <v>963</v>
      <v>963</v>
      <v>963</v>
      <v>963</v>
    </spb>
    <spb s="0">
      <v xml:space="preserve">Wikipedia	</v>
      <v xml:space="preserve">CC BY-SA 3.0	</v>
      <v xml:space="preserve">https://en.wikipedia.org/wiki/Weiden_in_der_Oberpfalz	</v>
      <v xml:space="preserve">https://creativecommons.org/licenses/by-sa/3.0	</v>
    </spb>
    <spb s="12">
      <v>965</v>
      <v>965</v>
      <v>965</v>
      <v>965</v>
      <v>965</v>
      <v>965</v>
      <v>965</v>
      <v>965</v>
    </spb>
    <spb s="0">
      <v xml:space="preserve">Wikipedia	</v>
      <v xml:space="preserve">CC BY-SA 3.0	</v>
      <v xml:space="preserve">https://en.wikipedia.org/wiki/Weilburg	</v>
      <v xml:space="preserve">https://creativecommons.org/licenses/by-sa/3.0	</v>
    </spb>
    <spb s="14">
      <v>967</v>
      <v>967</v>
      <v>967</v>
      <v>967</v>
      <v>967</v>
      <v>967</v>
      <v>967</v>
      <v>967</v>
      <v>967</v>
    </spb>
    <spb s="0">
      <v xml:space="preserve">Wikipedia	</v>
      <v xml:space="preserve">CC BY-SA 3.0	</v>
      <v xml:space="preserve">https://en.wikipedia.org/wiki/Weimar	</v>
      <v xml:space="preserve">https://creativecommons.org/licenses/by-sa/3.0	</v>
    </spb>
    <spb s="12">
      <v>969</v>
      <v>969</v>
      <v>969</v>
      <v>969</v>
      <v>969</v>
      <v>969</v>
      <v>969</v>
      <v>969</v>
    </spb>
    <spb s="0">
      <v xml:space="preserve">Wikipedia	</v>
      <v xml:space="preserve">CC BY-SA 3.0	</v>
      <v xml:space="preserve">https://en.wikipedia.org/wiki/Weinheim	</v>
      <v xml:space="preserve">https://creativecommons.org/licenses/by-sa/3.0	</v>
    </spb>
    <spb s="14">
      <v>971</v>
      <v>971</v>
      <v>971</v>
      <v>971</v>
      <v>971</v>
      <v>971</v>
      <v>971</v>
      <v>971</v>
      <v>971</v>
    </spb>
    <spb s="0">
      <v xml:space="preserve">Wikipedia	</v>
      <v xml:space="preserve">CC BY-SA 3.0	</v>
      <v xml:space="preserve">https://en.wikipedia.org/wiki/Wei%C3%9Fenfels	</v>
      <v xml:space="preserve">https://creativecommons.org/licenses/by-sa/3.0	</v>
    </spb>
    <spb s="10">
      <v>973</v>
      <v>973</v>
      <v>973</v>
      <v>973</v>
      <v>973</v>
      <v>973</v>
      <v>973</v>
      <v>973</v>
      <v>973</v>
    </spb>
    <spb s="0">
      <v xml:space="preserve">Wikipedia	</v>
      <v xml:space="preserve">CC BY-SA 3.0	</v>
      <v xml:space="preserve">https://en.wikipedia.org/wiki/Wei%C3%9Fwasser	</v>
      <v xml:space="preserve">https://creativecommons.org/licenses/by-sa/3.0	</v>
    </spb>
    <spb s="1">
      <v>975</v>
      <v>975</v>
      <v>975</v>
      <v>975</v>
      <v>975</v>
      <v>975</v>
      <v>975</v>
      <v>975</v>
      <v>975</v>
      <v>975</v>
    </spb>
    <spb s="0">
      <v xml:space="preserve">Wikipedia	</v>
      <v xml:space="preserve">CC BY-SA 3.0	</v>
      <v xml:space="preserve">https://en.wikipedia.org/wiki/Wendelstein,_Bavaria	</v>
      <v xml:space="preserve">https://creativecommons.org/licenses/by-sa/3.0	</v>
    </spb>
    <spb s="14">
      <v>977</v>
      <v>977</v>
      <v>977</v>
      <v>977</v>
      <v>977</v>
      <v>977</v>
      <v>977</v>
      <v>977</v>
      <v>977</v>
    </spb>
    <spb s="0">
      <v xml:space="preserve">Wikipedia	</v>
      <v xml:space="preserve">CC BY-SA 3.0	</v>
      <v xml:space="preserve">https://en.wikipedia.org/wiki/Werdau	</v>
      <v xml:space="preserve">https://creativecommons.org/licenses/by-sa/3.0	</v>
    </spb>
    <spb s="1">
      <v>979</v>
      <v>979</v>
      <v>979</v>
      <v>979</v>
      <v>979</v>
      <v>979</v>
      <v>979</v>
      <v>979</v>
      <v>979</v>
      <v>979</v>
    </spb>
    <spb s="0">
      <v xml:space="preserve">Wikipedia	</v>
      <v xml:space="preserve">CC BY-SA 3.0	</v>
      <v xml:space="preserve">https://en.wikipedia.org/wiki/Werdohl	</v>
      <v xml:space="preserve">https://creativecommons.org/licenses/by-sa/3.0	</v>
    </spb>
    <spb s="14">
      <v>981</v>
      <v>981</v>
      <v>981</v>
      <v>981</v>
      <v>981</v>
      <v>981</v>
      <v>981</v>
      <v>981</v>
      <v>981</v>
    </spb>
    <spb s="0">
      <v xml:space="preserve">Wikipedia	</v>
      <v xml:space="preserve">CC BY-SA 3.0	</v>
      <v xml:space="preserve">https://en.wikipedia.org/wiki/Wermelskirchen	</v>
      <v xml:space="preserve">https://creativecommons.org/licenses/by-sa/3.0	</v>
    </spb>
    <spb s="1">
      <v>983</v>
      <v>983</v>
      <v>983</v>
      <v>983</v>
      <v>983</v>
      <v>983</v>
      <v>983</v>
      <v>983</v>
      <v>983</v>
      <v>983</v>
    </spb>
    <spb s="0">
      <v xml:space="preserve">Wikipedia	</v>
      <v xml:space="preserve">CC BY-SA 3.0	</v>
      <v xml:space="preserve">https://en.wikipedia.org/wiki/Werne	</v>
      <v xml:space="preserve">https://creativecommons.org/licenses/by-sa/3.0	</v>
    </spb>
    <spb s="14">
      <v>985</v>
      <v>985</v>
      <v>985</v>
      <v>985</v>
      <v>985</v>
      <v>985</v>
      <v>985</v>
      <v>985</v>
      <v>985</v>
    </spb>
    <spb s="0">
      <v xml:space="preserve">Wikipedia	</v>
      <v xml:space="preserve">CC BY-SA 3.0	</v>
      <v xml:space="preserve">https://en.wikipedia.org/wiki/Wernigerode	</v>
      <v xml:space="preserve">https://creativecommons.org/licenses/by-sa/3.0	</v>
    </spb>
    <spb s="10">
      <v>987</v>
      <v>987</v>
      <v>987</v>
      <v>987</v>
      <v>987</v>
      <v>987</v>
      <v>987</v>
      <v>987</v>
      <v>987</v>
    </spb>
    <spb s="0">
      <v xml:space="preserve">Wikipedia	</v>
      <v xml:space="preserve">CC BY-SA 3.0	</v>
      <v xml:space="preserve">https://en.wikipedia.org/wiki/Wertheim_am_Main	</v>
      <v xml:space="preserve">https://creativecommons.org/licenses/by-sa/3.0	</v>
    </spb>
    <spb s="1">
      <v>989</v>
      <v>989</v>
      <v>989</v>
      <v>989</v>
      <v>989</v>
      <v>989</v>
      <v>989</v>
      <v>989</v>
      <v>989</v>
      <v>989</v>
    </spb>
    <spb s="0">
      <v xml:space="preserve">Wikipedia	</v>
      <v xml:space="preserve">CC BY-SA 3.0	</v>
      <v xml:space="preserve">https://en.wikipedia.org/wiki/Wesel	</v>
      <v xml:space="preserve">https://creativecommons.org/licenses/by-sa/3.0	</v>
    </spb>
    <spb s="1">
      <v>991</v>
      <v>991</v>
      <v>991</v>
      <v>991</v>
      <v>991</v>
      <v>991</v>
      <v>991</v>
      <v>991</v>
      <v>991</v>
      <v>991</v>
    </spb>
    <spb s="0">
      <v xml:space="preserve">Wikipedia	</v>
      <v xml:space="preserve">CC BY-SA 3.0	</v>
      <v xml:space="preserve">https://en.wikipedia.org/wiki/Wesseling	</v>
      <v xml:space="preserve">https://creativecommons.org/licenses/by-sa/3.0	</v>
    </spb>
    <spb s="10">
      <v>993</v>
      <v>993</v>
      <v>993</v>
      <v>993</v>
      <v>993</v>
      <v>993</v>
      <v>993</v>
      <v>993</v>
      <v>993</v>
    </spb>
    <spb s="0">
      <v xml:space="preserve">Wikipedia	</v>
      <v xml:space="preserve">CC BY-SA 3.0	</v>
      <v xml:space="preserve">https://en.wikipedia.org/wiki/Wiesbaden	</v>
      <v xml:space="preserve">https://creativecommons.org/licenses/by-sa/3.0	</v>
    </spb>
    <spb s="1">
      <v>995</v>
      <v>995</v>
      <v>995</v>
      <v>995</v>
      <v>995</v>
      <v>995</v>
      <v>995</v>
      <v>995</v>
      <v>995</v>
      <v>995</v>
    </spb>
    <spb s="0">
      <v xml:space="preserve">Wikipedia	</v>
      <v xml:space="preserve">CC BY-SA 3.0	</v>
      <v xml:space="preserve">https://en.wikipedia.org/wiki/Wilhelmshaven	</v>
      <v xml:space="preserve">https://creativecommons.org/licenses/by-sa/3.0	</v>
    </spb>
    <spb s="1">
      <v>997</v>
      <v>997</v>
      <v>997</v>
      <v>997</v>
      <v>997</v>
      <v>997</v>
      <v>997</v>
      <v>997</v>
      <v>997</v>
      <v>997</v>
    </spb>
    <spb s="0">
      <v xml:space="preserve">Wikipedia	</v>
      <v xml:space="preserve">CC BY-SA 3.0	</v>
      <v xml:space="preserve">https://en.wikipedia.org/wiki/Willingen	</v>
      <v xml:space="preserve">https://creativecommons.org/licenses/by-sa/3.0	</v>
    </spb>
    <spb s="14">
      <v>999</v>
      <v>999</v>
      <v>999</v>
      <v>999</v>
      <v>999</v>
      <v>999</v>
      <v>999</v>
      <v>999</v>
      <v>999</v>
    </spb>
    <spb s="0">
      <v xml:space="preserve">Wikipedia	</v>
      <v xml:space="preserve">CC BY-SA 3.0	</v>
      <v xml:space="preserve">https://en.wikipedia.org/wiki/Wischhafen	</v>
      <v xml:space="preserve">https://creativecommons.org/licenses/by-sa/3.0	</v>
    </spb>
    <spb s="1">
      <v>1001</v>
      <v>1001</v>
      <v>1001</v>
      <v>1001</v>
      <v>1001</v>
      <v>1001</v>
      <v>1001</v>
      <v>1001</v>
      <v>1001</v>
      <v>1001</v>
    </spb>
    <spb s="0">
      <v xml:space="preserve">Wikipedia	</v>
      <v xml:space="preserve">CC BY-SA 3.0	</v>
      <v xml:space="preserve">https://en.wikipedia.org/wiki/Wismar	</v>
      <v xml:space="preserve">https://creativecommons.org/licenses/by-sa/3.0	</v>
    </spb>
    <spb s="1">
      <v>1003</v>
      <v>1003</v>
      <v>1003</v>
      <v>1003</v>
      <v>1003</v>
      <v>1003</v>
      <v>1003</v>
      <v>1003</v>
      <v>1003</v>
      <v>1003</v>
    </spb>
    <spb s="0">
      <v xml:space="preserve">Wikipedia	</v>
      <v xml:space="preserve">CC BY-SA 3.0	</v>
      <v xml:space="preserve">https://en.wikipedia.org/wiki/Witten	</v>
      <v xml:space="preserve">https://creativecommons.org/licenses/by-sa/3.0	</v>
    </spb>
    <spb s="14">
      <v>1005</v>
      <v>1005</v>
      <v>1005</v>
      <v>1005</v>
      <v>1005</v>
      <v>1005</v>
      <v>1005</v>
      <v>1005</v>
      <v>1005</v>
    </spb>
    <spb s="0">
      <v xml:space="preserve">Wikipedia	</v>
      <v xml:space="preserve">CC BY-SA 3.0	</v>
      <v xml:space="preserve">https://en.wikipedia.org/wiki/Wittenberge	</v>
      <v xml:space="preserve">https://creativecommons.org/licenses/by-sa/3.0	</v>
    </spb>
    <spb s="1">
      <v>1007</v>
      <v>1007</v>
      <v>1007</v>
      <v>1007</v>
      <v>1007</v>
      <v>1007</v>
      <v>1007</v>
      <v>1007</v>
      <v>1007</v>
      <v>1007</v>
    </spb>
    <spb s="0">
      <v xml:space="preserve">Wikipedia	</v>
      <v xml:space="preserve">CC BY-SA 3.0	</v>
      <v xml:space="preserve">https://en.wikipedia.org/wiki/Witzenhausen	</v>
      <v xml:space="preserve">https://creativecommons.org/licenses/by-sa/3.0	</v>
    </spb>
    <spb s="14">
      <v>1009</v>
      <v>1009</v>
      <v>1009</v>
      <v>1009</v>
      <v>1009</v>
      <v>1009</v>
      <v>1009</v>
      <v>1009</v>
      <v>1009</v>
    </spb>
    <spb s="0">
      <v xml:space="preserve">Wikipedia	</v>
      <v xml:space="preserve">CC BY-SA 3.0	</v>
      <v xml:space="preserve">https://en.wikipedia.org/wiki/Wolfen,_Germany	</v>
      <v xml:space="preserve">https://creativecommons.org/licenses/by-sa/3.0	</v>
    </spb>
    <spb s="1">
      <v>1011</v>
      <v>1011</v>
      <v>1011</v>
      <v>1011</v>
      <v>1011</v>
      <v>1011</v>
      <v>1011</v>
      <v>1011</v>
      <v>1011</v>
      <v>1011</v>
    </spb>
    <spb s="38">
      <v>Name</v>
      <v>Area</v>
      <v>Longitude</v>
      <v>UniqueName</v>
      <v>VDPID/VSID</v>
      <v>Population</v>
      <v>Latitude</v>
      <v>Country/region</v>
      <v>Description</v>
      <v>LearnMoreOnLink</v>
      <v>Admin Division 2 (County/district/other)</v>
      <v>Admin Division 1 (State/province/other)</v>
    </spb>
    <spb s="3">
      <v>21</v>
      <v>Name</v>
      <v>LearnMoreOnLink</v>
    </spb>
    <spb s="39">
      <v>2</v>
    </spb>
    <spb s="0">
      <v xml:space="preserve">Wikipedia	</v>
      <v xml:space="preserve">CC BY-SA 3.0	</v>
      <v xml:space="preserve">https://en.wikipedia.org/wiki/Wolfenb%C3%BCttel	</v>
      <v xml:space="preserve">https://creativecommons.org/licenses/by-sa/3.0	</v>
    </spb>
    <spb s="1">
      <v>1016</v>
      <v>1016</v>
      <v>1016</v>
      <v>1016</v>
      <v>1016</v>
      <v>1016</v>
      <v>1016</v>
      <v>1016</v>
      <v>1016</v>
      <v>1016</v>
    </spb>
    <spb s="0">
      <v xml:space="preserve">Wikipedia	</v>
      <v xml:space="preserve">CC BY-SA 3.0	</v>
      <v xml:space="preserve">https://en.wikipedia.org/wiki/Wolfsburg	</v>
      <v xml:space="preserve">https://creativecommons.org/licenses/by-sa/3.0	</v>
    </spb>
    <spb s="10">
      <v>1018</v>
      <v>1018</v>
      <v>1018</v>
      <v>1018</v>
      <v>1018</v>
      <v>1018</v>
      <v>1018</v>
      <v>1018</v>
      <v>1018</v>
    </spb>
    <spb s="0">
      <v xml:space="preserve">Wikipedia	</v>
      <v xml:space="preserve">CC BY-SA 3.0	</v>
      <v xml:space="preserve">https://en.wikipedia.org/wiki/Worms,_Germany	</v>
      <v xml:space="preserve">https://creativecommons.org/licenses/by-sa/3.0	</v>
    </spb>
    <spb s="1">
      <v>1020</v>
      <v>1020</v>
      <v>1020</v>
      <v>1020</v>
      <v>1020</v>
      <v>1020</v>
      <v>1020</v>
      <v>1020</v>
      <v>1020</v>
      <v>1020</v>
    </spb>
    <spb s="0">
      <v xml:space="preserve">Wikipedia	</v>
      <v xml:space="preserve">CC BY-SA 3.0	</v>
      <v xml:space="preserve">https://en.wikipedia.org/wiki/W%C3%BClfrath	</v>
      <v xml:space="preserve">https://creativecommons.org/licenses/by-sa/3.0	</v>
    </spb>
    <spb s="1">
      <v>1022</v>
      <v>1022</v>
      <v>1022</v>
      <v>1022</v>
      <v>1022</v>
      <v>1022</v>
      <v>1022</v>
      <v>1022</v>
      <v>1022</v>
      <v>1022</v>
    </spb>
    <spb s="0">
      <v xml:space="preserve">Wikipedia	</v>
      <v xml:space="preserve">CC BY-SA 3.0	</v>
      <v xml:space="preserve">https://en.wikipedia.org/wiki/Wuppertal	</v>
      <v xml:space="preserve">https://creativecommons.org/licenses/by-sa/3.0	</v>
    </spb>
    <spb s="1">
      <v>1024</v>
      <v>1024</v>
      <v>1024</v>
      <v>1024</v>
      <v>1024</v>
      <v>1024</v>
      <v>1024</v>
      <v>1024</v>
      <v>1024</v>
      <v>1024</v>
    </spb>
    <spb s="0">
      <v xml:space="preserve">Wikipedia	</v>
      <v xml:space="preserve">CC BY-SA 3.0	</v>
      <v xml:space="preserve">https://en.wikipedia.org/wiki/W%C3%BCrselen	</v>
      <v xml:space="preserve">https://creativecommons.org/licenses/by-sa/3.0	</v>
    </spb>
    <spb s="1">
      <v>1026</v>
      <v>1026</v>
      <v>1026</v>
      <v>1026</v>
      <v>1026</v>
      <v>1026</v>
      <v>1026</v>
      <v>1026</v>
      <v>1026</v>
      <v>1026</v>
    </spb>
    <spb s="0">
      <v xml:space="preserve">Wikipedia	</v>
      <v xml:space="preserve">CC BY-SA 3.0	</v>
      <v xml:space="preserve">https://en.wikipedia.org/wiki/W%C3%BCrzburg	</v>
      <v xml:space="preserve">https://creativecommons.org/licenses/by-sa/3.0	</v>
    </spb>
    <spb s="12">
      <v>1028</v>
      <v>1028</v>
      <v>1028</v>
      <v>1028</v>
      <v>1028</v>
      <v>1028</v>
      <v>1028</v>
      <v>1028</v>
    </spb>
    <spb s="0">
      <v xml:space="preserve">Wikipedia	</v>
      <v xml:space="preserve">CC BY-SA 3.0	</v>
      <v xml:space="preserve">https://en.wikipedia.org/wiki/Wurzen	</v>
      <v xml:space="preserve">https://creativecommons.org/licenses/by-sa/3.0	</v>
    </spb>
    <spb s="1">
      <v>1030</v>
      <v>1030</v>
      <v>1030</v>
      <v>1030</v>
      <v>1030</v>
      <v>1030</v>
      <v>1030</v>
      <v>1030</v>
      <v>1030</v>
      <v>1030</v>
    </spb>
    <spb s="0">
      <v xml:space="preserve">Wikipedia	</v>
      <v xml:space="preserve">CC BY-SA 3.0	</v>
      <v xml:space="preserve">https://en.wikipedia.org/wiki/Zeitz	</v>
      <v xml:space="preserve">https://creativecommons.org/licenses/by-sa/3.0	</v>
    </spb>
    <spb s="10">
      <v>1032</v>
      <v>1032</v>
      <v>1032</v>
      <v>1032</v>
      <v>1032</v>
      <v>1032</v>
      <v>1032</v>
      <v>1032</v>
      <v>1032</v>
    </spb>
    <spb s="0">
      <v xml:space="preserve">Wikipedia	</v>
      <v xml:space="preserve">CC BY-SA 3.0	</v>
      <v xml:space="preserve">https://en.wikipedia.org/wiki/Zerbst	</v>
      <v xml:space="preserve">https://creativecommons.org/licenses/by-sa/3.0	</v>
    </spb>
    <spb s="10">
      <v>1034</v>
      <v>1034</v>
      <v>1034</v>
      <v>1034</v>
      <v>1034</v>
      <v>1034</v>
      <v>1034</v>
      <v>1034</v>
      <v>1034</v>
    </spb>
    <spb s="0">
      <v xml:space="preserve">Wikipedia	</v>
      <v xml:space="preserve">CC BY-SA 3.0	</v>
      <v xml:space="preserve">https://en.wikipedia.org/wiki/Zittau	</v>
      <v xml:space="preserve">https://creativecommons.org/licenses/by-sa/3.0	</v>
    </spb>
    <spb s="1">
      <v>1036</v>
      <v>1036</v>
      <v>1036</v>
      <v>1036</v>
      <v>1036</v>
      <v>1036</v>
      <v>1036</v>
      <v>1036</v>
      <v>1036</v>
      <v>1036</v>
    </spb>
    <spb s="0">
      <v xml:space="preserve">Wikipedia	</v>
      <v xml:space="preserve">CC BY-SA 3.0	</v>
      <v xml:space="preserve">https://en.wikipedia.org/wiki/Zweibr%C3%BCcken	</v>
      <v xml:space="preserve">https://creativecommons.org/licenses/by-sa/3.0	</v>
    </spb>
    <spb s="10">
      <v>1038</v>
      <v>1038</v>
      <v>1038</v>
      <v>1038</v>
      <v>1038</v>
      <v>1038</v>
      <v>1038</v>
      <v>1038</v>
      <v>1038</v>
    </spb>
    <spb s="0">
      <v xml:space="preserve">Wikipedia	</v>
      <v xml:space="preserve">CC BY-SA 3.0	</v>
      <v xml:space="preserve">https://en.wikipedia.org/wiki/Zwickau	</v>
      <v xml:space="preserve">https://creativecommons.org/licenses/by-sa/3.0	</v>
    </spb>
    <spb s="1">
      <v>1040</v>
      <v>1040</v>
      <v>1040</v>
      <v>1040</v>
      <v>1040</v>
      <v>1040</v>
      <v>1040</v>
      <v>1040</v>
      <v>1040</v>
      <v>1040</v>
    </spb>
  </spbData>
</supportingPropertyBags>
</file>

<file path=xl/richData/rdsupportingpropertybagstructure.xml><?xml version="1.0" encoding="utf-8"?>
<spbStructures xmlns="http://schemas.microsoft.com/office/spreadsheetml/2017/richdata2" count="40">
  <s>
    <k n="SourceText" t="s"/>
    <k n="LicenseText" t="s"/>
    <k n="SourceAddress" t="s"/>
    <k n="LicenseAddress" t="s"/>
  </s>
  <s>
    <k n="Name" t="spb"/>
    <k n="Fläche" t="spb"/>
    <k n="Längengrad" t="spb"/>
    <k n="UniqueName" t="spb"/>
    <k n="Bevölkerung" t="spb"/>
    <k n="Breitengrad" t="spb"/>
    <k n="Land/Region" t="spb"/>
    <k n="Beschreibung" t="spb"/>
    <k n="Verwaltungsabteilung 2 (Landkreis/Bezirk/Sonstiges)" t="spb"/>
    <k n="Verwaltungsabteilung 1 (Bundesstaat/Provinz/Sonstiges)" t="spb"/>
  </s>
  <s>
    <k n="Bild" t="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Order" t="spba"/>
    <k n="TitleProperty" t="s"/>
    <k n="SubTitleProperty" t="s"/>
  </s>
  <s>
    <k n="ShowInCardView" t="b"/>
    <k n="ShowInDotNotation" t="b"/>
    <k n="ShowInAutoComplete" t="b"/>
  </s>
  <s>
    <k n="UniqueName" t="spb"/>
    <k n="VDPID/VSID" t="spb"/>
    <k n="LearnMoreOnLink" t="spb"/>
  </s>
  <s>
    <k n="Bild" t="i"/>
    <k n="Name" t="i"/>
  </s>
  <s>
    <k n="link" t="s"/>
    <k n="logo" t="s"/>
    <k n="name" t="s"/>
  </s>
  <s>
    <k n="Fläche" t="s"/>
    <k n="Bevölkerung" t="s"/>
  </s>
  <s>
    <k n="_Self" t="i"/>
  </s>
  <s>
    <k n="Name" t="spb"/>
    <k n="Fläche" t="spb"/>
    <k n="Längengrad" t="spb"/>
    <k n="UniqueName" t="spb"/>
    <k n="Bevölkerung" t="spb"/>
    <k n="Breitengrad" t="spb"/>
    <k n="Land/Region" t="spb"/>
    <k n="Beschreibung" t="spb"/>
    <k n="Verwaltungsabteilung 1 (Bundesstaat/Provinz/Sonstiges)" t="spb"/>
  </s>
  <s>
    <k n="Bild" t="s"/>
    <k n="Name" t="s"/>
    <k n="Fläche" t="s"/>
    <k n="Längengrad" t="s"/>
    <k n="UniqueName" t="s"/>
    <k n="VDPID/VSID" t="s"/>
    <k n="Bevölkerung" t="s"/>
    <k n="Breitengrad" t="s"/>
    <k n="Land/Region" t="s"/>
    <k n="Beschreibung" t="s"/>
    <k n="LearnMoreOnLink" t="s"/>
    <k n="Verwaltungsabteilung 1 (Bundesstaat/Provinz/Sonstiges)" t="s"/>
  </s>
  <s>
    <k n="Name" t="spb"/>
    <k n="Fläche" t="spb"/>
    <k n="Längengrad" t="spb"/>
    <k n="UniqueName" t="spb"/>
    <k n="Bevölkerung" t="spb"/>
    <k n="Breitengrad" t="spb"/>
    <k n="Land/Region" t="spb"/>
    <k n="Beschreibung" t="spb"/>
  </s>
  <s>
    <k n="Bild" t="s"/>
    <k n="Name" t="s"/>
    <k n="Fläche" t="s"/>
    <k n="Längengrad" t="s"/>
    <k n="UniqueName" t="s"/>
    <k n="VDPID/VSID" t="s"/>
    <k n="Bevölkerung" t="s"/>
    <k n="Breitengrad" t="s"/>
    <k n="Land/Region" t="s"/>
    <k n="Beschreibung" t="s"/>
    <k n="LearnMoreOnLink" t="s"/>
  </s>
  <s>
    <k n="Name" t="spb"/>
    <k n="Fläche" t="spb"/>
    <k n="Längengrad" t="spb"/>
    <k n="UniqueName" t="spb"/>
    <k n="Bevölkerung" t="spb"/>
    <k n="Breitengrad" t="spb"/>
    <k n="Land/Region" t="spb"/>
    <k n="Beschreibung" t="spb"/>
    <k n="Verwaltungsabteilung 2 (Landkreis/Bezirk/Sonstiges)" t="spb"/>
  </s>
  <s>
    <k n="Bild" t="s"/>
    <k n="Name" t="s"/>
    <k n="Fläche" t="s"/>
    <k n="Längengrad" t="s"/>
    <k n="UniqueName" t="s"/>
    <k n="VDPID/VSID" t="s"/>
    <k n="Bevölkerung" t="s"/>
    <k n="Breitengrad" t="s"/>
    <k n="Land/Region" t="s"/>
    <k n="Beschreibung" t="s"/>
    <k n="LearnMoreOnLink" t="s"/>
    <k n="Verwaltungsabteilung 2 (Landkreis/Bezirk/Sonstiges)" t="s"/>
  </s>
  <s>
    <k n="Name" t="spb"/>
    <k n="Fläche" t="spb"/>
    <k n="Abkürzung" t="spb"/>
    <k n="Haushalte" t="spb"/>
    <k n="UniqueName" t="spb"/>
    <k n="Bevölkerung" t="spb"/>
    <k n="Land/Region" t="spb"/>
    <k n="Beschreibung" t="spb"/>
    <k n="Wohneinheiten" t="spb"/>
    <k n="Personen pro Haushalt" t="spb"/>
  </s>
  <s>
    <k n="Bild" t="s"/>
    <k n="Name" t="s"/>
    <k n="Fläche" t="s"/>
    <k n="Abkürzung" t="s"/>
    <k n="Haushalte" t="s"/>
    <k n="UniqueName" t="s"/>
    <k n="VDPID/VSID" t="s"/>
    <k n="Bevölkerung" t="s"/>
    <k n="Land/Region" t="s"/>
    <k n="Beschreibung" t="s"/>
    <k n="Wohneinheiten" t="s"/>
    <k n="LearnMoreOnLink" t="s"/>
    <k n="Personen pro Haushalt" t="s"/>
  </s>
  <s>
    <k n="Fläche" t="s"/>
    <k n="Haushalte" t="s"/>
    <k n="Bevölkerung" t="s"/>
    <k n="Wohneinheiten" t="s"/>
    <k n="Personen pro Haushalt" t="s"/>
  </s>
  <s>
    <k n="Name" t="spb"/>
    <k n="Fläche" t="spb"/>
    <k n="UniqueName" t="spb"/>
    <k n="Bevölkerung" t="spb"/>
    <k n="Land/Region" t="spb"/>
    <k n="Beschreibung" t="spb"/>
    <k n="Größte Stadt" t="spb"/>
    <k n="Verwaltungsabteilung 1 (Bundesstaat/Provinz/Sonstiges)" t="spb"/>
  </s>
  <s>
    <k n="Bild" t="s"/>
    <k n="Name" t="s"/>
    <k n="Fläche" t="s"/>
    <k n="UniqueName" t="s"/>
    <k n="VDPID/VSID" t="s"/>
    <k n="Bevölkerung" t="s"/>
    <k n="Land/Region" t="s"/>
    <k n="Beschreibung" t="s"/>
    <k n="Größte Stadt" t="s"/>
    <k n="LearnMoreOnLink" t="s"/>
    <k n="Verwaltungsabteilung 1 (Bundesstaat/Provinz/Sonstiges)" t="s"/>
  </s>
  <s>
    <k n="Name" t="spb"/>
    <k n="Längengrad" t="spb"/>
    <k n="UniqueName" t="spb"/>
    <k n="Breitengrad" t="spb"/>
    <k n="Land/Region" t="spb"/>
    <k n="Beschreibung" t="spb"/>
  </s>
  <s>
    <k n="Bild" t="s"/>
    <k n="Name" t="s"/>
    <k n="Längengrad" t="s"/>
    <k n="UniqueName" t="s"/>
    <k n="VDPID/VSID" t="s"/>
    <k n="Breitengrad" t="s"/>
    <k n="Land/Region" t="s"/>
    <k n="Beschreibung" t="s"/>
  </s>
  <s>
    <k n="^Order" t="spba"/>
    <k n="TitleProperty" t="s"/>
  </s>
  <s>
    <k n="UniqueName" t="spb"/>
    <k n="VDPID/VSID" t="spb"/>
  </s>
  <s>
    <k n="Name" t="spb"/>
    <k n="Fläche" t="spb"/>
    <k n="Längengrad" t="spb"/>
    <k n="UniqueName" t="spb"/>
    <k n="Breitengrad" t="spb"/>
    <k n="Land/Region" t="spb"/>
    <k n="Beschreibung" t="spb"/>
    <k n="Verwaltungsabteilung 2 (Landkreis/Bezirk/Sonstiges)" t="spb"/>
    <k n="Verwaltungsabteilung 1 (Bundesstaat/Provinz/Sonstiges)" t="spb"/>
  </s>
  <s>
    <k n="Bild" t="s"/>
    <k n="Name" t="s"/>
    <k n="Fläche" t="s"/>
    <k n="Längengrad" t="s"/>
    <k n="UniqueName" t="s"/>
    <k n="VDPID/VSID" t="s"/>
    <k n="Breitengrad" t="s"/>
    <k n="Land/Region" t="s"/>
    <k n="Beschreibung" t="s"/>
    <k n="LearnMoreOnLink" t="s"/>
    <k n="Verwaltungsabteilung 2 (Landkreis/Bezirk/Sonstiges)" t="s"/>
    <k n="Verwaltungsabteilung 1 (Bundesstaat/Provinz/Sonstiges)" t="s"/>
  </s>
  <s>
    <k n="Fläche" t="s"/>
  </s>
  <s>
    <k n="Name" t="spb"/>
    <k n="Längengrad" t="spb"/>
    <k n="UniqueName" t="spb"/>
    <k n="Breitengrad" t="spb"/>
    <k n="Land/Region" t="spb"/>
    <k n="Beschreibung" t="spb"/>
    <k n="Verwaltungsabteilung 2 (Landkreis/Bezirk/Sonstiges)" t="spb"/>
    <k n="Verwaltungsabteilung 1 (Bundesstaat/Provinz/Sonstiges)" t="spb"/>
  </s>
  <s>
    <k n="Bild" t="s"/>
    <k n="Name" t="s"/>
    <k n="Längengrad" t="s"/>
    <k n="UniqueName" t="s"/>
    <k n="VDPID/VSID" t="s"/>
    <k n="Breitengrad" t="s"/>
    <k n="Land/Region" t="s"/>
    <k n="Beschreibung" t="s"/>
    <k n="LearnMoreOnLink" t="s"/>
    <k n="Verwaltungsabteilung 2 (Landkreis/Bezirk/Sonstiges)" t="s"/>
    <k n="Verwaltungsabteilung 1 (Bundesstaat/Provinz/Sonstiges)" t="s"/>
  </s>
  <s>
    <k n="Name" t="spb"/>
    <k n="Fläche" t="spb"/>
    <k n="UniqueName" t="spb"/>
    <k n="Bevölkerung" t="spb"/>
    <k n="Land/Region" t="spb"/>
    <k n="Beschreibung" t="spb"/>
    <k n="Verwaltungsabteilung 1 (Bundesstaat/Provinz/Sonstiges)" t="spb"/>
  </s>
  <s>
    <k n="Name" t="spb"/>
    <k n="Fläche" t="spb"/>
    <k n="UniqueName" t="spb"/>
    <k n="Bevölkerung" t="spb"/>
    <k n="Land/Region" t="spb"/>
    <k n="Beschreibung" t="spb"/>
    <k n="Größte Stadt" t="spb"/>
  </s>
  <s>
    <k n="Bild" t="s"/>
    <k n="Name" t="s"/>
    <k n="Fläche" t="s"/>
    <k n="UniqueName" t="s"/>
    <k n="VDPID/VSID" t="s"/>
    <k n="Bevölkerung" t="s"/>
    <k n="Land/Region" t="s"/>
    <k n="Beschreibung" t="s"/>
    <k n="Größte Stadt" t="s"/>
    <k n="LearnMoreOnLink" t="s"/>
  </s>
  <s>
    <k n="Bild" t="s"/>
    <k n="Name" t="s"/>
    <k n="Fläche" t="s"/>
    <k n="Längengrad" t="s"/>
    <k n="UniqueName" t="s"/>
    <k n="VDPID/VSID" t="s"/>
    <k n="Bevölkerung" t="s"/>
    <k n="Breitengrad" t="s"/>
    <k n="Land/Region" t="s"/>
    <k n="Beschreibung" t="s"/>
    <k n="Verwaltungsabteilung 1 (Bundesstaat/Provinz/Sonstiges)" t="s"/>
  </s>
  <s>
    <k n="Bild" t="s"/>
    <k n="Name" t="s"/>
    <k n="Fläche" t="s"/>
    <k n="Längengrad" t="s"/>
    <k n="UniqueName" t="s"/>
    <k n="Bevölkerung" t="s"/>
    <k n="Breitengrad" t="s"/>
    <k n="Land/Region" t="s"/>
    <k n="Beschreibung" t="s"/>
    <k n="LearnMoreOnLink" t="s"/>
    <k n="Verwaltungsabteilung 2 (Landkreis/Bezirk/Sonstiges)" t="s"/>
    <k n="Verwaltungsabteilung 1 (Bundesstaat/Provinz/Sonstiges)" t="s"/>
  </s>
  <s>
    <k n="UniqueName" t="spb"/>
    <k n="LearnMoreOnLink" t="spb"/>
  </s>
  <s>
    <k n="Name" t="spb"/>
    <k n="Fläche" t="spb"/>
    <k n="Längengrad" t="spb"/>
    <k n="UniqueName" t="spb"/>
    <k n="Breitengrad" t="spb"/>
    <k n="Land/Region" t="spb"/>
    <k n="Beschreibung" t="spb"/>
    <k n="Verwaltungsabteilung 2 (Landkreis/Bezirk/Sonstiges)" t="spb"/>
  </s>
  <s>
    <k n="Bild" t="s"/>
    <k n="Name" t="s"/>
    <k n="Fläche" t="s"/>
    <k n="Längengrad" t="s"/>
    <k n="UniqueName" t="s"/>
    <k n="VDPID/VSID" t="s"/>
    <k n="Breitengrad" t="s"/>
    <k n="Land/Region" t="s"/>
    <k n="Beschreibung" t="s"/>
    <k n="LearnMoreOnLink" t="s"/>
    <k n="Verwaltungsabteilung 2 (Landkreis/Bezirk/Sonstiges)" t="s"/>
  </s>
  <s>
    <k n="Name" t="s"/>
    <k n="Fläche" t="s"/>
    <k n="Längengrad" t="s"/>
    <k n="UniqueName" t="s"/>
    <k n="VDPID/VSID" t="s"/>
    <k n="Bevölkerung" t="s"/>
    <k n="Breitengrad" t="s"/>
    <k n="Land/Region" t="s"/>
    <k n="Beschreibung" t="s"/>
    <k n="LearnMoreOnLink" t="s"/>
    <k n="Verwaltungsabteilung 2 (Landkreis/Bezirk/Sonstiges)" t="s"/>
    <k n="Verwaltungsabteilung 1 (Bundesstaat/Provinz/Sonstiges)" t="s"/>
  </s>
  <s>
    <k n="Na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HeroField" t="b"/>
    <rPr n="IsTitleField" t="b"/>
    <rPr n="NumberFormat" t="s"/>
  </richProperties>
  <richStyles>
    <rSty>
      <rpv i="0">1</rpv>
    </rSty>
    <rSty>
      <rpv i="1">1</rpv>
    </rSty>
    <rSty dxfid="0">
      <rpv i="2">#,##0</rpv>
    </rSty>
    <rSty dxfid="1">
      <rpv i="2">0.0000</rpv>
    </rSty>
    <rSty dxfid="2">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ABAB13F-0333-4A8D-A76E-279A4B564C8B}" name="PAR" displayName="PAR" ref="F1:DB5" totalsRowShown="0" headerRowDxfId="212" dataDxfId="211" tableBorderDxfId="210">
  <autoFilter ref="F1:DB5" xr:uid="{7ABAB13F-0333-4A8D-A76E-279A4B564C8B}"/>
  <tableColumns count="101">
    <tableColumn id="1" xr3:uid="{A31D01DC-3F94-4B1C-A271-B4D85B31F688}" name="Bezeichnung" dataDxfId="209"/>
    <tableColumn id="2" xr3:uid="{FA36BC78-DB6D-483D-9584-CF99969181DF}" name="lambda_ins_thick" dataDxfId="208"/>
    <tableColumn id="101" xr3:uid="{5A8EB7B0-4240-47A1-ADBE-B162CC9A4C36}" name="U_inwall"/>
    <tableColumn id="3" xr3:uid="{31865E74-A3E6-4F91-A627-70C9B6009FA6}" name="T_air_norm" dataDxfId="207"/>
    <tableColumn id="4" xr3:uid="{5B465689-FC8A-465D-BED4-834AED33100B}" name="T_air_norm_bath" dataDxfId="206"/>
    <tableColumn id="5" xr3:uid="{C8E4F3D7-B127-4F25-8616-DE20BC084D0B}" name="ang_roof_slop" dataDxfId="205"/>
    <tableColumn id="6" xr3:uid="{342A8A6D-D5A7-47F1-8902-33529D0AF68A}" name="ang_roof_steep" dataDxfId="204"/>
    <tableColumn id="7" xr3:uid="{62C9AA62-56F3-43BA-BF2B-AC1BB14C6E0A}" name="ang_roof_steepr" dataDxfId="203"/>
    <tableColumn id="8" xr3:uid="{BAEB5904-64ED-4016-8F14-2AC7644E8B27}" name="U_opaque_lim" dataDxfId="202"/>
    <tableColumn id="9" xr3:uid="{F23592B0-ACFB-4496-AF46-01F2D6698739}" name="U_win_lim" dataDxfId="201"/>
    <tableColumn id="10" xr3:uid="{56C8116C-D0BC-46E7-BDEF-901EFB897E41}" name="r_worst_lim" dataDxfId="200"/>
    <tableColumn id="11" xr3:uid="{587B24DE-2F7C-426C-95F6-1A4D42816DDE}" name="NO_round_Qdot" dataDxfId="199"/>
    <tableColumn id="12" xr3:uid="{BF07CF1C-3A4D-484C-82F9-5F455F17309D}" name="NO_round_Qdot_spez" dataDxfId="198"/>
    <tableColumn id="13" xr3:uid="{77C78E16-7BB6-44D6-97FB-033EC7E0EBB6}" name="NO_round_rcover" dataDxfId="197"/>
    <tableColumn id="14" xr3:uid="{A31F983F-BDA5-45DF-B6BF-3CC7D7F4250F}" name="NO_r_nt1" dataDxfId="196"/>
    <tableColumn id="15" xr3:uid="{B60D3FD5-07DB-4E87-8E7E-A05A5B2071C0}" name="NO_r_nt2" dataDxfId="195"/>
    <tableColumn id="16" xr3:uid="{3BABE409-8575-497C-A363-6725091F114B}" name="NO_r_nt3" dataDxfId="194"/>
    <tableColumn id="17" xr3:uid="{F8BB63EF-5DD6-48FA-8520-330FEC1FE3A5}" name="Spalte13" dataDxfId="193"/>
    <tableColumn id="18" xr3:uid="{3B11BF38-8FB9-46BB-84A0-2C85AB22FD10}" name="Spalte14" dataDxfId="192"/>
    <tableColumn id="19" xr3:uid="{A5B37BB5-FC8F-480A-A85A-52F5755FF7EC}" name="Spalte15" dataDxfId="191"/>
    <tableColumn id="20" xr3:uid="{4D156FE1-F7A0-491C-BA85-E1D9972E4C94}" name="Spalte16" dataDxfId="190"/>
    <tableColumn id="21" xr3:uid="{5EC794F0-ECA4-42C6-A617-762AB229B637}" name="Spalte17" dataDxfId="189"/>
    <tableColumn id="22" xr3:uid="{70E28D15-8CFC-4504-9436-7C9457C5E7BD}" name="Spalte18" dataDxfId="188"/>
    <tableColumn id="23" xr3:uid="{57195530-5FE4-47F5-8480-8A3CCAD46970}" name="Spalte19" dataDxfId="187"/>
    <tableColumn id="24" xr3:uid="{76CBA63F-8A2B-42C3-8116-25801C21D83E}" name="Spalte20" dataDxfId="186"/>
    <tableColumn id="25" xr3:uid="{B9354ECD-6564-4D9F-BE98-A09850CC5B2D}" name="Spalte21" dataDxfId="185"/>
    <tableColumn id="26" xr3:uid="{6B0FE1F8-4E30-44BC-A4CE-F4B7AA42721F}" name="Spalte22" dataDxfId="184"/>
    <tableColumn id="27" xr3:uid="{ABFB0D25-95B7-41F3-870E-7F4ECC2D6459}" name="Spalte23" dataDxfId="183"/>
    <tableColumn id="28" xr3:uid="{FFA75E6C-FFC4-4F2B-81BF-C33583B7A985}" name="Spalte24" dataDxfId="182"/>
    <tableColumn id="29" xr3:uid="{B24DD2F2-039E-44EA-9EA6-55F22F96EF61}" name="Spalte25" dataDxfId="181"/>
    <tableColumn id="30" xr3:uid="{E9ACC6CA-BFDF-4ABD-A640-32F514D3A5D1}" name="Spalte26" dataDxfId="180"/>
    <tableColumn id="31" xr3:uid="{D6FA4B8C-6309-4A01-AC16-FBBFDC29206A}" name="Spalte27" dataDxfId="179"/>
    <tableColumn id="32" xr3:uid="{98F764F6-9822-4AA9-8389-E947B9DE1B7B}" name="Spalte28" dataDxfId="178"/>
    <tableColumn id="33" xr3:uid="{302E3F1A-5BC6-4D76-83C6-02D5EE0DB710}" name="Spalte29" dataDxfId="177"/>
    <tableColumn id="34" xr3:uid="{DCC92DA1-46DD-401D-8A15-3258354295F7}" name="Spalte30" dataDxfId="176"/>
    <tableColumn id="35" xr3:uid="{6BDE0029-74BD-4F01-9890-1ADBD6D6990E}" name="Spalte31" dataDxfId="175"/>
    <tableColumn id="36" xr3:uid="{C79FA467-3A49-4E5D-B48B-AF87924F023E}" name="Spalte32" dataDxfId="174"/>
    <tableColumn id="37" xr3:uid="{E943539C-EE9F-4BF0-B992-D9B4A4B02B3D}" name="Spalte33" dataDxfId="173"/>
    <tableColumn id="38" xr3:uid="{D018E3DF-BFD8-46D4-83AE-A97291FC0A60}" name="Spalte34" dataDxfId="172"/>
    <tableColumn id="39" xr3:uid="{7EC2C91E-A23A-4EDA-A471-52E50062D207}" name="Spalte35" dataDxfId="171"/>
    <tableColumn id="40" xr3:uid="{21896316-CBB3-4E4A-BDC4-7E22B5FFADF2}" name="Spalte36" dataDxfId="170"/>
    <tableColumn id="41" xr3:uid="{ED3D50D3-852D-4351-B1B4-FEEE64605004}" name="Spalte37" dataDxfId="169"/>
    <tableColumn id="42" xr3:uid="{CF10E58F-0464-4728-A9B5-8ACC485C677E}" name="Spalte38" dataDxfId="168"/>
    <tableColumn id="43" xr3:uid="{92892CA1-CBDF-4AA2-87E9-8D54F02F0A2F}" name="Spalte39" dataDxfId="167"/>
    <tableColumn id="44" xr3:uid="{7B590DFB-FF04-4237-9964-E80E0B7CC301}" name="Spalte40" dataDxfId="166"/>
    <tableColumn id="45" xr3:uid="{92EB650E-AEB9-4C72-A422-7BBCE3CEFCEA}" name="Spalte41" dataDxfId="165"/>
    <tableColumn id="46" xr3:uid="{14275523-C46C-4A49-87BF-27237481BB9E}" name="Spalte42" dataDxfId="164"/>
    <tableColumn id="47" xr3:uid="{7E57C007-474C-4E4C-979A-6FB613356B24}" name="Spalte43" dataDxfId="163"/>
    <tableColumn id="48" xr3:uid="{BC1AE242-05B1-4FAA-98FB-3F9C9AB53CB8}" name="Spalte44" dataDxfId="162"/>
    <tableColumn id="49" xr3:uid="{4F027ACF-C55C-4ECD-8AFC-D60800E7E02D}" name="Spalte45" dataDxfId="161"/>
    <tableColumn id="50" xr3:uid="{2465D971-D7C9-4909-AF42-82C57647289F}" name="Spalte46" dataDxfId="160"/>
    <tableColumn id="51" xr3:uid="{35510683-5191-42F1-A131-60DD58AAE0B2}" name="Spalte47" dataDxfId="159"/>
    <tableColumn id="52" xr3:uid="{06D28E0F-67CC-44E7-9EB8-B684C410A9A5}" name="Spalte48" dataDxfId="158"/>
    <tableColumn id="53" xr3:uid="{1C6475F3-8487-4FC1-87FB-11A0F56E426C}" name="Spalte49" dataDxfId="157"/>
    <tableColumn id="54" xr3:uid="{767DC565-45F4-4E82-9B0A-39C25DAE6133}" name="Spalte50" dataDxfId="156"/>
    <tableColumn id="55" xr3:uid="{78B8A1A6-8B3F-40E8-ABBF-D95940053ADC}" name="Spalte51" dataDxfId="155"/>
    <tableColumn id="56" xr3:uid="{033830EF-CC11-4F70-86A4-1AF4CC9AF4D6}" name="Spalte52" dataDxfId="154"/>
    <tableColumn id="57" xr3:uid="{9EF298A9-382C-4939-9A34-09FBE3BED84C}" name="Spalte53" dataDxfId="153"/>
    <tableColumn id="58" xr3:uid="{F24C21BD-DB3E-43DF-9560-0F2A38EC41EF}" name="Spalte54" dataDxfId="152"/>
    <tableColumn id="59" xr3:uid="{9EBA81F9-8EA8-40E4-86C1-04C13BCCD1A0}" name="Spalte55" dataDxfId="151"/>
    <tableColumn id="60" xr3:uid="{6A30B699-6FCA-4716-91D6-8FC1426EF3E3}" name="Spalte56" dataDxfId="150"/>
    <tableColumn id="61" xr3:uid="{A792FC61-70D2-4945-A1BB-4DE0F5DAFE59}" name="Spalte57" dataDxfId="149"/>
    <tableColumn id="62" xr3:uid="{FC46E9FB-2AD1-4874-880A-3C5FE908A6A9}" name="Spalte58" dataDxfId="148"/>
    <tableColumn id="63" xr3:uid="{D4CE86F5-45DC-46C4-8784-59B6FAEA34A1}" name="Spalte59" dataDxfId="147"/>
    <tableColumn id="64" xr3:uid="{8DDC4124-96D8-46F4-A137-8A2728574B94}" name="Spalte60" dataDxfId="146"/>
    <tableColumn id="65" xr3:uid="{8AF2FB57-9D4D-44D6-A3AE-149A4B41AC12}" name="Spalte61" dataDxfId="145"/>
    <tableColumn id="66" xr3:uid="{88D2BFF8-8363-4598-A245-025755C1CA0E}" name="Spalte62" dataDxfId="144"/>
    <tableColumn id="67" xr3:uid="{DFE6CE87-6BE2-4D9E-A55F-7E36C5C2400E}" name="Spalte63" dataDxfId="143"/>
    <tableColumn id="68" xr3:uid="{A87BA348-5C53-4F75-90F4-02EEF2359DF5}" name="Spalte64" dataDxfId="142"/>
    <tableColumn id="69" xr3:uid="{09562199-8055-4944-9342-F8B563DD2AD2}" name="Spalte65" dataDxfId="141"/>
    <tableColumn id="70" xr3:uid="{4987426D-82BA-4ACF-99D3-92A3EA2BEA43}" name="Spalte66" dataDxfId="140"/>
    <tableColumn id="71" xr3:uid="{C04606D3-DCEC-45AC-A319-F37E652115ED}" name="Spalte67" dataDxfId="139"/>
    <tableColumn id="72" xr3:uid="{01BAB416-6CB6-425A-A00F-E10424A2F906}" name="Spalte68" dataDxfId="138"/>
    <tableColumn id="73" xr3:uid="{53272792-652B-4299-A804-11EECE49CA32}" name="Spalte69" dataDxfId="137"/>
    <tableColumn id="74" xr3:uid="{508E204A-BE7C-4106-BAE8-CA5AB968A407}" name="Spalte70" dataDxfId="136"/>
    <tableColumn id="75" xr3:uid="{FCC0C5C1-C6CF-4855-925E-0023AFF119ED}" name="Spalte71" dataDxfId="135"/>
    <tableColumn id="76" xr3:uid="{5CFCB3E7-578C-4D0B-8620-3D6216A94CC3}" name="Spalte72" dataDxfId="134"/>
    <tableColumn id="77" xr3:uid="{45403557-0347-488D-83AA-C46A7EC5C7D3}" name="Spalte73" dataDxfId="133"/>
    <tableColumn id="78" xr3:uid="{E6714198-0BD0-45DE-8C10-10EFB7E541AC}" name="Spalte74" dataDxfId="132"/>
    <tableColumn id="79" xr3:uid="{76125642-1797-4507-99F3-C866C6085990}" name="Spalte75" dataDxfId="131"/>
    <tableColumn id="80" xr3:uid="{A32885C0-02A0-49B5-AC7A-7834E7CDD69A}" name="Spalte76" dataDxfId="130"/>
    <tableColumn id="81" xr3:uid="{6B9D13BA-A5C0-40BA-8EF7-F92F9F7017A7}" name="Spalte77" dataDxfId="129"/>
    <tableColumn id="82" xr3:uid="{8F71A419-ABDC-4FCA-A535-BFA8A4E10195}" name="Spalte78" dataDxfId="128"/>
    <tableColumn id="83" xr3:uid="{F300DAE9-7837-45D0-AC66-B41BF1CE965C}" name="Spalte79" dataDxfId="127"/>
    <tableColumn id="84" xr3:uid="{17851039-7551-4604-A73C-C1E2ED838A29}" name="Spalte80" dataDxfId="126"/>
    <tableColumn id="85" xr3:uid="{FBAE18EE-1ED6-41ED-BCD2-799676D499B9}" name="Spalte81" dataDxfId="125"/>
    <tableColumn id="86" xr3:uid="{143C1803-3784-4DEC-B509-D8ADC2FA0041}" name="Spalte82" dataDxfId="124"/>
    <tableColumn id="87" xr3:uid="{A6A6FA03-23F3-4F84-8FF1-DA36E5B0304F}" name="Spalte83" dataDxfId="123"/>
    <tableColumn id="88" xr3:uid="{EC7FCC57-ACFD-4941-8160-DC97F3B4526C}" name="Spalte84" dataDxfId="122"/>
    <tableColumn id="89" xr3:uid="{AB7B4ED3-935A-4846-959B-DD674F07128F}" name="Spalte85" dataDxfId="121"/>
    <tableColumn id="90" xr3:uid="{1926D5BA-396B-41CB-A8CF-DFCBEB35BB6E}" name="Spalte86" dataDxfId="120"/>
    <tableColumn id="91" xr3:uid="{EDCE9B55-931A-4EE8-B874-F3AFFF42B724}" name="Spalte87" dataDxfId="119"/>
    <tableColumn id="92" xr3:uid="{96A242AB-079E-4CED-8C0A-71E02AE3B85E}" name="Spalte88" dataDxfId="118"/>
    <tableColumn id="93" xr3:uid="{8A626116-EAFE-4C66-8D7F-F733D4312F75}" name="Spalte89" dataDxfId="117"/>
    <tableColumn id="94" xr3:uid="{F0A179F9-4AE3-4AC3-AB19-5D2C13DE631B}" name="Spalte90" dataDxfId="116"/>
    <tableColumn id="95" xr3:uid="{2111ACE6-BFD5-4563-8862-4E19743D4510}" name="Spalte91" dataDxfId="115"/>
    <tableColumn id="96" xr3:uid="{E877E8B0-8090-48EE-A11F-16EF96EF9AEB}" name="Spalte92" dataDxfId="114"/>
    <tableColumn id="97" xr3:uid="{1EECBBE3-F134-4499-8121-2F55A1264541}" name="Spalte93" dataDxfId="113"/>
    <tableColumn id="98" xr3:uid="{0D23A51F-6FCE-4A08-B70C-DF4A6759B60F}" name="Spalte94" dataDxfId="112"/>
    <tableColumn id="99" xr3:uid="{52D1440C-ECD8-44A1-8EC8-1B6184554A90}" name="Spalte95" dataDxfId="111"/>
    <tableColumn id="100" xr3:uid="{1075D4E4-40C6-40DF-8811-BAC19BE61331}" name="Spalte96" dataDxfId="11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B97B0C-B1FA-4388-805D-9B8425CCAABF}" name="Heizkoerpertyp" displayName="Heizkoerpertyp" ref="I3:I8" totalsRowShown="0">
  <autoFilter ref="I3:I8" xr:uid="{36B97B0C-B1FA-4388-805D-9B8425CCAABF}"/>
  <tableColumns count="1">
    <tableColumn id="1" xr3:uid="{52AD0341-E711-4AFC-99EF-BF1BC9A045D3}" name="Heizkörpertyp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813E6-EDC0-4D58-8401-7DB20B412C25}" name="Flachheizkoerper_senkrecht_profiliert" displayName="Flachheizkoerper_senkrecht_profiliert" ref="K3:K10" totalsRowShown="0">
  <autoFilter ref="K3:K10" xr:uid="{F24813E6-EDC0-4D58-8401-7DB20B412C25}"/>
  <tableColumns count="1">
    <tableColumn id="1" xr3:uid="{3D0CC992-FB7E-4319-927A-15B0A69620C3}" name="Flachheizkoerper_senkrecht_profilier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185B60-4F25-43EB-B817-222ADCE64F38}" name="Gliederheizkörper" displayName="Gliederheizkörper" ref="M3:M5" totalsRowShown="0">
  <autoFilter ref="M3:M5" xr:uid="{2D185B60-4F25-43EB-B817-222ADCE64F38}"/>
  <tableColumns count="1">
    <tableColumn id="1" xr3:uid="{11313BD8-CD81-4298-B5D0-68BAB30C6A8B}" name="Gliederheizkörp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EA8BEA9-CA31-4E9E-ADA9-AD1661C3501C}" name="Tabelle10" displayName="Tabelle10" ref="N3:N6" totalsRowShown="0">
  <autoFilter ref="N3:N6" xr:uid="{DEA8BEA9-CA31-4E9E-ADA9-AD1661C3501C}"/>
  <tableColumns count="1">
    <tableColumn id="1" xr3:uid="{0761952C-45A5-41CA-8298-2A2F1D9CFA77}" name="Rohrradia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6A62F34-2BC7-4295-8369-8DFE0D274A99}" name="Tabelle11" displayName="Tabelle11" ref="O3:O6" totalsRowShown="0">
  <autoFilter ref="O3:O6" xr:uid="{C6A62F34-2BC7-4295-8369-8DFE0D274A99}"/>
  <tableColumns count="1">
    <tableColumn id="1" xr3:uid="{B3AC0CF6-614E-47C5-B40E-26833DD6F42E}" name="Rohrheizkörp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86A93B-C6C1-437B-BDAC-340CC11DCDE4}" name="Tabelle12" displayName="Tabelle12" ref="P3:P4" totalsRowShown="0">
  <autoFilter ref="P3:P4" xr:uid="{D186A93B-C6C1-437B-BDAC-340CC11DCDE4}"/>
  <tableColumns count="1">
    <tableColumn id="1" xr3:uid="{80821ECE-5D3B-44A4-B75A-D26885F35823}" name="Konvekto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18701B-8D7F-432C-9662-32D1B8353790}" name="Typ_10" displayName="Typ_10" ref="K23:K27" totalsRowShown="0">
  <autoFilter ref="K23:K27" xr:uid="{F018701B-8D7F-432C-9662-32D1B8353790}"/>
  <tableColumns count="1">
    <tableColumn id="1" xr3:uid="{A44E1978-18AE-40AB-8A2A-546EB1C327BA}" name="Typ_10_Hoeh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5A482F0-6314-4C20-AF9E-301B41DA06DB}" name="Gussradiator" displayName="Gussradiator" ref="S23:S28" totalsRowShown="0">
  <autoFilter ref="S23:S28" xr:uid="{C5A482F0-6314-4C20-AF9E-301B41DA06DB}"/>
  <tableColumns count="1">
    <tableColumn id="1" xr3:uid="{B2F30CF3-8D7B-412B-997C-96A364E7A798}" name="Gussradiator_Hoeh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63633B0-358D-4482-A6D6-A531BFF3F62F}" name="Stahlradiator" displayName="Stahlradiator" ref="T23:T27" totalsRowShown="0">
  <autoFilter ref="T23:T27" xr:uid="{363633B0-358D-4482-A6D6-A531BFF3F62F}"/>
  <tableColumns count="1">
    <tableColumn id="1" xr3:uid="{39D6A83C-8BFE-4C8D-9F1A-CE8025B0C6E9}" name="Stahlradiator_Hoeh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257339-029E-4396-933C-56DC476D7904}" name="Stahlrohrradiator" displayName="Stahlrohrradiator" ref="U23:U36" totalsRowShown="0">
  <autoFilter ref="U23:U36" xr:uid="{1E257339-029E-4396-933C-56DC476D7904}"/>
  <tableColumns count="1">
    <tableColumn id="1" xr3:uid="{B92087C9-314F-4A73-A5B8-97BF00C51B09}" name="Stahlrohrradiator_Hoeh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9FC862-9F54-43FA-A47D-0C160E6A3448}" name="Fensterbankradiator" displayName="Fensterbankradiator" ref="V23:V27" totalsRowShown="0">
  <autoFilter ref="V23:V27" xr:uid="{909FC862-9F54-43FA-A47D-0C160E6A3448}"/>
  <tableColumns count="1">
    <tableColumn id="1" xr3:uid="{1745D1BB-3B47-4030-850E-96D9DFA07A29}" name="Fensterbankradiator_Hoeh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05B315-86C5-43E9-9245-B38A1B34B3D9}" name="Standardkonvektor" displayName="Standardkonvektor" ref="AA23:AA27" totalsRowShown="0">
  <autoFilter ref="AA23:AA27" xr:uid="{C605B315-86C5-43E9-9245-B38A1B34B3D9}"/>
  <tableColumns count="1">
    <tableColumn id="1" xr3:uid="{1B0DBFF0-A856-4F9F-AA25-1C385F625AB1}" name="Standardkonvektor_Hoeh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3323D4F-C04B-4E20-8535-125131C60949}" name="Handtuchradiator" displayName="Handtuchradiator" ref="W23:W50" totalsRowShown="0">
  <autoFilter ref="W23:W50" xr:uid="{E3323D4F-C04B-4E20-8535-125131C60949}"/>
  <tableColumns count="1">
    <tableColumn id="1" xr3:uid="{BC89ED53-EB1E-4BBC-8117-9D006A7AA977}" name="Handtuchradiator_Hoeh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9F58EE7-DC6F-4CD8-975C-F5899C468F7A}" name="Fensterbankradiator_b" displayName="Fensterbankradiator_b" ref="V40:V43" totalsRowShown="0">
  <autoFilter ref="V40:V43" xr:uid="{C9F58EE7-DC6F-4CD8-975C-F5899C468F7A}"/>
  <tableColumns count="1">
    <tableColumn id="1" xr3:uid="{3BEFC9BF-B5D8-42FE-A735-848EBEE1C5E0}" name="Fensterbankradiato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BBD5190-22EC-4794-B771-2AF6FE8D7091}" name="Tabelle23" displayName="Tabelle23" ref="Q275:Q279" totalsRowShown="0">
  <autoFilter ref="Q275:Q279" xr:uid="{BBBD5190-22EC-4794-B771-2AF6FE8D7091}"/>
  <tableColumns count="1">
    <tableColumn id="1" xr3:uid="{24D89878-F3DF-491E-BCA9-12A0EB8D257D}" name="Handtuchradiat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4115F9-10B4-4A78-84B6-B3F51A26E522}" name="Deckenstrahlplatten_Wärmedämmung" displayName="Deckenstrahlplatten_Wärmedämmung" ref="AB47:AB54" totalsRowShown="0">
  <autoFilter ref="AB47:AB54" xr:uid="{F84115F9-10B4-4A78-84B6-B3F51A26E522}"/>
  <tableColumns count="1">
    <tableColumn id="1" xr3:uid="{1EAED1E4-DDEE-4B3E-A361-AB88C1C8F836}" name="Deckenstrahlplatten_Wärmedämmung"/>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4AE37E8-09C7-4D07-8FED-4E508564D76F}" name="Tabelle26" displayName="Tabelle26" ref="K56:K60" totalsRowShown="0">
  <autoFilter ref="K56:K60" xr:uid="{A4AE37E8-09C7-4D07-8FED-4E508564D76F}"/>
  <tableColumns count="1">
    <tableColumn id="1" xr3:uid="{08CF0455-17C8-4033-B471-2E99007D0E92}" name="Senkrecht_profiliert"/>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DFB452-BEA1-4392-BF36-66A4D37C6A5B}" name="Tabelle27" displayName="Tabelle27" ref="R56:R60" totalsRowShown="0" tableBorderDxfId="109">
  <autoFilter ref="R56:R60" xr:uid="{62DFB452-BEA1-4392-BF36-66A4D37C6A5B}"/>
  <tableColumns count="1">
    <tableColumn id="1" xr3:uid="{F7F8E93A-5E81-4440-804F-DC24EC8E8D12}" name="Glattwandig"/>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88FEAE-E31A-4853-8E89-9739200D985E}" name="Tabelle8" displayName="Tabelle8" ref="X23:X24" totalsRowShown="0">
  <autoFilter ref="X23:X24" xr:uid="{0088FEAE-E31A-4853-8E89-9739200D985E}"/>
  <tableColumns count="1">
    <tableColumn id="1" xr3:uid="{7872432F-B4EA-4B4C-88C9-E5AB082A5AC2}" name="Gewinderohr_Hoeh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F3471D5-8FCE-49CE-A14A-A767F5BEDACC}" name="Tabelle28" displayName="Tabelle28" ref="Y23:Y24" totalsRowShown="0">
  <autoFilter ref="Y23:Y24" xr:uid="{9F3471D5-8FCE-49CE-A14A-A767F5BEDACC}"/>
  <tableColumns count="1">
    <tableColumn id="1" xr3:uid="{DABF7303-1690-451B-81A8-44A95C0B4319}" name="Stahlrohr_Hoeh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297E363-A448-408E-B7FF-D581D6104EDC}" name="Tabelle29" displayName="Tabelle29" ref="Z23:Z24" totalsRowShown="0">
  <autoFilter ref="Z23:Z24" xr:uid="{C297E363-A448-408E-B7FF-D581D6104EDC}"/>
  <tableColumns count="1">
    <tableColumn id="1" xr3:uid="{AD7D572F-CE73-4F79-BF1C-054683A07D41}" name="Stahlrippenrohr_Hoeh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E3CB0B7-041F-411C-BC89-6AA1FC2C621C}" name="Tabelle25" displayName="Tabelle25" ref="E3:E7" totalsRowShown="0" headerRowDxfId="108">
  <autoFilter ref="E3:E7" xr:uid="{0E3CB0B7-041F-411C-BC89-6AA1FC2C621C}"/>
  <tableColumns count="1">
    <tableColumn id="1" xr3:uid="{4960B43D-956E-4E88-9A70-281711F7B61C}" name="Frontend_allg"/>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6570C28-3D16-4A10-A927-F2015FBD8044}" name="Tabelle33" displayName="Tabelle33" ref="E9:E14" totalsRowShown="0">
  <autoFilter ref="E9:E14" xr:uid="{16570C28-3D16-4A10-A927-F2015FBD8044}"/>
  <tableColumns count="1">
    <tableColumn id="1" xr3:uid="{017D8B30-D166-4EEB-950E-C32B55321CD8}" name="Gebäudetypen"/>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ADD96F8-BA63-40FF-BEC4-C6E5F87D919C}" name="Baualtersklassen" displayName="Baualtersklassen" ref="E16:E28" totalsRowShown="0">
  <autoFilter ref="E16:E28" xr:uid="{BADD96F8-BA63-40FF-BEC4-C6E5F87D919C}"/>
  <tableColumns count="1">
    <tableColumn id="1" xr3:uid="{F63BD180-323F-4D2E-9FBF-68E4433A4D2E}" name="Baualtersklasse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3344637-8ED4-45ED-82E3-971BA5C867EA}" name="Tabelle35" displayName="Tabelle35" ref="E30:E40" totalsRowShown="0">
  <autoFilter ref="E30:E40" xr:uid="{A3344637-8ED4-45ED-82E3-971BA5C867EA}"/>
  <tableColumns count="1">
    <tableColumn id="1" xr3:uid="{B3CCADBC-B0EA-4C55-9C07-EBCE8ED5CADE}" name="Energieeffizienzklasse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0DD8AB-7FC8-4B0D-9A07-CF6C46D34086}" name="Tabelle36" displayName="Tabelle36" ref="E41:E50" totalsRowShown="0">
  <autoFilter ref="E41:E50" xr:uid="{550DD8AB-7FC8-4B0D-9A07-CF6C46D34086}"/>
  <tableColumns count="1">
    <tableColumn id="1" xr3:uid="{3EE7C85A-F4AC-4050-B630-96B7DBABF7F2}" name="Nachträglich gedämmte Bauteil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0FE797D-7510-4759-9A1C-7CA1E904D35B}" name="Tabelle37" displayName="Tabelle37" ref="E52:E54" totalsRowShown="0">
  <autoFilter ref="E52:E54" xr:uid="{40FE797D-7510-4759-9A1C-7CA1E904D35B}"/>
  <tableColumns count="1">
    <tableColumn id="1" xr3:uid="{02A5964B-F802-41E1-8062-FAEEDFCDE112}" name="Denkmalschutz"/>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9CBC7D-5172-416C-A35F-91D7EEDEDB01}" name="Tabelle38" displayName="Tabelle38" ref="E56:E63" totalsRowShown="0">
  <autoFilter ref="E56:E63" xr:uid="{F79CBC7D-5172-416C-A35F-91D7EEDEDB01}"/>
  <tableColumns count="1">
    <tableColumn id="1" xr3:uid="{0154D1F7-A131-4519-AE3E-AF65576A4032}" name="Art der Wärmeübergab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1278C32-BEA2-4A4B-98E8-5F47A289B5B8}" name="Tabelle39" displayName="Tabelle39" ref="E65:E67" totalsRowShown="0">
  <autoFilter ref="E65:E67" xr:uid="{B1278C32-BEA2-4A4B-98E8-5F47A289B5B8}"/>
  <tableColumns count="1">
    <tableColumn id="1" xr3:uid="{CC27D7B5-226A-4E04-84FA-7989F2FD548B}" name="Vorlauftemperatur"/>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ED96557-1148-4A9C-9BDD-F3086FD8C6BD}" name="Tabelle40" displayName="Tabelle40" ref="E69:E71" totalsRowShown="0">
  <autoFilter ref="E69:E71" xr:uid="{8ED96557-1148-4A9C-9BDD-F3086FD8C6BD}"/>
  <tableColumns count="1">
    <tableColumn id="1" xr3:uid="{B9E334EB-F9E3-4788-8D83-24FFFB2C393C}" name="Heizkreislauf"/>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95BBCA9-0230-41CF-A674-32914F5A78F9}" name="Tabelle41" displayName="Tabelle41" ref="E84:E86" totalsRowShown="0">
  <autoFilter ref="E84:E86" xr:uid="{395BBCA9-0230-41CF-A674-32914F5A78F9}"/>
  <tableColumns count="1">
    <tableColumn id="1" xr3:uid="{7541027B-54F9-4CE0-8D0C-C504929713E2}" name="Lüftung"/>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E422111-30F0-41E3-A286-C42F0CB4FDB3}" name="Tabelle42" displayName="Tabelle42" ref="E73:E82" totalsRowShown="0">
  <autoFilter ref="E73:E82" xr:uid="{9E422111-30F0-41E3-A286-C42F0CB4FDB3}"/>
  <tableColumns count="1">
    <tableColumn id="1" xr3:uid="{B669966E-3FAA-43E0-B3C2-2490BB79515B}" name="Raumauswahl"/>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886E18-64F7-4E31-9231-0BC098C40AFE}" name="Tabelle43" displayName="Tabelle43" ref="E98:E103" totalsRowShown="0" headerRowDxfId="107">
  <autoFilter ref="E98:E103" xr:uid="{92886E18-64F7-4E31-9231-0BC098C40AFE}"/>
  <tableColumns count="1">
    <tableColumn id="1" xr3:uid="{FD60564B-EDE4-4158-9D6A-13E876CEC131}" name="Tiefe Stahlrohrradiatoren"/>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05828B-3B3B-4A9F-A2C9-6A572EC1936A}" name="Tabelle44" displayName="Tabelle44" ref="E88:E96" totalsRowShown="0">
  <autoFilter ref="E88:E96" xr:uid="{7705828B-3B3B-4A9F-A2C9-6A572EC1936A}"/>
  <tableColumns count="1">
    <tableColumn id="1" xr3:uid="{14532FB0-E477-4498-8F07-643592C36D42}" name="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D35E3FF-BF7D-47FB-9F2A-BE7F0A8FF6C7}" name="DD_Bauteil_grenz" displayName="DD_Bauteil_grenz" ref="E105:F109" totalsRowShown="0">
  <autoFilter ref="E105:F109" xr:uid="{2D35E3FF-BF7D-47FB-9F2A-BE7F0A8FF6C7}"/>
  <tableColumns count="2">
    <tableColumn id="1" xr3:uid="{AAAAB7E6-D533-4615-9767-EDA6C778067B}" name="Grenze Bauteil gegen "/>
    <tableColumn id="2" xr3:uid="{3D5DDBD1-9F2B-43A9-A6C0-63513DFEFD23}" name="Temperaturkorrekturfaktor"/>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433FE0A-369A-4AA7-A590-CFD2A45D909B}" name="Tabelle3446" displayName="Tabelle3446" ref="G16:G29" totalsRowShown="0">
  <autoFilter ref="G16:G29" xr:uid="{9433FE0A-369A-4AA7-A590-CFD2A45D909B}"/>
  <tableColumns count="1">
    <tableColumn id="1" xr3:uid="{155B3BCD-3DA7-4E85-B46A-AAE0A3F6AB54}" name="Baualtersklasse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BFFED4A-A85F-4CCE-A187-FABFFF74AAFF}" name="Abschlag_Heizlast" displayName="Abschlag_Heizlast" ref="E111:F114" totalsRowShown="0">
  <autoFilter ref="E111:F114" xr:uid="{EBFFED4A-A85F-4CCE-A187-FABFFF74AAFF}"/>
  <tableColumns count="2">
    <tableColumn id="1" xr3:uid="{40C107C1-159D-4A05-85C6-6337EB4F8507}" name="Phi,Raum"/>
    <tableColumn id="2" xr3:uid="{D42D92F3-A6CE-4987-A961-8F06465FD9C6}" name="Abschlag Heizlast" dataDxfId="10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239E07-BC3C-4305-A5CD-BB86A363FD25}" name="Tabelle47" displayName="Tabelle47" ref="B9:C13" totalsRowShown="0">
  <autoFilter ref="B9:C13" xr:uid="{D7239E07-BC3C-4305-A5CD-BB86A363FD25}"/>
  <tableColumns count="2">
    <tableColumn id="1" xr3:uid="{CA72FB2B-CD07-4F14-8A23-730CCA9AA779}" name="Dachtyp"/>
    <tableColumn id="2" xr3:uid="{EB793F35-27A7-44C8-8754-BE475EB806F2}" name="Dachneigung (°)"/>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7E1CDB1-263F-4557-B69B-E7A458B1A868}" name="Tabelle30" displayName="Tabelle30" ref="G88:G95" totalsRowShown="0" headerRowDxfId="105" dataDxfId="103" headerRowBorderDxfId="104" tableBorderDxfId="102" totalsRowBorderDxfId="101">
  <autoFilter ref="G88:G95" xr:uid="{D7E1CDB1-263F-4557-B69B-E7A458B1A868}"/>
  <tableColumns count="1">
    <tableColumn id="1" xr3:uid="{DD941F4E-59E3-4028-A3CC-35D9300D79DA}" name="1" dataDxfId="100"/>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4EAA4BB-40CE-47C0-979C-8B47321D02A4}" name="Flachheizkoerper_glatt" displayName="Flachheizkoerper_glatt" ref="L3:L10" totalsRowShown="0">
  <autoFilter ref="L3:L10" xr:uid="{D4EAA4BB-40CE-47C0-979C-8B47321D02A4}"/>
  <tableColumns count="1">
    <tableColumn id="1" xr3:uid="{0CDE7D91-5D72-494F-9ABD-F63661EF0404}" name="Flachheizkoerper_glatt"/>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AEC1A90-BD0F-4580-A337-D9DC986E524D}" name="Typ_11" displayName="Typ_11" ref="L23:L27" totalsRowShown="0">
  <autoFilter ref="L23:L27" xr:uid="{1AEC1A90-BD0F-4580-A337-D9DC986E524D}"/>
  <tableColumns count="1">
    <tableColumn id="1" xr3:uid="{8B23943F-6989-46FE-8B7E-B655C662955B}" name="Typ_11_Hoeh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9081DF5-1044-413B-9D4C-2E10E6D31C42}" name="Typ_20" displayName="Typ_20" ref="M23:M27" totalsRowShown="0">
  <autoFilter ref="M23:M27" xr:uid="{A9081DF5-1044-413B-9D4C-2E10E6D31C42}"/>
  <tableColumns count="1">
    <tableColumn id="1" xr3:uid="{A6F71E99-A924-41B6-91AF-2A3112961ED9}" name="Typ_20_Hoeh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61ED4D14-B91A-47BD-90A1-B6186412D308}" name="Typ_21" displayName="Typ_21" ref="N23:N27" totalsRowShown="0">
  <autoFilter ref="N23:N27" xr:uid="{61ED4D14-B91A-47BD-90A1-B6186412D308}"/>
  <tableColumns count="1">
    <tableColumn id="1" xr3:uid="{192CB125-89ED-4E3D-A45E-425CDE23405F}" name="Typ_21_Hoeh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D1D95BE-506A-4A34-992F-AC2516483E6F}" name="Typ_22" displayName="Typ_22" ref="O23:O27" totalsRowShown="0">
  <autoFilter ref="O23:O27" xr:uid="{DD1D95BE-506A-4A34-992F-AC2516483E6F}"/>
  <tableColumns count="1">
    <tableColumn id="1" xr3:uid="{C82A58E3-D959-4F7F-A1ED-F8441B8301EA}" name="Typ_22_Hoeh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4CF8426-321F-4F65-A49C-37BB53B710D8}" name="Typ_30" displayName="Typ_30" ref="P23:P27" totalsRowShown="0">
  <autoFilter ref="P23:P27" xr:uid="{34CF8426-321F-4F65-A49C-37BB53B710D8}"/>
  <tableColumns count="1">
    <tableColumn id="1" xr3:uid="{D1CABC77-89D8-4C6A-A523-15A7C0AB0764}" name="Typ_30_Hoeh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531E3F7-09DB-460D-8D71-F903CC55ACB6}" name="Typ_33" displayName="Typ_33" ref="Q23:Q27" totalsRowShown="0">
  <autoFilter ref="Q23:Q27" xr:uid="{A531E3F7-09DB-460D-8D71-F903CC55ACB6}"/>
  <tableColumns count="1">
    <tableColumn id="1" xr3:uid="{A796C005-71F1-4A00-B93D-BAC80718FF00}" name="Typ_33_Hoeh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B28BB70-8091-4644-9C1E-E6423F1DF63D}" name="Glattwandig" displayName="Glattwandig" ref="R23:R27" totalsRowShown="0">
  <autoFilter ref="R23:R27" xr:uid="{6B28BB70-8091-4644-9C1E-E6423F1DF63D}"/>
  <tableColumns count="1">
    <tableColumn id="1" xr3:uid="{CFC1988E-BEF2-4E63-9937-05B22488BEDE}" name="Glattwandig_Hoeh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CE386C58-21D7-434A-8C2D-A6BB4F2D3F18}" name="Typ_10_t" displayName="Typ_10_t" ref="K14:K15" totalsRowShown="0">
  <autoFilter ref="K14:K15" xr:uid="{CE386C58-21D7-434A-8C2D-A6BB4F2D3F18}"/>
  <tableColumns count="1">
    <tableColumn id="1" xr3:uid="{22A04B9E-F79F-438F-931F-AB9EFE1CEC8B}" name="Typ_10_Tief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FFE2314-79BF-4A1F-8897-F7927209BB3C}" name="Typ_11_t" displayName="Typ_11_t" ref="L14:L15" totalsRowShown="0">
  <autoFilter ref="L14:L15" xr:uid="{2FFE2314-79BF-4A1F-8897-F7927209BB3C}"/>
  <tableColumns count="1">
    <tableColumn id="1" xr3:uid="{F2549967-78C2-49BF-A0A6-23A719822666}" name="Typ_11_Tief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F8214DB-4451-4E23-BFAC-FE5CB78DC69D}" name="Typ_20_t" displayName="Typ_20_t" ref="M14:M15" totalsRowShown="0">
  <autoFilter ref="M14:M15" xr:uid="{5F8214DB-4451-4E23-BFAC-FE5CB78DC69D}"/>
  <tableColumns count="1">
    <tableColumn id="1" xr3:uid="{6CE455EA-C691-485C-A240-84CEA59B9FFD}" name="Typ_20_Tief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B986286-F75D-4BE4-BB85-DF5372D28236}" name="Typ_21_t" displayName="Typ_21_t" ref="N14:N15" totalsRowShown="0">
  <autoFilter ref="N14:N15" xr:uid="{DB986286-F75D-4BE4-BB85-DF5372D28236}"/>
  <tableColumns count="1">
    <tableColumn id="1" xr3:uid="{EA787C7A-6F01-44CC-AFE9-ABF46181F6F6}" name="Typ_21_Tief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6AA08DE6-C93B-4813-B3E1-5F63A95A10CC}" name="Typ_22_t" displayName="Typ_22_t" ref="O14:O15" totalsRowShown="0">
  <autoFilter ref="O14:O15" xr:uid="{6AA08DE6-C93B-4813-B3E1-5F63A95A10CC}"/>
  <tableColumns count="1">
    <tableColumn id="1" xr3:uid="{6758A769-87ED-4974-99D2-75DF7CC15BDC}" name="Typ_22_Tief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2D42CA20-69E1-427A-BE95-56AA99039041}" name="Typ_30_t" displayName="Typ_30_t" ref="P14:P15" totalsRowShown="0">
  <autoFilter ref="P14:P15" xr:uid="{2D42CA20-69E1-427A-BE95-56AA99039041}"/>
  <tableColumns count="1">
    <tableColumn id="1" xr3:uid="{A78537CB-FFB1-4AFE-9ED2-FA4D2BBCAF5C}" name="Typ_30_Tief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25AF41B-80D6-478C-AC0D-C343B3403357}" name="Typ_33_t" displayName="Typ_33_t" ref="Q14:Q15" totalsRowShown="0">
  <autoFilter ref="Q14:Q15" xr:uid="{525AF41B-80D6-478C-AC0D-C343B3403357}"/>
  <tableColumns count="1">
    <tableColumn id="1" xr3:uid="{EB8929FF-BC69-48D7-9363-550B6D2C30A5}" name="Typ_33_Tief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90FF3CD1-1B09-46C0-9717-6426F267A23A}" name="Gussradiator_t" displayName="Gussradiator_t" ref="S14:S19" totalsRowShown="0">
  <autoFilter ref="S14:S19" xr:uid="{90FF3CD1-1B09-46C0-9717-6426F267A23A}"/>
  <tableColumns count="1">
    <tableColumn id="1" xr3:uid="{984665EA-C8FD-4E55-9495-2683AB5B76AE}" name="Gussradiator_Tief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064755F-B7DF-4A9D-96EA-2F7409D2CF1E}" name="Stahlradiator_t" displayName="Stahlradiator_t" ref="T14:T19" totalsRowShown="0">
  <autoFilter ref="T14:T19" xr:uid="{E064755F-B7DF-4A9D-96EA-2F7409D2CF1E}"/>
  <tableColumns count="1">
    <tableColumn id="1" xr3:uid="{151378E2-091E-4351-B10F-9A8A87E114AE}" name="Stahlradiator_Tief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56FD7125-47E6-4268-B5C9-EC2EA86A9179}" name="Stahlrohrradiator_t" displayName="Stahlrohrradiator_t" ref="U14:U19" totalsRowShown="0" dataDxfId="99" tableBorderDxfId="98" dataCellStyle="Komma">
  <autoFilter ref="U14:U19" xr:uid="{56FD7125-47E6-4268-B5C9-EC2EA86A9179}"/>
  <tableColumns count="1">
    <tableColumn id="1" xr3:uid="{C87B6000-DC53-4851-8E3E-5FCB136E5047}" name="Stahlrohrradiator_Tiefe" dataDxfId="97" dataCellStyle="K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6A36E3E-A98B-4C3B-8599-00FDAB5506B8}" name="Fensterbankradiator_t" displayName="Fensterbankradiator_t" ref="V14:V17" totalsRowShown="0" tableBorderDxfId="96">
  <autoFilter ref="V14:V17" xr:uid="{76A36E3E-A98B-4C3B-8599-00FDAB5506B8}"/>
  <tableColumns count="1">
    <tableColumn id="1" xr3:uid="{36BB5EE9-6DCE-4448-B420-3ACC08D07793}" name="Fensterbankradiator_Tiefe"/>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BA50234-D5AA-4EBB-A8B0-73F209A20110}" name="Standardkonvektor_t" displayName="Standardkonvektor_t" ref="AA14:AA18" totalsRowShown="0">
  <autoFilter ref="AA14:AA18" xr:uid="{5BA50234-D5AA-4EBB-A8B0-73F209A20110}"/>
  <tableColumns count="1">
    <tableColumn id="1" xr3:uid="{53B6C37A-9A14-450C-9118-63E93C028353}" name="Standardkonvektor_Tief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8718E09-EF08-429E-8959-EF3362061576}" name="Modernisierungsjahr_Bauteil" displayName="Modernisierungsjahr_Bauteil" ref="B18:B24" totalsRowShown="0">
  <autoFilter ref="B18:B24" xr:uid="{F8718E09-EF08-429E-8959-EF3362061576}"/>
  <tableColumns count="1">
    <tableColumn id="1" xr3:uid="{B549BCFE-C540-41C9-9DC8-BB445E147156}" name="Modernisierungsjahr"/>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4DE331D-488B-46A2-9C9F-667383C1348A}" name="UWert_Mod" displayName="UWert_Mod" ref="M62:S86" totalsRowShown="0">
  <autoFilter ref="M62:S86" xr:uid="{94DE331D-488B-46A2-9C9F-667383C1348A}"/>
  <tableColumns count="7">
    <tableColumn id="1" xr3:uid="{524599CB-F052-4167-9A10-F94F643EE335}" name="Modernisierungsjahr"/>
    <tableColumn id="2" xr3:uid="{ED21D29B-4AAC-4B9B-B4B9-37CF863657CC}" name="U-Wert" dataDxfId="58"/>
    <tableColumn id="4" xr3:uid="{1010F935-A96D-4277-AB52-45825AB54A0E}" name="Bauteil"/>
    <tableColumn id="8" xr3:uid="{E973163B-4610-4070-A22B-279103C9E061}" name="lambda" dataDxfId="57"/>
    <tableColumn id="3" xr3:uid="{14F58F04-16DE-4AB7-BC52-69BF88875AE7}" name="U_no_ins" dataDxfId="56"/>
    <tableColumn id="5" xr3:uid="{47C1C85C-3B0C-4827-8D83-8227EA7656EE}" name="d_ins" dataDxfId="55">
      <calculatedColumnFormula>(1/UWert_Mod[[#This Row],[U-Wert]]-1/UWert_Mod[[#This Row],[U_no_ins]])*INDEX(PAR[lambda_ins_thick],1)*100</calculatedColumnFormula>
    </tableColumn>
    <tableColumn id="6" xr3:uid="{246D721F-888E-4D45-897F-8EEC1AAB7EA0}" name="Quelle"/>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BF0CC-489B-4A8A-B5AD-1D54F542F741}" name="tabelle1" displayName="tabelle1" ref="B4:AC385" totalsRowShown="0" headerRowDxfId="95" dataDxfId="94" tableBorderDxfId="93" headerRowCellStyle="Standard 2" dataCellStyle="Komma">
  <autoFilter ref="B4:AC385" xr:uid="{9DCBF0CC-489B-4A8A-B5AD-1D54F542F741}">
    <filterColumn colId="3">
      <filters>
        <filter val="Rohrradiator"/>
      </filters>
    </filterColumn>
  </autoFilter>
  <tableColumns count="28">
    <tableColumn id="1" xr3:uid="{D727AAB0-48D8-4B32-B7DF-1F143067CD79}" name="Lfd. Nr." dataDxfId="92" dataCellStyle="Standard 2"/>
    <tableColumn id="2" xr3:uid="{A1174E93-A82D-428B-9E64-8D283C69C8C7}" name="Spalte1" dataDxfId="91" dataCellStyle="Standard 2"/>
    <tableColumn id="3" xr3:uid="{D19C1EC3-FE16-4E94-927B-A91BB7C157A9}" name="Heizkörper Subtyp" dataDxfId="90" dataCellStyle="Standard 2"/>
    <tableColumn id="4" xr3:uid="{4F564AB6-E30D-423E-B273-32DD6E5B08DF}" name="Heizkörper_Typ" dataDxfId="89" dataCellStyle="Standard 2"/>
    <tableColumn id="5" xr3:uid="{9393E6E1-E369-43DE-9166-8D85C39521CD}" name="Heizkörper_Subtyp" dataDxfId="88" dataCellStyle="Standard 2"/>
    <tableColumn id="6" xr3:uid="{EB95B471-5420-443D-8545-C24E4A7D1A16}" name="Höhe H in mm" dataDxfId="87" dataCellStyle="Komma"/>
    <tableColumn id="7" xr3:uid="{44425A21-32C1-4D52-B606-8B186E0A99AF}" name="Breite B in mm" dataDxfId="86" dataCellStyle="Standard 2"/>
    <tableColumn id="8" xr3:uid="{E512A002-AF23-4C26-9999-B3682E982035}" name="HK Fläche in m²" dataDxfId="85" dataCellStyle="Standard 2"/>
    <tableColumn id="9" xr3:uid="{8BAF7958-CA8C-4F97-B3C9-F76501DBDD91}" name="HK Volumen in m³" dataDxfId="84" dataCellStyle="Standard 2"/>
    <tableColumn id="10" xr3:uid="{4A3203B5-3DAB-459C-9DB5-2583B7175D29}" name="Nabenabstand N in mm" dataDxfId="83" dataCellStyle="Komma"/>
    <tableColumn id="11" xr3:uid="{622A11EE-524A-4F1C-8978-05EB2DBD893A}" name="Bautiefe T in mm" dataDxfId="82" dataCellStyle="Komma"/>
    <tableColumn id="12" xr3:uid="{5E947C73-F149-4FBC-BB24-389987CC7EB5}" name="Anzahl Rohre" dataDxfId="81" dataCellStyle="Standard 2"/>
    <tableColumn id="13" xr3:uid="{CAA01412-5350-4BE6-8B98-27C54FC587ED}" name="Anzahl Rohreinheiten" dataDxfId="80" dataCellStyle="Standard 2"/>
    <tableColumn id="14" xr3:uid="{589D78FC-41B7-4196-9F12-7A33E9512C88}" name="Nennweite DN" dataDxfId="79" dataCellStyle="Standard 2"/>
    <tableColumn id="15" xr3:uid="{DD516A88-DAD4-434F-9471-217FFF58BD97}" name="Außendurchmesser d in mm" dataDxfId="78" dataCellStyle="Standard 2"/>
    <tableColumn id="16" xr3:uid="{125706B4-9707-41F5-B67A-393C28979D11}" name="Rippenhöhe in mm" dataDxfId="77" dataCellStyle="Standard 2"/>
    <tableColumn id="17" xr3:uid="{67FCFA89-AABD-409B-8866-C0D598CCA5EE}" name="Mittlere Rohrübertemperatur in K" dataDxfId="76" dataCellStyle="Standard 2"/>
    <tableColumn id="18" xr3:uid="{F6EB4555-EFB4-4195-B6F4-B630E81D9F3A}" name="Übertemperatur in K" dataDxfId="75" dataCellStyle="Standard 2"/>
    <tableColumn id="19" xr3:uid="{DD6AD7BA-EE73-48EE-9CC5-B39FC283661B}" name="Mittlere Wassertemperatur in °C" dataDxfId="74" dataCellStyle="Standard 2"/>
    <tableColumn id="20" xr3:uid="{61E8C273-4A76-4464-B261-BC17F87986B9}" name="Rippenhöhe h in mm" dataDxfId="73" dataCellStyle="Standard 2"/>
    <tableColumn id="21" xr3:uid="{8D63A201-759F-44EC-A0F9-9345C8260177}" name="Rippenabstand a in mm" dataDxfId="72" dataCellStyle="Standard 2"/>
    <tableColumn id="22" xr3:uid="{66BA7AF9-65E1-43BC-A65E-5D9BDB10E2F5}" name="Rohrreihen" dataDxfId="71" dataCellStyle="Standard 2"/>
    <tableColumn id="23" xr3:uid="{D5E8893F-0C19-4BF1-A76C-4D70E46FF170}" name="Heizkörperexponent n " dataDxfId="70" dataCellStyle="Standard 2"/>
    <tableColumn id="24" xr3:uid="{EFEFB7E2-85A7-4FF3-9ACF-F7096A512DC8}" name="Wärmeleistung (75/65/20)  in W" dataDxfId="69" dataCellStyle="Komma"/>
    <tableColumn id="25" xr3:uid="{0AF16D92-4856-48D4-A61A-A5574EECAECE}" name="Wärmeleistung (75/65/20)  in W/m"/>
    <tableColumn id="26" xr3:uid="{36395D9C-3059-403A-9BF3-6CD6BB7EEC1C}" name="Wärmeleistung (75/65/20)  in W/Glied" dataDxfId="68" dataCellStyle="Komma"/>
    <tableColumn id="27" xr3:uid="{4F43B250-7406-48E5-A093-B80A3F48596F}" name="Wärmeleistung in W/m²" dataDxfId="67" dataCellStyle="Komma"/>
    <tableColumn id="28" xr3:uid="{2C6875E1-9E79-4977-8887-C9BC46250C03}" name="Kommentar" dataDxfId="66" dataCellStyle="Standard 2"/>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A80D70-0380-45A5-AA9C-56A5A2E78CA6}" name="IWU" displayName="IWU" ref="B29:G262" totalsRowShown="0">
  <autoFilter ref="B29:G262" xr:uid="{4EA80D70-0380-45A5-AA9C-56A5A2E78CA6}">
    <filterColumn colId="3">
      <filters>
        <filter val="Außenwand"/>
      </filters>
    </filterColumn>
  </autoFilter>
  <tableColumns count="6">
    <tableColumn id="6" xr3:uid="{CACCD311-40B4-469A-BA4D-B2F64565C1D5}" name="Index" dataDxfId="65">
      <calculatedColumnFormula>IWU[[#This Row],[Gebäudetyp]]&amp;"_"&amp;IWU[[#This Row],[Baujahr]]</calculatedColumnFormula>
    </tableColumn>
    <tableColumn id="1" xr3:uid="{B305C6BE-5EC8-499B-96D5-025C243E7702}" name="Gebäudetyp" dataDxfId="64"/>
    <tableColumn id="2" xr3:uid="{AB98277C-DAFB-4791-AB90-33529332E258}" name="Baujahr"/>
    <tableColumn id="3" xr3:uid="{450DDC2D-0F32-4772-8F86-24B79723BCC8}" name="Bauteil"/>
    <tableColumn id="4" xr3:uid="{59320B88-B979-4470-8966-E5A853086BF4}" name="U-Wert"/>
    <tableColumn id="5" xr3:uid="{9DD6DA57-84FA-4B06-9C3C-D06296917C60}" name="Baualtersklasse"/>
  </tableColumns>
  <tableStyleInfo name="TableStyleMedium20"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F690AF-D3FC-4231-BB09-BCE92DC4CC27}" name="Tabelle4" displayName="Tabelle4" ref="D2:H521" totalsRowShown="0">
  <autoFilter ref="D2:H521" xr:uid="{7FF690AF-D3FC-4231-BB09-BCE92DC4CC27}"/>
  <sortState xmlns:xlrd2="http://schemas.microsoft.com/office/spreadsheetml/2017/richdata2" ref="D3:H521">
    <sortCondition ref="D2:D521"/>
  </sortState>
  <tableColumns count="5">
    <tableColumn id="1" xr3:uid="{87A26F8C-3F7F-4316-BCAD-422DF8128A52}" name="Ort"/>
    <tableColumn id="2" xr3:uid="{75893335-8E88-40A1-A336-EC7E68FBE0DB}" name="Plz" dataDxfId="63"/>
    <tableColumn id="3" xr3:uid="{29E4DA8D-5455-4BB3-921D-B1A4C4AD3DB7}" name="Außentemperatur °C"/>
    <tableColumn id="5" xr3:uid="{0E57542B-D541-4224-996B-B3643A763B36}" name="Mehrere Plz"/>
    <tableColumn id="6" xr3:uid="{AB1C97A2-A591-4135-BFCA-D24D9EE9AB4A}" name="Lfd Nr"/>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FBAEF4-90CB-4BCA-9243-24BEBE82517F}" name="Tabelle6" displayName="Tabelle6" ref="F2:J8936" totalsRowShown="0" headerRowDxfId="62">
  <autoFilter ref="F2:J8936" xr:uid="{8EFBAEF4-90CB-4BCA-9243-24BEBE82517F}"/>
  <sortState xmlns:xlrd2="http://schemas.microsoft.com/office/spreadsheetml/2017/richdata2" ref="F3:J8936">
    <sortCondition ref="F2:F8936"/>
  </sortState>
  <tableColumns count="5">
    <tableColumn id="1" xr3:uid="{4AD0B6FB-7924-495A-B7CC-89FDE69B76FC}" name="PLZ Name (short)"/>
    <tableColumn id="2" xr3:uid="{4EB97A54-1C93-4185-A2BA-F0F50C319F9F}" name="Postleitzahl / Post code" dataDxfId="61"/>
    <tableColumn id="3" xr3:uid="{71ED1B36-D0DF-41A9-914C-6BF585023795}" name="Kreis code" dataDxfId="60"/>
    <tableColumn id="4" xr3:uid="{A4FA1823-B875-4CE3-BC39-91DF9953710E}" name="Land name" dataDxfId="59"/>
    <tableColumn id="5" xr3:uid="{6EA15EDD-A0AC-4A5F-BE04-53C0631EC84D}" name="Kreis name"/>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67A0B5-82C3-4898-9CCE-1D656974DC36}" name="Tabelle3" displayName="Tabelle3" ref="B1:H2" totalsRowShown="0">
  <autoFilter ref="B1:H2" xr:uid="{3D67A0B5-82C3-4898-9CCE-1D656974DC36}"/>
  <tableColumns count="7">
    <tableColumn id="1" xr3:uid="{DD4BA785-6D8B-4F9E-ABD2-D2407F507435}" name="W/m²"/>
    <tableColumn id="2" xr3:uid="{96D5B57A-6F50-40DE-A2C5-F2232C2C8405}" name="Deckungsgrad"/>
    <tableColumn id="3" xr3:uid="{D805DA81-552D-4973-B76D-7CFF790DA98A}" name="Gebäudezustand Hülle"/>
    <tableColumn id="4" xr3:uid="{9A5B9EE8-1A9E-434D-B64A-3F238C43260B}" name="Gebäudezustand Heizkörper"/>
    <tableColumn id="5" xr3:uid="{AF7AC270-B2F2-49E8-AA69-B7CC9B531026}" name="Empfehlung 1"/>
    <tableColumn id="6" xr3:uid="{D356B61B-8808-42FA-B379-117812DC70D1}" name="Empfehlung 2"/>
    <tableColumn id="7" xr3:uid="{7D6BB39E-450F-4F29-8A71-F1FCBC60C269}" name="Empfehlung 3"/>
  </tableColumns>
  <tableStyleInfo name="TableStyleMedium19" showFirstColumn="0" showLastColumn="0" showRowStripes="1" showColumnStripes="0"/>
</table>
</file>

<file path=xl/theme/theme1.xml><?xml version="1.0" encoding="utf-8"?>
<a:theme xmlns:a="http://schemas.openxmlformats.org/drawingml/2006/main" name="ifeu-Farben">
  <a:themeElements>
    <a:clrScheme name="ifeu Farben">
      <a:dk1>
        <a:sysClr val="windowText" lastClr="000000"/>
      </a:dk1>
      <a:lt1>
        <a:sysClr val="window" lastClr="FFFFFF"/>
      </a:lt1>
      <a:dk2>
        <a:srgbClr val="44546A"/>
      </a:dk2>
      <a:lt2>
        <a:srgbClr val="E7E6E6"/>
      </a:lt2>
      <a:accent1>
        <a:srgbClr val="00609C"/>
      </a:accent1>
      <a:accent2>
        <a:srgbClr val="9F5987"/>
      </a:accent2>
      <a:accent3>
        <a:srgbClr val="DEDC00"/>
      </a:accent3>
      <a:accent4>
        <a:srgbClr val="93C120"/>
      </a:accent4>
      <a:accent5>
        <a:srgbClr val="A2C5D3"/>
      </a:accent5>
      <a:accent6>
        <a:srgbClr val="978B87"/>
      </a:accent6>
      <a:hlink>
        <a:srgbClr val="003746"/>
      </a:hlink>
      <a:folHlink>
        <a:srgbClr val="4C2F48"/>
      </a:folHlink>
    </a:clrScheme>
    <a:fontScheme name="ifeu">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17" dT="2024-06-20T11:54:33.18" personId="{A8B70471-3430-4427-8087-593084DB2B17}" id="{05E04AAD-64A8-4D62-8CD1-2F00920C7EBE}">
    <text>Infopoint: Fenster werden auf Raumebene eingegeben lieber Nutzer</text>
  </threadedComment>
</ThreadedComments>
</file>

<file path=xl/threadedComments/threadedComment2.xml><?xml version="1.0" encoding="utf-8"?>
<ThreadedComments xmlns="http://schemas.microsoft.com/office/spreadsheetml/2018/threadedcomments" xmlns:x="http://schemas.openxmlformats.org/spreadsheetml/2006/main">
  <threadedComment ref="J1" dT="2024-09-06T10:32:21.16" personId="{6D6572F9-10B7-4F77-91B0-E0436BF15387}" id="{1F1F4616-FE5B-4070-AAB2-AFDF1630DEDF}">
    <text>Sollte in den Berechnungs-Reiter</text>
  </threadedComment>
  <threadedComment ref="O2" dT="2024-09-06T11:17:22.35" personId="{6D6572F9-10B7-4F77-91B0-E0436BF15387}" id="{85BCEF94-BC6D-40AF-A1A8-9E761B511CE5}">
    <text xml:space="preserve">@Peter Mellwig : wie die Berechnung momentan umgesetzt ist, wird hier zusätzliche Dämmung abgefragt. 
Man kann also bspw. nicht angeben, dass diese Wand schlechter ist. 
So belassen? Dann müssten wir die Fragen anpassen. </text>
    <mentions>
      <mention mentionpersonId="{62934399-EFBE-4CDC-8F4A-4853D332CBE6}" mentionId="{85B9A8AE-5420-4F5D-B3C1-71692DF6CD6E}" startIndex="0" length="1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P21" dT="2025-04-29T14:38:05.55" personId="{A8B70471-3430-4427-8087-593084DB2B17}" id="{9EC9BCDE-4920-456C-B598-5CC51CEAEEDA}">
    <text>@Markus: Bitte Ergebnisse plausibilieren. Herleitung kam über einen Kurvenfit.</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5-03-12T15:42:25.98" personId="{6D6572F9-10B7-4F77-91B0-E0436BF15387}" id="{2C151F4C-66EA-49BA-A468-2B504463134B}">
    <text>Übernahme aus list_rooms Frontend</text>
  </threadedComment>
  <threadedComment ref="J7" dT="2025-03-13T11:03:46.87" personId="{6D6572F9-10B7-4F77-91B0-E0436BF15387}" id="{DE7623BD-035F-4EF3-A48A-61394A2560E0}">
    <text>Bei Flachdach Erfassung Dachdecke als Dach</text>
  </threadedComment>
  <threadedComment ref="C11" dT="2024-09-06T11:17:22.35" personId="{6D6572F9-10B7-4F77-91B0-E0436BF15387}" id="{06ACBB2C-9C6C-40FA-9EFE-7BDBA18113AD}">
    <text xml:space="preserve">@Peter Mellwig : wie die Berechnung momentan umgesetzt ist, wird hier zusätzliche Dämmung abgefragt. 
Man kann also bspw. nicht angeben, dass diese Wand schlechter ist. 
So belassen? Dann müssten wir die Fragen anpassen. </text>
    <mentions>
      <mention mentionpersonId="{62934399-EFBE-4CDC-8F4A-4853D332CBE6}" mentionId="{74B933E7-DFC1-4FE8-9AD3-552735460D44}" startIndex="0" length="14"/>
    </mentions>
  </threadedComment>
  <threadedComment ref="E17" dT="2025-03-12T14:41:57.26" personId="{6D6572F9-10B7-4F77-91B0-E0436BF15387}" id="{7F1CEA37-ADF7-4A68-87C7-229466EF2D38}">
    <text>Abfrage win2 und win3 nur, wenn in Frontend weiteres Fenster hinzugefügt wird</text>
  </threadedComment>
  <threadedComment ref="M17" dT="2025-03-13T11:36:45.98" personId="{6D6572F9-10B7-4F77-91B0-E0436BF15387}" id="{DA27214C-86E7-4B52-ABC8-FA0286C60239}">
    <text>Nur Pflicht, wenn Fenster 2 hinzugefügt</text>
  </threadedComment>
  <threadedComment ref="F36" dT="2025-04-27T09:11:34.18" personId="{6D6572F9-10B7-4F77-91B0-E0436BF15387}" id="{783202DE-A9F6-4988-8513-338EBC4C475E}">
    <text>Entsprechend miro anpassen: 
Falls eine Drempelwand bzw. Kniestock vorhanden ist, geben Sie die Höhe an: 
L_roof_knee_hei 
Klopfen Sie gegen die senkrechte Wand unter der Dachschräge. Klingt es hohl?
TYP_knee_true
&gt;&gt; dann sind es nur 2 Fragen, nicht 4</text>
  </threadedComment>
  <threadedComment ref="F36" dT="2025-04-28T11:28:08.60" personId="{A8B70471-3430-4427-8087-593084DB2B17}" id="{4B458959-00DF-4440-A8DE-41FBF635254E}" parentId="{783202DE-A9F6-4988-8513-338EBC4C475E}">
    <text>Bitte die diese und die nächsten drei Zeilen nur intern verwenden. Die Abfrage an Nutzer soll wie den beiden Zeilen über dieser durchgeführt werden.</text>
  </threadedComment>
  <threadedComment ref="G37" dT="2025-04-29T15:45:45.86" personId="{6D6572F9-10B7-4F77-91B0-E0436BF15387}" id="{0B7897D4-839D-4B7B-9614-F114BC19D13A}">
    <text xml:space="preserve">Fehler korrigiert. Wenn „Nein“, muss es = 0 sein ,bei = „“ gibt es Fehler. 
@Florian Maiwald : kann es sein, dass die Zuordnung zu Drempel / Kniestock falsch herum ist? 
Also: wenn klingt es Hohl = Ja, dann sollte es kein Kniestock sein vice versa </text>
    <mentions>
      <mention mentionpersonId="{098E639E-7B9A-4C9D-90B6-756C6FF31961}" mentionId="{353B0A97-F054-4AF0-BFFB-96680E05A723}" startIndex="76" length="16"/>
    </mentions>
  </threadedComment>
  <threadedComment ref="G37" dT="2025-04-30T07:46:27.82" personId="{A8B70471-3430-4427-8087-593084DB2B17}" id="{128B0EBF-DBB9-41B8-B41D-FB8135376531}" parentId="{0B7897D4-839D-4B7B-9614-F114BC19D13A}">
    <text xml:space="preserve">@Jakob Metz ja, das wäre falsch, wenn es so herum gewesen ist. Jetzt stimmt die Zuordnung.  </text>
    <mentions>
      <mention mentionpersonId="{0F338AB5-291F-40BB-8EDA-BF8451513D51}" mentionId="{D1265590-FDD7-4CFD-A602-7A7A2A65ED0E}" startIndex="0" length="11"/>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J16" dT="2025-04-28T17:01:29.27" personId="{6D6572F9-10B7-4F77-91B0-E0436BF15387}" id="{93A47A50-0ECD-49D8-8C04-92A81AF319D2}">
    <text>Alte Variante, Fehler mit sich ändernden Spaltennamen: 
=SUMMEWENNS(tabelle1[[Heizkörperexponent n ]];tabelle1[Heizkörper_Typ];clc_power!J$11;tabelle1[Heizkörper_Subtyp];clc_power!J$12;tabelle1[Höhe H in mm];clc_power!J$13;tabelle1[Bautiefe T in mm];clc_power!J$15)
Neue Formel: 
=SUMMEWENNS(
  INDIREKT("tabelle1[Heizkörperexponent n ]");
  INDIREKT("tabelle1[Heizkörper_Typ]"); clc_power!J$11;
  INDIREKT("tabelle1[Heizkörper_Subtyp]"); clc_power!J$12;
  INDIREKT("tabelle1[Höhe H in mm]"); clc_power!J$13;
  INDIREKT("tabelle1[Bautiefe T in mm]"); clc_power!J$15
)</text>
  </threadedComment>
  <threadedComment ref="J17" dT="2025-04-28T16:56:26.17" personId="{6D6572F9-10B7-4F77-91B0-E0436BF15387}" id="{615B42AC-2D84-4DDF-996A-50AC92DD1D3D}">
    <text>Alte Variante, Fehler mit sich ändernden Spaltennamen: 
=WENN((IN_rooms!U$73*SUMMEWENNS(tabelle1[Wärmeleistung (75/65/20)  in W/m];tabelle1[Heizkörper_Typ];clc_power!J$11;tabelle1[Heizkörper_Subtyp];clc_power!J$12;tabelle1[Höhe H in mm];clc_power!J$13;tabelle1[Bautiefe T in mm];clc_power!J$15)*J$14/1000)&gt;0;IN_rooms!U$73*SUMMEWENNS(tabelle1[Wärmeleistung (75/65/20)  in W/m];tabelle1[Heizkörper_Typ];clc_power!J$11;tabelle1[Heizkörper_Subtyp];clc_power!J$12;tabelle1[Höhe H in mm];clc_power!J$13;tabelle1[Bautiefe T in mm];clc_power!J$15)*J$14/1000;0)
Neue Version: Spaltennamen mittels indirekt fixiert, jedoch sehr lang: 
=WENN(
    (IN_rooms!U$73 * SUMMEWENNS(
        INDIREKT("tabelle1[Wärmeleistung (75/65/20)  in W/m]"); 
        INDIREKT("tabelle1[Heizkörper_Typ]"); clc_power!J$11; 
        INDIREKT("tabelle1[Heizkörper_Subtyp]"); clc_power!J$12; 
        INDIREKT("tabelle1[Höhe H in mm]"); clc_power!J$13; 
        INDIREKT("tabelle1[Bautiefe T in mm]"); clc_power!J$15
    ) * J$14 / 1000) &gt; 0; 
    IN_rooms!U$73 * SUMMEWENNS(
        INDIREKT("tabelle1[Wärmeleistung (75/65/20)  in W/m]"); 
        INDIREKT("tabelle1[Heizkörper_Typ]"); clc_power!J$11; 
        INDIREKT("tabelle1[Heizkörper_Subtyp]"); clc_power!J$12; 
        INDIREKT("tabelle1[Höhe H in mm]"); clc_power!J$13; 
        INDIREKT("tabelle1[Bautiefe T in mm]"); clc_power!J$15
    ) * J$14 / 1000; 
    0
)
Durch Funktion LET verkürzte Formel, unklar ob Übersetzung TypeScript funktioniert: 
=LET(
  leistung; IN_rooms!U$73 * SUMMEWENNS(
    INDIREKT("tabelle1[Wärmeleistung (75/65/20)  in W/m]");
    INDIREKT("tabelle1[Heizkörper_Typ]"); clc_power!J$11;
    INDIREKT("tabelle1[Heizkörper_Subtyp]"); clc_power!J$12;
    INDIREKT("tabelle1[Höhe H in mm]"); clc_power!J$13;
    INDIREKT("tabelle1[Bautiefe T in mm]"); clc_power!J$15  ) * J$14 / 1000;
  WENN(leistung &gt; 0; leistung; 0)
)</text>
  </threadedComment>
  <threadedComment ref="J22" dT="2025-04-28T17:03:27.71" personId="{6D6572F9-10B7-4F77-91B0-E0436BF15387}" id="{7D74E2D6-B26F-44D2-8059-FE37041A9F74}">
    <text>Alte Variante, Fehler mit sich ändernden Spaltennamen: 
=WENN(IN_rooms!U$73*(SUMMEWENNS(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mm];155)))&gt;0;IN_rooms!U$73*(SUMMEWENNS(
tabelle1[Wärmeleistung (75/65/20)  in W/m];
tabelle1[Heizkörper_Typ];"Flachheizkoerper_senkrecht_profiliert";
tabelle1[Heizkörper_Subtyp];"Typ_33";
tabelle1[Höhe H in mm];J$13;
tabelle1[Bautiefe T in mm];155)*(J$14/1000)*((J$20/Log_ÜT_Norm)^SUMMEWENNS(
tabelle1[[Heizkörperexponent n ]];
tabelle1[Heizkörper_Typ];"Flachheizkoerper_senkrecht_profiliert";
tabelle1[Heizkörper_Subtyp];"Typ_33";
tabelle1[Höhe H in mm];J$13;
tabelle1[Bautiefe T in mm];155)));0)
Neue Formel ohne LED: 
=WENN(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&gt; 0;
    IN_rooms!U$73 * SUMMEWENNS(
        tabelle1[Wärmeleistung (75/65/20)  in W/m]; 
        tabelle1[Heizkörper_Typ]; "Flachheizkoerper_senkrecht_profiliert"; 
        tabelle1[Heizkörper_Subtyp]; "Typ_33"; 
        tabelle1[Höhe H in mm]; J$13; 
        tabelle1[Bautiefe T in mm]; 155
    ) * J$14 / 1000 * ((J$20 / Log_ÜT_Norm) ^ SUMMEWENNS(
        tabelle1[Heizkörperexponent n ]; 
        tabelle1[Heizkörper_Typ]; "Flachheizkoerper_senkrecht_profiliert"; 
        tabelle1[Heizkörper_Subtyp]; "Typ_33"; 
        tabelle1[Höhe H in mm]; J$13; 
        tabelle1[Bautiefe T in mm]; 155
    ));
    0
)
Neue Formel mit LET: 
=LET(
    leistung; IN_rooms!U$73 * SUMMEWENNS(
        INDIREKT("tabelle1[Wärmeleistung (75/65/20)  in W/m]"); 
        INDIREKT("tabelle1[Heizkörper_Typ]"); "Flachheizkoerper_senkrecht_profiliert"; 
        INDIREKT("tabelle1[Heizkörper_Subtyp]"); "Typ_33"; 
        INDIREKT("tabelle1[Höhe H in mm]"); J$13; 
        INDIREKT("tabelle1[Bautiefe T in mm]"); 155
    ) * J$14 / 1000 * ((J$20 / Log_ÜT_Norm) ^ SUMMEWENNS(
        INDIREKT("tabelle1[Heizkörperexponent n ]"); 
        INDIREKT("tabelle1[Heizkörper_Typ]"); "Flachheizkoerper_senkrecht_profiliert"; 
        INDIREKT("tabelle1[Heizkörper_Subtyp]"); "Typ_33"; 
        INDIREKT("tabelle1[Höhe H in mm]"); J$13; 
        INDIREKT("tabelle1[Bautiefe T in mm]"); 155
    ));
    WENN(leistung &gt; 0; leistung; 0)
)</text>
  </threadedComment>
  <threadedComment ref="J29" dT="2025-04-28T17:08:31.46" personId="{6D6572F9-10B7-4F77-91B0-E0436BF15387}" id="{D8B56DB2-0C16-464D-94B8-F6A43F26A478}">
    <text>Alte Variante, Fehler mit sich ändernden Spaltennamen: 
=WENN(IN_rooms!U$73*SUMMEWENNS(tabelle1[Wärmeleistung (75/65/20)  in W/Glied];tabelle1[Heizkörper_Typ];clc_power!J$23;tabelle1[Heizkörper_Subtyp];clc_power!J$24;tabelle1[Höhe H in mm];clc_power!J$25;tabelle1[Bautiefe T in mm];clc_power!J$26)*J$27&gt;0;IN_rooms!U$73*SUMMEWENNS(tabelle1[Wärmeleistung (75/65/20)  in W/Glied];tabelle1[Heizkörper_Typ];clc_power!J$23;tabelle1[Heizkörper_Subtyp];clc_power!J$24;tabelle1[Höhe H in mm];clc_power!J$25;tabelle1[Bautiefe T in mm];clc_power!J$26)*J$27;0)
Formel mit LET: 
=LET(
    wärmeleistung; SUMMEWENNS(
        INDIREKT("tabelle1[Wärmeleistung (75/65/20)  in W/Glied]"); 
        INDIREKT("tabelle1[Heizkörper_Typ]"); clc_power!J$23; 
        INDIREKT("tabelle1[Heizkörper_Subtyp]"); clc_power!J$24; 
        INDIREKT("tabelle1[Höhe H in mm]"); clc_power!J$25; 
        INDIREKT("tabelle1[Bautiefe T in mm]"); clc_power!J$26
    ),
    leistung; IN_rooms!U$73 * wärmeleistung * J$27,
    WENN(leistung &gt; 0; leistung; 0)
)</text>
  </threadedComment>
  <threadedComment ref="J34" dT="2025-04-28T19:30:33.76" personId="{6D6572F9-10B7-4F77-91B0-E0436BF15387}" id="{33537756-6578-4C47-92C9-1032E6FD19CA}">
    <text>Alte Formel: 
=WENN(IN_rooms!U$73*(SUMMEWENNS(tabelle1[Wärmeleistung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mm];155))))&gt;0;IN_rooms!U$73*(SUMMEWENNS(tabelle1[Wärmeleistung (75/65/20)  in W/m];tabelle1[Heizkörper_Typ];"Flachheizkoerper_senkrecht_profiliert";tabelle1[Heizkörper_Subtyp];"Typ_33";tabelle1[Höhe H in mm];XVERWEIS(J$25;Data_radiator!$G$5:$G$32;Data_radiator!$G$5:$G$32;1000000;1;1);tabelle1[Bautiefe T in mm];155)*((J$27*WENN(J$24="Gussradiator";50;60)/1000)*((J$32/Log_ÜT_Norm)^SUMMEWENNS(tabelle1[[Heizkörperexponent n ]];tabelle1[Heizkörper_Typ];"Flachheizkoerper_senkrecht_profiliert";tabelle1[Heizkörper_Subtyp];"Typ_33";tabelle1[Höhe H in mm];XVERWEIS(J$25;Data_radiator!$G$5:$G$32;Data_radiator!$G$5:$G$32;1000000;1;1);tabelle1[Bautiefe T in mm];155))));0)</text>
  </threadedComment>
  <threadedComment ref="J41" dT="2025-04-28T19:39:49.27" personId="{6D6572F9-10B7-4F77-91B0-E0436BF15387}" id="{24ADAFA5-8168-4FC7-A8B5-94D215344E15}">
    <text xml:space="preserve">Alte Formel: 
=WENNS(J$36="Stahlrohrradiator";1,3;
J$36="Fensterbankradiator";1,3;
J$36="Handtuchradiator";SUMMEWENNS(tabelle1[[Heizkörperexponent n ]];tabelle1[Heizkörper_Typ];J$35;tabelle1[Heizkörper_Subtyp];J$36;tabelle1[Höhe H in mm];J$37;tabelle1[Bautiefe T in mm];J$39);J$35="";0)
</text>
  </threadedComment>
  <threadedComment ref="J42" dT="2025-04-28T19:42:42.69" personId="{6D6572F9-10B7-4F77-91B0-E0436BF15387}" id="{DAD91EE4-72F1-4820-942B-CA4442BC0978}">
    <text>Alte Formel: 
=WENN(IN_rooms!U$73*WENNS(J$36="Stahlrohrradiator";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mm];clc_power!J$39);J$35="";0)&gt;0;
IN_rooms!U$73*WENNS(J$36="Stahlrohrradiator";
clc_power!J$40*(SUMMEWENNS(tabelle1[Wärmeleistung (75/65/20)  in W/Glied];tabelle1[Heizkörper_Typ];clc_power!J$35;tabelle1[Heizkörper_Subtyp];clc_power!J$36;tabelle1[Höhe H in mm];clc_power!J$37;tabelle1[Bautiefe T in mm];clc_power!J$39));
J$36="Handtuchradiator";
919*((IN_rooms!U$65*IN_rooms!U$66)/10^6)+76,691;
J$36="Fensterbankradiator";
SUMMEWENNS(tabelle1[Wärmeleistung (75/65/20)  in W];tabelle1[Heizkörper_Typ];clc_power!J$35;tabelle1[Heizkörper_Subtyp];clc_power!J$36;tabelle1[Höhe H in mm];clc_power!J$37;tabelle1[Breite B in mm];clc_power!J$38;tabelle1[Bautiefe T in mm];clc_power!J$39));0)</text>
  </threadedComment>
  <threadedComment ref="J47" dT="2025-04-28T19:43:38.38" personId="{6D6572F9-10B7-4F77-91B0-E0436BF15387}" id="{669D6B6B-F71D-4A43-89B4-5410562BE7D9}">
    <text>Alte Formel: 
=WENN(IN_rooms!U$73*(SUMMEWENNS(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mm];155))&gt;0;
IN_rooms!U$73*(SUMMEWENNS(
tabelle1[Wärmeleistung (75/65/20)  in W/m];tabelle1[Heizkörper_Typ];"Flachheizkoerper_senkrecht_profiliert";
tabelle1[Heizkörper_Subtyp];"Typ_33";
tabelle1[Höhe H in mm];XVERWEIS(J$37;Data_radiator!$G$5:$G$32;Data_radiator!$G$5:$G$32;1000000;1;1);
tabelle1[Bautiefe T in mm];155)
*(WENN(J$36="Stahlrohrradiator";45;J$38)/1000)
*(J$45/Log_ÜT_Norm)^SUMMEWENNS(
tabelle1[[Heizkörperexponent n ]];
tabelle1[Heizkörper_Typ];"Flachheizkoerper_senkrecht_profiliert";
tabelle1[Heizkörper_Subtyp];"Typ_33";
tabelle1[Höhe H in mm];XVERWEIS(J$37;Data_radiator!$G$5:$G$32;Data_radiator!$G$5:$G$32;1000000;1;1);
tabelle1[Bautiefe T in mm];155));0)</text>
  </threadedComment>
  <threadedComment ref="J67" dT="2025-04-28T19:45:31.35" personId="{6D6572F9-10B7-4F77-91B0-E0436BF15387}" id="{323E4A7B-98FD-433B-89A3-B99D7E466D1F}">
    <text>Alte Formel: 
=SUMMEWENNS(tabelle1[[Heizkörperexponent n ]];tabelle1[Heizkörper_Typ];clc_power!J$62;tabelle1[Heizkörper_Subtyp];clc_power!J$63;tabelle1[Höhe H in mm];clc_power!J$64;tabelle1[Bautiefe T in mm];clc_power!J$66)</text>
  </threadedComment>
  <threadedComment ref="J68" dT="2025-04-28T19:46:02.89" personId="{6D6572F9-10B7-4F77-91B0-E0436BF15387}" id="{C0474445-4736-4331-ABA3-053CDDB3B24B}">
    <text>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ext>
  </threadedComment>
  <threadedComment ref="J73" dT="2025-04-28T19:46:45.24" personId="{6D6572F9-10B7-4F77-91B0-E0436BF15387}" id="{81E31240-8E4F-440B-ACDB-45EF18178987}">
    <text>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ext>
  </threadedComment>
  <threadedComment ref="J133" dT="2025-04-28T19:45:31.35" personId="{6D6572F9-10B7-4F77-91B0-E0436BF15387}" id="{D2BB6B9E-19D3-4738-98BC-AF5DA28179D6}">
    <text>Alte Formel: 
=SUMMEWENNS(tabelle1[[Heizkörperexponent n ]];tabelle1[Heizkörper_Typ];clc_power!J$62;tabelle1[Heizkörper_Subtyp];clc_power!J$63;tabelle1[Höhe H in mm];clc_power!J$64;tabelle1[Bautiefe T in mm];clc_power!J$66)</text>
  </threadedComment>
  <threadedComment ref="J134" dT="2025-04-28T19:46:02.89" personId="{6D6572F9-10B7-4F77-91B0-E0436BF15387}" id="{528C85C1-82C2-4F92-BAA4-CDB650AB100E}">
    <text>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ext>
  </threadedComment>
  <threadedComment ref="J139" dT="2025-04-28T19:46:45.24" personId="{6D6572F9-10B7-4F77-91B0-E0436BF15387}" id="{C5A8B342-ABD4-4F7B-BABD-3D036403D76D}">
    <text>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ext>
  </threadedComment>
  <threadedComment ref="J200" dT="2025-04-28T19:45:31.35" personId="{6D6572F9-10B7-4F77-91B0-E0436BF15387}" id="{AE61E445-3564-4B35-B4ED-E3867BDA4028}">
    <text>Alte Formel: 
=SUMMEWENNS(tabelle1[[Heizkörperexponent n ]];tabelle1[Heizkörper_Typ];clc_power!J$62;tabelle1[Heizkörper_Subtyp];clc_power!J$63;tabelle1[Höhe H in mm];clc_power!J$64;tabelle1[Bautiefe T in mm];clc_power!J$66)</text>
  </threadedComment>
  <threadedComment ref="J201" dT="2025-04-28T19:46:02.89" personId="{6D6572F9-10B7-4F77-91B0-E0436BF15387}" id="{AED5F037-E88B-4EBB-AAC7-7C43BC3DABFC}">
    <text>Alte Formel: 
=WENN(IN_rooms!U$73*SUMMEWENNS(tabelle1[Wärmeleistung (75/65/20)  in W/m];tabelle1[Heizkörper_Typ];clc_power!J$62;tabelle1[Heizkörper_Subtyp];clc_power!J$63;tabelle1[Höhe H in mm];clc_power!J$64;tabelle1[Bautiefe T in mm];clc_power!J$66)*J$65/1000&gt;0;
IN_rooms!U$73*SUMMEWENNS(tabelle1[Wärmeleistung (75/65/20)  in W/m];tabelle1[Heizkörper_Typ];clc_power!J$62;tabelle1[Heizkörper_Subtyp];clc_power!J$63;tabelle1[Höhe H in mm];clc_power!J$64;tabelle1[Bautiefe T in mm];clc_power!J$66)*J$65/1000;0)</text>
  </threadedComment>
  <threadedComment ref="J206" dT="2025-04-28T19:46:45.24" personId="{6D6572F9-10B7-4F77-91B0-E0436BF15387}" id="{D0048EB8-992F-4826-8B06-AFF2666C897E}">
    <text>Alte Formel: 
=WENN(IN_rooms!U$73*(SUMMEWENNS(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mm];155))&gt;0;
IN_rooms!U$73*(SUMMEWENNS(
tabelle1[Wärmeleistung (75/65/20)  in W/m];
tabelle1[Heizkörper_Typ];"Flachheizkoerper_senkrecht_profiliert";
tabelle1[Heizkörper_Subtyp];"Typ_33";
tabelle1[Höhe H in mm];XVERWEIS(J$64;Data_radiator!$G$5:$G$32;Data_radiator!$G$5:$G$32;1000000;1;1);
tabelle1[Bautiefe T in mm];155)*(J$65/1000)*(J$71/Log_ÜT_Norm)^SUMMEWENNS(
tabelle1[[Heizkörperexponent n ]];tabelle1[Heizkörper_Typ];"Flachheizkoerper_senkrecht_profiliert";
tabelle1[Heizkörper_Subtyp];"Typ_33";
tabelle1[Höhe H in mm];XVERWEIS(J$64;Data_radiator!$G$5:$G$32;Data_radiator!$G$5:$G$32;1000000;1;1);
tabelle1[Bautiefe T in mm];155));0)</text>
  </threadedComment>
</ThreadedComments>
</file>

<file path=xl/threadedComments/threadedComment6.xml><?xml version="1.0" encoding="utf-8"?>
<ThreadedComments xmlns="http://schemas.microsoft.com/office/spreadsheetml/2018/threadedcomments" xmlns:x="http://schemas.openxmlformats.org/spreadsheetml/2006/main">
  <threadedComment ref="C10" dT="2024-06-25T14:05:49.22" personId="{A8B70471-3430-4427-8087-593084DB2B17}" id="{3D373C24-2188-492D-908F-D0841985A02B}">
    <text xml:space="preserve">Die Gleichung funktioniert derzeit nur für Flach HK und müsste für jeden HK Typ individualisiert werden
</text>
  </threadedComment>
</ThreadedComments>
</file>

<file path=xl/threadedComments/threadedComment7.xml><?xml version="1.0" encoding="utf-8"?>
<ThreadedComments xmlns="http://schemas.microsoft.com/office/spreadsheetml/2018/threadedcomments" xmlns:x="http://schemas.openxmlformats.org/spreadsheetml/2006/main">
  <threadedComment ref="C10" dT="2024-06-25T14:05:49.22" personId="{A8B70471-3430-4427-8087-593084DB2B17}" id="{B165B99A-305D-4FC5-ADD9-3517BB429475}">
    <text xml:space="preserve">Nur für Glieder-HK
</text>
  </threadedComment>
  <threadedComment ref="C30" dT="2024-06-28T09:30:38.91" personId="{A8B70471-3430-4427-8087-593084DB2B17}" id="{630C60F5-FF06-4F09-B485-88A50B761DF8}">
    <text>Nur für Glieder-HK</text>
  </threadedComment>
</ThreadedComments>
</file>

<file path=xl/threadedComments/threadedComment8.xml><?xml version="1.0" encoding="utf-8"?>
<ThreadedComments xmlns="http://schemas.microsoft.com/office/spreadsheetml/2018/threadedcomments" xmlns:x="http://schemas.openxmlformats.org/spreadsheetml/2006/main">
  <threadedComment ref="C10" dT="2024-06-25T14:05:49.22" personId="{A8B70471-3430-4427-8087-593084DB2B17}" id="{49A912E4-CDD9-4802-BC54-D0D7650174B5}">
    <text xml:space="preserve">Nur für Rohrradiatoren
</text>
  </threadedComment>
  <threadedComment ref="C30" dT="2024-06-28T09:30:38.91" personId="{A8B70471-3430-4427-8087-593084DB2B17}" id="{588F29FE-4DC6-41AF-8E7A-C028B1A83850}">
    <text>Nur für Rohrradiatoren</text>
  </threadedComment>
</ThreadedComments>
</file>

<file path=xl/threadedComments/threadedComment9.xml><?xml version="1.0" encoding="utf-8"?>
<ThreadedComments xmlns="http://schemas.microsoft.com/office/spreadsheetml/2018/threadedcomments" xmlns:x="http://schemas.openxmlformats.org/spreadsheetml/2006/main">
  <threadedComment ref="P15" dT="2025-04-28T16:37:37.42" personId="{6D6572F9-10B7-4F77-91B0-E0436BF15387}" id="{DDDB6253-B570-468E-8465-9BC13AC26404}">
    <text>Korrigiert von 150 auf 155</text>
  </threadedComment>
  <threadedComment ref="R62" dT="2025-05-09T23:32:36.03" personId="{6D6572F9-10B7-4F77-91B0-E0436BF15387}" id="{1F3BDF77-4C79-48E0-8D10-43B5C9D00921}">
    <text>Annahme: ungedämmte Bauteile haben einen U-Wert von 1,2</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D795D9-4B6E-423A-AA5B-EDCDF03609FD}">
  <we:reference id="wa200005502" version="1.0.0.11" store="de-DE" storeType="OMEX"/>
  <we:alternateReferences>
    <we:reference id="WA200005502" version="1.0.0.11" store="" storeType="OMEX"/>
  </we:alternateReferences>
  <we:properties>
    <we:property name="docId" value="&quot;WGinqL7bQQlPiS4GFEF4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9.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0.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2.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63" Type="http://schemas.openxmlformats.org/officeDocument/2006/relationships/comments" Target="../comments9.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table" Target="../tables/table58.xml"/><Relationship Id="rId5" Type="http://schemas.openxmlformats.org/officeDocument/2006/relationships/table" Target="../tables/table5.xml"/><Relationship Id="rId61" Type="http://schemas.openxmlformats.org/officeDocument/2006/relationships/table" Target="../tables/table61.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microsoft.com/office/2017/10/relationships/threadedComment" Target="../threadedComments/threadedComment9.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1" Type="http://schemas.openxmlformats.org/officeDocument/2006/relationships/vmlDrawing" Target="../drawings/vmlDrawing9.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4" Type="http://schemas.openxmlformats.org/officeDocument/2006/relationships/table" Target="../tables/table4.xml"/><Relationship Id="rId9" Type="http://schemas.openxmlformats.org/officeDocument/2006/relationships/table" Target="../tables/table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8FE4-3F08-4804-8B76-A518BEDA5686}">
  <sheetPr>
    <tabColor rgb="FFFF0000"/>
  </sheetPr>
  <dimension ref="A1:DB100"/>
  <sheetViews>
    <sheetView topLeftCell="F1" zoomScaleNormal="100" workbookViewId="0">
      <selection activeCell="G3" sqref="G3"/>
    </sheetView>
  </sheetViews>
  <sheetFormatPr baseColWidth="10" defaultColWidth="11.42578125" defaultRowHeight="15" x14ac:dyDescent="0.25"/>
  <cols>
    <col min="1" max="1" width="22.42578125" hidden="1" customWidth="1"/>
    <col min="2" max="2" width="12.42578125" hidden="1" customWidth="1"/>
    <col min="3" max="3" width="10.28515625" hidden="1" customWidth="1"/>
    <col min="4" max="4" width="66" hidden="1" customWidth="1"/>
    <col min="5" max="5" width="22.42578125" hidden="1" customWidth="1"/>
    <col min="6" max="6" width="14.5703125" bestFit="1" customWidth="1"/>
    <col min="7" max="7" width="18.85546875" bestFit="1" customWidth="1"/>
    <col min="8" max="8" width="18.85546875" customWidth="1"/>
    <col min="9" max="9" width="13.42578125" bestFit="1" customWidth="1"/>
    <col min="10" max="10" width="18.42578125" bestFit="1" customWidth="1"/>
    <col min="11" max="11" width="15.85546875" bestFit="1" customWidth="1"/>
    <col min="12" max="12" width="17.140625" bestFit="1" customWidth="1"/>
    <col min="13" max="13" width="17.85546875" bestFit="1" customWidth="1"/>
    <col min="14" max="14" width="16.28515625" bestFit="1" customWidth="1"/>
    <col min="15" max="15" width="12.85546875" bestFit="1" customWidth="1"/>
    <col min="16" max="16" width="13.85546875" bestFit="1" customWidth="1"/>
    <col min="17" max="19" width="9.85546875" bestFit="1" customWidth="1"/>
    <col min="20" max="106" width="10.85546875" bestFit="1" customWidth="1"/>
  </cols>
  <sheetData>
    <row r="1" spans="1:106" s="191" customFormat="1" x14ac:dyDescent="0.25">
      <c r="A1" s="168" t="s">
        <v>0</v>
      </c>
      <c r="B1" s="169" t="s">
        <v>1</v>
      </c>
      <c r="C1" s="169" t="s">
        <v>2</v>
      </c>
      <c r="D1" s="169" t="s">
        <v>3</v>
      </c>
      <c r="E1" s="169" t="s">
        <v>4</v>
      </c>
      <c r="F1" s="180" t="s">
        <v>0</v>
      </c>
      <c r="G1" s="188" t="s">
        <v>5</v>
      </c>
      <c r="H1" s="188" t="s">
        <v>6</v>
      </c>
      <c r="I1" s="189" t="s">
        <v>7</v>
      </c>
      <c r="J1" s="188" t="s">
        <v>8</v>
      </c>
      <c r="K1" s="189" t="s">
        <v>9</v>
      </c>
      <c r="L1" s="188" t="s">
        <v>10</v>
      </c>
      <c r="M1" s="189" t="s">
        <v>11</v>
      </c>
      <c r="N1" s="188" t="s">
        <v>12</v>
      </c>
      <c r="O1" s="189" t="s">
        <v>13</v>
      </c>
      <c r="P1" s="188" t="s">
        <v>14</v>
      </c>
      <c r="Q1" s="189" t="s">
        <v>15</v>
      </c>
      <c r="R1" s="188" t="s">
        <v>16</v>
      </c>
      <c r="S1" s="189" t="s">
        <v>17</v>
      </c>
      <c r="T1" s="188" t="s">
        <v>18</v>
      </c>
      <c r="U1" s="189" t="s">
        <v>19</v>
      </c>
      <c r="V1" s="188" t="s">
        <v>20</v>
      </c>
      <c r="W1" s="189" t="s">
        <v>21</v>
      </c>
      <c r="X1" s="188" t="s">
        <v>22</v>
      </c>
      <c r="Y1" s="189" t="s">
        <v>23</v>
      </c>
      <c r="Z1" s="188" t="s">
        <v>24</v>
      </c>
      <c r="AA1" s="189" t="s">
        <v>25</v>
      </c>
      <c r="AB1" s="188" t="s">
        <v>26</v>
      </c>
      <c r="AC1" s="189" t="s">
        <v>27</v>
      </c>
      <c r="AD1" s="188" t="s">
        <v>28</v>
      </c>
      <c r="AE1" s="189" t="s">
        <v>29</v>
      </c>
      <c r="AF1" s="188" t="s">
        <v>30</v>
      </c>
      <c r="AG1" s="189" t="s">
        <v>31</v>
      </c>
      <c r="AH1" s="188" t="s">
        <v>32</v>
      </c>
      <c r="AI1" s="189" t="s">
        <v>33</v>
      </c>
      <c r="AJ1" s="188" t="s">
        <v>34</v>
      </c>
      <c r="AK1" s="189" t="s">
        <v>35</v>
      </c>
      <c r="AL1" s="188" t="s">
        <v>36</v>
      </c>
      <c r="AM1" s="189" t="s">
        <v>37</v>
      </c>
      <c r="AN1" s="188" t="s">
        <v>38</v>
      </c>
      <c r="AO1" s="189" t="s">
        <v>39</v>
      </c>
      <c r="AP1" s="188" t="s">
        <v>40</v>
      </c>
      <c r="AQ1" s="189" t="s">
        <v>41</v>
      </c>
      <c r="AR1" s="188" t="s">
        <v>42</v>
      </c>
      <c r="AS1" s="189" t="s">
        <v>43</v>
      </c>
      <c r="AT1" s="188" t="s">
        <v>44</v>
      </c>
      <c r="AU1" s="189" t="s">
        <v>45</v>
      </c>
      <c r="AV1" s="188" t="s">
        <v>46</v>
      </c>
      <c r="AW1" s="189" t="s">
        <v>47</v>
      </c>
      <c r="AX1" s="188" t="s">
        <v>48</v>
      </c>
      <c r="AY1" s="189" t="s">
        <v>49</v>
      </c>
      <c r="AZ1" s="188" t="s">
        <v>50</v>
      </c>
      <c r="BA1" s="189" t="s">
        <v>51</v>
      </c>
      <c r="BB1" s="188" t="s">
        <v>52</v>
      </c>
      <c r="BC1" s="189" t="s">
        <v>53</v>
      </c>
      <c r="BD1" s="188" t="s">
        <v>54</v>
      </c>
      <c r="BE1" s="189" t="s">
        <v>55</v>
      </c>
      <c r="BF1" s="188" t="s">
        <v>56</v>
      </c>
      <c r="BG1" s="189" t="s">
        <v>57</v>
      </c>
      <c r="BH1" s="188" t="s">
        <v>58</v>
      </c>
      <c r="BI1" s="189" t="s">
        <v>59</v>
      </c>
      <c r="BJ1" s="188" t="s">
        <v>60</v>
      </c>
      <c r="BK1" s="189" t="s">
        <v>61</v>
      </c>
      <c r="BL1" s="188" t="s">
        <v>62</v>
      </c>
      <c r="BM1" s="189" t="s">
        <v>63</v>
      </c>
      <c r="BN1" s="188" t="s">
        <v>64</v>
      </c>
      <c r="BO1" s="189" t="s">
        <v>65</v>
      </c>
      <c r="BP1" s="188" t="s">
        <v>66</v>
      </c>
      <c r="BQ1" s="189" t="s">
        <v>67</v>
      </c>
      <c r="BR1" s="188" t="s">
        <v>68</v>
      </c>
      <c r="BS1" s="189" t="s">
        <v>69</v>
      </c>
      <c r="BT1" s="188" t="s">
        <v>70</v>
      </c>
      <c r="BU1" s="189" t="s">
        <v>71</v>
      </c>
      <c r="BV1" s="188" t="s">
        <v>72</v>
      </c>
      <c r="BW1" s="189" t="s">
        <v>73</v>
      </c>
      <c r="BX1" s="188" t="s">
        <v>74</v>
      </c>
      <c r="BY1" s="189" t="s">
        <v>75</v>
      </c>
      <c r="BZ1" s="188" t="s">
        <v>76</v>
      </c>
      <c r="CA1" s="189" t="s">
        <v>77</v>
      </c>
      <c r="CB1" s="188" t="s">
        <v>78</v>
      </c>
      <c r="CC1" s="189" t="s">
        <v>79</v>
      </c>
      <c r="CD1" s="188" t="s">
        <v>80</v>
      </c>
      <c r="CE1" s="189" t="s">
        <v>81</v>
      </c>
      <c r="CF1" s="188" t="s">
        <v>82</v>
      </c>
      <c r="CG1" s="189" t="s">
        <v>83</v>
      </c>
      <c r="CH1" s="188" t="s">
        <v>84</v>
      </c>
      <c r="CI1" s="189" t="s">
        <v>85</v>
      </c>
      <c r="CJ1" s="188" t="s">
        <v>86</v>
      </c>
      <c r="CK1" s="189" t="s">
        <v>87</v>
      </c>
      <c r="CL1" s="188" t="s">
        <v>88</v>
      </c>
      <c r="CM1" s="189" t="s">
        <v>89</v>
      </c>
      <c r="CN1" s="188" t="s">
        <v>90</v>
      </c>
      <c r="CO1" s="189" t="s">
        <v>91</v>
      </c>
      <c r="CP1" s="188" t="s">
        <v>92</v>
      </c>
      <c r="CQ1" s="189" t="s">
        <v>93</v>
      </c>
      <c r="CR1" s="188" t="s">
        <v>94</v>
      </c>
      <c r="CS1" s="189" t="s">
        <v>95</v>
      </c>
      <c r="CT1" s="188" t="s">
        <v>96</v>
      </c>
      <c r="CU1" s="189" t="s">
        <v>97</v>
      </c>
      <c r="CV1" s="188" t="s">
        <v>98</v>
      </c>
      <c r="CW1" s="189" t="s">
        <v>99</v>
      </c>
      <c r="CX1" s="188" t="s">
        <v>100</v>
      </c>
      <c r="CY1" s="189" t="s">
        <v>101</v>
      </c>
      <c r="CZ1" s="188" t="s">
        <v>102</v>
      </c>
      <c r="DA1" s="189" t="s">
        <v>103</v>
      </c>
      <c r="DB1" s="190" t="s">
        <v>104</v>
      </c>
    </row>
    <row r="2" spans="1:106" x14ac:dyDescent="0.25">
      <c r="A2" s="170" t="s">
        <v>5</v>
      </c>
      <c r="B2" s="171">
        <v>0.04</v>
      </c>
      <c r="C2" s="171" t="s">
        <v>105</v>
      </c>
      <c r="D2" s="171" t="s">
        <v>106</v>
      </c>
      <c r="E2" s="171"/>
      <c r="F2" s="185" t="s">
        <v>1</v>
      </c>
      <c r="G2" s="174">
        <v>4.4999999999999998E-2</v>
      </c>
      <c r="H2" s="174">
        <v>1</v>
      </c>
      <c r="I2" s="174">
        <v>20</v>
      </c>
      <c r="J2" s="174">
        <v>24</v>
      </c>
      <c r="K2" s="174">
        <v>25</v>
      </c>
      <c r="L2" s="174">
        <v>40</v>
      </c>
      <c r="M2" s="174">
        <v>55</v>
      </c>
      <c r="N2" s="174">
        <v>0.8</v>
      </c>
      <c r="O2" s="174">
        <v>2.7</v>
      </c>
      <c r="P2" s="262">
        <v>0.2</v>
      </c>
      <c r="Q2" s="174">
        <v>100</v>
      </c>
      <c r="R2" s="174">
        <v>5</v>
      </c>
      <c r="S2" s="262">
        <v>0.1</v>
      </c>
      <c r="T2" s="262">
        <v>0.6</v>
      </c>
      <c r="U2" s="262">
        <v>0.8</v>
      </c>
      <c r="V2" s="262">
        <v>1</v>
      </c>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c r="CY2" s="174"/>
      <c r="CZ2" s="174"/>
      <c r="DA2" s="174"/>
      <c r="DB2" s="181"/>
    </row>
    <row r="3" spans="1:106" x14ac:dyDescent="0.25">
      <c r="A3" s="173" t="s">
        <v>7</v>
      </c>
      <c r="B3" s="174">
        <v>20</v>
      </c>
      <c r="C3" s="174" t="s">
        <v>107</v>
      </c>
      <c r="D3" s="174" t="s">
        <v>108</v>
      </c>
      <c r="E3" s="174"/>
      <c r="F3" s="185" t="s">
        <v>2</v>
      </c>
      <c r="G3" s="174" t="s">
        <v>105</v>
      </c>
      <c r="H3" s="174" t="s">
        <v>109</v>
      </c>
      <c r="I3" s="174" t="s">
        <v>107</v>
      </c>
      <c r="J3" s="174" t="s">
        <v>107</v>
      </c>
      <c r="K3" s="174" t="s">
        <v>110</v>
      </c>
      <c r="L3" s="174" t="s">
        <v>110</v>
      </c>
      <c r="M3" s="174" t="s">
        <v>110</v>
      </c>
      <c r="N3" s="174" t="s">
        <v>109</v>
      </c>
      <c r="O3" s="174" t="s">
        <v>109</v>
      </c>
      <c r="P3" s="174" t="s">
        <v>111</v>
      </c>
      <c r="Q3" s="174" t="s">
        <v>112</v>
      </c>
      <c r="R3" s="174" t="s">
        <v>113</v>
      </c>
      <c r="S3" s="174" t="s">
        <v>111</v>
      </c>
      <c r="T3" s="174" t="s">
        <v>111</v>
      </c>
      <c r="U3" s="174" t="s">
        <v>111</v>
      </c>
      <c r="V3" s="174" t="s">
        <v>111</v>
      </c>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174"/>
      <c r="BV3" s="174"/>
      <c r="BW3" s="174"/>
      <c r="BX3" s="174"/>
      <c r="BY3" s="174"/>
      <c r="BZ3" s="174"/>
      <c r="CA3" s="174"/>
      <c r="CB3" s="174"/>
      <c r="CC3" s="174"/>
      <c r="CD3" s="174"/>
      <c r="CE3" s="174"/>
      <c r="CF3" s="174"/>
      <c r="CG3" s="174"/>
      <c r="CH3" s="174"/>
      <c r="CI3" s="174"/>
      <c r="CJ3" s="174"/>
      <c r="CK3" s="174"/>
      <c r="CL3" s="174"/>
      <c r="CM3" s="174"/>
      <c r="CN3" s="174"/>
      <c r="CO3" s="174"/>
      <c r="CP3" s="174"/>
      <c r="CQ3" s="174"/>
      <c r="CR3" s="174"/>
      <c r="CS3" s="174"/>
      <c r="CT3" s="174"/>
      <c r="CU3" s="174"/>
      <c r="CV3" s="174"/>
      <c r="CW3" s="174"/>
      <c r="CX3" s="174"/>
      <c r="CY3" s="174"/>
      <c r="CZ3" s="174"/>
      <c r="DA3" s="174"/>
      <c r="DB3" s="181"/>
    </row>
    <row r="4" spans="1:106" s="179" customFormat="1" ht="221.25" customHeight="1" x14ac:dyDescent="0.25">
      <c r="A4" s="177" t="s">
        <v>8</v>
      </c>
      <c r="B4" s="178">
        <v>24</v>
      </c>
      <c r="C4" s="178" t="s">
        <v>107</v>
      </c>
      <c r="D4" s="178" t="s">
        <v>114</v>
      </c>
      <c r="E4" s="178"/>
      <c r="F4" s="186" t="s">
        <v>3</v>
      </c>
      <c r="G4" s="182" t="s">
        <v>106</v>
      </c>
      <c r="H4" s="182"/>
      <c r="I4" s="182" t="s">
        <v>108</v>
      </c>
      <c r="J4" s="182" t="s">
        <v>114</v>
      </c>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c r="BU4" s="182"/>
      <c r="BV4" s="182"/>
      <c r="BW4" s="182"/>
      <c r="BX4" s="182"/>
      <c r="BY4" s="182"/>
      <c r="BZ4" s="182"/>
      <c r="CA4" s="182"/>
      <c r="CB4" s="182"/>
      <c r="CC4" s="182"/>
      <c r="CD4" s="182"/>
      <c r="CE4" s="182"/>
      <c r="CF4" s="182"/>
      <c r="CG4" s="182"/>
      <c r="CH4" s="182"/>
      <c r="CI4" s="182"/>
      <c r="CJ4" s="182"/>
      <c r="CK4" s="182"/>
      <c r="CL4" s="182"/>
      <c r="CM4" s="182"/>
      <c r="CN4" s="182"/>
      <c r="CO4" s="182"/>
      <c r="CP4" s="182"/>
      <c r="CQ4" s="182"/>
      <c r="CR4" s="182"/>
      <c r="CS4" s="182"/>
      <c r="CT4" s="182"/>
      <c r="CU4" s="182"/>
      <c r="CV4" s="182"/>
      <c r="CW4" s="182"/>
      <c r="CX4" s="182"/>
      <c r="CY4" s="182"/>
      <c r="CZ4" s="182"/>
      <c r="DA4" s="182"/>
      <c r="DB4" s="183"/>
    </row>
    <row r="5" spans="1:106" x14ac:dyDescent="0.25">
      <c r="A5" s="173"/>
      <c r="B5" s="174"/>
      <c r="C5" s="174"/>
      <c r="D5" s="174"/>
      <c r="E5" s="174"/>
      <c r="F5" s="187" t="s">
        <v>4</v>
      </c>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84"/>
    </row>
    <row r="6" spans="1:106" x14ac:dyDescent="0.25">
      <c r="A6" s="170"/>
      <c r="B6" s="171"/>
      <c r="C6" s="171"/>
      <c r="D6" s="171"/>
      <c r="E6" s="172"/>
    </row>
    <row r="7" spans="1:106" x14ac:dyDescent="0.25">
      <c r="A7" s="173"/>
      <c r="B7" s="174"/>
      <c r="C7" s="174"/>
      <c r="D7" s="174"/>
      <c r="E7" s="175"/>
    </row>
    <row r="8" spans="1:106" x14ac:dyDescent="0.25">
      <c r="A8" s="170"/>
      <c r="B8" s="171"/>
      <c r="C8" s="171"/>
      <c r="D8" s="171"/>
      <c r="E8" s="172"/>
      <c r="F8" s="138"/>
    </row>
    <row r="9" spans="1:106" x14ac:dyDescent="0.25">
      <c r="A9" s="173"/>
      <c r="B9" s="174"/>
      <c r="C9" s="174"/>
      <c r="D9" s="174"/>
      <c r="E9" s="175"/>
    </row>
    <row r="10" spans="1:106" x14ac:dyDescent="0.25">
      <c r="A10" s="170"/>
      <c r="B10" s="171"/>
      <c r="C10" s="171"/>
      <c r="D10" s="171"/>
      <c r="E10" s="172"/>
      <c r="F10">
        <f>INDEX(PAR[T_air_norm],1)</f>
        <v>20</v>
      </c>
    </row>
    <row r="11" spans="1:106" x14ac:dyDescent="0.25">
      <c r="A11" s="173"/>
      <c r="B11" s="174"/>
      <c r="C11" s="174"/>
      <c r="D11" s="174"/>
      <c r="E11" s="175"/>
    </row>
    <row r="12" spans="1:106" x14ac:dyDescent="0.25">
      <c r="A12" s="170"/>
      <c r="B12" s="171"/>
      <c r="C12" s="171"/>
      <c r="D12" s="171"/>
      <c r="E12" s="172"/>
    </row>
    <row r="13" spans="1:106" x14ac:dyDescent="0.25">
      <c r="A13" s="173"/>
      <c r="B13" s="174"/>
      <c r="C13" s="174"/>
      <c r="D13" s="174"/>
      <c r="E13" s="175"/>
    </row>
    <row r="14" spans="1:106" x14ac:dyDescent="0.25">
      <c r="A14" s="170"/>
      <c r="B14" s="171"/>
      <c r="C14" s="171"/>
      <c r="D14" s="171"/>
      <c r="E14" s="172"/>
    </row>
    <row r="15" spans="1:106" x14ac:dyDescent="0.25">
      <c r="A15" s="173"/>
      <c r="B15" s="174"/>
      <c r="C15" s="174"/>
      <c r="D15" s="174"/>
      <c r="E15" s="175"/>
    </row>
    <row r="16" spans="1:106" x14ac:dyDescent="0.25">
      <c r="A16" s="170"/>
      <c r="B16" s="171"/>
      <c r="C16" s="171"/>
      <c r="D16" s="171"/>
      <c r="E16" s="172"/>
    </row>
    <row r="17" spans="1:5" x14ac:dyDescent="0.25">
      <c r="A17" s="173"/>
      <c r="B17" s="174"/>
      <c r="C17" s="174"/>
      <c r="D17" s="174"/>
      <c r="E17" s="175"/>
    </row>
    <row r="18" spans="1:5" x14ac:dyDescent="0.25">
      <c r="A18" s="170"/>
      <c r="B18" s="171"/>
      <c r="C18" s="171"/>
      <c r="D18" s="171"/>
      <c r="E18" s="172"/>
    </row>
    <row r="19" spans="1:5" x14ac:dyDescent="0.25">
      <c r="A19" s="173"/>
      <c r="B19" s="174"/>
      <c r="C19" s="174"/>
      <c r="D19" s="174"/>
      <c r="E19" s="175"/>
    </row>
    <row r="20" spans="1:5" x14ac:dyDescent="0.25">
      <c r="A20" s="170"/>
      <c r="B20" s="171"/>
      <c r="C20" s="171"/>
      <c r="D20" s="171"/>
      <c r="E20" s="172"/>
    </row>
    <row r="21" spans="1:5" x14ac:dyDescent="0.25">
      <c r="A21" s="173"/>
      <c r="B21" s="174"/>
      <c r="C21" s="174"/>
      <c r="D21" s="174"/>
      <c r="E21" s="175"/>
    </row>
    <row r="22" spans="1:5" x14ac:dyDescent="0.25">
      <c r="A22" s="170"/>
      <c r="B22" s="171"/>
      <c r="C22" s="171"/>
      <c r="D22" s="171"/>
      <c r="E22" s="172"/>
    </row>
    <row r="23" spans="1:5" x14ac:dyDescent="0.25">
      <c r="A23" s="173"/>
      <c r="B23" s="174"/>
      <c r="C23" s="174"/>
      <c r="D23" s="174"/>
      <c r="E23" s="175"/>
    </row>
    <row r="24" spans="1:5" x14ac:dyDescent="0.25">
      <c r="A24" s="170"/>
      <c r="B24" s="171"/>
      <c r="C24" s="171"/>
      <c r="D24" s="171"/>
      <c r="E24" s="172"/>
    </row>
    <row r="25" spans="1:5" x14ac:dyDescent="0.25">
      <c r="A25" s="173"/>
      <c r="B25" s="174"/>
      <c r="C25" s="174"/>
      <c r="D25" s="174"/>
      <c r="E25" s="175"/>
    </row>
    <row r="26" spans="1:5" x14ac:dyDescent="0.25">
      <c r="A26" s="170"/>
      <c r="B26" s="171"/>
      <c r="C26" s="171"/>
      <c r="D26" s="171"/>
      <c r="E26" s="172"/>
    </row>
    <row r="27" spans="1:5" x14ac:dyDescent="0.25">
      <c r="A27" s="173"/>
      <c r="B27" s="174"/>
      <c r="C27" s="174"/>
      <c r="D27" s="174"/>
      <c r="E27" s="175"/>
    </row>
    <row r="28" spans="1:5" x14ac:dyDescent="0.25">
      <c r="A28" s="170"/>
      <c r="B28" s="171"/>
      <c r="C28" s="171"/>
      <c r="D28" s="171"/>
      <c r="E28" s="172"/>
    </row>
    <row r="29" spans="1:5" x14ac:dyDescent="0.25">
      <c r="A29" s="173"/>
      <c r="B29" s="174"/>
      <c r="C29" s="174"/>
      <c r="D29" s="174"/>
      <c r="E29" s="175"/>
    </row>
    <row r="30" spans="1:5" x14ac:dyDescent="0.25">
      <c r="A30" s="170"/>
      <c r="B30" s="171"/>
      <c r="C30" s="171"/>
      <c r="D30" s="171"/>
      <c r="E30" s="172"/>
    </row>
    <row r="31" spans="1:5" x14ac:dyDescent="0.25">
      <c r="A31" s="173"/>
      <c r="B31" s="174"/>
      <c r="C31" s="174"/>
      <c r="D31" s="174"/>
      <c r="E31" s="175"/>
    </row>
    <row r="32" spans="1:5" x14ac:dyDescent="0.25">
      <c r="A32" s="170"/>
      <c r="B32" s="171"/>
      <c r="C32" s="171"/>
      <c r="D32" s="171"/>
      <c r="E32" s="172"/>
    </row>
    <row r="33" spans="1:5" x14ac:dyDescent="0.25">
      <c r="A33" s="173"/>
      <c r="B33" s="174"/>
      <c r="C33" s="174"/>
      <c r="D33" s="174"/>
      <c r="E33" s="175"/>
    </row>
    <row r="34" spans="1:5" x14ac:dyDescent="0.25">
      <c r="A34" s="170"/>
      <c r="B34" s="171"/>
      <c r="C34" s="171"/>
      <c r="D34" s="171"/>
      <c r="E34" s="172"/>
    </row>
    <row r="35" spans="1:5" x14ac:dyDescent="0.25">
      <c r="A35" s="173"/>
      <c r="B35" s="174"/>
      <c r="C35" s="174"/>
      <c r="D35" s="174"/>
      <c r="E35" s="175"/>
    </row>
    <row r="36" spans="1:5" x14ac:dyDescent="0.25">
      <c r="A36" s="170"/>
      <c r="B36" s="171"/>
      <c r="C36" s="171"/>
      <c r="D36" s="171"/>
      <c r="E36" s="172"/>
    </row>
    <row r="37" spans="1:5" x14ac:dyDescent="0.25">
      <c r="A37" s="173"/>
      <c r="B37" s="174"/>
      <c r="C37" s="174"/>
      <c r="D37" s="174"/>
      <c r="E37" s="175"/>
    </row>
    <row r="38" spans="1:5" x14ac:dyDescent="0.25">
      <c r="A38" s="170"/>
      <c r="B38" s="171"/>
      <c r="C38" s="171"/>
      <c r="D38" s="171"/>
      <c r="E38" s="172"/>
    </row>
    <row r="39" spans="1:5" x14ac:dyDescent="0.25">
      <c r="A39" s="173"/>
      <c r="B39" s="174"/>
      <c r="C39" s="174"/>
      <c r="D39" s="174"/>
      <c r="E39" s="175"/>
    </row>
    <row r="40" spans="1:5" x14ac:dyDescent="0.25">
      <c r="A40" s="170"/>
      <c r="B40" s="171"/>
      <c r="C40" s="171"/>
      <c r="D40" s="171"/>
      <c r="E40" s="172"/>
    </row>
    <row r="41" spans="1:5" x14ac:dyDescent="0.25">
      <c r="A41" s="173"/>
      <c r="B41" s="174"/>
      <c r="C41" s="174"/>
      <c r="D41" s="174"/>
      <c r="E41" s="175"/>
    </row>
    <row r="42" spans="1:5" x14ac:dyDescent="0.25">
      <c r="A42" s="170"/>
      <c r="B42" s="171"/>
      <c r="C42" s="171"/>
      <c r="D42" s="171"/>
      <c r="E42" s="172"/>
    </row>
    <row r="43" spans="1:5" x14ac:dyDescent="0.25">
      <c r="A43" s="173"/>
      <c r="B43" s="174"/>
      <c r="C43" s="174"/>
      <c r="D43" s="174"/>
      <c r="E43" s="175"/>
    </row>
    <row r="44" spans="1:5" x14ac:dyDescent="0.25">
      <c r="A44" s="170"/>
      <c r="B44" s="171"/>
      <c r="C44" s="171"/>
      <c r="D44" s="171"/>
      <c r="E44" s="172"/>
    </row>
    <row r="45" spans="1:5" x14ac:dyDescent="0.25">
      <c r="A45" s="173"/>
      <c r="B45" s="174"/>
      <c r="C45" s="174"/>
      <c r="D45" s="174"/>
      <c r="E45" s="175"/>
    </row>
    <row r="46" spans="1:5" x14ac:dyDescent="0.25">
      <c r="A46" s="170"/>
      <c r="B46" s="171"/>
      <c r="C46" s="171"/>
      <c r="D46" s="171"/>
      <c r="E46" s="172"/>
    </row>
    <row r="47" spans="1:5" x14ac:dyDescent="0.25">
      <c r="A47" s="173"/>
      <c r="B47" s="174"/>
      <c r="C47" s="174"/>
      <c r="D47" s="174"/>
      <c r="E47" s="175"/>
    </row>
    <row r="48" spans="1:5" x14ac:dyDescent="0.25">
      <c r="A48" s="170"/>
      <c r="B48" s="171"/>
      <c r="C48" s="171"/>
      <c r="D48" s="171"/>
      <c r="E48" s="172"/>
    </row>
    <row r="49" spans="1:5" x14ac:dyDescent="0.25">
      <c r="A49" s="173"/>
      <c r="B49" s="174"/>
      <c r="C49" s="174"/>
      <c r="D49" s="174"/>
      <c r="E49" s="175"/>
    </row>
    <row r="50" spans="1:5" x14ac:dyDescent="0.25">
      <c r="A50" s="170"/>
      <c r="B50" s="171"/>
      <c r="C50" s="171"/>
      <c r="D50" s="171"/>
      <c r="E50" s="172"/>
    </row>
    <row r="51" spans="1:5" x14ac:dyDescent="0.25">
      <c r="A51" s="173"/>
      <c r="B51" s="174"/>
      <c r="C51" s="174"/>
      <c r="D51" s="174"/>
      <c r="E51" s="175"/>
    </row>
    <row r="52" spans="1:5" x14ac:dyDescent="0.25">
      <c r="A52" s="170"/>
      <c r="B52" s="171"/>
      <c r="C52" s="171"/>
      <c r="D52" s="171"/>
      <c r="E52" s="172"/>
    </row>
    <row r="53" spans="1:5" x14ac:dyDescent="0.25">
      <c r="A53" s="173"/>
      <c r="B53" s="174"/>
      <c r="C53" s="174"/>
      <c r="D53" s="174"/>
      <c r="E53" s="175"/>
    </row>
    <row r="54" spans="1:5" x14ac:dyDescent="0.25">
      <c r="A54" s="170"/>
      <c r="B54" s="171"/>
      <c r="C54" s="171"/>
      <c r="D54" s="171"/>
      <c r="E54" s="172"/>
    </row>
    <row r="55" spans="1:5" x14ac:dyDescent="0.25">
      <c r="A55" s="173"/>
      <c r="B55" s="174"/>
      <c r="C55" s="174"/>
      <c r="D55" s="174"/>
      <c r="E55" s="175"/>
    </row>
    <row r="56" spans="1:5" x14ac:dyDescent="0.25">
      <c r="A56" s="170"/>
      <c r="B56" s="171"/>
      <c r="C56" s="171"/>
      <c r="D56" s="171"/>
      <c r="E56" s="172"/>
    </row>
    <row r="57" spans="1:5" x14ac:dyDescent="0.25">
      <c r="A57" s="173"/>
      <c r="B57" s="174"/>
      <c r="C57" s="174"/>
      <c r="D57" s="174"/>
      <c r="E57" s="175"/>
    </row>
    <row r="58" spans="1:5" x14ac:dyDescent="0.25">
      <c r="A58" s="170"/>
      <c r="B58" s="171"/>
      <c r="C58" s="171"/>
      <c r="D58" s="171"/>
      <c r="E58" s="172"/>
    </row>
    <row r="59" spans="1:5" x14ac:dyDescent="0.25">
      <c r="A59" s="173"/>
      <c r="B59" s="174"/>
      <c r="C59" s="174"/>
      <c r="D59" s="174"/>
      <c r="E59" s="175"/>
    </row>
    <row r="60" spans="1:5" x14ac:dyDescent="0.25">
      <c r="A60" s="170"/>
      <c r="B60" s="171"/>
      <c r="C60" s="171"/>
      <c r="D60" s="171"/>
      <c r="E60" s="172"/>
    </row>
    <row r="61" spans="1:5" x14ac:dyDescent="0.25">
      <c r="A61" s="173"/>
      <c r="B61" s="174"/>
      <c r="C61" s="174"/>
      <c r="D61" s="174"/>
      <c r="E61" s="175"/>
    </row>
    <row r="62" spans="1:5" x14ac:dyDescent="0.25">
      <c r="A62" s="170"/>
      <c r="B62" s="171"/>
      <c r="C62" s="171"/>
      <c r="D62" s="171"/>
      <c r="E62" s="172"/>
    </row>
    <row r="63" spans="1:5" x14ac:dyDescent="0.25">
      <c r="A63" s="173"/>
      <c r="B63" s="174"/>
      <c r="C63" s="174"/>
      <c r="D63" s="174"/>
      <c r="E63" s="175"/>
    </row>
    <row r="64" spans="1:5" x14ac:dyDescent="0.25">
      <c r="A64" s="170"/>
      <c r="B64" s="171"/>
      <c r="C64" s="171"/>
      <c r="D64" s="171"/>
      <c r="E64" s="172"/>
    </row>
    <row r="65" spans="1:5" x14ac:dyDescent="0.25">
      <c r="A65" s="173"/>
      <c r="B65" s="174"/>
      <c r="C65" s="174"/>
      <c r="D65" s="174"/>
      <c r="E65" s="175"/>
    </row>
    <row r="66" spans="1:5" x14ac:dyDescent="0.25">
      <c r="A66" s="170"/>
      <c r="B66" s="171"/>
      <c r="C66" s="171"/>
      <c r="D66" s="171"/>
      <c r="E66" s="172"/>
    </row>
    <row r="67" spans="1:5" x14ac:dyDescent="0.25">
      <c r="A67" s="173"/>
      <c r="B67" s="174"/>
      <c r="C67" s="174"/>
      <c r="D67" s="174"/>
      <c r="E67" s="175"/>
    </row>
    <row r="68" spans="1:5" x14ac:dyDescent="0.25">
      <c r="A68" s="170"/>
      <c r="B68" s="171"/>
      <c r="C68" s="171"/>
      <c r="D68" s="171"/>
      <c r="E68" s="172"/>
    </row>
    <row r="69" spans="1:5" x14ac:dyDescent="0.25">
      <c r="A69" s="173"/>
      <c r="B69" s="174"/>
      <c r="C69" s="174"/>
      <c r="D69" s="174"/>
      <c r="E69" s="175"/>
    </row>
    <row r="70" spans="1:5" x14ac:dyDescent="0.25">
      <c r="A70" s="170"/>
      <c r="B70" s="171"/>
      <c r="C70" s="171"/>
      <c r="D70" s="171"/>
      <c r="E70" s="172"/>
    </row>
    <row r="71" spans="1:5" x14ac:dyDescent="0.25">
      <c r="A71" s="173"/>
      <c r="B71" s="174"/>
      <c r="C71" s="174"/>
      <c r="D71" s="174"/>
      <c r="E71" s="175"/>
    </row>
    <row r="72" spans="1:5" x14ac:dyDescent="0.25">
      <c r="A72" s="170"/>
      <c r="B72" s="171"/>
      <c r="C72" s="171"/>
      <c r="D72" s="171"/>
      <c r="E72" s="172"/>
    </row>
    <row r="73" spans="1:5" x14ac:dyDescent="0.25">
      <c r="A73" s="173"/>
      <c r="B73" s="174"/>
      <c r="C73" s="174"/>
      <c r="D73" s="174"/>
      <c r="E73" s="175"/>
    </row>
    <row r="74" spans="1:5" x14ac:dyDescent="0.25">
      <c r="A74" s="170"/>
      <c r="B74" s="171"/>
      <c r="C74" s="171"/>
      <c r="D74" s="171"/>
      <c r="E74" s="172"/>
    </row>
    <row r="75" spans="1:5" x14ac:dyDescent="0.25">
      <c r="A75" s="173"/>
      <c r="B75" s="174"/>
      <c r="C75" s="174"/>
      <c r="D75" s="174"/>
      <c r="E75" s="175"/>
    </row>
    <row r="76" spans="1:5" x14ac:dyDescent="0.25">
      <c r="A76" s="170"/>
      <c r="B76" s="171"/>
      <c r="C76" s="171"/>
      <c r="D76" s="171"/>
      <c r="E76" s="172"/>
    </row>
    <row r="77" spans="1:5" x14ac:dyDescent="0.25">
      <c r="A77" s="173"/>
      <c r="B77" s="174"/>
      <c r="C77" s="174"/>
      <c r="D77" s="174"/>
      <c r="E77" s="175"/>
    </row>
    <row r="78" spans="1:5" x14ac:dyDescent="0.25">
      <c r="A78" s="170"/>
      <c r="B78" s="171"/>
      <c r="C78" s="171"/>
      <c r="D78" s="171"/>
      <c r="E78" s="172"/>
    </row>
    <row r="79" spans="1:5" x14ac:dyDescent="0.25">
      <c r="A79" s="173"/>
      <c r="B79" s="174"/>
      <c r="C79" s="174"/>
      <c r="D79" s="174"/>
      <c r="E79" s="175"/>
    </row>
    <row r="80" spans="1:5" x14ac:dyDescent="0.25">
      <c r="A80" s="170"/>
      <c r="B80" s="171"/>
      <c r="C80" s="171"/>
      <c r="D80" s="171"/>
      <c r="E80" s="172"/>
    </row>
    <row r="81" spans="1:5" x14ac:dyDescent="0.25">
      <c r="A81" s="173"/>
      <c r="B81" s="174"/>
      <c r="C81" s="174"/>
      <c r="D81" s="174"/>
      <c r="E81" s="175"/>
    </row>
    <row r="82" spans="1:5" x14ac:dyDescent="0.25">
      <c r="A82" s="170"/>
      <c r="B82" s="171"/>
      <c r="C82" s="171"/>
      <c r="D82" s="171"/>
      <c r="E82" s="172"/>
    </row>
    <row r="83" spans="1:5" x14ac:dyDescent="0.25">
      <c r="A83" s="173"/>
      <c r="B83" s="174"/>
      <c r="C83" s="174"/>
      <c r="D83" s="174"/>
      <c r="E83" s="175"/>
    </row>
    <row r="84" spans="1:5" x14ac:dyDescent="0.25">
      <c r="A84" s="170"/>
      <c r="B84" s="171"/>
      <c r="C84" s="171"/>
      <c r="D84" s="171"/>
      <c r="E84" s="172"/>
    </row>
    <row r="85" spans="1:5" x14ac:dyDescent="0.25">
      <c r="A85" s="173"/>
      <c r="B85" s="174"/>
      <c r="C85" s="174"/>
      <c r="D85" s="174"/>
      <c r="E85" s="175"/>
    </row>
    <row r="86" spans="1:5" x14ac:dyDescent="0.25">
      <c r="A86" s="170"/>
      <c r="B86" s="171"/>
      <c r="C86" s="171"/>
      <c r="D86" s="171"/>
      <c r="E86" s="172"/>
    </row>
    <row r="87" spans="1:5" x14ac:dyDescent="0.25">
      <c r="A87" s="173"/>
      <c r="B87" s="174"/>
      <c r="C87" s="174"/>
      <c r="D87" s="174"/>
      <c r="E87" s="175"/>
    </row>
    <row r="88" spans="1:5" x14ac:dyDescent="0.25">
      <c r="A88" s="170"/>
      <c r="B88" s="171"/>
      <c r="C88" s="171"/>
      <c r="D88" s="171"/>
      <c r="E88" s="172"/>
    </row>
    <row r="89" spans="1:5" x14ac:dyDescent="0.25">
      <c r="A89" s="173"/>
      <c r="B89" s="174"/>
      <c r="C89" s="174"/>
      <c r="D89" s="174"/>
      <c r="E89" s="175"/>
    </row>
    <row r="90" spans="1:5" x14ac:dyDescent="0.25">
      <c r="A90" s="170"/>
      <c r="B90" s="171"/>
      <c r="C90" s="171"/>
      <c r="D90" s="171"/>
      <c r="E90" s="172"/>
    </row>
    <row r="91" spans="1:5" x14ac:dyDescent="0.25">
      <c r="A91" s="173"/>
      <c r="B91" s="174"/>
      <c r="C91" s="174"/>
      <c r="D91" s="174"/>
      <c r="E91" s="175"/>
    </row>
    <row r="92" spans="1:5" x14ac:dyDescent="0.25">
      <c r="A92" s="170"/>
      <c r="B92" s="171"/>
      <c r="C92" s="171"/>
      <c r="D92" s="171"/>
      <c r="E92" s="172"/>
    </row>
    <row r="93" spans="1:5" x14ac:dyDescent="0.25">
      <c r="A93" s="173"/>
      <c r="B93" s="174"/>
      <c r="C93" s="174"/>
      <c r="D93" s="174"/>
      <c r="E93" s="175"/>
    </row>
    <row r="94" spans="1:5" x14ac:dyDescent="0.25">
      <c r="A94" s="170"/>
      <c r="B94" s="171"/>
      <c r="C94" s="171"/>
      <c r="D94" s="171"/>
      <c r="E94" s="172"/>
    </row>
    <row r="95" spans="1:5" x14ac:dyDescent="0.25">
      <c r="A95" s="173"/>
      <c r="B95" s="174"/>
      <c r="C95" s="174"/>
      <c r="D95" s="174"/>
      <c r="E95" s="175"/>
    </row>
    <row r="96" spans="1:5" x14ac:dyDescent="0.25">
      <c r="A96" s="170"/>
      <c r="B96" s="171"/>
      <c r="C96" s="171"/>
      <c r="D96" s="171"/>
      <c r="E96" s="172"/>
    </row>
    <row r="97" spans="1:5" x14ac:dyDescent="0.25">
      <c r="A97" s="173"/>
      <c r="B97" s="174"/>
      <c r="C97" s="174"/>
      <c r="D97" s="174"/>
      <c r="E97" s="175"/>
    </row>
    <row r="98" spans="1:5" x14ac:dyDescent="0.25">
      <c r="A98" s="170"/>
      <c r="B98" s="171"/>
      <c r="C98" s="171"/>
      <c r="D98" s="171"/>
      <c r="E98" s="172"/>
    </row>
    <row r="99" spans="1:5" x14ac:dyDescent="0.25">
      <c r="A99" s="173"/>
      <c r="B99" s="174"/>
      <c r="C99" s="174"/>
      <c r="D99" s="174"/>
      <c r="E99" s="175"/>
    </row>
    <row r="100" spans="1:5" x14ac:dyDescent="0.25">
      <c r="A100" s="167"/>
      <c r="B100" s="165"/>
      <c r="C100" s="165"/>
      <c r="D100" s="165"/>
      <c r="E100" s="166"/>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EE83-FCBE-47B8-8531-853F18553949}">
  <sheetPr>
    <tabColor rgb="FFFF0000"/>
  </sheetPr>
  <dimension ref="A2:D79"/>
  <sheetViews>
    <sheetView workbookViewId="0">
      <pane xSplit="1" ySplit="5" topLeftCell="B50" activePane="bottomRight" state="frozen"/>
      <selection pane="topRight" activeCell="B1" sqref="B1"/>
      <selection pane="bottomLeft" activeCell="A6" sqref="A6"/>
      <selection pane="bottomRight" activeCell="D79" sqref="D79"/>
    </sheetView>
  </sheetViews>
  <sheetFormatPr baseColWidth="10" defaultColWidth="11.42578125" defaultRowHeight="15" x14ac:dyDescent="0.25"/>
  <cols>
    <col min="1" max="1" width="20.5703125" customWidth="1"/>
    <col min="3" max="3" width="27.85546875" bestFit="1" customWidth="1"/>
  </cols>
  <sheetData>
    <row r="2" spans="1:4" x14ac:dyDescent="0.25">
      <c r="A2" t="s">
        <v>115</v>
      </c>
    </row>
    <row r="3" spans="1:4" x14ac:dyDescent="0.25">
      <c r="A3" t="s">
        <v>116</v>
      </c>
    </row>
    <row r="5" spans="1:4" x14ac:dyDescent="0.25">
      <c r="B5" s="22" t="s">
        <v>117</v>
      </c>
      <c r="C5" s="22" t="s">
        <v>0</v>
      </c>
      <c r="D5" s="22" t="s">
        <v>118</v>
      </c>
    </row>
    <row r="6" spans="1:4" x14ac:dyDescent="0.25">
      <c r="A6" s="22" t="s">
        <v>119</v>
      </c>
      <c r="B6" t="s">
        <v>120</v>
      </c>
      <c r="C6" t="s">
        <v>121</v>
      </c>
      <c r="D6" t="s">
        <v>122</v>
      </c>
    </row>
    <row r="7" spans="1:4" x14ac:dyDescent="0.25">
      <c r="B7" t="s">
        <v>123</v>
      </c>
      <c r="C7" t="s">
        <v>124</v>
      </c>
    </row>
    <row r="8" spans="1:4" x14ac:dyDescent="0.25">
      <c r="B8" t="s">
        <v>125</v>
      </c>
      <c r="C8" t="s">
        <v>126</v>
      </c>
    </row>
    <row r="9" spans="1:4" x14ac:dyDescent="0.25">
      <c r="B9" t="s">
        <v>127</v>
      </c>
      <c r="C9" t="s">
        <v>128</v>
      </c>
      <c r="D9" t="s">
        <v>129</v>
      </c>
    </row>
    <row r="10" spans="1:4" x14ac:dyDescent="0.25">
      <c r="B10" t="s">
        <v>130</v>
      </c>
      <c r="C10" t="s">
        <v>131</v>
      </c>
    </row>
    <row r="11" spans="1:4" x14ac:dyDescent="0.25">
      <c r="B11" t="s">
        <v>132</v>
      </c>
      <c r="C11" t="s">
        <v>133</v>
      </c>
      <c r="D11" t="s">
        <v>105</v>
      </c>
    </row>
    <row r="12" spans="1:4" x14ac:dyDescent="0.25">
      <c r="B12" t="s">
        <v>134</v>
      </c>
      <c r="C12" t="s">
        <v>135</v>
      </c>
      <c r="D12" t="s">
        <v>136</v>
      </c>
    </row>
    <row r="13" spans="1:4" x14ac:dyDescent="0.25">
      <c r="B13" t="s">
        <v>137</v>
      </c>
      <c r="C13" t="s">
        <v>138</v>
      </c>
    </row>
    <row r="14" spans="1:4" x14ac:dyDescent="0.25">
      <c r="B14" t="s">
        <v>139</v>
      </c>
      <c r="C14" t="s">
        <v>140</v>
      </c>
    </row>
    <row r="15" spans="1:4" x14ac:dyDescent="0.25">
      <c r="B15" t="s">
        <v>141</v>
      </c>
      <c r="C15" t="s">
        <v>142</v>
      </c>
      <c r="D15" t="s">
        <v>143</v>
      </c>
    </row>
    <row r="16" spans="1:4" x14ac:dyDescent="0.25">
      <c r="B16" t="s">
        <v>144</v>
      </c>
      <c r="C16" t="s">
        <v>145</v>
      </c>
    </row>
    <row r="17" spans="2:4" x14ac:dyDescent="0.25">
      <c r="B17" t="s">
        <v>146</v>
      </c>
      <c r="C17" t="s">
        <v>147</v>
      </c>
      <c r="D17" t="s">
        <v>112</v>
      </c>
    </row>
    <row r="18" spans="2:4" x14ac:dyDescent="0.25">
      <c r="B18" t="s">
        <v>148</v>
      </c>
      <c r="C18" t="s">
        <v>149</v>
      </c>
    </row>
    <row r="19" spans="2:4" x14ac:dyDescent="0.25">
      <c r="B19" t="s">
        <v>150</v>
      </c>
      <c r="C19" t="s">
        <v>151</v>
      </c>
      <c r="D19" t="s">
        <v>152</v>
      </c>
    </row>
    <row r="20" spans="2:4" x14ac:dyDescent="0.25">
      <c r="B20" t="s">
        <v>153</v>
      </c>
      <c r="C20" t="s">
        <v>154</v>
      </c>
    </row>
    <row r="21" spans="2:4" x14ac:dyDescent="0.25">
      <c r="B21" t="s">
        <v>155</v>
      </c>
      <c r="C21" t="s">
        <v>156</v>
      </c>
    </row>
    <row r="22" spans="2:4" x14ac:dyDescent="0.25">
      <c r="B22" t="s">
        <v>157</v>
      </c>
      <c r="C22" t="s">
        <v>158</v>
      </c>
      <c r="D22" t="s">
        <v>107</v>
      </c>
    </row>
    <row r="23" spans="2:4" x14ac:dyDescent="0.25">
      <c r="B23" t="s">
        <v>159</v>
      </c>
      <c r="C23" t="s">
        <v>160</v>
      </c>
      <c r="D23" t="s">
        <v>161</v>
      </c>
    </row>
    <row r="24" spans="2:4" x14ac:dyDescent="0.25">
      <c r="B24" t="s">
        <v>162</v>
      </c>
      <c r="C24" t="s">
        <v>163</v>
      </c>
    </row>
    <row r="25" spans="2:4" x14ac:dyDescent="0.25">
      <c r="B25" t="s">
        <v>164</v>
      </c>
      <c r="C25" t="s">
        <v>165</v>
      </c>
    </row>
    <row r="26" spans="2:4" x14ac:dyDescent="0.25">
      <c r="B26" t="s">
        <v>166</v>
      </c>
      <c r="C26" t="s">
        <v>167</v>
      </c>
    </row>
    <row r="27" spans="2:4" x14ac:dyDescent="0.25">
      <c r="B27" t="s">
        <v>168</v>
      </c>
      <c r="C27" t="s">
        <v>169</v>
      </c>
      <c r="D27" t="s">
        <v>109</v>
      </c>
    </row>
    <row r="28" spans="2:4" x14ac:dyDescent="0.25">
      <c r="B28" t="s">
        <v>170</v>
      </c>
      <c r="C28" t="s">
        <v>171</v>
      </c>
      <c r="D28" t="s">
        <v>172</v>
      </c>
    </row>
    <row r="29" spans="2:4" x14ac:dyDescent="0.25">
      <c r="B29" t="s">
        <v>173</v>
      </c>
      <c r="C29" t="s">
        <v>174</v>
      </c>
      <c r="D29" t="s">
        <v>175</v>
      </c>
    </row>
    <row r="30" spans="2:4" x14ac:dyDescent="0.25">
      <c r="B30" t="s">
        <v>176</v>
      </c>
      <c r="C30" t="s">
        <v>177</v>
      </c>
      <c r="D30" t="s">
        <v>178</v>
      </c>
    </row>
    <row r="36" spans="1:3" s="140" customFormat="1" x14ac:dyDescent="0.25">
      <c r="A36" s="139" t="s">
        <v>179</v>
      </c>
      <c r="B36" s="140" t="s">
        <v>180</v>
      </c>
      <c r="C36" s="140" t="s">
        <v>181</v>
      </c>
    </row>
    <row r="37" spans="1:3" x14ac:dyDescent="0.25">
      <c r="B37" t="s">
        <v>182</v>
      </c>
      <c r="C37" t="s">
        <v>183</v>
      </c>
    </row>
    <row r="38" spans="1:3" x14ac:dyDescent="0.25">
      <c r="B38" t="s">
        <v>184</v>
      </c>
      <c r="C38" t="s">
        <v>185</v>
      </c>
    </row>
    <row r="39" spans="1:3" x14ac:dyDescent="0.25">
      <c r="B39" t="s">
        <v>186</v>
      </c>
      <c r="C39" t="s">
        <v>187</v>
      </c>
    </row>
    <row r="40" spans="1:3" x14ac:dyDescent="0.25">
      <c r="B40" t="s">
        <v>188</v>
      </c>
      <c r="C40" t="s">
        <v>189</v>
      </c>
    </row>
    <row r="41" spans="1:3" x14ac:dyDescent="0.25">
      <c r="B41" t="s">
        <v>190</v>
      </c>
      <c r="C41" t="s">
        <v>191</v>
      </c>
    </row>
    <row r="42" spans="1:3" x14ac:dyDescent="0.25">
      <c r="B42" t="s">
        <v>192</v>
      </c>
      <c r="C42" t="s">
        <v>193</v>
      </c>
    </row>
    <row r="43" spans="1:3" x14ac:dyDescent="0.25">
      <c r="B43" t="s">
        <v>194</v>
      </c>
      <c r="C43" t="s">
        <v>195</v>
      </c>
    </row>
    <row r="44" spans="1:3" x14ac:dyDescent="0.25">
      <c r="B44" t="s">
        <v>196</v>
      </c>
      <c r="C44" t="s">
        <v>197</v>
      </c>
    </row>
    <row r="45" spans="1:3" x14ac:dyDescent="0.25">
      <c r="B45" t="s">
        <v>198</v>
      </c>
      <c r="C45" t="s">
        <v>199</v>
      </c>
    </row>
    <row r="46" spans="1:3" x14ac:dyDescent="0.25">
      <c r="B46" t="s">
        <v>200</v>
      </c>
      <c r="C46" t="s">
        <v>201</v>
      </c>
    </row>
    <row r="47" spans="1:3" x14ac:dyDescent="0.25">
      <c r="B47" t="s">
        <v>202</v>
      </c>
      <c r="C47" t="s">
        <v>203</v>
      </c>
    </row>
    <row r="48" spans="1:3" s="140" customFormat="1" x14ac:dyDescent="0.25">
      <c r="A48" s="139" t="s">
        <v>204</v>
      </c>
      <c r="B48" s="140" t="s">
        <v>205</v>
      </c>
      <c r="C48" s="140" t="s">
        <v>206</v>
      </c>
    </row>
    <row r="49" spans="2:3" x14ac:dyDescent="0.25">
      <c r="B49" t="s">
        <v>207</v>
      </c>
      <c r="C49" t="s">
        <v>208</v>
      </c>
    </row>
    <row r="50" spans="2:3" x14ac:dyDescent="0.25">
      <c r="B50" t="s">
        <v>209</v>
      </c>
      <c r="C50" t="s">
        <v>210</v>
      </c>
    </row>
    <row r="51" spans="2:3" x14ac:dyDescent="0.25">
      <c r="B51" t="s">
        <v>211</v>
      </c>
      <c r="C51" t="s">
        <v>212</v>
      </c>
    </row>
    <row r="52" spans="2:3" x14ac:dyDescent="0.25">
      <c r="B52" t="s">
        <v>213</v>
      </c>
      <c r="C52" t="s">
        <v>214</v>
      </c>
    </row>
    <row r="53" spans="2:3" x14ac:dyDescent="0.25">
      <c r="B53" t="s">
        <v>215</v>
      </c>
      <c r="C53" t="s">
        <v>216</v>
      </c>
    </row>
    <row r="54" spans="2:3" x14ac:dyDescent="0.25">
      <c r="B54" t="s">
        <v>217</v>
      </c>
      <c r="C54" t="s">
        <v>218</v>
      </c>
    </row>
    <row r="55" spans="2:3" x14ac:dyDescent="0.25">
      <c r="B55" t="s">
        <v>219</v>
      </c>
      <c r="C55" t="s">
        <v>220</v>
      </c>
    </row>
    <row r="56" spans="2:3" x14ac:dyDescent="0.25">
      <c r="B56" t="s">
        <v>221</v>
      </c>
      <c r="C56" t="s">
        <v>222</v>
      </c>
    </row>
    <row r="57" spans="2:3" x14ac:dyDescent="0.25">
      <c r="B57" t="s">
        <v>223</v>
      </c>
      <c r="C57" t="s">
        <v>224</v>
      </c>
    </row>
    <row r="58" spans="2:3" x14ac:dyDescent="0.25">
      <c r="B58" t="s">
        <v>225</v>
      </c>
      <c r="C58" t="s">
        <v>226</v>
      </c>
    </row>
    <row r="59" spans="2:3" x14ac:dyDescent="0.25">
      <c r="B59" t="s">
        <v>227</v>
      </c>
      <c r="C59" t="s">
        <v>228</v>
      </c>
    </row>
    <row r="60" spans="2:3" x14ac:dyDescent="0.25">
      <c r="B60" t="s">
        <v>229</v>
      </c>
      <c r="C60" t="s">
        <v>230</v>
      </c>
    </row>
    <row r="61" spans="2:3" x14ac:dyDescent="0.25">
      <c r="B61" t="s">
        <v>231</v>
      </c>
      <c r="C61" t="s">
        <v>232</v>
      </c>
    </row>
    <row r="62" spans="2:3" x14ac:dyDescent="0.25">
      <c r="B62" t="s">
        <v>233</v>
      </c>
      <c r="C62" t="s">
        <v>234</v>
      </c>
    </row>
    <row r="63" spans="2:3" x14ac:dyDescent="0.25">
      <c r="B63" t="s">
        <v>235</v>
      </c>
      <c r="C63" t="s">
        <v>236</v>
      </c>
    </row>
    <row r="64" spans="2:3" x14ac:dyDescent="0.25">
      <c r="B64" t="s">
        <v>237</v>
      </c>
      <c r="C64" t="s">
        <v>238</v>
      </c>
    </row>
    <row r="65" spans="2:3" x14ac:dyDescent="0.25">
      <c r="B65" t="s">
        <v>239</v>
      </c>
      <c r="C65" t="s">
        <v>240</v>
      </c>
    </row>
    <row r="66" spans="2:3" x14ac:dyDescent="0.25">
      <c r="B66" t="s">
        <v>241</v>
      </c>
      <c r="C66" t="s">
        <v>242</v>
      </c>
    </row>
    <row r="67" spans="2:3" x14ac:dyDescent="0.25">
      <c r="B67" t="s">
        <v>243</v>
      </c>
      <c r="C67" t="s">
        <v>244</v>
      </c>
    </row>
    <row r="68" spans="2:3" x14ac:dyDescent="0.25">
      <c r="B68" t="s">
        <v>245</v>
      </c>
      <c r="C68" t="s">
        <v>246</v>
      </c>
    </row>
    <row r="69" spans="2:3" x14ac:dyDescent="0.25">
      <c r="B69" t="s">
        <v>247</v>
      </c>
      <c r="C69" t="s">
        <v>248</v>
      </c>
    </row>
    <row r="70" spans="2:3" x14ac:dyDescent="0.25">
      <c r="B70" t="s">
        <v>249</v>
      </c>
      <c r="C70" t="s">
        <v>250</v>
      </c>
    </row>
    <row r="71" spans="2:3" x14ac:dyDescent="0.25">
      <c r="B71" t="s">
        <v>251</v>
      </c>
      <c r="C71" t="s">
        <v>252</v>
      </c>
    </row>
    <row r="72" spans="2:3" x14ac:dyDescent="0.25">
      <c r="B72" s="193" t="s">
        <v>253</v>
      </c>
      <c r="C72" t="s">
        <v>254</v>
      </c>
    </row>
    <row r="73" spans="2:3" x14ac:dyDescent="0.25">
      <c r="B73" t="s">
        <v>255</v>
      </c>
      <c r="C73" t="s">
        <v>256</v>
      </c>
    </row>
    <row r="74" spans="2:3" x14ac:dyDescent="0.25">
      <c r="B74" t="s">
        <v>257</v>
      </c>
      <c r="C74" t="s">
        <v>258</v>
      </c>
    </row>
    <row r="75" spans="2:3" x14ac:dyDescent="0.25">
      <c r="B75" t="s">
        <v>259</v>
      </c>
      <c r="C75" t="s">
        <v>260</v>
      </c>
    </row>
    <row r="76" spans="2:3" x14ac:dyDescent="0.25">
      <c r="B76" t="s">
        <v>261</v>
      </c>
      <c r="C76" t="s">
        <v>262</v>
      </c>
    </row>
    <row r="77" spans="2:3" x14ac:dyDescent="0.25">
      <c r="B77" t="s">
        <v>263</v>
      </c>
      <c r="C77" t="s">
        <v>264</v>
      </c>
    </row>
    <row r="78" spans="2:3" x14ac:dyDescent="0.25">
      <c r="B78" t="s">
        <v>265</v>
      </c>
      <c r="C78" t="s">
        <v>266</v>
      </c>
    </row>
    <row r="79" spans="2:3" x14ac:dyDescent="0.25">
      <c r="B79" t="s">
        <v>267</v>
      </c>
      <c r="C79" t="s">
        <v>268</v>
      </c>
    </row>
  </sheetData>
  <sortState xmlns:xlrd2="http://schemas.microsoft.com/office/spreadsheetml/2017/richdata2" ref="B6:D29">
    <sortCondition ref="B6:B29"/>
  </sortState>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B82F4-70AF-4754-A90E-5D76AC2C7765}">
  <dimension ref="A1:BF81"/>
  <sheetViews>
    <sheetView topLeftCell="AU1" zoomScale="70" zoomScaleNormal="70" workbookViewId="0">
      <selection activeCell="BA25" sqref="BA22:BD25"/>
    </sheetView>
  </sheetViews>
  <sheetFormatPr baseColWidth="10" defaultColWidth="11.42578125" defaultRowHeight="15" x14ac:dyDescent="0.25"/>
  <cols>
    <col min="1" max="1" width="19.140625" bestFit="1" customWidth="1"/>
    <col min="3" max="3" width="19.42578125" style="25" bestFit="1" customWidth="1"/>
    <col min="4" max="4" width="8.5703125" bestFit="1" customWidth="1"/>
    <col min="5" max="5" width="27.140625" bestFit="1" customWidth="1"/>
    <col min="6" max="6" width="20.7109375" bestFit="1" customWidth="1"/>
    <col min="7" max="31" width="20.7109375" customWidth="1"/>
    <col min="32" max="32" width="28.28515625" bestFit="1" customWidth="1"/>
    <col min="33" max="34" width="30.28515625" style="160" bestFit="1" customWidth="1"/>
    <col min="35" max="35" width="46.140625" style="160" bestFit="1" customWidth="1"/>
    <col min="36" max="36" width="59.140625" style="160" bestFit="1" customWidth="1"/>
    <col min="37" max="37" width="46.140625" style="159" bestFit="1" customWidth="1"/>
    <col min="38" max="38" width="30.28515625" style="160" bestFit="1" customWidth="1"/>
    <col min="39" max="39" width="46.140625" style="160" bestFit="1" customWidth="1"/>
    <col min="40" max="40" width="44.5703125" bestFit="1" customWidth="1"/>
    <col min="41" max="41" width="39.5703125" bestFit="1" customWidth="1"/>
    <col min="42" max="42" width="13.140625" bestFit="1" customWidth="1"/>
    <col min="43" max="43" width="68" bestFit="1" customWidth="1"/>
    <col min="44" max="44" width="89.5703125" bestFit="1" customWidth="1"/>
    <col min="45" max="45" width="40.7109375" bestFit="1" customWidth="1"/>
    <col min="46" max="46" width="65.5703125" bestFit="1" customWidth="1"/>
    <col min="47" max="47" width="16.7109375" bestFit="1" customWidth="1"/>
    <col min="48" max="48" width="76.7109375" bestFit="1" customWidth="1"/>
    <col min="49" max="50" width="6.7109375" bestFit="1" customWidth="1"/>
    <col min="51" max="51" width="13.28515625" bestFit="1" customWidth="1"/>
    <col min="52" max="52" width="4.7109375" bestFit="1" customWidth="1"/>
    <col min="53" max="53" width="220.28515625" bestFit="1" customWidth="1"/>
    <col min="54" max="54" width="13.42578125" bestFit="1" customWidth="1"/>
    <col min="55" max="55" width="2" customWidth="1"/>
    <col min="56" max="57" width="2" bestFit="1" customWidth="1"/>
  </cols>
  <sheetData>
    <row r="1" spans="1:57" x14ac:dyDescent="0.25">
      <c r="A1" t="s">
        <v>269</v>
      </c>
    </row>
    <row r="2" spans="1:57" s="46" customFormat="1" x14ac:dyDescent="0.25">
      <c r="A2" t="s">
        <v>270</v>
      </c>
      <c r="C2" s="19" t="s">
        <v>271</v>
      </c>
      <c r="D2" s="19" t="s">
        <v>272</v>
      </c>
      <c r="E2" s="19" t="s">
        <v>273</v>
      </c>
      <c r="F2" s="19" t="s">
        <v>274</v>
      </c>
      <c r="G2" s="19"/>
      <c r="H2" s="19"/>
      <c r="I2" s="19"/>
      <c r="J2" s="19"/>
      <c r="K2" s="19"/>
      <c r="L2" s="19"/>
      <c r="M2" s="19"/>
      <c r="N2" s="19"/>
      <c r="O2" s="19"/>
      <c r="P2" s="19"/>
      <c r="Q2" s="19"/>
      <c r="R2" s="19"/>
      <c r="S2" s="19"/>
      <c r="T2" s="19"/>
      <c r="U2" s="19"/>
      <c r="V2" s="19"/>
      <c r="W2" s="19"/>
      <c r="X2" s="19"/>
      <c r="Y2" s="19"/>
      <c r="Z2" s="19"/>
      <c r="AA2" s="19"/>
      <c r="AB2" s="19"/>
      <c r="AC2" s="19"/>
      <c r="AD2" s="19"/>
      <c r="AE2" s="19"/>
      <c r="AF2" s="19" t="s">
        <v>275</v>
      </c>
      <c r="AG2" s="194" t="s">
        <v>276</v>
      </c>
      <c r="AH2" s="194" t="s">
        <v>276</v>
      </c>
      <c r="AI2" s="194" t="s">
        <v>277</v>
      </c>
      <c r="AJ2" s="194" t="s">
        <v>276</v>
      </c>
      <c r="AK2" s="194" t="s">
        <v>277</v>
      </c>
      <c r="AL2" s="194" t="s">
        <v>276</v>
      </c>
      <c r="AM2" s="194" t="s">
        <v>277</v>
      </c>
      <c r="AN2" s="19" t="s">
        <v>278</v>
      </c>
      <c r="AO2" s="19" t="s">
        <v>279</v>
      </c>
      <c r="AP2" s="19" t="s">
        <v>280</v>
      </c>
      <c r="AQ2" s="19" t="s">
        <v>281</v>
      </c>
      <c r="AR2" s="19" t="s">
        <v>282</v>
      </c>
      <c r="AS2" s="19" t="str">
        <f>IF(AND($AQ$17="Nein",$AR$17="Nein"),"70°C",IF(AND($AQ$17="Ja",$AR$17="Nein"),"Bitte tragen sie die Vorlauftemperatur ein",IF(AND($AQ$17="Nein",$AR$17="Ja"),"Bitte tragen sie die Vorlauftemperatur ein","Bitte tragen Sie die Vorlauftemperatur ein")))</f>
        <v>Bitte tragen Sie die Vorlauftemperatur ein</v>
      </c>
      <c r="AT2" s="19" t="str">
        <f>IF($AR$17="Ja","Bitte tragen Sie die Außentemperatur zum Zeitpunkt ihrer Ablesung ein","")</f>
        <v/>
      </c>
      <c r="AU2" s="19" t="s">
        <v>283</v>
      </c>
      <c r="AV2" s="19" t="s">
        <v>284</v>
      </c>
      <c r="AW2" s="19">
        <v>1</v>
      </c>
      <c r="AX2" s="19">
        <v>2</v>
      </c>
      <c r="AY2" s="19">
        <v>3</v>
      </c>
      <c r="AZ2" s="19">
        <v>4</v>
      </c>
      <c r="BA2" s="19" t="s">
        <v>285</v>
      </c>
      <c r="BB2" s="19">
        <v>1</v>
      </c>
      <c r="BC2" s="19">
        <v>2</v>
      </c>
      <c r="BD2" s="19">
        <v>3</v>
      </c>
      <c r="BE2" s="19">
        <v>4</v>
      </c>
    </row>
    <row r="3" spans="1:57" s="46" customFormat="1" x14ac:dyDescent="0.25">
      <c r="A3" t="s">
        <v>286</v>
      </c>
      <c r="C3" s="19"/>
      <c r="D3" s="19"/>
      <c r="E3" s="19"/>
      <c r="F3" s="19"/>
      <c r="G3" s="19" t="s">
        <v>261</v>
      </c>
      <c r="H3" s="19" t="s">
        <v>261</v>
      </c>
      <c r="I3" s="19" t="s">
        <v>261</v>
      </c>
      <c r="J3" s="19" t="s">
        <v>261</v>
      </c>
      <c r="K3" s="19" t="s">
        <v>261</v>
      </c>
      <c r="L3" s="19" t="s">
        <v>261</v>
      </c>
      <c r="M3" s="19" t="s">
        <v>261</v>
      </c>
      <c r="N3" s="19" t="s">
        <v>261</v>
      </c>
      <c r="O3" s="19" t="s">
        <v>261</v>
      </c>
      <c r="P3" s="19" t="s">
        <v>261</v>
      </c>
      <c r="Q3" s="19" t="s">
        <v>261</v>
      </c>
      <c r="R3" s="19" t="s">
        <v>261</v>
      </c>
      <c r="S3" s="19" t="s">
        <v>261</v>
      </c>
      <c r="T3" s="19" t="s">
        <v>261</v>
      </c>
      <c r="U3" s="19" t="s">
        <v>261</v>
      </c>
      <c r="V3" s="19" t="s">
        <v>261</v>
      </c>
      <c r="W3" s="19" t="s">
        <v>261</v>
      </c>
      <c r="X3" s="19" t="s">
        <v>261</v>
      </c>
      <c r="Y3" s="19" t="s">
        <v>261</v>
      </c>
      <c r="Z3" s="19" t="s">
        <v>261</v>
      </c>
      <c r="AA3" s="19" t="s">
        <v>261</v>
      </c>
      <c r="AB3" s="19" t="s">
        <v>261</v>
      </c>
      <c r="AC3" s="19" t="s">
        <v>261</v>
      </c>
      <c r="AD3" s="19" t="s">
        <v>261</v>
      </c>
      <c r="AE3" s="19" t="s">
        <v>261</v>
      </c>
      <c r="AF3" s="19"/>
      <c r="AG3" s="194"/>
      <c r="AH3" s="194"/>
      <c r="AI3" s="194"/>
      <c r="AJ3" s="194"/>
      <c r="AK3" s="194"/>
      <c r="AL3" s="194"/>
      <c r="AM3" s="194"/>
      <c r="AN3" s="19"/>
      <c r="AO3" s="19"/>
      <c r="AP3" s="19"/>
      <c r="AQ3" s="19"/>
      <c r="AR3" s="19"/>
      <c r="AS3" s="19"/>
      <c r="AT3" s="19"/>
      <c r="AU3" s="19"/>
      <c r="AV3" s="19"/>
      <c r="AW3" s="19"/>
      <c r="AX3" s="19"/>
      <c r="AY3" s="19"/>
      <c r="AZ3" s="19"/>
      <c r="BA3" s="19"/>
      <c r="BB3" s="19"/>
      <c r="BC3" s="19"/>
      <c r="BD3" s="19"/>
      <c r="BE3" s="19"/>
    </row>
    <row r="4" spans="1:57" s="46" customFormat="1" x14ac:dyDescent="0.25">
      <c r="A4" t="s">
        <v>287</v>
      </c>
      <c r="C4" s="19"/>
      <c r="D4" s="19"/>
      <c r="E4" s="19"/>
      <c r="F4" s="19"/>
      <c r="G4" s="19" t="s">
        <v>184</v>
      </c>
      <c r="H4" s="19" t="s">
        <v>184</v>
      </c>
      <c r="I4" s="19" t="s">
        <v>184</v>
      </c>
      <c r="J4" s="19" t="s">
        <v>184</v>
      </c>
      <c r="K4" s="19" t="s">
        <v>184</v>
      </c>
      <c r="L4" s="19" t="s">
        <v>190</v>
      </c>
      <c r="M4" s="19" t="s">
        <v>190</v>
      </c>
      <c r="N4" s="19" t="s">
        <v>190</v>
      </c>
      <c r="O4" s="19" t="s">
        <v>190</v>
      </c>
      <c r="P4" s="19" t="s">
        <v>190</v>
      </c>
      <c r="Q4" s="19" t="s">
        <v>192</v>
      </c>
      <c r="R4" s="19" t="s">
        <v>192</v>
      </c>
      <c r="S4" s="19" t="s">
        <v>192</v>
      </c>
      <c r="T4" s="19" t="s">
        <v>192</v>
      </c>
      <c r="U4" s="19" t="s">
        <v>192</v>
      </c>
      <c r="V4" s="19" t="s">
        <v>196</v>
      </c>
      <c r="W4" s="19" t="s">
        <v>196</v>
      </c>
      <c r="X4" s="19" t="s">
        <v>196</v>
      </c>
      <c r="Y4" s="19" t="s">
        <v>196</v>
      </c>
      <c r="Z4" s="19" t="s">
        <v>196</v>
      </c>
      <c r="AA4" s="19" t="s">
        <v>194</v>
      </c>
      <c r="AB4" s="19" t="s">
        <v>194</v>
      </c>
      <c r="AC4" s="19" t="s">
        <v>194</v>
      </c>
      <c r="AD4" s="19" t="s">
        <v>194</v>
      </c>
      <c r="AE4" s="19" t="s">
        <v>194</v>
      </c>
      <c r="AF4" s="19"/>
      <c r="AG4" s="194"/>
      <c r="AH4" s="194"/>
      <c r="AI4" s="194"/>
      <c r="AJ4" s="194"/>
      <c r="AK4" s="194"/>
      <c r="AL4" s="194"/>
      <c r="AM4" s="194"/>
      <c r="AN4" s="19"/>
      <c r="AO4" s="19"/>
      <c r="AP4" s="19"/>
      <c r="AQ4" s="19"/>
      <c r="AR4" s="19"/>
      <c r="AS4" s="19"/>
      <c r="AT4" s="19"/>
      <c r="AU4" s="19"/>
      <c r="AV4" s="19"/>
      <c r="AW4" s="19"/>
      <c r="AX4" s="19"/>
      <c r="AY4" s="19"/>
      <c r="AZ4" s="19"/>
      <c r="BA4" s="19"/>
      <c r="BB4" s="19"/>
      <c r="BC4" s="19"/>
      <c r="BD4" s="19"/>
      <c r="BE4" s="19"/>
    </row>
    <row r="5" spans="1:57" s="46" customFormat="1" x14ac:dyDescent="0.25">
      <c r="A5" t="s">
        <v>288</v>
      </c>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4"/>
      <c r="AH5" s="194"/>
      <c r="AI5" s="194"/>
      <c r="AJ5" s="194"/>
      <c r="AK5" s="194"/>
      <c r="AL5" s="194"/>
      <c r="AM5" s="194"/>
      <c r="AN5" s="19"/>
      <c r="AO5" s="19"/>
      <c r="AP5" s="19"/>
      <c r="AQ5" s="19"/>
      <c r="AR5" s="19"/>
      <c r="AS5" s="19"/>
      <c r="AT5" s="19"/>
      <c r="AU5" s="19"/>
      <c r="AV5" s="19"/>
      <c r="AW5" s="19"/>
      <c r="AX5" s="19"/>
      <c r="AY5" s="19"/>
      <c r="AZ5" s="19"/>
      <c r="BA5" s="19"/>
      <c r="BB5" s="19"/>
      <c r="BC5" s="19"/>
      <c r="BD5" s="19"/>
      <c r="BE5" s="19"/>
    </row>
    <row r="6" spans="1:57" s="46" customFormat="1" x14ac:dyDescent="0.25">
      <c r="A6" t="s">
        <v>289</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4"/>
      <c r="AH6" s="194"/>
      <c r="AI6" s="194"/>
      <c r="AJ6" s="194"/>
      <c r="AK6" s="194"/>
      <c r="AL6" s="194"/>
      <c r="AM6" s="194"/>
      <c r="AN6" s="19"/>
      <c r="AO6" s="19"/>
      <c r="AP6" s="19"/>
      <c r="AQ6" s="19"/>
      <c r="AR6" s="19"/>
      <c r="AS6" s="19"/>
      <c r="AT6" s="19"/>
      <c r="AU6" s="19"/>
      <c r="AV6" s="19"/>
      <c r="AW6" s="19"/>
      <c r="AX6" s="19"/>
      <c r="AY6" s="19"/>
      <c r="AZ6" s="19"/>
      <c r="BA6" s="19"/>
      <c r="BB6" s="19"/>
      <c r="BC6" s="19"/>
      <c r="BD6" s="19"/>
      <c r="BE6" s="19"/>
    </row>
    <row r="7" spans="1:57" s="46" customFormat="1" x14ac:dyDescent="0.25">
      <c r="A7" t="s">
        <v>290</v>
      </c>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4"/>
      <c r="AH7" s="194"/>
      <c r="AI7" s="194"/>
      <c r="AJ7" s="194"/>
      <c r="AK7" s="194"/>
      <c r="AL7" s="194"/>
      <c r="AM7" s="194"/>
      <c r="AN7" s="19"/>
      <c r="AO7" s="19"/>
      <c r="AP7" s="19"/>
      <c r="AQ7" s="19"/>
      <c r="AR7" s="19"/>
      <c r="AS7" s="19"/>
      <c r="AT7" s="19"/>
      <c r="AU7" s="19"/>
      <c r="AV7" s="19"/>
      <c r="AW7" s="19"/>
      <c r="AX7" s="19"/>
      <c r="AY7" s="19"/>
      <c r="AZ7" s="19"/>
      <c r="BA7" s="19"/>
      <c r="BB7" s="19"/>
      <c r="BC7" s="19"/>
      <c r="BD7" s="19"/>
      <c r="BE7" s="19"/>
    </row>
    <row r="8" spans="1:57" s="46" customFormat="1" x14ac:dyDescent="0.25">
      <c r="A8" t="s">
        <v>291</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4"/>
      <c r="AH8" s="194"/>
      <c r="AI8" s="194"/>
      <c r="AJ8" s="194"/>
      <c r="AK8" s="194"/>
      <c r="AL8" s="194"/>
      <c r="AM8" s="194"/>
      <c r="AN8" s="19"/>
      <c r="AO8" s="19"/>
      <c r="AP8" s="19"/>
      <c r="AQ8" s="19"/>
      <c r="AR8" s="19"/>
      <c r="AS8" s="19"/>
      <c r="AT8" s="19"/>
      <c r="AU8" s="19"/>
      <c r="AV8" s="19"/>
      <c r="AW8" s="19"/>
      <c r="AX8" s="19"/>
      <c r="AY8" s="19"/>
      <c r="AZ8" s="19"/>
      <c r="BA8" s="19"/>
      <c r="BB8" s="19"/>
      <c r="BC8" s="19"/>
      <c r="BD8" s="19"/>
      <c r="BE8" s="19"/>
    </row>
    <row r="9" spans="1:57" s="46" customFormat="1" x14ac:dyDescent="0.25">
      <c r="A9" t="s">
        <v>118</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4"/>
      <c r="AH9" s="194"/>
      <c r="AI9" s="194"/>
      <c r="AJ9" s="194"/>
      <c r="AK9" s="194"/>
      <c r="AL9" s="194"/>
      <c r="AM9" s="194"/>
      <c r="AN9" s="19"/>
      <c r="AO9" s="19"/>
      <c r="AP9" s="19"/>
      <c r="AQ9" s="19"/>
      <c r="AR9" s="19"/>
      <c r="AS9" s="19"/>
      <c r="AT9" s="19"/>
      <c r="AU9" s="19"/>
      <c r="AV9" s="19"/>
      <c r="AW9" s="19"/>
      <c r="AX9" s="19"/>
      <c r="AY9" s="19"/>
      <c r="AZ9" s="19"/>
      <c r="BA9" s="19"/>
      <c r="BB9" s="19"/>
      <c r="BC9" s="19"/>
      <c r="BD9" s="19"/>
      <c r="BE9" s="19"/>
    </row>
    <row r="10" spans="1:57" s="46" customFormat="1" x14ac:dyDescent="0.25">
      <c r="A10" t="s">
        <v>292</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4"/>
      <c r="AH10" s="194"/>
      <c r="AI10" s="194"/>
      <c r="AJ10" s="194"/>
      <c r="AK10" s="194"/>
      <c r="AL10" s="194"/>
      <c r="AM10" s="194"/>
      <c r="AN10" s="19"/>
      <c r="AO10" s="19"/>
      <c r="AP10" s="19"/>
      <c r="AQ10" s="19"/>
      <c r="AR10" s="19"/>
      <c r="AS10" s="19"/>
      <c r="AT10" s="19"/>
      <c r="AU10" s="19"/>
      <c r="AV10" s="19"/>
      <c r="AW10" s="19"/>
      <c r="AX10" s="19"/>
      <c r="AY10" s="19"/>
      <c r="AZ10" s="19"/>
      <c r="BA10" s="19"/>
      <c r="BB10" s="19"/>
      <c r="BC10" s="19"/>
      <c r="BD10" s="19"/>
      <c r="BE10" s="19"/>
    </row>
    <row r="11" spans="1:57" s="46" customFormat="1" x14ac:dyDescent="0.25">
      <c r="A11" t="s">
        <v>293</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4"/>
      <c r="AH11" s="194"/>
      <c r="AI11" s="194"/>
      <c r="AJ11" s="194"/>
      <c r="AK11" s="194"/>
      <c r="AL11" s="194"/>
      <c r="AM11" s="194"/>
      <c r="AN11" s="19"/>
      <c r="AO11" s="19"/>
      <c r="AP11" s="19"/>
      <c r="AQ11" s="19"/>
      <c r="AR11" s="19"/>
      <c r="AS11" s="19"/>
      <c r="AT11" s="19"/>
      <c r="AU11" s="19"/>
      <c r="AV11" s="19"/>
      <c r="AW11" s="19"/>
      <c r="AX11" s="19"/>
      <c r="AY11" s="19"/>
      <c r="AZ11" s="19"/>
      <c r="BA11" s="19"/>
      <c r="BB11" s="19"/>
      <c r="BC11" s="19"/>
      <c r="BD11" s="19"/>
      <c r="BE11" s="19"/>
    </row>
    <row r="12" spans="1:57" s="46" customFormat="1" x14ac:dyDescent="0.25">
      <c r="A12" t="s">
        <v>294</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4"/>
      <c r="AH12" s="194"/>
      <c r="AI12" s="194"/>
      <c r="AJ12" s="194"/>
      <c r="AK12" s="194"/>
      <c r="AL12" s="194"/>
      <c r="AM12" s="194"/>
      <c r="AN12" s="19"/>
      <c r="AO12" s="19"/>
      <c r="AP12" s="19"/>
      <c r="AQ12" s="19"/>
      <c r="AR12" s="19"/>
      <c r="AS12" s="19"/>
      <c r="AT12" s="19"/>
      <c r="AU12" s="19"/>
      <c r="AV12" s="19"/>
      <c r="AW12" s="19"/>
      <c r="AX12" s="19"/>
      <c r="AY12" s="19"/>
      <c r="AZ12" s="19"/>
      <c r="BA12" s="19"/>
      <c r="BB12" s="19"/>
      <c r="BC12" s="19"/>
      <c r="BD12" s="19"/>
      <c r="BE12" s="19"/>
    </row>
    <row r="13" spans="1:57" s="46" customFormat="1" x14ac:dyDescent="0.25">
      <c r="A13" t="s">
        <v>295</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4"/>
      <c r="AH13" s="194"/>
      <c r="AI13" s="194"/>
      <c r="AJ13" s="194"/>
      <c r="AK13" s="194"/>
      <c r="AL13" s="194"/>
      <c r="AM13" s="194"/>
      <c r="AN13" s="19"/>
      <c r="AO13" s="19"/>
      <c r="AP13" s="19"/>
      <c r="AQ13" s="19"/>
      <c r="AR13" s="19"/>
      <c r="AS13" s="19"/>
      <c r="AT13" s="19"/>
      <c r="AU13" s="19"/>
      <c r="AV13" s="19"/>
      <c r="AW13" s="19"/>
      <c r="AX13" s="19"/>
      <c r="AY13" s="19"/>
      <c r="AZ13" s="19"/>
      <c r="BA13" s="19"/>
      <c r="BB13" s="19"/>
      <c r="BC13" s="19"/>
      <c r="BD13" s="19"/>
      <c r="BE13" s="19"/>
    </row>
    <row r="14" spans="1:57" s="46" customFormat="1" x14ac:dyDescent="0.25">
      <c r="A14" t="s">
        <v>296</v>
      </c>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4"/>
      <c r="AH14" s="194"/>
      <c r="AI14" s="194"/>
      <c r="AJ14" s="194"/>
      <c r="AK14" s="194"/>
      <c r="AL14" s="194"/>
      <c r="AM14" s="194"/>
      <c r="AN14" s="19"/>
      <c r="AO14" s="19"/>
      <c r="AP14" s="19"/>
      <c r="AQ14" s="19"/>
      <c r="AR14" s="19"/>
      <c r="AS14" s="19"/>
      <c r="AT14" s="19"/>
      <c r="AU14" s="19"/>
      <c r="AV14" s="19"/>
      <c r="AW14" s="19"/>
      <c r="AX14" s="19"/>
      <c r="AY14" s="19"/>
      <c r="AZ14" s="19"/>
      <c r="BA14" s="19"/>
      <c r="BB14" s="19"/>
      <c r="BC14" s="19"/>
      <c r="BD14" s="19"/>
      <c r="BE14" s="19"/>
    </row>
    <row r="15" spans="1:57" s="46" customFormat="1" x14ac:dyDescent="0.25">
      <c r="A15" t="s">
        <v>297</v>
      </c>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4"/>
      <c r="AH15" s="194"/>
      <c r="AI15" s="194"/>
      <c r="AJ15" s="194"/>
      <c r="AK15" s="194"/>
      <c r="AL15" s="194"/>
      <c r="AM15" s="194"/>
      <c r="AN15" s="19"/>
      <c r="AO15" s="19"/>
      <c r="AP15" s="19"/>
      <c r="AQ15" s="19"/>
      <c r="AR15" s="19"/>
      <c r="AS15" s="19"/>
      <c r="AT15" s="19"/>
      <c r="AU15" s="19"/>
      <c r="AV15" s="19"/>
      <c r="AW15" s="19"/>
      <c r="AX15" s="19"/>
      <c r="AY15" s="19"/>
      <c r="AZ15" s="19"/>
      <c r="BA15" s="19"/>
      <c r="BB15" s="19"/>
      <c r="BC15" s="19"/>
      <c r="BD15" s="19"/>
      <c r="BE15" s="19"/>
    </row>
    <row r="16" spans="1:57" s="46" customFormat="1" ht="30.75" thickBot="1" x14ac:dyDescent="0.3">
      <c r="A16" t="s">
        <v>298</v>
      </c>
      <c r="C16" s="19"/>
      <c r="D16" s="19"/>
      <c r="E16" s="19"/>
      <c r="F16" s="19"/>
      <c r="G16" s="19" t="s">
        <v>299</v>
      </c>
      <c r="H16" s="19" t="s">
        <v>300</v>
      </c>
      <c r="I16" s="19" t="s">
        <v>301</v>
      </c>
      <c r="J16" s="19" t="s">
        <v>302</v>
      </c>
      <c r="K16" s="19" t="s">
        <v>303</v>
      </c>
      <c r="L16" s="19"/>
      <c r="M16" s="19"/>
      <c r="N16" s="19"/>
      <c r="O16" s="19"/>
      <c r="P16" s="19"/>
      <c r="Q16" s="19"/>
      <c r="R16" s="19"/>
      <c r="S16" s="19"/>
      <c r="T16" s="19"/>
      <c r="U16" s="19"/>
      <c r="V16" s="19"/>
      <c r="W16" s="19"/>
      <c r="X16" s="19"/>
      <c r="Y16" s="19"/>
      <c r="Z16" s="19"/>
      <c r="AA16" s="19"/>
      <c r="AB16" s="19"/>
      <c r="AC16" s="19"/>
      <c r="AD16" s="19"/>
      <c r="AE16" s="19"/>
      <c r="AF16" s="19"/>
      <c r="AG16" s="194"/>
      <c r="AH16" s="194"/>
      <c r="AI16" s="194"/>
      <c r="AJ16" s="194"/>
      <c r="AK16" s="194"/>
      <c r="AL16" s="194"/>
      <c r="AM16" s="194"/>
      <c r="AN16" s="19"/>
      <c r="AO16" s="19"/>
      <c r="AP16" s="19"/>
      <c r="AQ16" s="19"/>
      <c r="AR16" s="19"/>
      <c r="AS16" s="19"/>
      <c r="AT16" s="19"/>
      <c r="AU16" s="19"/>
      <c r="AV16" s="19"/>
      <c r="AW16" s="19"/>
      <c r="AX16" s="19"/>
      <c r="AY16" s="19"/>
      <c r="AZ16" s="19"/>
      <c r="BA16" s="19"/>
      <c r="BB16" s="19"/>
      <c r="BC16" s="19"/>
      <c r="BD16" s="19"/>
      <c r="BE16" s="19"/>
    </row>
    <row r="17" spans="1:58" ht="15.75" thickBot="1" x14ac:dyDescent="0.3">
      <c r="C17" s="21" t="s">
        <v>304</v>
      </c>
      <c r="D17" s="21">
        <v>67435</v>
      </c>
      <c r="E17" s="21" t="s">
        <v>305</v>
      </c>
      <c r="F17" s="21" t="s">
        <v>306</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t="s">
        <v>307</v>
      </c>
      <c r="AG17" s="163" t="s">
        <v>308</v>
      </c>
      <c r="AH17" s="163" t="s">
        <v>309</v>
      </c>
      <c r="AI17" s="163">
        <v>12</v>
      </c>
      <c r="AJ17" s="163"/>
      <c r="AK17" s="163"/>
      <c r="AL17" s="163"/>
      <c r="AM17" s="163"/>
      <c r="AN17" s="21" t="s">
        <v>310</v>
      </c>
      <c r="AO17" s="21" t="s">
        <v>311</v>
      </c>
      <c r="AP17" s="21" t="s">
        <v>312</v>
      </c>
      <c r="AQ17" s="21" t="s">
        <v>308</v>
      </c>
      <c r="AR17" s="21"/>
      <c r="AS17" s="21">
        <v>75</v>
      </c>
      <c r="AT17" s="21">
        <v>-10</v>
      </c>
      <c r="AU17" s="21" t="s">
        <v>313</v>
      </c>
      <c r="AV17" s="21" t="s">
        <v>308</v>
      </c>
      <c r="AW17" s="21" t="s">
        <v>314</v>
      </c>
      <c r="AX17" s="21" t="s">
        <v>314</v>
      </c>
      <c r="AY17" s="21"/>
      <c r="AZ17" s="21"/>
      <c r="BA17" s="21" t="s">
        <v>308</v>
      </c>
      <c r="BB17" s="21" t="s">
        <v>314</v>
      </c>
      <c r="BC17" s="21" t="s">
        <v>315</v>
      </c>
      <c r="BD17" s="21" t="s">
        <v>314</v>
      </c>
      <c r="BE17" s="21"/>
      <c r="BF17" s="21"/>
    </row>
    <row r="18" spans="1:58" x14ac:dyDescent="0.25">
      <c r="C18" s="24" t="s">
        <v>316</v>
      </c>
      <c r="D18" s="24" t="s">
        <v>317</v>
      </c>
      <c r="E18" s="24" t="s">
        <v>318</v>
      </c>
      <c r="F18" s="24" t="s">
        <v>319</v>
      </c>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H18" s="159" t="s">
        <v>320</v>
      </c>
      <c r="AI18" s="159" t="s">
        <v>321</v>
      </c>
      <c r="AK18" s="159" t="s">
        <v>321</v>
      </c>
      <c r="AM18" s="159" t="s">
        <v>321</v>
      </c>
      <c r="AN18" s="26" t="str">
        <f>IF(AN17=Daten!E54, "keine WDVS empfehlen","WDVS können empfohlen werden")</f>
        <v>WDVS können empfohlen werden</v>
      </c>
      <c r="AO18" s="26" t="str">
        <f>IF(AO17=Daten!E58,"Pauschal für WP geeignet",IF(AO17=Daten!E60,"Maßnahmen für den optimalen WP-Betrieb erforderlich",IF(AO17=Daten!E61,"Pauschal für WP geeignet",IF(AO17=Daten!E62,"Maßnahmen für den optimalen WP-Betrieb erforderlich",""))))</f>
        <v/>
      </c>
      <c r="AQ18" t="s">
        <v>322</v>
      </c>
      <c r="AS18" t="s">
        <v>322</v>
      </c>
      <c r="AT18" t="s">
        <v>323</v>
      </c>
      <c r="AU18" s="26" t="str">
        <f>IF(AU17="Zweirohrheizung","Bitte überprüfen Sie, ob ihr Heizsystem hydraulisch abgeglichen ist","")</f>
        <v>Bitte überprüfen Sie, ob ihr Heizsystem hydraulisch abgeglichen ist</v>
      </c>
      <c r="AV18" t="str">
        <f>IF(AV17="Ja","Bitte wählen Sie die Räume aus, die am schlechtesten warm werden")</f>
        <v>Bitte wählen Sie die Räume aus, die am schlechtesten warm werden</v>
      </c>
      <c r="BA18" t="str">
        <f>IF(BA17="Ja","Bitte wählen Sie die Räume mit den meisten Außenbauteilen aus")</f>
        <v>Bitte wählen Sie die Räume mit den meisten Außenbauteilen aus</v>
      </c>
    </row>
    <row r="19" spans="1:58" x14ac:dyDescent="0.25">
      <c r="AQ19" s="24" t="s">
        <v>324</v>
      </c>
      <c r="AR19" s="24" t="s">
        <v>325</v>
      </c>
      <c r="AT19" s="24" t="s">
        <v>326</v>
      </c>
    </row>
    <row r="20" spans="1:58" x14ac:dyDescent="0.25">
      <c r="AR20" s="24" t="s">
        <v>327</v>
      </c>
      <c r="AT20" s="24">
        <f>AT17*-1.8257+43.457+AT17</f>
        <v>51.713999999999999</v>
      </c>
    </row>
    <row r="21" spans="1:58" x14ac:dyDescent="0.25">
      <c r="AR21" s="24" t="s">
        <v>328</v>
      </c>
      <c r="AT21" t="s">
        <v>282</v>
      </c>
    </row>
    <row r="25" spans="1:58" x14ac:dyDescent="0.25">
      <c r="A25" s="20"/>
    </row>
    <row r="26" spans="1:58" x14ac:dyDescent="0.25">
      <c r="A26" s="20"/>
      <c r="E26" s="160" t="s">
        <v>329</v>
      </c>
      <c r="AG26" s="160" t="s">
        <v>330</v>
      </c>
      <c r="AH26" s="195"/>
      <c r="AI26" s="195"/>
      <c r="AK26" s="195"/>
      <c r="AL26" s="195"/>
      <c r="AM26" s="195"/>
      <c r="AN26" s="46"/>
      <c r="AO26" s="46"/>
      <c r="AP26" s="46"/>
      <c r="AQ26" s="46"/>
      <c r="AS26" s="46"/>
      <c r="AT26" s="46"/>
      <c r="AU26" s="46"/>
      <c r="AV26" s="46"/>
      <c r="AW26" s="46"/>
      <c r="AX26" s="46"/>
      <c r="AY26" s="46"/>
      <c r="AZ26" s="46"/>
      <c r="BA26" s="46"/>
      <c r="BB26" s="46"/>
    </row>
    <row r="27" spans="1:58" x14ac:dyDescent="0.25">
      <c r="A27" s="20"/>
      <c r="E27" t="s">
        <v>331</v>
      </c>
      <c r="G27" t="s">
        <v>332</v>
      </c>
      <c r="AK27" s="160"/>
    </row>
    <row r="28" spans="1:58" ht="15" customHeight="1" x14ac:dyDescent="0.25">
      <c r="A28" s="20"/>
      <c r="E28" s="24"/>
      <c r="AK28" s="160"/>
    </row>
    <row r="29" spans="1:58" x14ac:dyDescent="0.25">
      <c r="A29" s="20"/>
      <c r="AK29" s="160"/>
    </row>
    <row r="30" spans="1:58" x14ac:dyDescent="0.25">
      <c r="A30" s="20"/>
      <c r="E30" s="24"/>
      <c r="AK30" s="160"/>
    </row>
    <row r="31" spans="1:58" x14ac:dyDescent="0.25">
      <c r="A31" s="20"/>
      <c r="AK31" s="160"/>
    </row>
    <row r="32" spans="1:58" x14ac:dyDescent="0.25">
      <c r="A32" s="20"/>
      <c r="AK32" s="160"/>
    </row>
    <row r="33" spans="1:41" x14ac:dyDescent="0.25">
      <c r="A33" s="20"/>
      <c r="AK33" s="160"/>
    </row>
    <row r="34" spans="1:41" x14ac:dyDescent="0.25">
      <c r="A34" s="20"/>
      <c r="AK34" s="160"/>
    </row>
    <row r="35" spans="1:41" x14ac:dyDescent="0.25">
      <c r="A35" s="20"/>
      <c r="AK35" s="160"/>
      <c r="AO35" s="24"/>
    </row>
    <row r="36" spans="1:41" x14ac:dyDescent="0.25">
      <c r="A36" s="20"/>
      <c r="AK36" s="160"/>
      <c r="AO36" s="24"/>
    </row>
    <row r="37" spans="1:41" x14ac:dyDescent="0.25">
      <c r="A37" s="20"/>
      <c r="AK37" s="160"/>
      <c r="AO37" s="24"/>
    </row>
    <row r="38" spans="1:41" x14ac:dyDescent="0.25">
      <c r="A38" s="20"/>
      <c r="AK38" s="160"/>
      <c r="AO38" s="24"/>
    </row>
    <row r="39" spans="1:41" x14ac:dyDescent="0.25">
      <c r="A39" s="20"/>
      <c r="AK39" s="160"/>
      <c r="AO39" s="24"/>
    </row>
    <row r="40" spans="1:41" x14ac:dyDescent="0.25">
      <c r="A40" s="20"/>
      <c r="AK40" s="160"/>
    </row>
    <row r="41" spans="1:41" x14ac:dyDescent="0.25">
      <c r="A41" s="20"/>
      <c r="AK41" s="160"/>
      <c r="AO41" s="24"/>
    </row>
    <row r="42" spans="1:41" x14ac:dyDescent="0.25">
      <c r="A42" s="20"/>
      <c r="AK42" s="160"/>
      <c r="AO42" s="24"/>
    </row>
    <row r="43" spans="1:41" x14ac:dyDescent="0.25">
      <c r="A43" s="20"/>
      <c r="AK43" s="160"/>
      <c r="AO43" s="24"/>
    </row>
    <row r="44" spans="1:41" x14ac:dyDescent="0.25">
      <c r="A44" s="20"/>
      <c r="AK44" s="160"/>
      <c r="AO44" s="24"/>
    </row>
    <row r="45" spans="1:41" x14ac:dyDescent="0.25">
      <c r="A45" s="20"/>
      <c r="AK45" s="160"/>
      <c r="AO45" s="24"/>
    </row>
    <row r="46" spans="1:41" x14ac:dyDescent="0.25">
      <c r="A46" s="20"/>
      <c r="AK46" s="160"/>
      <c r="AO46" s="24"/>
    </row>
    <row r="47" spans="1:41" x14ac:dyDescent="0.25">
      <c r="A47" s="20"/>
      <c r="AK47" s="160"/>
      <c r="AO47" s="24"/>
    </row>
    <row r="48" spans="1:41" x14ac:dyDescent="0.25">
      <c r="A48" s="20"/>
      <c r="AK48" s="160"/>
      <c r="AO48" s="24"/>
    </row>
    <row r="49" spans="1:42" x14ac:dyDescent="0.25">
      <c r="A49" s="20"/>
      <c r="AK49" s="160"/>
      <c r="AO49" s="24"/>
    </row>
    <row r="50" spans="1:42" x14ac:dyDescent="0.25">
      <c r="A50" s="20"/>
      <c r="AK50" s="160"/>
      <c r="AO50" s="24"/>
    </row>
    <row r="51" spans="1:42" x14ac:dyDescent="0.25">
      <c r="A51" s="20"/>
      <c r="AK51" s="160"/>
      <c r="AO51" s="24"/>
    </row>
    <row r="52" spans="1:42" x14ac:dyDescent="0.25">
      <c r="A52" s="20"/>
      <c r="AK52" s="160"/>
      <c r="AO52" s="24"/>
    </row>
    <row r="53" spans="1:42" x14ac:dyDescent="0.25">
      <c r="A53" s="20"/>
      <c r="AK53" s="160"/>
      <c r="AO53" s="24"/>
    </row>
    <row r="54" spans="1:42" x14ac:dyDescent="0.25">
      <c r="A54" s="20"/>
      <c r="AK54" s="160"/>
      <c r="AO54" s="24"/>
    </row>
    <row r="55" spans="1:42" x14ac:dyDescent="0.25">
      <c r="A55" s="20"/>
      <c r="AK55" s="160"/>
      <c r="AO55" s="24"/>
    </row>
    <row r="56" spans="1:42" x14ac:dyDescent="0.25">
      <c r="A56" s="20"/>
      <c r="AK56" s="160"/>
      <c r="AO56" s="24"/>
    </row>
    <row r="57" spans="1:42" x14ac:dyDescent="0.25">
      <c r="A57" s="20"/>
      <c r="AK57" s="160"/>
    </row>
    <row r="58" spans="1:42" x14ac:dyDescent="0.25">
      <c r="A58" s="20"/>
      <c r="AK58" s="160"/>
      <c r="AO58" s="24"/>
    </row>
    <row r="59" spans="1:42" x14ac:dyDescent="0.25">
      <c r="AK59" s="160"/>
    </row>
    <row r="60" spans="1:42" x14ac:dyDescent="0.25">
      <c r="AK60" s="160"/>
      <c r="AO60" s="24"/>
    </row>
    <row r="61" spans="1:42" x14ac:dyDescent="0.25">
      <c r="AK61" s="160"/>
      <c r="AO61" s="24"/>
    </row>
    <row r="62" spans="1:42" x14ac:dyDescent="0.25">
      <c r="AK62" s="160"/>
      <c r="AP62" s="24"/>
    </row>
    <row r="63" spans="1:42" x14ac:dyDescent="0.25">
      <c r="AK63" s="160"/>
      <c r="AP63" s="24"/>
    </row>
    <row r="64" spans="1:42" x14ac:dyDescent="0.25">
      <c r="AK64" s="160"/>
    </row>
    <row r="65" spans="37:44" x14ac:dyDescent="0.25">
      <c r="AK65" s="160"/>
      <c r="AP65" s="24"/>
    </row>
    <row r="66" spans="37:44" x14ac:dyDescent="0.25">
      <c r="AQ66" s="24"/>
      <c r="AR66" s="24"/>
    </row>
    <row r="67" spans="37:44" x14ac:dyDescent="0.25">
      <c r="AP67" s="24"/>
    </row>
    <row r="68" spans="37:44" x14ac:dyDescent="0.25">
      <c r="AK68" s="160"/>
      <c r="AP68" s="24"/>
    </row>
    <row r="69" spans="37:44" x14ac:dyDescent="0.25">
      <c r="AK69" s="160"/>
      <c r="AO69" s="136" t="str">
        <f>IF(AO17="elektrische Nachtspeicherheizung","Frage 1.5 nicht stellen",IF(AO17="Luftheizung","Frage nicht stellen!",""))</f>
        <v/>
      </c>
      <c r="AP69" s="24"/>
    </row>
    <row r="70" spans="37:44" x14ac:dyDescent="0.25">
      <c r="AK70" s="160"/>
    </row>
    <row r="71" spans="37:44" x14ac:dyDescent="0.25">
      <c r="AO71" s="24"/>
    </row>
    <row r="72" spans="37:44" x14ac:dyDescent="0.25">
      <c r="AO72" s="24"/>
    </row>
    <row r="73" spans="37:44" x14ac:dyDescent="0.25">
      <c r="AO73" s="24"/>
    </row>
    <row r="74" spans="37:44" x14ac:dyDescent="0.25">
      <c r="AO74" s="24"/>
    </row>
    <row r="75" spans="37:44" x14ac:dyDescent="0.25">
      <c r="AO75" s="24"/>
    </row>
    <row r="76" spans="37:44" x14ac:dyDescent="0.25">
      <c r="AO76" s="24"/>
    </row>
    <row r="77" spans="37:44" x14ac:dyDescent="0.25">
      <c r="AO77" s="24"/>
    </row>
    <row r="78" spans="37:44" x14ac:dyDescent="0.25">
      <c r="AO78" s="24"/>
    </row>
    <row r="79" spans="37:44" x14ac:dyDescent="0.25">
      <c r="AO79" s="24"/>
    </row>
    <row r="80" spans="37:44" x14ac:dyDescent="0.25">
      <c r="AO80" s="24"/>
    </row>
    <row r="81" spans="37:41" x14ac:dyDescent="0.25">
      <c r="AK81" s="160"/>
      <c r="AO81" s="24"/>
    </row>
  </sheetData>
  <pageMargins left="0.7" right="0.7" top="0.78740157499999996" bottom="0.78740157499999996" header="0.3" footer="0.3"/>
  <pageSetup paperSize="9" orientation="portrait" horizontalDpi="4294967293" r:id="rId1"/>
  <legacy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FB2B958C-B13C-4A86-8194-166737DA4E53}">
          <x14:formula1>
            <xm:f>Daten!$E$4:$E$7</xm:f>
          </x14:formula1>
          <xm:sqref>C17</xm:sqref>
        </x14:dataValidation>
        <x14:dataValidation type="list" allowBlank="1" showInputMessage="1" showErrorMessage="1" xr:uid="{76E92339-AA06-4080-A868-961A2037BB10}">
          <x14:formula1>
            <xm:f>Daten!$E$17:$E$29</xm:f>
          </x14:formula1>
          <xm:sqref>F17:AE17</xm:sqref>
        </x14:dataValidation>
        <x14:dataValidation type="list" allowBlank="1" showInputMessage="1" showErrorMessage="1" xr:uid="{308BED83-8137-45D0-AF1F-5A8A9ACBEC39}">
          <x14:formula1>
            <xm:f>Daten!$E$31:$E$40</xm:f>
          </x14:formula1>
          <xm:sqref>AF17</xm:sqref>
        </x14:dataValidation>
        <x14:dataValidation type="list" allowBlank="1" showInputMessage="1" showErrorMessage="1" xr:uid="{C87B2EBB-5EEE-4A90-84A5-EF2C4A2FEAFC}">
          <x14:formula1>
            <xm:f>Daten!$E$53:$E$54</xm:f>
          </x14:formula1>
          <xm:sqref>AN17</xm:sqref>
        </x14:dataValidation>
        <x14:dataValidation type="list" allowBlank="1" showInputMessage="1" showErrorMessage="1" xr:uid="{B1A56B30-40AF-4EB0-A288-7C291FBD3A50}">
          <x14:formula1>
            <xm:f>Daten!$E$57:$E$63</xm:f>
          </x14:formula1>
          <xm:sqref>AO17</xm:sqref>
        </x14:dataValidation>
        <x14:dataValidation type="list" allowBlank="1" showInputMessage="1" showErrorMessage="1" xr:uid="{531136BA-AAC1-4E1E-8139-FAFC00D14D45}">
          <x14:formula1>
            <xm:f>Daten!$E$66:$E$67</xm:f>
          </x14:formula1>
          <xm:sqref>BA17 AV17 AQ17:AR17 AG17</xm:sqref>
        </x14:dataValidation>
        <x14:dataValidation type="list" allowBlank="1" showInputMessage="1" showErrorMessage="1" xr:uid="{49459A3C-4A1F-44A5-84D1-90882BF01EA2}">
          <x14:formula1>
            <xm:f>Daten!$E$70:$E$71</xm:f>
          </x14:formula1>
          <xm:sqref>AU17</xm:sqref>
        </x14:dataValidation>
        <x14:dataValidation type="list" allowBlank="1" showInputMessage="1" showErrorMessage="1" xr:uid="{FCE7FF55-9E2E-44F5-B717-91F28B2E3428}">
          <x14:formula1>
            <xm:f>Daten!$E$74:$E$82</xm:f>
          </x14:formula1>
          <xm:sqref>BA22:BA25 AW17:AZ17 BB17:BE17</xm:sqref>
        </x14:dataValidation>
        <x14:dataValidation type="list" allowBlank="1" showInputMessage="1" showErrorMessage="1" xr:uid="{8344C3C5-267E-482E-B279-86F5C47ABB31}">
          <x14:formula1>
            <xm:f>Daten!$E$85:$E$86</xm:f>
          </x14:formula1>
          <xm:sqref>AP17</xm:sqref>
        </x14:dataValidation>
        <x14:dataValidation type="list" allowBlank="1" showInputMessage="1" showErrorMessage="1" xr:uid="{C8518D28-6496-46B0-B253-4C7C132A6A19}">
          <x14:formula1>
            <xm:f>Daten!$E$10:$E$14</xm:f>
          </x14:formula1>
          <xm:sqref>E17</xm:sqref>
        </x14:dataValidation>
        <x14:dataValidation type="list" allowBlank="1" showInputMessage="1" showErrorMessage="1" xr:uid="{B4D0A270-F26C-4D14-A84A-C2B6278F4359}">
          <x14:formula1>
            <xm:f>Daten!$E$42:$E$50</xm:f>
          </x14:formula1>
          <xm:sqref>AL17 AJ17 AH17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36C8-FB36-48C2-B4A5-A4BC8294B440}">
  <dimension ref="A1:FC213"/>
  <sheetViews>
    <sheetView zoomScaleNormal="100" workbookViewId="0">
      <selection activeCell="C17" sqref="C17"/>
    </sheetView>
  </sheetViews>
  <sheetFormatPr baseColWidth="10" defaultColWidth="11.42578125" defaultRowHeight="15" x14ac:dyDescent="0.25"/>
  <cols>
    <col min="1" max="1" width="19.140625" bestFit="1" customWidth="1"/>
    <col min="3" max="3" width="50.140625" style="160" bestFit="1" customWidth="1"/>
    <col min="4" max="4" width="45.42578125" style="160" customWidth="1"/>
    <col min="5" max="5" width="9.5703125" style="160" customWidth="1"/>
    <col min="6" max="6" width="10.140625" style="160" customWidth="1"/>
    <col min="7" max="7" width="13.7109375" customWidth="1"/>
    <col min="8" max="8" width="11.5703125" customWidth="1"/>
    <col min="10" max="10" width="11.42578125" style="160"/>
    <col min="13" max="13" width="15.7109375" customWidth="1"/>
    <col min="14" max="14" width="15.7109375" style="160" customWidth="1"/>
    <col min="15" max="15" width="15.7109375" customWidth="1"/>
    <col min="16" max="16" width="15.7109375" style="160" customWidth="1"/>
    <col min="17" max="24" width="15.7109375" customWidth="1"/>
    <col min="25" max="29" width="14.85546875" customWidth="1"/>
    <col min="30" max="40" width="13.28515625" customWidth="1"/>
    <col min="49" max="50" width="11.42578125" customWidth="1"/>
    <col min="58" max="58" width="11.42578125" customWidth="1"/>
  </cols>
  <sheetData>
    <row r="1" spans="1:159" x14ac:dyDescent="0.25">
      <c r="A1" t="s">
        <v>269</v>
      </c>
      <c r="D1" s="159"/>
      <c r="K1" t="s">
        <v>333</v>
      </c>
      <c r="L1" t="s">
        <v>334</v>
      </c>
      <c r="M1" t="s">
        <v>185</v>
      </c>
      <c r="N1" s="160" t="s">
        <v>335</v>
      </c>
      <c r="O1" t="s">
        <v>185</v>
      </c>
      <c r="P1" s="160" t="s">
        <v>336</v>
      </c>
      <c r="Q1" t="s">
        <v>337</v>
      </c>
      <c r="R1" t="s">
        <v>337</v>
      </c>
      <c r="S1" t="s">
        <v>337</v>
      </c>
      <c r="T1" t="s">
        <v>336</v>
      </c>
      <c r="U1" t="s">
        <v>338</v>
      </c>
      <c r="V1" t="s">
        <v>338</v>
      </c>
      <c r="W1" t="s">
        <v>338</v>
      </c>
      <c r="X1" t="s">
        <v>336</v>
      </c>
      <c r="Y1" t="s">
        <v>339</v>
      </c>
      <c r="Z1" t="s">
        <v>339</v>
      </c>
      <c r="AA1" t="s">
        <v>339</v>
      </c>
      <c r="AB1" t="s">
        <v>336</v>
      </c>
      <c r="AC1" t="s">
        <v>340</v>
      </c>
      <c r="AD1" t="s">
        <v>340</v>
      </c>
      <c r="AE1" t="s">
        <v>340</v>
      </c>
      <c r="AF1" t="s">
        <v>340</v>
      </c>
      <c r="AG1" t="s">
        <v>340</v>
      </c>
      <c r="AH1" t="s">
        <v>340</v>
      </c>
      <c r="AI1" t="s">
        <v>341</v>
      </c>
      <c r="AJ1" t="s">
        <v>341</v>
      </c>
      <c r="AK1" t="s">
        <v>341</v>
      </c>
      <c r="AL1" t="s">
        <v>342</v>
      </c>
      <c r="AM1" t="s">
        <v>342</v>
      </c>
      <c r="AN1" t="s">
        <v>342</v>
      </c>
      <c r="AO1" t="s">
        <v>333</v>
      </c>
      <c r="AP1" t="s">
        <v>333</v>
      </c>
      <c r="AQ1" t="s">
        <v>333</v>
      </c>
      <c r="AR1" t="s">
        <v>334</v>
      </c>
      <c r="AS1" t="s">
        <v>334</v>
      </c>
      <c r="AT1" t="s">
        <v>334</v>
      </c>
      <c r="AU1" t="s">
        <v>343</v>
      </c>
      <c r="AV1" t="s">
        <v>343</v>
      </c>
      <c r="AW1" t="s">
        <v>343</v>
      </c>
      <c r="AX1" t="s">
        <v>343</v>
      </c>
      <c r="AY1" t="s">
        <v>344</v>
      </c>
      <c r="AZ1" t="s">
        <v>344</v>
      </c>
      <c r="BA1" t="s">
        <v>344</v>
      </c>
      <c r="BB1" t="s">
        <v>344</v>
      </c>
      <c r="BC1" t="s">
        <v>345</v>
      </c>
      <c r="BD1" t="s">
        <v>345</v>
      </c>
      <c r="BE1" t="s">
        <v>345</v>
      </c>
      <c r="BF1" t="s">
        <v>346</v>
      </c>
      <c r="BG1" t="s">
        <v>347</v>
      </c>
      <c r="BH1" t="s">
        <v>347</v>
      </c>
      <c r="BI1" t="s">
        <v>347</v>
      </c>
      <c r="BJ1" t="s">
        <v>348</v>
      </c>
      <c r="BK1" t="s">
        <v>348</v>
      </c>
      <c r="BL1" t="s">
        <v>348</v>
      </c>
      <c r="BM1" t="s">
        <v>349</v>
      </c>
      <c r="BN1" t="s">
        <v>349</v>
      </c>
      <c r="BO1" t="s">
        <v>349</v>
      </c>
      <c r="BP1" t="s">
        <v>350</v>
      </c>
      <c r="BQ1" t="s">
        <v>350</v>
      </c>
      <c r="BR1" t="s">
        <v>350</v>
      </c>
      <c r="BS1" t="s">
        <v>351</v>
      </c>
      <c r="BT1" t="s">
        <v>351</v>
      </c>
      <c r="BU1" t="s">
        <v>351</v>
      </c>
      <c r="BV1" t="s">
        <v>352</v>
      </c>
      <c r="BW1" t="s">
        <v>352</v>
      </c>
      <c r="BX1" t="s">
        <v>352</v>
      </c>
      <c r="BY1" t="s">
        <v>353</v>
      </c>
      <c r="BZ1" t="s">
        <v>353</v>
      </c>
      <c r="CA1" t="s">
        <v>353</v>
      </c>
      <c r="CB1" t="s">
        <v>354</v>
      </c>
      <c r="CC1" t="s">
        <v>354</v>
      </c>
      <c r="CD1" t="s">
        <v>354</v>
      </c>
      <c r="CE1" t="s">
        <v>355</v>
      </c>
      <c r="CF1" t="s">
        <v>355</v>
      </c>
      <c r="CG1" t="s">
        <v>355</v>
      </c>
      <c r="CH1" t="s">
        <v>356</v>
      </c>
      <c r="CI1" t="s">
        <v>356</v>
      </c>
      <c r="CJ1" t="s">
        <v>356</v>
      </c>
      <c r="CK1" t="s">
        <v>357</v>
      </c>
      <c r="CL1" t="s">
        <v>357</v>
      </c>
      <c r="CM1" t="s">
        <v>357</v>
      </c>
      <c r="CN1" t="s">
        <v>358</v>
      </c>
      <c r="CO1" t="s">
        <v>358</v>
      </c>
      <c r="CP1" t="s">
        <v>358</v>
      </c>
      <c r="CQ1" t="s">
        <v>359</v>
      </c>
      <c r="CR1" t="s">
        <v>359</v>
      </c>
      <c r="CS1" t="s">
        <v>359</v>
      </c>
      <c r="CT1" t="s">
        <v>360</v>
      </c>
      <c r="CU1" t="s">
        <v>360</v>
      </c>
      <c r="CV1" t="s">
        <v>360</v>
      </c>
      <c r="CW1" t="s">
        <v>361</v>
      </c>
      <c r="CX1" t="s">
        <v>361</v>
      </c>
      <c r="CY1" t="s">
        <v>361</v>
      </c>
      <c r="CZ1" t="s">
        <v>362</v>
      </c>
      <c r="DA1" t="s">
        <v>362</v>
      </c>
      <c r="DB1" t="s">
        <v>362</v>
      </c>
      <c r="DC1" t="s">
        <v>363</v>
      </c>
      <c r="DD1" t="s">
        <v>363</v>
      </c>
      <c r="DE1" t="s">
        <v>363</v>
      </c>
      <c r="DF1" t="s">
        <v>364</v>
      </c>
      <c r="DG1" t="s">
        <v>364</v>
      </c>
      <c r="DH1" t="s">
        <v>364</v>
      </c>
      <c r="DI1" t="s">
        <v>365</v>
      </c>
      <c r="DJ1" t="s">
        <v>365</v>
      </c>
      <c r="DK1" t="s">
        <v>365</v>
      </c>
      <c r="DL1" t="s">
        <v>366</v>
      </c>
      <c r="DM1" t="s">
        <v>366</v>
      </c>
      <c r="DN1" t="s">
        <v>366</v>
      </c>
      <c r="DO1" t="s">
        <v>367</v>
      </c>
      <c r="DP1" t="s">
        <v>367</v>
      </c>
      <c r="DQ1" t="s">
        <v>367</v>
      </c>
      <c r="DR1" t="s">
        <v>368</v>
      </c>
      <c r="DS1" t="s">
        <v>368</v>
      </c>
      <c r="DT1" t="s">
        <v>368</v>
      </c>
      <c r="DU1" t="s">
        <v>369</v>
      </c>
      <c r="DV1" t="s">
        <v>369</v>
      </c>
      <c r="DW1" t="s">
        <v>369</v>
      </c>
      <c r="DX1" t="s">
        <v>369</v>
      </c>
      <c r="DY1" t="s">
        <v>369</v>
      </c>
      <c r="DZ1" t="s">
        <v>369</v>
      </c>
      <c r="EA1" t="s">
        <v>369</v>
      </c>
      <c r="EB1" t="s">
        <v>370</v>
      </c>
      <c r="EC1" t="s">
        <v>370</v>
      </c>
      <c r="ED1" t="s">
        <v>370</v>
      </c>
      <c r="EE1" t="s">
        <v>370</v>
      </c>
      <c r="EF1" t="s">
        <v>370</v>
      </c>
      <c r="EG1" t="s">
        <v>370</v>
      </c>
      <c r="EH1" t="s">
        <v>370</v>
      </c>
      <c r="EI1" t="s">
        <v>371</v>
      </c>
      <c r="EJ1" t="s">
        <v>371</v>
      </c>
      <c r="EK1" t="s">
        <v>371</v>
      </c>
      <c r="EL1" t="s">
        <v>371</v>
      </c>
      <c r="EM1" t="s">
        <v>371</v>
      </c>
      <c r="EN1" t="s">
        <v>371</v>
      </c>
      <c r="EO1" t="s">
        <v>371</v>
      </c>
      <c r="EP1" t="s">
        <v>372</v>
      </c>
      <c r="EQ1" t="s">
        <v>372</v>
      </c>
      <c r="ER1" t="s">
        <v>372</v>
      </c>
      <c r="ES1" t="s">
        <v>372</v>
      </c>
      <c r="ET1" t="s">
        <v>372</v>
      </c>
      <c r="EU1" t="s">
        <v>372</v>
      </c>
      <c r="EV1" t="s">
        <v>372</v>
      </c>
      <c r="EW1" t="s">
        <v>373</v>
      </c>
      <c r="EX1" t="s">
        <v>373</v>
      </c>
      <c r="EY1" t="s">
        <v>373</v>
      </c>
      <c r="EZ1" t="s">
        <v>373</v>
      </c>
      <c r="FA1" t="s">
        <v>373</v>
      </c>
      <c r="FB1" t="s">
        <v>373</v>
      </c>
      <c r="FC1" t="s">
        <v>373</v>
      </c>
    </row>
    <row r="2" spans="1:159" x14ac:dyDescent="0.25">
      <c r="A2" t="s">
        <v>270</v>
      </c>
      <c r="B2" t="s">
        <v>374</v>
      </c>
      <c r="C2" s="160" t="s">
        <v>375</v>
      </c>
      <c r="D2" s="160" t="s">
        <v>376</v>
      </c>
      <c r="E2" s="160" t="s">
        <v>234</v>
      </c>
      <c r="F2" s="160" t="s">
        <v>236</v>
      </c>
      <c r="G2" t="s">
        <v>377</v>
      </c>
      <c r="H2" t="s">
        <v>378</v>
      </c>
      <c r="I2" t="s">
        <v>379</v>
      </c>
      <c r="J2" s="160" t="s">
        <v>380</v>
      </c>
      <c r="K2" t="s">
        <v>381</v>
      </c>
      <c r="L2" t="s">
        <v>381</v>
      </c>
      <c r="M2" t="s">
        <v>234</v>
      </c>
      <c r="N2" s="160" t="s">
        <v>382</v>
      </c>
      <c r="O2" t="s">
        <v>383</v>
      </c>
      <c r="P2" s="160" t="s">
        <v>381</v>
      </c>
      <c r="Q2" t="s">
        <v>234</v>
      </c>
      <c r="R2" t="s">
        <v>382</v>
      </c>
      <c r="S2" t="s">
        <v>383</v>
      </c>
      <c r="T2" t="s">
        <v>381</v>
      </c>
      <c r="U2" t="s">
        <v>234</v>
      </c>
      <c r="V2" t="s">
        <v>382</v>
      </c>
      <c r="W2" t="s">
        <v>383</v>
      </c>
      <c r="X2" t="s">
        <v>381</v>
      </c>
      <c r="Y2" t="s">
        <v>234</v>
      </c>
      <c r="Z2" t="s">
        <v>382</v>
      </c>
      <c r="AA2" t="s">
        <v>383</v>
      </c>
      <c r="AB2" t="s">
        <v>381</v>
      </c>
      <c r="AD2" t="s">
        <v>384</v>
      </c>
      <c r="AE2" t="s">
        <v>382</v>
      </c>
      <c r="AF2" t="s">
        <v>383</v>
      </c>
      <c r="AI2" t="s">
        <v>234</v>
      </c>
      <c r="AJ2" t="s">
        <v>236</v>
      </c>
      <c r="AK2" t="s">
        <v>383</v>
      </c>
      <c r="AL2" t="s">
        <v>234</v>
      </c>
      <c r="AM2" t="s">
        <v>236</v>
      </c>
      <c r="AN2" t="s">
        <v>383</v>
      </c>
      <c r="AO2" t="s">
        <v>234</v>
      </c>
      <c r="AP2" t="s">
        <v>236</v>
      </c>
      <c r="AQ2" t="s">
        <v>383</v>
      </c>
      <c r="AR2" t="s">
        <v>234</v>
      </c>
      <c r="AS2" t="s">
        <v>236</v>
      </c>
      <c r="AT2" t="s">
        <v>383</v>
      </c>
      <c r="AU2" t="s">
        <v>236</v>
      </c>
      <c r="AV2" t="s">
        <v>238</v>
      </c>
      <c r="AW2" t="s">
        <v>385</v>
      </c>
      <c r="AX2" t="s">
        <v>386</v>
      </c>
      <c r="AY2" t="s">
        <v>236</v>
      </c>
      <c r="AZ2" t="s">
        <v>238</v>
      </c>
      <c r="BA2" t="s">
        <v>385</v>
      </c>
      <c r="BC2" t="s">
        <v>236</v>
      </c>
      <c r="BD2" t="s">
        <v>238</v>
      </c>
      <c r="BE2" t="s">
        <v>385</v>
      </c>
      <c r="BF2" t="s">
        <v>386</v>
      </c>
      <c r="BG2" t="s">
        <v>236</v>
      </c>
      <c r="BH2" t="s">
        <v>238</v>
      </c>
      <c r="BI2" t="s">
        <v>385</v>
      </c>
      <c r="BJ2" t="s">
        <v>236</v>
      </c>
      <c r="BK2" t="s">
        <v>238</v>
      </c>
      <c r="BL2" t="s">
        <v>385</v>
      </c>
      <c r="BM2" t="s">
        <v>236</v>
      </c>
      <c r="BN2" t="s">
        <v>238</v>
      </c>
      <c r="BO2" t="s">
        <v>385</v>
      </c>
      <c r="BP2" t="s">
        <v>236</v>
      </c>
      <c r="BQ2" t="s">
        <v>238</v>
      </c>
      <c r="BR2" t="s">
        <v>385</v>
      </c>
      <c r="BS2" t="s">
        <v>236</v>
      </c>
      <c r="BT2" t="s">
        <v>238</v>
      </c>
      <c r="BU2" t="s">
        <v>385</v>
      </c>
      <c r="BV2" t="s">
        <v>236</v>
      </c>
      <c r="BW2" t="s">
        <v>238</v>
      </c>
      <c r="BX2" t="s">
        <v>385</v>
      </c>
      <c r="BY2" t="s">
        <v>236</v>
      </c>
      <c r="BZ2" t="s">
        <v>238</v>
      </c>
      <c r="CA2" t="s">
        <v>385</v>
      </c>
      <c r="CB2" t="s">
        <v>236</v>
      </c>
      <c r="CC2" t="s">
        <v>238</v>
      </c>
      <c r="CD2" t="s">
        <v>385</v>
      </c>
      <c r="CE2" t="s">
        <v>236</v>
      </c>
      <c r="CF2" t="s">
        <v>238</v>
      </c>
      <c r="CG2" t="s">
        <v>385</v>
      </c>
      <c r="CH2" t="s">
        <v>236</v>
      </c>
      <c r="CI2" t="s">
        <v>238</v>
      </c>
      <c r="CJ2" t="s">
        <v>385</v>
      </c>
      <c r="CK2" t="s">
        <v>236</v>
      </c>
      <c r="CL2" t="s">
        <v>238</v>
      </c>
      <c r="CM2" t="s">
        <v>385</v>
      </c>
      <c r="CN2" t="s">
        <v>236</v>
      </c>
      <c r="CO2" t="s">
        <v>238</v>
      </c>
      <c r="CP2" t="s">
        <v>385</v>
      </c>
      <c r="CQ2" t="s">
        <v>236</v>
      </c>
      <c r="CR2" t="s">
        <v>238</v>
      </c>
      <c r="CS2" t="s">
        <v>385</v>
      </c>
      <c r="CT2" t="s">
        <v>236</v>
      </c>
      <c r="CU2" t="s">
        <v>238</v>
      </c>
      <c r="CV2" t="s">
        <v>385</v>
      </c>
      <c r="CW2" t="s">
        <v>236</v>
      </c>
      <c r="CX2" t="s">
        <v>238</v>
      </c>
      <c r="CY2" t="s">
        <v>385</v>
      </c>
      <c r="CZ2" t="s">
        <v>236</v>
      </c>
      <c r="DA2" t="s">
        <v>238</v>
      </c>
      <c r="DB2" t="s">
        <v>385</v>
      </c>
      <c r="DC2" t="s">
        <v>236</v>
      </c>
      <c r="DD2" t="s">
        <v>238</v>
      </c>
      <c r="DE2" t="s">
        <v>385</v>
      </c>
      <c r="DF2" t="s">
        <v>236</v>
      </c>
      <c r="DG2" t="s">
        <v>238</v>
      </c>
      <c r="DH2" t="s">
        <v>385</v>
      </c>
      <c r="DI2" t="s">
        <v>236</v>
      </c>
      <c r="DJ2" t="s">
        <v>238</v>
      </c>
      <c r="DK2" t="s">
        <v>385</v>
      </c>
      <c r="DL2" t="s">
        <v>236</v>
      </c>
      <c r="DM2" t="s">
        <v>238</v>
      </c>
      <c r="DN2" t="s">
        <v>385</v>
      </c>
      <c r="DO2" t="s">
        <v>236</v>
      </c>
      <c r="DP2" t="s">
        <v>238</v>
      </c>
      <c r="DQ2" t="s">
        <v>385</v>
      </c>
      <c r="DR2" t="s">
        <v>236</v>
      </c>
      <c r="DS2" t="s">
        <v>238</v>
      </c>
      <c r="DT2" t="s">
        <v>385</v>
      </c>
      <c r="DU2" t="s">
        <v>387</v>
      </c>
      <c r="DV2" t="s">
        <v>388</v>
      </c>
      <c r="DW2" t="s">
        <v>389</v>
      </c>
      <c r="DX2" t="s">
        <v>382</v>
      </c>
      <c r="DY2" t="s">
        <v>236</v>
      </c>
      <c r="DZ2" t="s">
        <v>390</v>
      </c>
      <c r="EA2" t="s">
        <v>391</v>
      </c>
      <c r="EB2" t="s">
        <v>387</v>
      </c>
      <c r="EC2" t="s">
        <v>388</v>
      </c>
      <c r="ED2" t="s">
        <v>389</v>
      </c>
      <c r="EE2" t="s">
        <v>382</v>
      </c>
      <c r="EF2" t="s">
        <v>236</v>
      </c>
      <c r="EG2" t="s">
        <v>390</v>
      </c>
      <c r="EH2" t="s">
        <v>391</v>
      </c>
      <c r="EI2" t="s">
        <v>387</v>
      </c>
      <c r="EJ2" t="s">
        <v>388</v>
      </c>
      <c r="EK2" t="s">
        <v>389</v>
      </c>
      <c r="EL2" t="s">
        <v>382</v>
      </c>
      <c r="EM2" t="s">
        <v>236</v>
      </c>
      <c r="EN2" t="s">
        <v>390</v>
      </c>
      <c r="EO2" t="s">
        <v>391</v>
      </c>
      <c r="EP2" t="s">
        <v>387</v>
      </c>
      <c r="EQ2" t="s">
        <v>388</v>
      </c>
      <c r="ER2" t="s">
        <v>389</v>
      </c>
      <c r="ES2" t="s">
        <v>382</v>
      </c>
      <c r="ET2" t="s">
        <v>236</v>
      </c>
      <c r="EU2" t="s">
        <v>390</v>
      </c>
      <c r="EV2" t="s">
        <v>391</v>
      </c>
      <c r="EW2" t="s">
        <v>387</v>
      </c>
      <c r="EX2" t="s">
        <v>388</v>
      </c>
      <c r="EY2" t="s">
        <v>389</v>
      </c>
      <c r="EZ2" t="s">
        <v>382</v>
      </c>
      <c r="FA2" t="s">
        <v>236</v>
      </c>
      <c r="FB2" t="s">
        <v>390</v>
      </c>
      <c r="FC2" t="s">
        <v>391</v>
      </c>
    </row>
    <row r="3" spans="1:159" x14ac:dyDescent="0.25">
      <c r="A3" t="s">
        <v>286</v>
      </c>
      <c r="K3" t="s">
        <v>392</v>
      </c>
      <c r="L3" t="s">
        <v>393</v>
      </c>
      <c r="M3" t="s">
        <v>184</v>
      </c>
      <c r="N3" s="160" t="s">
        <v>184</v>
      </c>
      <c r="O3" t="s">
        <v>184</v>
      </c>
      <c r="Q3" t="s">
        <v>394</v>
      </c>
      <c r="R3" t="s">
        <v>394</v>
      </c>
      <c r="S3" t="s">
        <v>394</v>
      </c>
      <c r="U3" t="s">
        <v>395</v>
      </c>
      <c r="V3" t="s">
        <v>395</v>
      </c>
      <c r="W3" t="s">
        <v>395</v>
      </c>
      <c r="Y3" t="s">
        <v>396</v>
      </c>
      <c r="Z3" t="s">
        <v>396</v>
      </c>
      <c r="AA3" t="s">
        <v>396</v>
      </c>
      <c r="AC3" t="s">
        <v>192</v>
      </c>
      <c r="AD3" t="s">
        <v>192</v>
      </c>
      <c r="AE3" t="s">
        <v>192</v>
      </c>
      <c r="AF3" t="s">
        <v>192</v>
      </c>
      <c r="AG3" t="s">
        <v>192</v>
      </c>
      <c r="AH3" t="s">
        <v>192</v>
      </c>
      <c r="AI3" t="s">
        <v>397</v>
      </c>
      <c r="AJ3" t="s">
        <v>397</v>
      </c>
      <c r="AK3" t="s">
        <v>397</v>
      </c>
      <c r="AL3" t="s">
        <v>397</v>
      </c>
      <c r="AM3" t="s">
        <v>397</v>
      </c>
      <c r="AN3" t="s">
        <v>397</v>
      </c>
      <c r="AO3" t="s">
        <v>392</v>
      </c>
      <c r="AP3" t="s">
        <v>392</v>
      </c>
      <c r="AQ3" t="s">
        <v>392</v>
      </c>
      <c r="AR3" t="s">
        <v>393</v>
      </c>
      <c r="AS3" t="s">
        <v>393</v>
      </c>
      <c r="AT3" t="s">
        <v>393</v>
      </c>
      <c r="AU3" t="s">
        <v>184</v>
      </c>
      <c r="AV3" t="s">
        <v>184</v>
      </c>
      <c r="AW3" t="s">
        <v>184</v>
      </c>
      <c r="AX3" t="s">
        <v>184</v>
      </c>
      <c r="AY3" t="s">
        <v>184</v>
      </c>
      <c r="AZ3" t="s">
        <v>184</v>
      </c>
      <c r="BA3" t="s">
        <v>184</v>
      </c>
      <c r="BB3" t="s">
        <v>184</v>
      </c>
      <c r="BC3" t="s">
        <v>184</v>
      </c>
      <c r="BD3" t="s">
        <v>184</v>
      </c>
      <c r="BE3" t="s">
        <v>184</v>
      </c>
      <c r="BF3" t="s">
        <v>184</v>
      </c>
      <c r="BG3" t="s">
        <v>398</v>
      </c>
      <c r="BH3" t="s">
        <v>398</v>
      </c>
      <c r="BI3" t="s">
        <v>398</v>
      </c>
      <c r="BJ3" t="s">
        <v>394</v>
      </c>
      <c r="BK3" t="s">
        <v>394</v>
      </c>
      <c r="BL3" t="s">
        <v>394</v>
      </c>
      <c r="BM3" t="s">
        <v>394</v>
      </c>
      <c r="BN3" t="s">
        <v>394</v>
      </c>
      <c r="BO3" t="s">
        <v>394</v>
      </c>
      <c r="BP3" t="s">
        <v>394</v>
      </c>
      <c r="BQ3" t="s">
        <v>394</v>
      </c>
      <c r="BR3" t="s">
        <v>394</v>
      </c>
      <c r="BS3" t="s">
        <v>394</v>
      </c>
      <c r="BT3" t="s">
        <v>394</v>
      </c>
      <c r="BU3" t="s">
        <v>394</v>
      </c>
      <c r="BV3" t="s">
        <v>395</v>
      </c>
      <c r="BW3" t="s">
        <v>395</v>
      </c>
      <c r="BX3" t="s">
        <v>395</v>
      </c>
      <c r="BY3" t="s">
        <v>395</v>
      </c>
      <c r="BZ3" t="s">
        <v>395</v>
      </c>
      <c r="CA3" t="s">
        <v>395</v>
      </c>
      <c r="CB3" t="s">
        <v>395</v>
      </c>
      <c r="CC3" t="s">
        <v>395</v>
      </c>
      <c r="CD3" t="s">
        <v>395</v>
      </c>
      <c r="CE3" t="s">
        <v>395</v>
      </c>
      <c r="CF3" t="s">
        <v>395</v>
      </c>
      <c r="CG3" t="s">
        <v>395</v>
      </c>
      <c r="CH3" t="s">
        <v>396</v>
      </c>
      <c r="CI3" t="s">
        <v>396</v>
      </c>
      <c r="CJ3" t="s">
        <v>396</v>
      </c>
      <c r="CK3" t="s">
        <v>396</v>
      </c>
      <c r="CL3" t="s">
        <v>396</v>
      </c>
      <c r="CM3" t="s">
        <v>396</v>
      </c>
      <c r="CN3" t="s">
        <v>396</v>
      </c>
      <c r="CO3" t="s">
        <v>396</v>
      </c>
      <c r="CP3" t="s">
        <v>396</v>
      </c>
      <c r="CQ3" t="s">
        <v>396</v>
      </c>
      <c r="CR3" t="s">
        <v>396</v>
      </c>
      <c r="CS3" t="s">
        <v>396</v>
      </c>
    </row>
    <row r="4" spans="1:159" x14ac:dyDescent="0.25">
      <c r="A4" t="s">
        <v>287</v>
      </c>
      <c r="AU4" t="s">
        <v>399</v>
      </c>
      <c r="AV4" t="s">
        <v>399</v>
      </c>
      <c r="AW4" t="s">
        <v>399</v>
      </c>
      <c r="AX4" t="s">
        <v>399</v>
      </c>
      <c r="AY4" t="s">
        <v>400</v>
      </c>
      <c r="AZ4" t="s">
        <v>400</v>
      </c>
      <c r="BA4" t="s">
        <v>400</v>
      </c>
      <c r="BB4" t="s">
        <v>400</v>
      </c>
      <c r="BC4" t="s">
        <v>401</v>
      </c>
      <c r="BD4" t="s">
        <v>401</v>
      </c>
      <c r="BE4" t="s">
        <v>401</v>
      </c>
      <c r="BF4" t="s">
        <v>401</v>
      </c>
      <c r="BG4" t="s">
        <v>402</v>
      </c>
      <c r="BH4" t="s">
        <v>402</v>
      </c>
      <c r="BI4" t="s">
        <v>402</v>
      </c>
      <c r="BJ4" t="s">
        <v>399</v>
      </c>
      <c r="BK4" t="s">
        <v>399</v>
      </c>
      <c r="BL4" t="s">
        <v>399</v>
      </c>
      <c r="BM4" t="s">
        <v>400</v>
      </c>
      <c r="BN4" t="s">
        <v>400</v>
      </c>
      <c r="BO4" t="s">
        <v>400</v>
      </c>
      <c r="BP4" t="s">
        <v>401</v>
      </c>
      <c r="BQ4" t="s">
        <v>401</v>
      </c>
      <c r="BR4" t="s">
        <v>401</v>
      </c>
      <c r="BS4" t="s">
        <v>402</v>
      </c>
      <c r="BT4" t="s">
        <v>402</v>
      </c>
      <c r="BU4" t="s">
        <v>402</v>
      </c>
      <c r="BV4" t="s">
        <v>399</v>
      </c>
      <c r="BW4" t="s">
        <v>399</v>
      </c>
      <c r="BX4" t="s">
        <v>399</v>
      </c>
      <c r="BY4" t="s">
        <v>400</v>
      </c>
      <c r="BZ4" t="s">
        <v>400</v>
      </c>
      <c r="CA4" t="s">
        <v>400</v>
      </c>
      <c r="CB4" t="s">
        <v>401</v>
      </c>
      <c r="CC4" t="s">
        <v>401</v>
      </c>
      <c r="CD4" t="s">
        <v>401</v>
      </c>
      <c r="CE4" t="s">
        <v>402</v>
      </c>
      <c r="CF4" t="s">
        <v>402</v>
      </c>
      <c r="CG4" t="s">
        <v>402</v>
      </c>
      <c r="CH4" t="s">
        <v>399</v>
      </c>
      <c r="CI4" t="s">
        <v>399</v>
      </c>
      <c r="CJ4" t="s">
        <v>399</v>
      </c>
      <c r="CK4" t="s">
        <v>400</v>
      </c>
      <c r="CL4" t="s">
        <v>400</v>
      </c>
      <c r="CM4" t="s">
        <v>400</v>
      </c>
      <c r="CN4" t="s">
        <v>401</v>
      </c>
      <c r="CO4" t="s">
        <v>401</v>
      </c>
      <c r="CP4" t="s">
        <v>401</v>
      </c>
      <c r="CQ4" t="s">
        <v>402</v>
      </c>
      <c r="CR4" t="s">
        <v>402</v>
      </c>
      <c r="CS4" t="s">
        <v>402</v>
      </c>
    </row>
    <row r="5" spans="1:159" x14ac:dyDescent="0.25">
      <c r="A5" t="s">
        <v>288</v>
      </c>
      <c r="C5" s="160" t="s">
        <v>403</v>
      </c>
      <c r="G5" t="s">
        <v>404</v>
      </c>
      <c r="H5" t="s">
        <v>378</v>
      </c>
      <c r="I5" t="s">
        <v>405</v>
      </c>
      <c r="K5" t="s">
        <v>406</v>
      </c>
      <c r="L5" t="s">
        <v>407</v>
      </c>
      <c r="M5" t="s">
        <v>408</v>
      </c>
      <c r="O5" t="s">
        <v>409</v>
      </c>
      <c r="AC5" t="s">
        <v>410</v>
      </c>
      <c r="AD5" t="s">
        <v>384</v>
      </c>
      <c r="AE5" t="s">
        <v>238</v>
      </c>
      <c r="AF5" t="s">
        <v>409</v>
      </c>
      <c r="AG5" t="s">
        <v>411</v>
      </c>
      <c r="AH5" t="s">
        <v>412</v>
      </c>
      <c r="AU5" t="s">
        <v>413</v>
      </c>
      <c r="AV5" t="s">
        <v>238</v>
      </c>
      <c r="AW5" t="s">
        <v>414</v>
      </c>
      <c r="AX5" t="s">
        <v>415</v>
      </c>
      <c r="AY5" t="s">
        <v>413</v>
      </c>
      <c r="AZ5" t="s">
        <v>238</v>
      </c>
      <c r="BA5" t="s">
        <v>414</v>
      </c>
      <c r="BB5" t="s">
        <v>415</v>
      </c>
      <c r="BC5" t="s">
        <v>413</v>
      </c>
      <c r="BD5" t="s">
        <v>238</v>
      </c>
      <c r="BE5" t="s">
        <v>414</v>
      </c>
      <c r="BF5" t="s">
        <v>415</v>
      </c>
    </row>
    <row r="6" spans="1:159" x14ac:dyDescent="0.25">
      <c r="A6" t="s">
        <v>289</v>
      </c>
      <c r="AD6" t="s">
        <v>416</v>
      </c>
      <c r="AE6" t="s">
        <v>417</v>
      </c>
      <c r="AG6" t="s">
        <v>418</v>
      </c>
    </row>
    <row r="7" spans="1:159" x14ac:dyDescent="0.25">
      <c r="A7" t="s">
        <v>290</v>
      </c>
      <c r="B7" t="s">
        <v>419</v>
      </c>
      <c r="C7" s="160" t="s">
        <v>420</v>
      </c>
      <c r="D7" s="160" t="s">
        <v>421</v>
      </c>
      <c r="E7" s="160" t="s">
        <v>422</v>
      </c>
      <c r="F7" s="160" t="s">
        <v>422</v>
      </c>
      <c r="G7" t="s">
        <v>420</v>
      </c>
      <c r="H7" t="s">
        <v>423</v>
      </c>
      <c r="I7" t="s">
        <v>423</v>
      </c>
      <c r="J7" s="160" t="s">
        <v>419</v>
      </c>
      <c r="K7" t="s">
        <v>424</v>
      </c>
      <c r="L7" t="s">
        <v>424</v>
      </c>
      <c r="M7" t="s">
        <v>423</v>
      </c>
      <c r="N7" s="160" t="s">
        <v>420</v>
      </c>
      <c r="O7" t="s">
        <v>424</v>
      </c>
      <c r="Q7" t="s">
        <v>420</v>
      </c>
      <c r="R7" t="s">
        <v>420</v>
      </c>
      <c r="S7" t="s">
        <v>420</v>
      </c>
      <c r="U7" t="s">
        <v>420</v>
      </c>
      <c r="V7" t="s">
        <v>420</v>
      </c>
      <c r="W7" t="s">
        <v>420</v>
      </c>
      <c r="Y7" t="s">
        <v>420</v>
      </c>
      <c r="Z7" t="s">
        <v>420</v>
      </c>
      <c r="AA7" t="s">
        <v>420</v>
      </c>
      <c r="AC7" t="s">
        <v>425</v>
      </c>
      <c r="AD7" t="s">
        <v>420</v>
      </c>
      <c r="AE7" t="s">
        <v>420</v>
      </c>
      <c r="AF7" t="s">
        <v>424</v>
      </c>
      <c r="AG7" t="s">
        <v>420</v>
      </c>
      <c r="AH7" t="s">
        <v>420</v>
      </c>
      <c r="AI7" t="s">
        <v>420</v>
      </c>
      <c r="AJ7" t="s">
        <v>420</v>
      </c>
      <c r="AK7" t="s">
        <v>420</v>
      </c>
      <c r="AL7" t="s">
        <v>420</v>
      </c>
      <c r="AM7" t="s">
        <v>420</v>
      </c>
      <c r="AN7" t="s">
        <v>420</v>
      </c>
      <c r="AO7" t="s">
        <v>420</v>
      </c>
      <c r="AP7" t="s">
        <v>420</v>
      </c>
      <c r="AQ7" t="s">
        <v>420</v>
      </c>
      <c r="AR7" t="s">
        <v>420</v>
      </c>
      <c r="AS7" t="s">
        <v>420</v>
      </c>
      <c r="AT7" t="s">
        <v>420</v>
      </c>
      <c r="AU7" t="s">
        <v>420</v>
      </c>
      <c r="AV7" t="s">
        <v>420</v>
      </c>
      <c r="AW7" t="s">
        <v>424</v>
      </c>
      <c r="AX7" t="s">
        <v>420</v>
      </c>
      <c r="AY7" t="s">
        <v>420</v>
      </c>
      <c r="AZ7" t="s">
        <v>420</v>
      </c>
      <c r="BA7" t="s">
        <v>424</v>
      </c>
      <c r="BB7" t="s">
        <v>420</v>
      </c>
      <c r="BC7" t="s">
        <v>420</v>
      </c>
      <c r="BD7" t="s">
        <v>420</v>
      </c>
      <c r="BE7" t="s">
        <v>424</v>
      </c>
      <c r="BF7" t="s">
        <v>420</v>
      </c>
    </row>
    <row r="8" spans="1:159" x14ac:dyDescent="0.25">
      <c r="A8" t="s">
        <v>291</v>
      </c>
      <c r="E8" s="160" t="s">
        <v>426</v>
      </c>
      <c r="F8" s="160" t="s">
        <v>426</v>
      </c>
      <c r="AD8" t="s">
        <v>427</v>
      </c>
      <c r="AE8" t="s">
        <v>427</v>
      </c>
      <c r="AF8" t="s">
        <v>427</v>
      </c>
      <c r="AG8" t="s">
        <v>427</v>
      </c>
      <c r="AH8" t="s">
        <v>427</v>
      </c>
      <c r="AR8" t="s">
        <v>428</v>
      </c>
      <c r="AS8" t="s">
        <v>428</v>
      </c>
      <c r="AT8" t="s">
        <v>429</v>
      </c>
    </row>
    <row r="9" spans="1:159" x14ac:dyDescent="0.25">
      <c r="A9" t="s">
        <v>118</v>
      </c>
      <c r="G9" t="s">
        <v>122</v>
      </c>
      <c r="H9" t="s">
        <v>136</v>
      </c>
      <c r="I9" t="s">
        <v>107</v>
      </c>
      <c r="M9" t="s">
        <v>136</v>
      </c>
      <c r="N9" s="160" t="s">
        <v>136</v>
      </c>
      <c r="Q9" t="s">
        <v>136</v>
      </c>
      <c r="R9" t="s">
        <v>136</v>
      </c>
      <c r="S9" t="s">
        <v>430</v>
      </c>
      <c r="U9" t="s">
        <v>136</v>
      </c>
      <c r="V9" t="s">
        <v>136</v>
      </c>
      <c r="W9" t="s">
        <v>430</v>
      </c>
      <c r="Y9" t="s">
        <v>136</v>
      </c>
      <c r="Z9" t="s">
        <v>136</v>
      </c>
      <c r="AA9" t="s">
        <v>430</v>
      </c>
      <c r="AD9" t="s">
        <v>136</v>
      </c>
      <c r="AE9" t="s">
        <v>136</v>
      </c>
      <c r="AG9" t="s">
        <v>136</v>
      </c>
      <c r="AH9" t="s">
        <v>136</v>
      </c>
      <c r="AI9" t="s">
        <v>136</v>
      </c>
      <c r="AJ9" t="s">
        <v>136</v>
      </c>
      <c r="AK9" t="s">
        <v>430</v>
      </c>
      <c r="AL9" t="s">
        <v>136</v>
      </c>
      <c r="AM9" t="s">
        <v>136</v>
      </c>
      <c r="AN9" t="s">
        <v>430</v>
      </c>
      <c r="AO9" t="s">
        <v>136</v>
      </c>
      <c r="AP9" t="s">
        <v>136</v>
      </c>
      <c r="AQ9" t="s">
        <v>430</v>
      </c>
      <c r="AR9" t="s">
        <v>136</v>
      </c>
      <c r="AS9" t="s">
        <v>136</v>
      </c>
      <c r="AT9" t="s">
        <v>430</v>
      </c>
      <c r="AU9" t="s">
        <v>430</v>
      </c>
      <c r="AV9" t="s">
        <v>430</v>
      </c>
      <c r="AY9" t="s">
        <v>430</v>
      </c>
      <c r="AZ9" t="s">
        <v>430</v>
      </c>
      <c r="BC9" t="s">
        <v>430</v>
      </c>
      <c r="BD9" t="s">
        <v>430</v>
      </c>
      <c r="BH9" t="s">
        <v>430</v>
      </c>
      <c r="BI9" t="s">
        <v>430</v>
      </c>
      <c r="BK9" t="s">
        <v>430</v>
      </c>
      <c r="BL9" t="s">
        <v>430</v>
      </c>
      <c r="BN9" t="s">
        <v>430</v>
      </c>
      <c r="BO9" t="s">
        <v>430</v>
      </c>
      <c r="BQ9" t="s">
        <v>430</v>
      </c>
      <c r="BR9" t="s">
        <v>430</v>
      </c>
      <c r="BT9" t="s">
        <v>430</v>
      </c>
      <c r="BU9" t="s">
        <v>430</v>
      </c>
      <c r="BW9" t="s">
        <v>430</v>
      </c>
      <c r="BX9" t="s">
        <v>430</v>
      </c>
      <c r="BZ9" t="s">
        <v>430</v>
      </c>
      <c r="CA9" t="s">
        <v>430</v>
      </c>
      <c r="CC9" t="s">
        <v>430</v>
      </c>
      <c r="CD9" t="s">
        <v>430</v>
      </c>
      <c r="CF9" t="s">
        <v>430</v>
      </c>
      <c r="CG9" t="s">
        <v>430</v>
      </c>
      <c r="CI9" t="s">
        <v>430</v>
      </c>
      <c r="CJ9" t="s">
        <v>430</v>
      </c>
      <c r="CL9" t="s">
        <v>430</v>
      </c>
      <c r="CM9" t="s">
        <v>430</v>
      </c>
      <c r="CO9" t="s">
        <v>430</v>
      </c>
      <c r="CP9" t="s">
        <v>430</v>
      </c>
      <c r="CR9" t="s">
        <v>430</v>
      </c>
      <c r="CS9" t="s">
        <v>430</v>
      </c>
      <c r="CU9" t="s">
        <v>430</v>
      </c>
      <c r="CV9" t="s">
        <v>430</v>
      </c>
      <c r="CX9" t="s">
        <v>430</v>
      </c>
      <c r="CY9" t="s">
        <v>430</v>
      </c>
      <c r="DA9" t="s">
        <v>430</v>
      </c>
      <c r="DB9" t="s">
        <v>430</v>
      </c>
      <c r="DD9" t="s">
        <v>430</v>
      </c>
      <c r="DE9" t="s">
        <v>430</v>
      </c>
      <c r="DG9" t="s">
        <v>430</v>
      </c>
      <c r="DH9" t="s">
        <v>430</v>
      </c>
      <c r="DJ9" t="s">
        <v>430</v>
      </c>
      <c r="DK9" t="s">
        <v>430</v>
      </c>
      <c r="DM9" t="s">
        <v>430</v>
      </c>
      <c r="DN9" t="s">
        <v>430</v>
      </c>
      <c r="DP9" t="s">
        <v>430</v>
      </c>
      <c r="DQ9" t="s">
        <v>430</v>
      </c>
      <c r="DV9" t="s">
        <v>431</v>
      </c>
      <c r="DW9" t="s">
        <v>431</v>
      </c>
      <c r="DX9" t="s">
        <v>431</v>
      </c>
      <c r="EB9" t="s">
        <v>431</v>
      </c>
      <c r="EC9" t="s">
        <v>431</v>
      </c>
      <c r="ED9" t="s">
        <v>431</v>
      </c>
      <c r="EE9" t="s">
        <v>431</v>
      </c>
      <c r="EI9" t="s">
        <v>431</v>
      </c>
      <c r="EJ9" t="s">
        <v>431</v>
      </c>
      <c r="EK9" t="s">
        <v>431</v>
      </c>
      <c r="EL9" t="s">
        <v>431</v>
      </c>
      <c r="EP9" t="s">
        <v>431</v>
      </c>
      <c r="EQ9" t="s">
        <v>431</v>
      </c>
      <c r="ER9" t="s">
        <v>431</v>
      </c>
      <c r="ES9" t="s">
        <v>431</v>
      </c>
      <c r="EW9" t="s">
        <v>431</v>
      </c>
      <c r="EX9" t="s">
        <v>431</v>
      </c>
      <c r="EY9" t="s">
        <v>431</v>
      </c>
      <c r="EZ9" t="s">
        <v>431</v>
      </c>
    </row>
    <row r="10" spans="1:159" x14ac:dyDescent="0.25">
      <c r="A10" t="s">
        <v>292</v>
      </c>
      <c r="B10" t="s">
        <v>432</v>
      </c>
      <c r="C10" s="160" t="s">
        <v>432</v>
      </c>
      <c r="D10" s="160" t="s">
        <v>433</v>
      </c>
      <c r="E10" s="160" t="s">
        <v>434</v>
      </c>
      <c r="F10" s="160" t="s">
        <v>434</v>
      </c>
      <c r="G10" t="s">
        <v>434</v>
      </c>
      <c r="H10" t="s">
        <v>434</v>
      </c>
      <c r="I10" t="s">
        <v>435</v>
      </c>
      <c r="J10" s="160" t="s">
        <v>435</v>
      </c>
      <c r="K10" t="s">
        <v>432</v>
      </c>
      <c r="L10" t="s">
        <v>432</v>
      </c>
      <c r="M10" t="s">
        <v>434</v>
      </c>
      <c r="N10" s="160" t="s">
        <v>434</v>
      </c>
      <c r="O10" t="s">
        <v>435</v>
      </c>
      <c r="Q10" t="s">
        <v>434</v>
      </c>
      <c r="R10" t="s">
        <v>434</v>
      </c>
      <c r="S10" t="s">
        <v>434</v>
      </c>
      <c r="U10" t="s">
        <v>434</v>
      </c>
      <c r="V10" t="s">
        <v>434</v>
      </c>
      <c r="W10" t="s">
        <v>434</v>
      </c>
      <c r="Y10" t="s">
        <v>434</v>
      </c>
      <c r="Z10" t="s">
        <v>434</v>
      </c>
      <c r="AA10" t="s">
        <v>434</v>
      </c>
      <c r="AC10" t="s">
        <v>433</v>
      </c>
      <c r="AD10" t="s">
        <v>434</v>
      </c>
      <c r="AE10" t="s">
        <v>434</v>
      </c>
      <c r="AF10" t="s">
        <v>436</v>
      </c>
      <c r="AG10" t="s">
        <v>434</v>
      </c>
      <c r="AH10" t="s">
        <v>434</v>
      </c>
      <c r="AI10" t="s">
        <v>434</v>
      </c>
      <c r="AJ10" t="s">
        <v>434</v>
      </c>
      <c r="AK10" t="s">
        <v>434</v>
      </c>
      <c r="AL10" t="s">
        <v>434</v>
      </c>
      <c r="AM10" t="s">
        <v>434</v>
      </c>
      <c r="AN10" t="s">
        <v>434</v>
      </c>
      <c r="AO10" t="s">
        <v>434</v>
      </c>
      <c r="AP10" t="s">
        <v>434</v>
      </c>
      <c r="AQ10" t="s">
        <v>434</v>
      </c>
      <c r="AU10" t="s">
        <v>434</v>
      </c>
      <c r="AV10" t="s">
        <v>434</v>
      </c>
      <c r="AW10" t="s">
        <v>435</v>
      </c>
      <c r="AX10" t="s">
        <v>435</v>
      </c>
      <c r="AY10" t="s">
        <v>434</v>
      </c>
      <c r="AZ10" t="s">
        <v>434</v>
      </c>
      <c r="BA10" t="s">
        <v>435</v>
      </c>
      <c r="BB10" t="s">
        <v>435</v>
      </c>
      <c r="BC10" t="s">
        <v>434</v>
      </c>
      <c r="BD10" t="s">
        <v>434</v>
      </c>
      <c r="BE10" t="s">
        <v>435</v>
      </c>
      <c r="BF10" t="s">
        <v>435</v>
      </c>
    </row>
    <row r="11" spans="1:159" x14ac:dyDescent="0.25">
      <c r="A11" t="s">
        <v>293</v>
      </c>
      <c r="C11" s="160">
        <v>1</v>
      </c>
      <c r="D11" s="160">
        <v>1</v>
      </c>
      <c r="G11">
        <v>1</v>
      </c>
      <c r="H11">
        <v>1</v>
      </c>
      <c r="K11">
        <v>1</v>
      </c>
      <c r="L11">
        <v>1</v>
      </c>
      <c r="M11">
        <v>1</v>
      </c>
      <c r="AC11">
        <v>1</v>
      </c>
      <c r="AD11">
        <v>0</v>
      </c>
      <c r="AE11">
        <v>0</v>
      </c>
      <c r="AF11">
        <v>0</v>
      </c>
      <c r="AG11">
        <v>0</v>
      </c>
      <c r="AH11">
        <v>0</v>
      </c>
      <c r="AU11">
        <v>1</v>
      </c>
      <c r="AV11">
        <v>1</v>
      </c>
      <c r="AW11">
        <v>0</v>
      </c>
      <c r="AX11">
        <v>0</v>
      </c>
      <c r="AY11">
        <v>1</v>
      </c>
      <c r="AZ11">
        <v>1</v>
      </c>
      <c r="BA11">
        <v>0</v>
      </c>
      <c r="BB11">
        <v>0</v>
      </c>
      <c r="BC11">
        <v>1</v>
      </c>
      <c r="BD11">
        <v>1</v>
      </c>
      <c r="BE11">
        <v>0</v>
      </c>
      <c r="BF11">
        <v>0</v>
      </c>
    </row>
    <row r="12" spans="1:159" x14ac:dyDescent="0.25">
      <c r="A12" t="s">
        <v>294</v>
      </c>
      <c r="G12">
        <v>1</v>
      </c>
      <c r="H12">
        <v>2</v>
      </c>
      <c r="I12">
        <v>0</v>
      </c>
      <c r="M12">
        <v>1</v>
      </c>
      <c r="AD12">
        <v>1</v>
      </c>
      <c r="AE12">
        <v>1</v>
      </c>
      <c r="AG12">
        <v>1</v>
      </c>
      <c r="AH12">
        <v>1</v>
      </c>
      <c r="AU12">
        <v>0</v>
      </c>
      <c r="AV12">
        <v>0</v>
      </c>
      <c r="AX12">
        <v>0</v>
      </c>
      <c r="AY12">
        <v>0</v>
      </c>
      <c r="AZ12">
        <v>0</v>
      </c>
      <c r="BB12">
        <v>0</v>
      </c>
      <c r="BC12">
        <v>0</v>
      </c>
      <c r="BD12">
        <v>0</v>
      </c>
      <c r="BF12">
        <v>0</v>
      </c>
    </row>
    <row r="13" spans="1:159" x14ac:dyDescent="0.25">
      <c r="A13" t="s">
        <v>295</v>
      </c>
      <c r="E13" s="161">
        <v>1</v>
      </c>
      <c r="F13" s="161">
        <v>1</v>
      </c>
      <c r="G13" s="138">
        <v>1</v>
      </c>
      <c r="H13" s="138">
        <v>1</v>
      </c>
      <c r="I13" s="138">
        <v>10</v>
      </c>
      <c r="K13" s="138"/>
      <c r="M13" s="138">
        <v>1</v>
      </c>
      <c r="N13" s="161">
        <v>2</v>
      </c>
      <c r="O13" s="138"/>
      <c r="P13" s="161"/>
      <c r="Q13" s="138">
        <v>1</v>
      </c>
      <c r="R13" s="138">
        <v>2</v>
      </c>
      <c r="S13" s="138">
        <v>1</v>
      </c>
      <c r="T13" s="138"/>
      <c r="U13" s="138">
        <v>1</v>
      </c>
      <c r="V13" s="138">
        <v>2</v>
      </c>
      <c r="W13" s="138">
        <v>1</v>
      </c>
      <c r="X13" s="138"/>
      <c r="Y13" s="138">
        <v>1</v>
      </c>
      <c r="Z13" s="138">
        <v>2</v>
      </c>
      <c r="AA13" s="138">
        <v>1</v>
      </c>
      <c r="AB13" s="138"/>
      <c r="AC13" s="138"/>
      <c r="AD13" s="138">
        <v>1</v>
      </c>
      <c r="AE13" s="138">
        <v>1</v>
      </c>
      <c r="AF13" s="138"/>
      <c r="AG13" s="138">
        <v>0</v>
      </c>
      <c r="AH13" s="138">
        <v>0</v>
      </c>
      <c r="AI13" s="138">
        <v>1</v>
      </c>
      <c r="AJ13" s="138">
        <v>1</v>
      </c>
      <c r="AK13" s="138">
        <v>1</v>
      </c>
      <c r="AL13" s="138">
        <v>1</v>
      </c>
      <c r="AM13" s="138">
        <v>1</v>
      </c>
      <c r="AN13" s="138">
        <v>1</v>
      </c>
      <c r="AO13" s="138">
        <v>1</v>
      </c>
      <c r="AP13" s="138">
        <v>1</v>
      </c>
      <c r="AQ13" s="138">
        <v>1</v>
      </c>
      <c r="AR13" s="138">
        <v>1</v>
      </c>
      <c r="AS13" s="138">
        <v>1</v>
      </c>
      <c r="AT13" s="138">
        <v>1</v>
      </c>
      <c r="AU13">
        <v>20</v>
      </c>
      <c r="AV13">
        <v>20</v>
      </c>
      <c r="AX13">
        <v>1</v>
      </c>
      <c r="AY13">
        <v>20</v>
      </c>
      <c r="AZ13">
        <v>20</v>
      </c>
      <c r="BB13">
        <v>1</v>
      </c>
      <c r="BC13">
        <v>20</v>
      </c>
      <c r="BD13">
        <v>20</v>
      </c>
      <c r="BF13">
        <v>1</v>
      </c>
    </row>
    <row r="14" spans="1:159" x14ac:dyDescent="0.25">
      <c r="A14" t="s">
        <v>296</v>
      </c>
      <c r="E14" s="161">
        <v>20</v>
      </c>
      <c r="F14" s="161">
        <v>20</v>
      </c>
      <c r="G14" s="138">
        <v>100</v>
      </c>
      <c r="H14" s="138">
        <v>5</v>
      </c>
      <c r="I14" s="138">
        <v>30</v>
      </c>
      <c r="K14" s="138"/>
      <c r="M14" s="138">
        <v>20</v>
      </c>
      <c r="N14" s="161">
        <v>5</v>
      </c>
      <c r="O14" s="138"/>
      <c r="P14" s="161"/>
      <c r="Q14" s="138">
        <v>20</v>
      </c>
      <c r="R14" s="138">
        <v>5</v>
      </c>
      <c r="S14" s="138">
        <v>30</v>
      </c>
      <c r="T14" s="138"/>
      <c r="U14" s="138">
        <v>20</v>
      </c>
      <c r="V14" s="138">
        <v>5</v>
      </c>
      <c r="W14" s="138">
        <v>30</v>
      </c>
      <c r="X14" s="138"/>
      <c r="Y14" s="138">
        <v>20</v>
      </c>
      <c r="Z14" s="138">
        <v>5</v>
      </c>
      <c r="AA14" s="138">
        <v>30</v>
      </c>
      <c r="AB14" s="138"/>
      <c r="AC14" s="138"/>
      <c r="AD14" s="138">
        <v>10</v>
      </c>
      <c r="AE14" s="138">
        <v>4</v>
      </c>
      <c r="AF14" s="138"/>
      <c r="AG14" s="138">
        <v>3</v>
      </c>
      <c r="AH14" s="138">
        <v>10</v>
      </c>
      <c r="AI14" s="138">
        <v>10</v>
      </c>
      <c r="AJ14" s="138">
        <v>10</v>
      </c>
      <c r="AK14" s="138">
        <v>30</v>
      </c>
      <c r="AL14" s="138">
        <v>10</v>
      </c>
      <c r="AM14" s="138">
        <v>10</v>
      </c>
      <c r="AN14" s="138">
        <v>30</v>
      </c>
      <c r="AO14" s="138">
        <v>30</v>
      </c>
      <c r="AP14" s="138">
        <v>30</v>
      </c>
      <c r="AQ14" s="138">
        <v>30</v>
      </c>
      <c r="AR14" s="138">
        <v>20</v>
      </c>
      <c r="AS14" s="138">
        <v>20</v>
      </c>
      <c r="AT14" s="138">
        <v>30</v>
      </c>
      <c r="AU14">
        <v>400</v>
      </c>
      <c r="AV14" t="str">
        <f>$H$16</f>
        <v>L_hei</v>
      </c>
      <c r="AX14">
        <v>10</v>
      </c>
      <c r="AY14">
        <v>400</v>
      </c>
      <c r="AZ14" t="str">
        <f>$H$16</f>
        <v>L_hei</v>
      </c>
      <c r="BB14">
        <v>10</v>
      </c>
      <c r="BC14">
        <v>400</v>
      </c>
      <c r="BD14" t="str">
        <f>$H$16</f>
        <v>L_hei</v>
      </c>
      <c r="BF14">
        <v>10</v>
      </c>
    </row>
    <row r="15" spans="1:159" x14ac:dyDescent="0.25">
      <c r="A15" t="s">
        <v>297</v>
      </c>
      <c r="E15" s="162"/>
      <c r="F15" s="161"/>
      <c r="G15" s="138"/>
      <c r="H15" s="138">
        <v>2.5</v>
      </c>
      <c r="I15" s="138">
        <v>20</v>
      </c>
      <c r="K15" s="138" t="s">
        <v>437</v>
      </c>
      <c r="L15" t="s">
        <v>437</v>
      </c>
      <c r="M15" s="138"/>
      <c r="N15" s="161" t="str">
        <f>H16</f>
        <v>L_hei</v>
      </c>
      <c r="O15" s="138" t="str">
        <f>Frontend_allg_OLD!F17</f>
        <v>1969 - 1978</v>
      </c>
      <c r="P15" s="161"/>
      <c r="Q15" s="138"/>
      <c r="R15" s="138" t="str">
        <f>H16</f>
        <v>L_hei</v>
      </c>
      <c r="S15" s="138">
        <v>0</v>
      </c>
      <c r="T15" s="138"/>
      <c r="U15" s="138"/>
      <c r="V15" s="138" t="str">
        <f>H16</f>
        <v>L_hei</v>
      </c>
      <c r="W15" s="138">
        <v>0</v>
      </c>
      <c r="X15" s="138"/>
      <c r="Y15" s="138"/>
      <c r="Z15" s="138" t="str">
        <f>H16</f>
        <v>L_hei</v>
      </c>
      <c r="AA15" s="138">
        <v>0</v>
      </c>
      <c r="AB15" s="138"/>
      <c r="AC15" s="138">
        <v>0</v>
      </c>
      <c r="AD15" s="138">
        <v>0</v>
      </c>
      <c r="AE15" s="138">
        <v>0</v>
      </c>
      <c r="AF15" s="138" t="str">
        <f>Frontend_allg_OLD!F17</f>
        <v>1969 - 1978</v>
      </c>
      <c r="AG15" s="138">
        <v>0</v>
      </c>
      <c r="AH15" s="138">
        <v>0</v>
      </c>
      <c r="AI15" s="138"/>
      <c r="AJ15" s="138"/>
      <c r="AK15" s="138">
        <v>0</v>
      </c>
      <c r="AL15" s="138"/>
      <c r="AM15" s="138"/>
      <c r="AN15" s="138">
        <v>0</v>
      </c>
      <c r="AO15" s="138">
        <v>0</v>
      </c>
      <c r="AP15" s="138">
        <v>0</v>
      </c>
      <c r="AQ15" s="138">
        <v>0</v>
      </c>
      <c r="AR15">
        <v>0</v>
      </c>
      <c r="AS15">
        <v>0</v>
      </c>
      <c r="AT15">
        <v>0</v>
      </c>
      <c r="AW15" t="str">
        <f>Frontend_allg_OLD!$F$17</f>
        <v>1969 - 1978</v>
      </c>
      <c r="AX15">
        <v>1</v>
      </c>
      <c r="BA15" t="str">
        <f>Frontend_allg_OLD!$F$17</f>
        <v>1969 - 1978</v>
      </c>
      <c r="BB15">
        <v>1</v>
      </c>
      <c r="BE15" t="str">
        <f>Frontend_allg_OLD!$F$17</f>
        <v>1969 - 1978</v>
      </c>
      <c r="BF15">
        <v>1</v>
      </c>
    </row>
    <row r="16" spans="1:159" ht="15.75" thickBot="1" x14ac:dyDescent="0.3">
      <c r="A16" t="s">
        <v>298</v>
      </c>
      <c r="B16" t="s">
        <v>438</v>
      </c>
      <c r="C16" s="160" t="s">
        <v>439</v>
      </c>
      <c r="D16" s="160" t="s">
        <v>440</v>
      </c>
      <c r="E16" s="160" t="s">
        <v>441</v>
      </c>
      <c r="F16" s="160" t="s">
        <v>442</v>
      </c>
      <c r="G16" t="s">
        <v>443</v>
      </c>
      <c r="H16" t="s">
        <v>444</v>
      </c>
      <c r="I16" t="s">
        <v>445</v>
      </c>
      <c r="J16" s="160" t="s">
        <v>7</v>
      </c>
      <c r="K16" t="s">
        <v>446</v>
      </c>
      <c r="L16" t="s">
        <v>447</v>
      </c>
      <c r="M16" s="138" t="s">
        <v>448</v>
      </c>
      <c r="N16" s="160" t="s">
        <v>449</v>
      </c>
      <c r="O16" t="s">
        <v>450</v>
      </c>
      <c r="Q16" t="s">
        <v>451</v>
      </c>
      <c r="R16" t="s">
        <v>452</v>
      </c>
      <c r="S16" t="s">
        <v>453</v>
      </c>
      <c r="U16" t="s">
        <v>454</v>
      </c>
      <c r="V16" t="s">
        <v>455</v>
      </c>
      <c r="W16" t="s">
        <v>456</v>
      </c>
      <c r="Y16" t="s">
        <v>457</v>
      </c>
      <c r="Z16" t="s">
        <v>458</v>
      </c>
      <c r="AA16" t="s">
        <v>459</v>
      </c>
      <c r="AC16" t="s">
        <v>427</v>
      </c>
      <c r="AD16" t="s">
        <v>460</v>
      </c>
      <c r="AE16" t="s">
        <v>461</v>
      </c>
      <c r="AF16" t="s">
        <v>462</v>
      </c>
      <c r="AG16" s="176" t="s">
        <v>463</v>
      </c>
      <c r="AH16" s="176" t="s">
        <v>464</v>
      </c>
      <c r="AI16" t="s">
        <v>465</v>
      </c>
      <c r="AJ16" t="s">
        <v>466</v>
      </c>
      <c r="AK16" t="s">
        <v>467</v>
      </c>
      <c r="AL16" t="s">
        <v>468</v>
      </c>
      <c r="AM16" t="s">
        <v>469</v>
      </c>
      <c r="AN16" t="s">
        <v>470</v>
      </c>
      <c r="AR16" t="s">
        <v>471</v>
      </c>
      <c r="AS16" t="s">
        <v>472</v>
      </c>
      <c r="AT16" t="s">
        <v>473</v>
      </c>
      <c r="AU16" t="str">
        <f>"L_"&amp;AU3&amp;"_"&amp;AU4&amp;"_wid"</f>
        <v>L_wall_win1_wid</v>
      </c>
      <c r="AV16" t="str">
        <f>"L_"&amp;AV3&amp;"_"&amp;AV4&amp;"_hei"</f>
        <v>L_wall_win1_hei</v>
      </c>
      <c r="AW16" t="str">
        <f>"YEAR_"&amp;AW3&amp;"_"&amp;AW4</f>
        <v>YEAR_wall_win1</v>
      </c>
      <c r="AX16" t="str">
        <f>"NO_"&amp;AX3&amp;"_"&amp;AX4</f>
        <v>NO_wall_win1</v>
      </c>
      <c r="AY16" t="str">
        <f>"L_"&amp;AY3&amp;"_"&amp;AY4&amp;"_wid"</f>
        <v>L_wall_win2_wid</v>
      </c>
      <c r="AZ16" t="str">
        <f>"L_"&amp;AZ3&amp;"_"&amp;AZ4&amp;"_hei"</f>
        <v>L_wall_win2_hei</v>
      </c>
      <c r="BA16" t="str">
        <f>"YEAR_"&amp;BA3&amp;"_"&amp;BA4</f>
        <v>YEAR_wall_win2</v>
      </c>
      <c r="BB16" t="str">
        <f>"NO_"&amp;BB3&amp;"_"&amp;BB4</f>
        <v>NO_wall_win2</v>
      </c>
      <c r="BC16" t="str">
        <f>"L_"&amp;BC3&amp;"_"&amp;BC4&amp;"_wid"</f>
        <v>L_wall_win3_wid</v>
      </c>
      <c r="BD16" t="str">
        <f>"L_"&amp;BD3&amp;"_"&amp;BD4&amp;"_hei"</f>
        <v>L_wall_win3_hei</v>
      </c>
      <c r="BE16" t="str">
        <f>"YEAR_"&amp;BE3&amp;"_"&amp;BE4</f>
        <v>YEAR_wall_win3</v>
      </c>
      <c r="BF16" t="str">
        <f>"NO_"&amp;BF3&amp;"_"&amp;BF4</f>
        <v>NO_wall_win3</v>
      </c>
      <c r="BG16" t="str">
        <f>"L_R#_"&amp;BG3&amp;"_"&amp;BG4&amp;"_wid"</f>
        <v>L_R#_wall1_win4_wid</v>
      </c>
      <c r="BH16" t="str">
        <f>"L_R#_"&amp;BH3&amp;"_"&amp;BH4&amp;"_hei"</f>
        <v>L_R#_wall1_win4_hei</v>
      </c>
      <c r="BI16" t="str">
        <f>"NO_R#_"&amp;BI3&amp;"_"&amp;BI4&amp;"_bj"</f>
        <v>NO_R#_wall1_win4_bj</v>
      </c>
    </row>
    <row r="17" spans="1:159" ht="15.75" thickBot="1" x14ac:dyDescent="0.3">
      <c r="B17" s="21" t="s">
        <v>474</v>
      </c>
      <c r="C17" s="163" t="str">
        <f>Frontend_allg_OLD!BB17</f>
        <v>Sonstige</v>
      </c>
      <c r="D17" s="163" t="s">
        <v>308</v>
      </c>
      <c r="E17" s="163"/>
      <c r="F17" s="163"/>
      <c r="G17" s="21">
        <v>11.54</v>
      </c>
      <c r="H17" s="21">
        <v>2.83</v>
      </c>
      <c r="I17" s="21">
        <v>20</v>
      </c>
      <c r="J17" s="163">
        <v>20</v>
      </c>
      <c r="K17" s="21" t="s">
        <v>437</v>
      </c>
      <c r="L17" s="21" t="s">
        <v>437</v>
      </c>
      <c r="M17" s="21">
        <v>3.95</v>
      </c>
      <c r="N17" s="163">
        <f>$H$17</f>
        <v>2.83</v>
      </c>
      <c r="O17" s="135"/>
      <c r="P17" s="192" t="s">
        <v>475</v>
      </c>
      <c r="Q17" s="21">
        <v>2.92</v>
      </c>
      <c r="R17" s="21">
        <f>$H$17</f>
        <v>2.83</v>
      </c>
      <c r="S17" s="135"/>
      <c r="T17" s="135" t="s">
        <v>475</v>
      </c>
      <c r="U17" s="21"/>
      <c r="V17" s="21"/>
      <c r="W17" s="135"/>
      <c r="X17" s="135"/>
      <c r="Y17" s="21"/>
      <c r="Z17" s="21">
        <f>$H$17</f>
        <v>2.83</v>
      </c>
      <c r="AA17" s="135"/>
      <c r="AB17" s="135"/>
      <c r="AC17" s="21" t="s">
        <v>476</v>
      </c>
      <c r="AD17" s="21"/>
      <c r="AE17" s="21"/>
      <c r="AF17" s="135"/>
      <c r="AG17" s="21"/>
      <c r="AH17" s="21"/>
      <c r="AI17" s="21"/>
      <c r="AJ17" s="21"/>
      <c r="AK17" s="135"/>
      <c r="AL17" s="21"/>
      <c r="AM17" s="21"/>
      <c r="AN17" s="135"/>
      <c r="AO17" s="21">
        <v>3.95</v>
      </c>
      <c r="AP17" s="21">
        <v>2.92</v>
      </c>
      <c r="AQ17" s="135">
        <v>6</v>
      </c>
      <c r="AR17" s="21">
        <v>3.95</v>
      </c>
      <c r="AS17" s="21">
        <v>2.92</v>
      </c>
      <c r="AT17" s="135"/>
      <c r="AU17" s="21">
        <v>123</v>
      </c>
      <c r="AV17" s="21">
        <v>125</v>
      </c>
      <c r="AW17" s="21" t="s">
        <v>477</v>
      </c>
      <c r="AX17" s="21">
        <v>1</v>
      </c>
      <c r="AY17" s="21"/>
      <c r="AZ17" s="21"/>
      <c r="BA17" s="21"/>
      <c r="BB17" s="21">
        <v>1</v>
      </c>
      <c r="BC17" s="21"/>
      <c r="BD17" s="21"/>
      <c r="BE17" s="21"/>
      <c r="BF17" s="21">
        <v>1</v>
      </c>
      <c r="BG17" s="21"/>
      <c r="BH17" s="21"/>
      <c r="BI17" s="21"/>
      <c r="BJ17" s="21">
        <v>123</v>
      </c>
      <c r="BK17" s="21">
        <v>125</v>
      </c>
      <c r="BL17" s="21" t="s">
        <v>477</v>
      </c>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t="s">
        <v>478</v>
      </c>
      <c r="DV17" s="21" t="s">
        <v>479</v>
      </c>
      <c r="DW17" s="21">
        <v>11</v>
      </c>
      <c r="DX17" s="21">
        <v>600</v>
      </c>
      <c r="DY17" s="21">
        <v>1100</v>
      </c>
      <c r="DZ17" s="21">
        <v>65</v>
      </c>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row>
    <row r="18" spans="1:159" ht="15.75" thickBot="1" x14ac:dyDescent="0.3">
      <c r="B18" s="21" t="s">
        <v>480</v>
      </c>
      <c r="C18" s="163" t="str">
        <f>Frontend_allg_OLD!BC17</f>
        <v>Schlafzimmer</v>
      </c>
      <c r="D18" s="163" t="s">
        <v>308</v>
      </c>
      <c r="E18" s="163"/>
      <c r="F18" s="163"/>
      <c r="G18" s="21">
        <v>16</v>
      </c>
      <c r="H18" s="21">
        <v>2.83</v>
      </c>
      <c r="I18" s="21">
        <v>20</v>
      </c>
      <c r="J18" s="163">
        <v>20</v>
      </c>
      <c r="K18" s="21" t="s">
        <v>437</v>
      </c>
      <c r="L18" s="21" t="s">
        <v>437</v>
      </c>
      <c r="M18" s="21">
        <v>3.97</v>
      </c>
      <c r="N18" s="163">
        <f>$H$17</f>
        <v>2.83</v>
      </c>
      <c r="O18" s="135"/>
      <c r="P18" s="192" t="s">
        <v>475</v>
      </c>
      <c r="Q18" s="21">
        <v>4.03</v>
      </c>
      <c r="R18" s="21">
        <f>$H$17</f>
        <v>2.83</v>
      </c>
      <c r="S18" s="135"/>
      <c r="T18" s="135" t="s">
        <v>475</v>
      </c>
      <c r="U18" s="21"/>
      <c r="V18" s="21"/>
      <c r="W18" s="135"/>
      <c r="X18" s="135"/>
      <c r="Y18" s="21"/>
      <c r="Z18" s="21">
        <f>$H$17</f>
        <v>2.83</v>
      </c>
      <c r="AA18" s="135"/>
      <c r="AB18" s="135"/>
      <c r="AC18" s="21" t="s">
        <v>476</v>
      </c>
      <c r="AD18" s="21"/>
      <c r="AE18" s="21"/>
      <c r="AF18" s="135"/>
      <c r="AG18" s="21"/>
      <c r="AH18" s="21"/>
      <c r="AI18" s="21"/>
      <c r="AJ18" s="21"/>
      <c r="AK18" s="135"/>
      <c r="AL18" s="21"/>
      <c r="AM18" s="21"/>
      <c r="AN18" s="135"/>
      <c r="AO18" s="21">
        <v>4.03</v>
      </c>
      <c r="AP18" s="21">
        <v>3.97</v>
      </c>
      <c r="AQ18" s="135">
        <v>6</v>
      </c>
      <c r="AR18" s="21">
        <f>SQRT(20.28)</f>
        <v>4.5033320996790813</v>
      </c>
      <c r="AS18" s="21">
        <v>4.03</v>
      </c>
      <c r="AT18" s="135">
        <v>3.97</v>
      </c>
      <c r="AU18" s="21">
        <v>147.5</v>
      </c>
      <c r="AV18" s="21">
        <v>125</v>
      </c>
      <c r="AW18" s="21"/>
      <c r="AX18" s="21">
        <v>1</v>
      </c>
      <c r="AY18" s="21"/>
      <c r="AZ18" s="21"/>
      <c r="BA18" s="21"/>
      <c r="BB18" s="21">
        <v>1</v>
      </c>
      <c r="BC18" s="21"/>
      <c r="BD18" s="21"/>
      <c r="BE18" s="21"/>
      <c r="BF18" s="21">
        <v>1</v>
      </c>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t="s">
        <v>478</v>
      </c>
      <c r="DV18" s="21" t="s">
        <v>479</v>
      </c>
      <c r="DW18" s="21">
        <v>33</v>
      </c>
      <c r="DX18" s="21">
        <v>600</v>
      </c>
      <c r="DY18" s="21">
        <v>1000</v>
      </c>
      <c r="DZ18" s="21">
        <v>155</v>
      </c>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row>
    <row r="19" spans="1:159" ht="15.75" thickBot="1" x14ac:dyDescent="0.3">
      <c r="B19" s="21" t="s">
        <v>481</v>
      </c>
      <c r="C19" s="163" t="str">
        <f>Frontend_allg_OLD!BD17</f>
        <v>Sonstige</v>
      </c>
      <c r="D19" s="163" t="s">
        <v>308</v>
      </c>
      <c r="E19" s="163"/>
      <c r="F19" s="163"/>
      <c r="G19" s="21">
        <v>10.4</v>
      </c>
      <c r="H19" s="21">
        <v>2.83</v>
      </c>
      <c r="I19" s="21">
        <v>20</v>
      </c>
      <c r="J19" s="163">
        <v>20</v>
      </c>
      <c r="K19" s="21" t="s">
        <v>437</v>
      </c>
      <c r="L19" s="21" t="s">
        <v>437</v>
      </c>
      <c r="M19" s="21">
        <v>2.5</v>
      </c>
      <c r="N19" s="163">
        <f>$H$17</f>
        <v>2.83</v>
      </c>
      <c r="O19" s="135"/>
      <c r="P19" s="192" t="s">
        <v>475</v>
      </c>
      <c r="Q19" s="21"/>
      <c r="R19" s="21"/>
      <c r="S19" s="135"/>
      <c r="T19" s="135"/>
      <c r="U19" s="21"/>
      <c r="V19" s="21"/>
      <c r="W19" s="135"/>
      <c r="X19" s="135"/>
      <c r="Y19" s="21"/>
      <c r="Z19" s="21">
        <f>$H$17</f>
        <v>2.83</v>
      </c>
      <c r="AA19" s="135"/>
      <c r="AB19" s="135"/>
      <c r="AC19" s="21" t="s">
        <v>476</v>
      </c>
      <c r="AD19" s="21"/>
      <c r="AE19" s="21"/>
      <c r="AF19" s="135"/>
      <c r="AG19" s="21"/>
      <c r="AH19" s="21"/>
      <c r="AI19" s="21"/>
      <c r="AJ19" s="21"/>
      <c r="AK19" s="135"/>
      <c r="AL19" s="21"/>
      <c r="AM19" s="21"/>
      <c r="AN19" s="135"/>
      <c r="AO19" s="21">
        <v>2.5</v>
      </c>
      <c r="AP19" s="21">
        <v>4.17</v>
      </c>
      <c r="AQ19" s="135">
        <v>6</v>
      </c>
      <c r="AR19" s="21">
        <v>2.5</v>
      </c>
      <c r="AS19" s="21">
        <v>4.17</v>
      </c>
      <c r="AT19" s="135"/>
      <c r="AU19" s="21">
        <v>122.5</v>
      </c>
      <c r="AV19" s="21">
        <v>125</v>
      </c>
      <c r="AW19" s="21"/>
      <c r="AX19" s="21">
        <v>1</v>
      </c>
      <c r="AY19" s="21"/>
      <c r="AZ19" s="21"/>
      <c r="BA19" s="21"/>
      <c r="BB19" s="21">
        <v>1</v>
      </c>
      <c r="BC19" s="21"/>
      <c r="BD19" s="21"/>
      <c r="BE19" s="21"/>
      <c r="BF19" s="21">
        <v>1</v>
      </c>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t="s">
        <v>478</v>
      </c>
      <c r="DV19" s="21" t="s">
        <v>479</v>
      </c>
      <c r="DW19" s="21">
        <v>11</v>
      </c>
      <c r="DX19" s="21">
        <v>600</v>
      </c>
      <c r="DY19" s="21">
        <v>1100</v>
      </c>
      <c r="DZ19" s="21">
        <v>65</v>
      </c>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row>
    <row r="20" spans="1:159" x14ac:dyDescent="0.25">
      <c r="B20" s="24" t="s">
        <v>482</v>
      </c>
      <c r="C20" s="159" t="s">
        <v>482</v>
      </c>
      <c r="D20" s="160" t="str">
        <f>IF($D$17="Nein","Bitte geben Sie die Wohnfläche direkt ein","")</f>
        <v/>
      </c>
      <c r="E20" s="160" t="s">
        <v>136</v>
      </c>
      <c r="F20" s="160" t="s">
        <v>136</v>
      </c>
      <c r="G20" t="s">
        <v>122</v>
      </c>
      <c r="H20" t="s">
        <v>136</v>
      </c>
      <c r="I20" t="s">
        <v>107</v>
      </c>
      <c r="J20" s="160" t="s">
        <v>107</v>
      </c>
      <c r="M20" t="s">
        <v>136</v>
      </c>
      <c r="N20" s="160" t="s">
        <v>136</v>
      </c>
      <c r="O20" t="s">
        <v>430</v>
      </c>
      <c r="Q20" t="s">
        <v>136</v>
      </c>
      <c r="R20" t="s">
        <v>136</v>
      </c>
      <c r="S20" t="s">
        <v>430</v>
      </c>
      <c r="U20" t="s">
        <v>136</v>
      </c>
      <c r="V20" t="s">
        <v>136</v>
      </c>
      <c r="W20" t="s">
        <v>430</v>
      </c>
      <c r="Y20" t="s">
        <v>136</v>
      </c>
      <c r="Z20" t="s">
        <v>136</v>
      </c>
      <c r="AA20" t="s">
        <v>430</v>
      </c>
      <c r="AD20" t="s">
        <v>136</v>
      </c>
      <c r="AE20" t="s">
        <v>136</v>
      </c>
      <c r="AF20" t="s">
        <v>430</v>
      </c>
      <c r="AI20" t="s">
        <v>136</v>
      </c>
      <c r="AJ20" t="s">
        <v>136</v>
      </c>
      <c r="AK20" t="s">
        <v>430</v>
      </c>
      <c r="AL20" t="s">
        <v>136</v>
      </c>
      <c r="AM20" t="s">
        <v>136</v>
      </c>
      <c r="AN20" t="s">
        <v>430</v>
      </c>
      <c r="AO20" t="s">
        <v>136</v>
      </c>
      <c r="AP20" t="s">
        <v>136</v>
      </c>
      <c r="AQ20" t="s">
        <v>430</v>
      </c>
      <c r="AR20" t="s">
        <v>136</v>
      </c>
      <c r="AS20" t="s">
        <v>136</v>
      </c>
      <c r="AT20" t="s">
        <v>430</v>
      </c>
      <c r="AV20" t="s">
        <v>430</v>
      </c>
      <c r="AZ20" t="s">
        <v>430</v>
      </c>
      <c r="BA20" t="s">
        <v>430</v>
      </c>
      <c r="BD20" t="s">
        <v>430</v>
      </c>
      <c r="BE20" t="s">
        <v>430</v>
      </c>
      <c r="BH20" t="s">
        <v>430</v>
      </c>
      <c r="BI20" t="s">
        <v>430</v>
      </c>
      <c r="BK20" t="s">
        <v>430</v>
      </c>
      <c r="BL20" t="s">
        <v>430</v>
      </c>
      <c r="BN20" t="s">
        <v>430</v>
      </c>
      <c r="BO20" t="s">
        <v>430</v>
      </c>
      <c r="BQ20" t="s">
        <v>430</v>
      </c>
      <c r="BR20" t="s">
        <v>430</v>
      </c>
      <c r="BT20" t="s">
        <v>430</v>
      </c>
      <c r="BU20" t="s">
        <v>430</v>
      </c>
      <c r="BW20" t="s">
        <v>430</v>
      </c>
      <c r="BX20" t="s">
        <v>430</v>
      </c>
      <c r="BZ20" t="s">
        <v>430</v>
      </c>
      <c r="CA20" t="s">
        <v>430</v>
      </c>
      <c r="CC20" t="s">
        <v>430</v>
      </c>
      <c r="CD20" t="s">
        <v>430</v>
      </c>
      <c r="CF20" t="s">
        <v>430</v>
      </c>
      <c r="CG20" t="s">
        <v>430</v>
      </c>
      <c r="CI20" t="s">
        <v>430</v>
      </c>
      <c r="CJ20" t="s">
        <v>430</v>
      </c>
      <c r="CL20" t="s">
        <v>430</v>
      </c>
      <c r="CM20" t="s">
        <v>430</v>
      </c>
      <c r="CO20" t="s">
        <v>430</v>
      </c>
      <c r="CP20" t="s">
        <v>430</v>
      </c>
      <c r="CR20" t="s">
        <v>430</v>
      </c>
      <c r="CS20" t="s">
        <v>430</v>
      </c>
      <c r="CU20" t="s">
        <v>430</v>
      </c>
      <c r="CV20" t="s">
        <v>430</v>
      </c>
      <c r="CX20" t="s">
        <v>430</v>
      </c>
      <c r="CY20" t="s">
        <v>430</v>
      </c>
      <c r="DA20" t="s">
        <v>430</v>
      </c>
      <c r="DB20" t="s">
        <v>430</v>
      </c>
      <c r="DD20" t="s">
        <v>430</v>
      </c>
      <c r="DE20" t="s">
        <v>430</v>
      </c>
      <c r="DG20" t="s">
        <v>430</v>
      </c>
      <c r="DH20" t="s">
        <v>430</v>
      </c>
      <c r="DJ20" t="s">
        <v>430</v>
      </c>
      <c r="DK20" t="s">
        <v>430</v>
      </c>
      <c r="DM20" t="s">
        <v>430</v>
      </c>
      <c r="DN20" t="s">
        <v>430</v>
      </c>
      <c r="DP20" t="s">
        <v>430</v>
      </c>
      <c r="DQ20" t="s">
        <v>430</v>
      </c>
      <c r="DV20" t="s">
        <v>431</v>
      </c>
      <c r="DW20" t="s">
        <v>431</v>
      </c>
      <c r="DX20" t="s">
        <v>431</v>
      </c>
      <c r="EB20" t="s">
        <v>431</v>
      </c>
      <c r="EC20" t="s">
        <v>431</v>
      </c>
      <c r="ED20" t="s">
        <v>431</v>
      </c>
      <c r="EE20" t="s">
        <v>431</v>
      </c>
      <c r="EI20" t="s">
        <v>431</v>
      </c>
      <c r="EJ20" t="s">
        <v>431</v>
      </c>
      <c r="EK20" t="s">
        <v>431</v>
      </c>
      <c r="EL20" t="s">
        <v>431</v>
      </c>
      <c r="EP20" t="s">
        <v>431</v>
      </c>
      <c r="EQ20" t="s">
        <v>431</v>
      </c>
      <c r="ER20" t="s">
        <v>431</v>
      </c>
      <c r="ES20" t="s">
        <v>431</v>
      </c>
      <c r="EW20" t="s">
        <v>431</v>
      </c>
      <c r="EX20" t="s">
        <v>431</v>
      </c>
      <c r="EY20" t="s">
        <v>431</v>
      </c>
      <c r="EZ20" t="s">
        <v>431</v>
      </c>
    </row>
    <row r="21" spans="1:159" x14ac:dyDescent="0.25">
      <c r="D21" s="159" t="s">
        <v>483</v>
      </c>
      <c r="J21" s="159"/>
    </row>
    <row r="22" spans="1:159" x14ac:dyDescent="0.25">
      <c r="D22" s="159" t="s">
        <v>484</v>
      </c>
      <c r="I22" s="24"/>
      <c r="J22" s="159"/>
    </row>
    <row r="23" spans="1:159" x14ac:dyDescent="0.25">
      <c r="D23" s="159"/>
      <c r="I23" s="24"/>
      <c r="J23" s="159"/>
    </row>
    <row r="24" spans="1:159" x14ac:dyDescent="0.25">
      <c r="D24" s="159"/>
      <c r="I24" s="24"/>
      <c r="J24" s="159"/>
    </row>
    <row r="25" spans="1:159" x14ac:dyDescent="0.25">
      <c r="D25" s="159"/>
      <c r="I25" s="24"/>
      <c r="J25" s="159"/>
    </row>
    <row r="26" spans="1:159" x14ac:dyDescent="0.25">
      <c r="A26" s="160" t="s">
        <v>329</v>
      </c>
      <c r="C26" s="160" t="s">
        <v>485</v>
      </c>
      <c r="D26" s="160" t="s">
        <v>486</v>
      </c>
      <c r="E26" s="160" t="s">
        <v>487</v>
      </c>
      <c r="F26" s="160" t="s">
        <v>487</v>
      </c>
      <c r="I26" s="24"/>
      <c r="J26" s="160" t="s">
        <v>488</v>
      </c>
      <c r="N26" s="160" t="s">
        <v>489</v>
      </c>
      <c r="P26" s="160" t="s">
        <v>490</v>
      </c>
      <c r="Q26" s="273" t="s">
        <v>491</v>
      </c>
      <c r="R26" s="273"/>
      <c r="S26" s="273"/>
      <c r="T26" s="273"/>
      <c r="U26" s="273"/>
      <c r="V26" s="273"/>
      <c r="W26" s="273"/>
      <c r="X26" s="273"/>
      <c r="Y26" s="273"/>
      <c r="Z26" s="273"/>
      <c r="AA26" s="273"/>
      <c r="AB26" s="273"/>
      <c r="AI26" s="273" t="s">
        <v>492</v>
      </c>
      <c r="AJ26" s="273"/>
      <c r="AK26" s="273"/>
      <c r="AL26" s="273"/>
      <c r="AM26" s="273"/>
      <c r="AN26" s="273"/>
      <c r="AO26" s="160" t="s">
        <v>493</v>
      </c>
      <c r="AP26" s="160"/>
      <c r="AQ26" s="160" t="s">
        <v>494</v>
      </c>
      <c r="AR26" s="160"/>
      <c r="AS26" s="160"/>
      <c r="AT26" s="160"/>
      <c r="BG26" s="273" t="s">
        <v>495</v>
      </c>
      <c r="BH26" s="273"/>
      <c r="BI26" s="273"/>
      <c r="BJ26" s="273"/>
      <c r="BK26" s="273"/>
      <c r="BL26" s="273"/>
      <c r="BM26" s="273"/>
      <c r="BN26" s="273"/>
      <c r="BO26" s="273"/>
      <c r="BP26" s="273"/>
      <c r="BQ26" s="273"/>
      <c r="BR26" s="273"/>
      <c r="BS26" s="273"/>
      <c r="BT26" s="273"/>
      <c r="BU26" s="273"/>
      <c r="BV26" s="273"/>
      <c r="BW26" s="273"/>
      <c r="BX26" s="273"/>
      <c r="BY26" s="273"/>
      <c r="BZ26" s="273"/>
      <c r="CA26" s="273"/>
      <c r="CB26" s="273"/>
      <c r="CC26" s="273"/>
      <c r="CD26" s="273"/>
      <c r="CE26" s="273"/>
      <c r="CF26" s="273"/>
      <c r="CG26" s="273"/>
      <c r="CH26" s="273"/>
      <c r="CI26" s="273"/>
      <c r="CJ26" s="273"/>
      <c r="CK26" s="273"/>
      <c r="CL26" s="273"/>
      <c r="CM26" s="273"/>
      <c r="CN26" s="273"/>
      <c r="CO26" s="273"/>
      <c r="CP26" s="273"/>
      <c r="CQ26" s="273"/>
      <c r="CR26" s="273"/>
      <c r="CS26" s="273"/>
      <c r="CZ26" s="273" t="s">
        <v>496</v>
      </c>
      <c r="DA26" s="273"/>
      <c r="DB26" s="273"/>
      <c r="DC26" s="273"/>
      <c r="DD26" s="273"/>
      <c r="DE26" s="273"/>
      <c r="DF26" s="273"/>
      <c r="DG26" s="273"/>
      <c r="DH26" s="273"/>
      <c r="DI26" s="273"/>
      <c r="DJ26" s="273"/>
      <c r="DK26" s="273"/>
      <c r="DL26" s="273"/>
      <c r="DM26" s="273"/>
      <c r="DN26" s="273"/>
      <c r="DO26" s="273"/>
      <c r="DP26" s="273"/>
      <c r="DQ26" s="273"/>
      <c r="DR26" s="273"/>
      <c r="DS26" s="273"/>
      <c r="DT26" s="273"/>
    </row>
    <row r="27" spans="1:159" x14ac:dyDescent="0.25">
      <c r="A27" t="s">
        <v>331</v>
      </c>
      <c r="N27" s="160" t="s">
        <v>497</v>
      </c>
      <c r="O27" t="s">
        <v>498</v>
      </c>
      <c r="P27" s="160" t="s">
        <v>497</v>
      </c>
      <c r="AF27" t="s">
        <v>499</v>
      </c>
      <c r="AG27" t="s">
        <v>500</v>
      </c>
      <c r="AH27" t="s">
        <v>500</v>
      </c>
      <c r="AW27" t="s">
        <v>501</v>
      </c>
      <c r="AX27" t="s">
        <v>502</v>
      </c>
      <c r="BB27" t="s">
        <v>502</v>
      </c>
      <c r="BF27" t="s">
        <v>502</v>
      </c>
    </row>
    <row r="28" spans="1:159" x14ac:dyDescent="0.25">
      <c r="BF28" t="s">
        <v>503</v>
      </c>
    </row>
    <row r="33" spans="7:9" x14ac:dyDescent="0.25">
      <c r="G33" s="24"/>
    </row>
    <row r="34" spans="7:9" x14ac:dyDescent="0.25">
      <c r="I34" s="24"/>
    </row>
    <row r="35" spans="7:9" x14ac:dyDescent="0.25">
      <c r="I35" s="24"/>
    </row>
    <row r="38" spans="7:9" x14ac:dyDescent="0.25">
      <c r="I38" s="24"/>
    </row>
    <row r="39" spans="7:9" x14ac:dyDescent="0.25">
      <c r="I39" s="24"/>
    </row>
    <row r="42" spans="7:9" x14ac:dyDescent="0.25">
      <c r="I42" s="24"/>
    </row>
    <row r="56" spans="3:9" x14ac:dyDescent="0.25">
      <c r="I56" s="24"/>
    </row>
    <row r="57" spans="3:9" x14ac:dyDescent="0.25">
      <c r="I57" s="24"/>
    </row>
    <row r="58" spans="3:9" x14ac:dyDescent="0.25">
      <c r="I58" s="24"/>
    </row>
    <row r="59" spans="3:9" x14ac:dyDescent="0.25">
      <c r="I59" s="24"/>
    </row>
    <row r="64" spans="3:9" x14ac:dyDescent="0.25">
      <c r="C64" s="164"/>
    </row>
    <row r="76" spans="3:9" x14ac:dyDescent="0.25">
      <c r="C76" s="164"/>
    </row>
    <row r="78" spans="3:9" x14ac:dyDescent="0.25">
      <c r="I78" s="24"/>
    </row>
    <row r="79" spans="3:9" x14ac:dyDescent="0.25">
      <c r="I79" s="24"/>
    </row>
    <row r="85" spans="6:9" x14ac:dyDescent="0.25">
      <c r="G85" s="24"/>
      <c r="I85" s="24"/>
    </row>
    <row r="86" spans="6:9" x14ac:dyDescent="0.25">
      <c r="F86" s="159"/>
      <c r="G86" s="24"/>
      <c r="I86" s="24"/>
    </row>
    <row r="87" spans="6:9" x14ac:dyDescent="0.25">
      <c r="F87" s="159"/>
    </row>
    <row r="88" spans="6:9" x14ac:dyDescent="0.25">
      <c r="F88" s="159"/>
    </row>
    <row r="89" spans="6:9" x14ac:dyDescent="0.25">
      <c r="F89" s="159"/>
      <c r="I89" s="24"/>
    </row>
    <row r="90" spans="6:9" x14ac:dyDescent="0.25">
      <c r="F90" s="159"/>
      <c r="I90" s="24"/>
    </row>
    <row r="91" spans="6:9" x14ac:dyDescent="0.25">
      <c r="F91" s="159"/>
    </row>
    <row r="92" spans="6:9" x14ac:dyDescent="0.25">
      <c r="F92" s="159"/>
    </row>
    <row r="93" spans="6:9" x14ac:dyDescent="0.25">
      <c r="F93" s="159"/>
      <c r="I93" s="24"/>
    </row>
    <row r="102" spans="3:3" x14ac:dyDescent="0.25">
      <c r="C102" s="164"/>
    </row>
    <row r="113" spans="3:9" x14ac:dyDescent="0.25">
      <c r="C113" s="164"/>
    </row>
    <row r="115" spans="3:9" x14ac:dyDescent="0.25">
      <c r="I115" s="24"/>
    </row>
    <row r="116" spans="3:9" x14ac:dyDescent="0.25">
      <c r="I116" s="24"/>
    </row>
    <row r="121" spans="3:9" x14ac:dyDescent="0.25">
      <c r="G121" s="24"/>
    </row>
    <row r="122" spans="3:9" x14ac:dyDescent="0.25">
      <c r="F122" s="159"/>
      <c r="G122" s="24"/>
      <c r="I122" s="24"/>
    </row>
    <row r="123" spans="3:9" x14ac:dyDescent="0.25">
      <c r="I123" s="24"/>
    </row>
    <row r="126" spans="3:9" x14ac:dyDescent="0.25">
      <c r="I126" s="24"/>
    </row>
    <row r="127" spans="3:9" x14ac:dyDescent="0.25">
      <c r="I127" s="24"/>
    </row>
    <row r="130" spans="3:9" x14ac:dyDescent="0.25">
      <c r="I130" s="24"/>
    </row>
    <row r="139" spans="3:9" x14ac:dyDescent="0.25">
      <c r="C139" s="164"/>
    </row>
    <row r="150" spans="3:9" x14ac:dyDescent="0.25">
      <c r="C150" s="164"/>
    </row>
    <row r="152" spans="3:9" x14ac:dyDescent="0.25">
      <c r="I152" s="24"/>
    </row>
    <row r="153" spans="3:9" x14ac:dyDescent="0.25">
      <c r="I153" s="24"/>
    </row>
    <row r="158" spans="3:9" x14ac:dyDescent="0.25">
      <c r="G158" s="24"/>
    </row>
    <row r="159" spans="3:9" x14ac:dyDescent="0.25">
      <c r="F159" s="159"/>
      <c r="G159" s="24"/>
      <c r="I159" s="24"/>
    </row>
    <row r="160" spans="3:9" x14ac:dyDescent="0.25">
      <c r="I160" s="24"/>
    </row>
    <row r="163" spans="3:9" x14ac:dyDescent="0.25">
      <c r="I163" s="24"/>
    </row>
    <row r="164" spans="3:9" x14ac:dyDescent="0.25">
      <c r="I164" s="24"/>
    </row>
    <row r="167" spans="3:9" x14ac:dyDescent="0.25">
      <c r="I167" s="24"/>
    </row>
    <row r="176" spans="3:9" x14ac:dyDescent="0.25">
      <c r="C176" s="164"/>
    </row>
    <row r="187" spans="3:3" x14ac:dyDescent="0.25">
      <c r="C187" s="164"/>
    </row>
    <row r="195" spans="6:7" x14ac:dyDescent="0.25">
      <c r="G195" s="24"/>
    </row>
    <row r="196" spans="6:7" x14ac:dyDescent="0.25">
      <c r="F196" s="159"/>
      <c r="G196" s="24"/>
    </row>
    <row r="213" spans="3:3" x14ac:dyDescent="0.25">
      <c r="C213" s="164"/>
    </row>
  </sheetData>
  <mergeCells count="4">
    <mergeCell ref="Q26:AB26"/>
    <mergeCell ref="AI26:AN26"/>
    <mergeCell ref="BG26:CS26"/>
    <mergeCell ref="CZ26:DT26"/>
  </mergeCells>
  <dataValidations count="4">
    <dataValidation type="list" allowBlank="1" showInputMessage="1" showErrorMessage="1" sqref="EE17:EE19" xr:uid="{08BD4F69-651C-466E-81DF-E56F493E0A12}">
      <formula1>INDIRECT($EC$17)</formula1>
    </dataValidation>
    <dataValidation type="list" allowBlank="1" showInputMessage="1" showErrorMessage="1" sqref="ES17:ES19 EZ17:EZ19 D105 D142 DX17:DX19 EL17:EL19" xr:uid="{9774829F-45F1-4B13-9E50-E2244429A4FB}">
      <formula1>INDIRECT($DV$17)</formula1>
    </dataValidation>
    <dataValidation type="list" allowBlank="1" showInputMessage="1" showErrorMessage="1" sqref="EQ17:EQ19 EX17:EX19 D104 D141 DV17:DV19 EC17:EC19 EJ17:EJ19" xr:uid="{E2ACD92E-F868-485D-88EC-8FE921C65D21}">
      <formula1>INDIRECT($DU$17)</formula1>
    </dataValidation>
    <dataValidation type="list" allowBlank="1" showInputMessage="1" showErrorMessage="1" sqref="EI17:EI19 D103 D140 EP17:EP19 EW17:EW19 DU17:DU19 EB17:EB19" xr:uid="{995887C3-D1B4-4EA9-BADD-78F5C0B49F1A}">
      <formula1>INDIRECT("Heizkörpertypen")</formula1>
    </dataValidation>
  </dataValidations>
  <pageMargins left="0.7" right="0.7" top="0.78740157499999996" bottom="0.78740157499999996"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C710BE52-65C9-4501-A206-6F7E13829CD9}">
          <x14:formula1>
            <xm:f>Daten!$E$106:$E$108</xm:f>
          </x14:formula1>
          <xm:sqref>K17:K19</xm:sqref>
        </x14:dataValidation>
        <x14:dataValidation type="list" allowBlank="1" showInputMessage="1" showErrorMessage="1" xr:uid="{3B96151A-DC27-41D5-915A-D1E637DE3AA8}">
          <x14:formula1>
            <xm:f>Daten!$G$17:$G$30</xm:f>
          </x14:formula1>
          <xm:sqref>AW18:AW19</xm:sqref>
        </x14:dataValidation>
        <x14:dataValidation type="list" allowBlank="1" showInputMessage="1" showErrorMessage="1" xr:uid="{DD00EC3A-7129-4872-904A-606DF8AC171F}">
          <x14:formula1>
            <xm:f>Daten!$E$106:$E$109</xm:f>
          </x14:formula1>
          <xm:sqref>X17:X19 L17:L19 T17:T19 P17:P19 AB17:AB19</xm:sqref>
        </x14:dataValidation>
        <x14:dataValidation type="list" allowBlank="1" showInputMessage="1" showErrorMessage="1" xr:uid="{EE330A0A-6C91-4EFE-9A04-DDBA2337544E}">
          <x14:formula1>
            <xm:f>Daten!$E$17:$E$29</xm:f>
          </x14:formula1>
          <xm:sqref>BA17:BA19 BI17:BI19 BL17:BL19 BO17:BO19 BR17:BR19 BU17:BU19 BX17:BX19 CA17:CA19 CD17:CD19 CG17:CG19 CJ17:CJ19 CM17:CM19 CP17:CP19 CS17:CS19 CV17:CV19 CY17:CY19 DB17:DB19 DE17:DE19 DH17:DH19 DK17:DK19 DN17:DN19 DQ17:DQ19 DT17:DT19 BE17:BE19 AW17</xm:sqref>
        </x14:dataValidation>
        <x14:dataValidation type="list" allowBlank="1" showInputMessage="1" showErrorMessage="1" xr:uid="{CFAE4B61-88FA-4BC7-9D10-2F1ED4FD3F8F}">
          <x14:formula1>
            <xm:f>Daten!$E$66:$E$67</xm:f>
          </x14:formula1>
          <xm:sqref>D17:D19 AC17:AC19</xm:sqref>
        </x14:dataValidation>
        <x14:dataValidation type="list" allowBlank="1" showInputMessage="1" showErrorMessage="1" xr:uid="{F5B6F44F-91CB-4A41-8BA4-D099788B24E1}">
          <x14:formula1>
            <xm:f>Daten!$E$89:$E$96</xm:f>
          </x14:formula1>
          <xm:sqref>EK17:EK19 ER17:ER19 EY17:EY19 ED17:ED19 DW17:DW19</xm:sqref>
        </x14:dataValidation>
        <x14:dataValidation type="list" allowBlank="1" showInputMessage="1" showErrorMessage="1" xr:uid="{63894686-AE3D-4C53-B1CA-A07D98A3CE5C}">
          <x14:formula1>
            <xm:f>Data_radiator!$H$5:$H$385</xm:f>
          </x14:formula1>
          <xm:sqref>D106 EF17:EF19 D143</xm:sqref>
        </x14:dataValidation>
        <x14:dataValidation type="list" allowBlank="1" showInputMessage="1" showErrorMessage="1" xr:uid="{42FEFDA2-CEE6-4B2D-975D-129D63E2CA7A}">
          <x14:formula1>
            <xm:f>Data_radiator!$L$5:$L$385</xm:f>
          </x14:formula1>
          <xm:sqref>D107 EG17:EG19 DZ17:DZ19 FB17:FB19 D144 EU17:EU19 EN17:EN19</xm:sqref>
        </x14:dataValidation>
        <x14:dataValidation type="list" allowBlank="1" showInputMessage="1" showErrorMessage="1" xr:uid="{D122B22D-469D-43EE-A6AD-53F832815A5A}">
          <x14:formula1>
            <xm:f>Daten!$C$17:$C$272</xm:f>
          </x14:formula1>
          <xm:sqref>F97:F101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3EC5-4E1A-4B1D-BF09-CB0D75EBD18A}">
  <sheetPr>
    <tabColor theme="7"/>
  </sheetPr>
  <dimension ref="A1:W26"/>
  <sheetViews>
    <sheetView tabSelected="1" workbookViewId="0">
      <pane ySplit="1" topLeftCell="A2" activePane="bottomLeft" state="frozen"/>
      <selection pane="bottomLeft" activeCell="E17" sqref="E17"/>
    </sheetView>
  </sheetViews>
  <sheetFormatPr baseColWidth="10" defaultColWidth="11.42578125" defaultRowHeight="15" x14ac:dyDescent="0.25"/>
  <cols>
    <col min="1" max="1" width="16.5703125" customWidth="1"/>
    <col min="2" max="3" width="11.42578125" customWidth="1"/>
    <col min="4" max="4" width="17.85546875" customWidth="1"/>
    <col min="5" max="5" width="69.85546875" customWidth="1"/>
    <col min="6" max="6" width="11.42578125" customWidth="1"/>
    <col min="7" max="7" width="18.28515625" customWidth="1"/>
    <col min="8" max="8" width="15.5703125" customWidth="1"/>
    <col min="9" max="9" width="7.140625" customWidth="1"/>
    <col min="10" max="10" width="8.42578125" customWidth="1"/>
    <col min="11" max="11" width="10" customWidth="1"/>
    <col min="12" max="12" width="17" customWidth="1"/>
    <col min="13" max="13" width="8.7109375" customWidth="1"/>
    <col min="14" max="14" width="9" customWidth="1"/>
    <col min="15" max="15" width="12.42578125" customWidth="1"/>
    <col min="16" max="16" width="26.42578125" customWidth="1"/>
    <col min="17" max="17" width="5.28515625" bestFit="1" customWidth="1"/>
    <col min="18" max="19" width="13.28515625" customWidth="1"/>
    <col min="20" max="22" width="11.42578125" customWidth="1"/>
  </cols>
  <sheetData>
    <row r="1" spans="1:23" ht="15.75" thickBot="1" x14ac:dyDescent="0.3">
      <c r="A1" s="197" t="s">
        <v>0</v>
      </c>
      <c r="B1" s="197" t="s">
        <v>286</v>
      </c>
      <c r="C1" s="197" t="s">
        <v>287</v>
      </c>
      <c r="D1" s="197" t="s">
        <v>504</v>
      </c>
      <c r="E1" s="197" t="s">
        <v>288</v>
      </c>
      <c r="F1" s="197" t="s">
        <v>289</v>
      </c>
      <c r="G1" s="197" t="s">
        <v>290</v>
      </c>
      <c r="H1" s="197" t="s">
        <v>291</v>
      </c>
      <c r="I1" s="197" t="s">
        <v>118</v>
      </c>
      <c r="J1" s="197" t="s">
        <v>292</v>
      </c>
      <c r="K1" s="197" t="s">
        <v>293</v>
      </c>
      <c r="L1" s="197" t="s">
        <v>294</v>
      </c>
      <c r="M1" s="197" t="s">
        <v>505</v>
      </c>
      <c r="N1" s="197" t="s">
        <v>506</v>
      </c>
      <c r="O1" s="197" t="s">
        <v>507</v>
      </c>
      <c r="P1" s="197" t="s">
        <v>508</v>
      </c>
      <c r="Q1" s="197" t="s">
        <v>125</v>
      </c>
      <c r="R1" s="197" t="s">
        <v>509</v>
      </c>
      <c r="S1" s="197" t="s">
        <v>176</v>
      </c>
      <c r="T1" s="197" t="s">
        <v>8745</v>
      </c>
      <c r="U1" s="197" t="s">
        <v>8746</v>
      </c>
      <c r="V1" s="322"/>
    </row>
    <row r="2" spans="1:23" ht="15.75" thickBot="1" x14ac:dyDescent="0.3">
      <c r="A2" s="19" t="s">
        <v>272</v>
      </c>
      <c r="B2" t="s">
        <v>180</v>
      </c>
      <c r="D2" t="s">
        <v>510</v>
      </c>
      <c r="E2" t="s">
        <v>511</v>
      </c>
      <c r="G2" t="s">
        <v>512</v>
      </c>
      <c r="J2" t="s">
        <v>435</v>
      </c>
      <c r="K2">
        <v>1</v>
      </c>
      <c r="P2" s="21">
        <v>67435</v>
      </c>
    </row>
    <row r="3" spans="1:23" ht="15.75" thickBot="1" x14ac:dyDescent="0.3">
      <c r="A3" s="19" t="s">
        <v>273</v>
      </c>
      <c r="B3" t="s">
        <v>180</v>
      </c>
      <c r="D3" t="s">
        <v>513</v>
      </c>
      <c r="E3" t="s">
        <v>514</v>
      </c>
      <c r="G3" t="s">
        <v>515</v>
      </c>
      <c r="J3" t="s">
        <v>432</v>
      </c>
      <c r="K3">
        <v>1</v>
      </c>
      <c r="P3" s="21" t="s">
        <v>305</v>
      </c>
    </row>
    <row r="4" spans="1:23" ht="30.75" thickBot="1" x14ac:dyDescent="0.3">
      <c r="A4" s="19" t="s">
        <v>274</v>
      </c>
      <c r="B4" t="s">
        <v>180</v>
      </c>
      <c r="D4" t="s">
        <v>516</v>
      </c>
      <c r="E4" t="s">
        <v>517</v>
      </c>
      <c r="G4" t="s">
        <v>515</v>
      </c>
      <c r="J4" t="s">
        <v>432</v>
      </c>
      <c r="K4">
        <v>1</v>
      </c>
      <c r="P4" s="21" t="s">
        <v>518</v>
      </c>
      <c r="Q4" s="19"/>
      <c r="R4" s="19"/>
      <c r="S4" s="19"/>
      <c r="T4" s="19"/>
      <c r="U4" s="19"/>
      <c r="W4" t="s">
        <v>519</v>
      </c>
    </row>
    <row r="5" spans="1:23" ht="15.75" thickBot="1" x14ac:dyDescent="0.3">
      <c r="B5" t="s">
        <v>180</v>
      </c>
      <c r="D5" t="s">
        <v>520</v>
      </c>
      <c r="E5" t="s">
        <v>246</v>
      </c>
      <c r="G5" t="s">
        <v>424</v>
      </c>
      <c r="J5" t="s">
        <v>435</v>
      </c>
      <c r="K5">
        <v>1</v>
      </c>
      <c r="P5" s="21" t="s">
        <v>521</v>
      </c>
    </row>
    <row r="6" spans="1:23" ht="30.75" thickBot="1" x14ac:dyDescent="0.3">
      <c r="B6" t="s">
        <v>180</v>
      </c>
      <c r="C6" t="s">
        <v>261</v>
      </c>
      <c r="E6" s="46" t="s">
        <v>522</v>
      </c>
      <c r="P6" s="254"/>
    </row>
    <row r="7" spans="1:23" ht="15.75" thickBot="1" x14ac:dyDescent="0.3">
      <c r="B7" t="s">
        <v>180</v>
      </c>
      <c r="C7" t="s">
        <v>261</v>
      </c>
      <c r="D7" t="s">
        <v>523</v>
      </c>
      <c r="E7" t="s">
        <v>185</v>
      </c>
      <c r="G7" t="s">
        <v>524</v>
      </c>
      <c r="K7">
        <v>0</v>
      </c>
      <c r="Q7" s="21" t="s">
        <v>476</v>
      </c>
      <c r="R7" s="21" t="str" cm="1">
        <f t="array" ref="R7">_xlfn.IFS(AND(RIGHT($P$5,4)&lt;="1978",$Q$7="Ja"),Daten!$M$65,AND(RIGHT($P$5,4)&gt;"1978",$Q$7="Ja"),Daten!$M$66,$Q$7="Nein",$P$5)</f>
        <v>1979 - 1983</v>
      </c>
      <c r="S7" s="21" t="str">
        <f t="shared" ref="S7:S11" si="0">$R7</f>
        <v>1979 - 1983</v>
      </c>
      <c r="T7" s="79" cm="1">
        <f t="array" ref="T7">IF(Q7="Ja",_xlfn.XLOOKUP(1, (UWert_Mod[Bauteil]=E7)*(UWert_Mod[Modernisierungsjahr]=S7), UWert_Mod[d_ins]),0)</f>
        <v>0</v>
      </c>
      <c r="U7" s="79">
        <f>$T7</f>
        <v>0</v>
      </c>
      <c r="V7" s="138"/>
    </row>
    <row r="8" spans="1:23" ht="15.75" thickBot="1" x14ac:dyDescent="0.3">
      <c r="B8" t="s">
        <v>180</v>
      </c>
      <c r="C8" t="s">
        <v>261</v>
      </c>
      <c r="D8" t="s">
        <v>525</v>
      </c>
      <c r="E8" t="s">
        <v>526</v>
      </c>
      <c r="G8" t="s">
        <v>524</v>
      </c>
      <c r="K8">
        <v>0</v>
      </c>
      <c r="Q8" s="21" t="s">
        <v>476</v>
      </c>
      <c r="R8" s="21" t="str" cm="1">
        <f t="array" ref="R8">_xlfn.IFS(AND(RIGHT($P$5,4)&lt;="1978",$Q$8="Ja"),Daten!$M$66,AND(RIGHT($P$5,4)&gt;"1978",$Q$8="Ja"),U_Werte_IWU!$D$78,$Q$8="Nein",$P$5)</f>
        <v>1979 - 1983</v>
      </c>
      <c r="S8" s="21" t="s">
        <v>1152</v>
      </c>
      <c r="T8" s="21"/>
      <c r="U8" s="21"/>
    </row>
    <row r="9" spans="1:23" ht="15.75" thickBot="1" x14ac:dyDescent="0.3">
      <c r="B9" t="s">
        <v>180</v>
      </c>
      <c r="C9" t="s">
        <v>261</v>
      </c>
      <c r="D9" t="s">
        <v>527</v>
      </c>
      <c r="E9" t="s">
        <v>528</v>
      </c>
      <c r="G9" t="s">
        <v>524</v>
      </c>
      <c r="K9">
        <v>0</v>
      </c>
      <c r="Q9" s="21" t="s">
        <v>476</v>
      </c>
      <c r="R9" s="21" t="str" cm="1">
        <f t="array" ref="R9">_xlfn.IFS(AND(RIGHT($P$5,4)&lt;="1978",$Q$9="Ja"),Daten!$M$65,AND(RIGHT($P$5,4)&gt;"1978",$Q$9="Ja"),Daten!$M$66,$Q$9="Nein",$P$5)</f>
        <v>1979 - 1983</v>
      </c>
      <c r="S9" s="21" t="s">
        <v>1152</v>
      </c>
      <c r="T9" s="79" cm="1">
        <f t="array" ref="T9">IF(Q9="Ja",_xlfn.XLOOKUP(1, (UWert_Mod[Bauteil]=E9)*(UWert_Mod[Modernisierungsjahr]=S9), UWert_Mod[d_ins]),0)</f>
        <v>0</v>
      </c>
      <c r="U9" s="79">
        <f>$T9</f>
        <v>0</v>
      </c>
    </row>
    <row r="10" spans="1:23" ht="15.75" thickBot="1" x14ac:dyDescent="0.3">
      <c r="B10" t="s">
        <v>180</v>
      </c>
      <c r="C10" t="s">
        <v>261</v>
      </c>
      <c r="D10" t="s">
        <v>529</v>
      </c>
      <c r="E10" t="s">
        <v>334</v>
      </c>
      <c r="G10" t="s">
        <v>524</v>
      </c>
      <c r="K10">
        <v>0</v>
      </c>
      <c r="Q10" s="21" t="s">
        <v>476</v>
      </c>
      <c r="R10" s="21" t="str" cm="1">
        <f t="array" ref="R10">_xlfn.IFS(AND(RIGHT($P$5,4)&lt;="1978",$Q$10="Ja"),Daten!$M$77,AND(RIGHT($P$5,4)&gt;"1978",$Q$10="Ja"),Daten!$M$78,$Q$10="Nein",$P$5)</f>
        <v>1979 - 1983</v>
      </c>
      <c r="S10" s="21" t="s">
        <v>477</v>
      </c>
      <c r="T10" s="79" cm="1">
        <f t="array" ref="T10">IF(Q10="Ja",_xlfn.XLOOKUP(1, (UWert_Mod[Bauteil]=E10)*(UWert_Mod[Modernisierungsjahr]=S10), UWert_Mod[d_ins]),0)</f>
        <v>0</v>
      </c>
      <c r="U10" s="79">
        <f>$T10</f>
        <v>0</v>
      </c>
    </row>
    <row r="11" spans="1:23" ht="15.75" thickBot="1" x14ac:dyDescent="0.3">
      <c r="B11" t="s">
        <v>180</v>
      </c>
      <c r="C11" t="s">
        <v>261</v>
      </c>
      <c r="D11" t="s">
        <v>530</v>
      </c>
      <c r="E11" t="s">
        <v>333</v>
      </c>
      <c r="G11" t="s">
        <v>524</v>
      </c>
      <c r="K11">
        <v>0</v>
      </c>
      <c r="Q11" s="21" t="s">
        <v>476</v>
      </c>
      <c r="R11" s="21" t="str" cm="1">
        <f t="array" ref="R11">_xlfn.IFS(AND(RIGHT($P$5,4)&lt;="1978",$Q$11="Ja"),Daten!$M$65,AND(RIGHT($P$5,4)&gt;"1978",$Q$11="Ja"),Daten!$M$66,$Q$11="Nein",$P$5)</f>
        <v>1979 - 1983</v>
      </c>
      <c r="S11" s="21" t="str">
        <f t="shared" si="0"/>
        <v>1979 - 1983</v>
      </c>
      <c r="T11" s="79" cm="1">
        <f t="array" ref="T11">IF(Q11="Ja",_xlfn.XLOOKUP(1, (UWert_Mod[Bauteil]=E11)*(UWert_Mod[Modernisierungsjahr]=S11), UWert_Mod[d_ins]),0)</f>
        <v>0</v>
      </c>
      <c r="U11" s="79">
        <f>$T11</f>
        <v>0</v>
      </c>
    </row>
    <row r="12" spans="1:23" ht="15.75" thickBot="1" x14ac:dyDescent="0.3">
      <c r="B12" t="s">
        <v>180</v>
      </c>
      <c r="D12" t="s">
        <v>531</v>
      </c>
      <c r="E12" t="s">
        <v>532</v>
      </c>
      <c r="G12" t="s">
        <v>424</v>
      </c>
      <c r="K12">
        <v>0</v>
      </c>
      <c r="O12" t="s">
        <v>307</v>
      </c>
      <c r="P12" s="298" t="str">
        <f>$O$12</f>
        <v>Nicht bekannt</v>
      </c>
    </row>
    <row r="13" spans="1:23" ht="15.75" thickBot="1" x14ac:dyDescent="0.3">
      <c r="A13" s="19" t="s">
        <v>278</v>
      </c>
      <c r="B13" t="s">
        <v>180</v>
      </c>
      <c r="D13" t="s">
        <v>533</v>
      </c>
      <c r="E13" t="s">
        <v>534</v>
      </c>
      <c r="G13" t="s">
        <v>535</v>
      </c>
      <c r="K13">
        <v>1</v>
      </c>
      <c r="O13" t="s">
        <v>476</v>
      </c>
      <c r="P13" s="298" t="str">
        <f>$O$13</f>
        <v>Nein</v>
      </c>
    </row>
    <row r="14" spans="1:23" ht="15.75" thickBot="1" x14ac:dyDescent="0.3">
      <c r="A14" s="19" t="s">
        <v>279</v>
      </c>
      <c r="B14" t="s">
        <v>180</v>
      </c>
      <c r="D14" t="s">
        <v>536</v>
      </c>
      <c r="E14" t="s">
        <v>537</v>
      </c>
      <c r="G14" t="s">
        <v>515</v>
      </c>
      <c r="K14">
        <v>1</v>
      </c>
      <c r="P14" s="298" t="s">
        <v>311</v>
      </c>
    </row>
    <row r="15" spans="1:23" ht="15.75" thickBot="1" x14ac:dyDescent="0.3">
      <c r="B15" t="s">
        <v>180</v>
      </c>
      <c r="D15" t="s">
        <v>538</v>
      </c>
      <c r="E15" t="s">
        <v>539</v>
      </c>
      <c r="G15" t="s">
        <v>540</v>
      </c>
      <c r="K15">
        <v>1</v>
      </c>
      <c r="P15" s="298" t="s">
        <v>313</v>
      </c>
    </row>
    <row r="16" spans="1:23" ht="30.75" thickBot="1" x14ac:dyDescent="0.3">
      <c r="B16" t="s">
        <v>180</v>
      </c>
      <c r="D16" t="s">
        <v>541</v>
      </c>
      <c r="E16" s="46" t="s">
        <v>542</v>
      </c>
      <c r="G16" t="s">
        <v>535</v>
      </c>
      <c r="J16" t="s">
        <v>433</v>
      </c>
      <c r="K16">
        <v>1</v>
      </c>
      <c r="P16" s="298" t="s">
        <v>476</v>
      </c>
    </row>
    <row r="17" spans="2:16" ht="15.75" thickBot="1" x14ac:dyDescent="0.3">
      <c r="B17" t="s">
        <v>180</v>
      </c>
      <c r="D17" t="s">
        <v>543</v>
      </c>
      <c r="E17" t="s">
        <v>544</v>
      </c>
      <c r="G17" t="s">
        <v>512</v>
      </c>
      <c r="H17" t="s">
        <v>541</v>
      </c>
      <c r="I17" t="s">
        <v>107</v>
      </c>
      <c r="J17" t="s">
        <v>435</v>
      </c>
      <c r="K17">
        <v>1</v>
      </c>
      <c r="M17">
        <v>30</v>
      </c>
      <c r="N17">
        <v>90</v>
      </c>
      <c r="P17" s="298"/>
    </row>
    <row r="18" spans="2:16" ht="30.75" thickBot="1" x14ac:dyDescent="0.3">
      <c r="B18" t="s">
        <v>180</v>
      </c>
      <c r="D18" t="s">
        <v>545</v>
      </c>
      <c r="E18" s="46" t="s">
        <v>546</v>
      </c>
      <c r="G18" t="s">
        <v>535</v>
      </c>
      <c r="K18">
        <v>1</v>
      </c>
      <c r="P18" s="298" t="s">
        <v>308</v>
      </c>
    </row>
    <row r="19" spans="2:16" ht="15.75" thickBot="1" x14ac:dyDescent="0.3">
      <c r="B19" t="s">
        <v>180</v>
      </c>
      <c r="D19" t="s">
        <v>547</v>
      </c>
      <c r="E19" t="s">
        <v>548</v>
      </c>
      <c r="G19" t="s">
        <v>512</v>
      </c>
      <c r="H19" t="s">
        <v>545</v>
      </c>
      <c r="I19" t="s">
        <v>107</v>
      </c>
      <c r="J19" t="s">
        <v>435</v>
      </c>
      <c r="K19">
        <v>1</v>
      </c>
      <c r="M19">
        <v>30</v>
      </c>
      <c r="N19">
        <v>90</v>
      </c>
      <c r="P19" s="298">
        <v>70</v>
      </c>
    </row>
    <row r="20" spans="2:16" ht="15.75" thickBot="1" x14ac:dyDescent="0.3">
      <c r="B20" t="s">
        <v>180</v>
      </c>
      <c r="D20" t="s">
        <v>549</v>
      </c>
      <c r="E20" t="s">
        <v>550</v>
      </c>
      <c r="G20" t="s">
        <v>512</v>
      </c>
      <c r="H20" t="s">
        <v>545</v>
      </c>
      <c r="I20" t="s">
        <v>107</v>
      </c>
      <c r="J20" t="s">
        <v>435</v>
      </c>
      <c r="K20">
        <v>1</v>
      </c>
      <c r="M20">
        <v>-20</v>
      </c>
      <c r="N20">
        <v>40</v>
      </c>
      <c r="P20" s="298">
        <v>-5</v>
      </c>
    </row>
    <row r="21" spans="2:16" x14ac:dyDescent="0.25">
      <c r="B21" t="s">
        <v>180</v>
      </c>
      <c r="D21" t="s">
        <v>8766</v>
      </c>
      <c r="H21" t="s">
        <v>545</v>
      </c>
      <c r="I21" t="s">
        <v>107</v>
      </c>
      <c r="J21" t="s">
        <v>435</v>
      </c>
      <c r="P21" s="196">
        <f>P20*-1.8257+43.457+P20</f>
        <v>47.585500000000003</v>
      </c>
    </row>
    <row r="22" spans="2:16" x14ac:dyDescent="0.25">
      <c r="D22" t="s">
        <v>8765</v>
      </c>
      <c r="H22" t="s">
        <v>545</v>
      </c>
      <c r="J22" t="s">
        <v>433</v>
      </c>
      <c r="P22" t="b">
        <f>IF(P16="Ja",P17&lt;=55,IF(P18="Ja",P19&lt;P21,FALSE))</f>
        <v>0</v>
      </c>
    </row>
    <row r="25" spans="2:16" x14ac:dyDescent="0.25">
      <c r="B25" s="22" t="s">
        <v>551</v>
      </c>
    </row>
    <row r="26" spans="2:16" x14ac:dyDescent="0.25">
      <c r="B26" s="22" t="s">
        <v>552</v>
      </c>
    </row>
  </sheetData>
  <dataValidations count="1">
    <dataValidation type="list" allowBlank="1" showInputMessage="1" showErrorMessage="1" sqref="S7:S11" xr:uid="{BBAF67C0-B08A-417A-826C-129D8EAB2C17}">
      <formula1>INDIRECT("Modernisierungsjahr_Bauteil")</formula1>
    </dataValidation>
  </dataValidations>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D8144694-DE53-4DB3-9D5E-D595485C6964}">
          <x14:formula1>
            <xm:f>Daten!$E$10:$E$14</xm:f>
          </x14:formula1>
          <xm:sqref>P3</xm:sqref>
        </x14:dataValidation>
        <x14:dataValidation type="list" allowBlank="1" showInputMessage="1" showErrorMessage="1" xr:uid="{A93DE088-0DF8-4425-A84E-EC95F677B4A0}">
          <x14:formula1>
            <xm:f>Daten!$E$17:$E$29</xm:f>
          </x14:formula1>
          <xm:sqref>P5</xm:sqref>
        </x14:dataValidation>
        <x14:dataValidation type="list" allowBlank="1" showInputMessage="1" showErrorMessage="1" xr:uid="{249F9D2D-9FFB-4F7E-95DF-39B5A25CD3EF}">
          <x14:formula1>
            <xm:f>Daten!$E$31:$E$40</xm:f>
          </x14:formula1>
          <xm:sqref>P12</xm:sqref>
        </x14:dataValidation>
        <x14:dataValidation type="list" allowBlank="1" showInputMessage="1" showErrorMessage="1" xr:uid="{11190550-65A8-48C9-9812-A5B5ADC6BD10}">
          <x14:formula1>
            <xm:f>Daten!$E$66:$E$67</xm:f>
          </x14:formula1>
          <xm:sqref>P13 Q7:Q11 P16 P18</xm:sqref>
        </x14:dataValidation>
        <x14:dataValidation type="list" allowBlank="1" showInputMessage="1" showErrorMessage="1" xr:uid="{7756BE3D-B9E2-4D81-99C3-670BD2F6E2E6}">
          <x14:formula1>
            <xm:f>Daten!$E$57:$E$63</xm:f>
          </x14:formula1>
          <xm:sqref>P14</xm:sqref>
        </x14:dataValidation>
        <x14:dataValidation type="list" allowBlank="1" showInputMessage="1" showErrorMessage="1" xr:uid="{DD1E6244-88A9-4414-8F6A-CAA4AADA4A15}">
          <x14:formula1>
            <xm:f>Daten!$E$70:$E$71</xm:f>
          </x14:formula1>
          <xm:sqref>P15</xm:sqref>
        </x14:dataValidation>
        <x14:dataValidation type="list" allowBlank="1" showInputMessage="1" showErrorMessage="1" xr:uid="{0F6FD11F-8037-49EB-A66A-163BFFFF18C0}">
          <x14:formula1>
            <xm:f>Daten!$B$10:$B$13</xm:f>
          </x14:formula1>
          <xm:sqref>P4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2E64-CE98-4370-90F3-9CC89BDCD725}">
  <sheetPr>
    <tabColor theme="7"/>
  </sheetPr>
  <dimension ref="A1:AF69"/>
  <sheetViews>
    <sheetView topLeftCell="D1" zoomScale="85" zoomScaleNormal="85" workbookViewId="0">
      <pane ySplit="1" topLeftCell="A2" activePane="bottomLeft" state="frozen"/>
      <selection activeCell="D1" sqref="D1"/>
      <selection pane="bottomLeft" activeCell="D2" sqref="D2"/>
    </sheetView>
  </sheetViews>
  <sheetFormatPr baseColWidth="10" defaultColWidth="11.42578125" defaultRowHeight="15" x14ac:dyDescent="0.25"/>
  <cols>
    <col min="1" max="1" width="11.42578125" hidden="1" customWidth="1"/>
    <col min="2" max="2" width="20.140625" hidden="1" customWidth="1"/>
    <col min="3" max="3" width="18.5703125" hidden="1" customWidth="1"/>
    <col min="4" max="4" width="10.42578125" bestFit="1" customWidth="1"/>
    <col min="5" max="5" width="12.85546875" bestFit="1" customWidth="1"/>
    <col min="6" max="6" width="25" bestFit="1" customWidth="1"/>
    <col min="7" max="7" width="53.42578125" style="46" customWidth="1"/>
    <col min="8" max="8" width="43.42578125" style="46" customWidth="1"/>
    <col min="9" max="9" width="13.7109375" bestFit="1" customWidth="1"/>
    <col min="10" max="10" width="16.28515625" customWidth="1"/>
    <col min="11" max="14" width="11.42578125" customWidth="1"/>
    <col min="15" max="17" width="16.5703125" customWidth="1"/>
    <col min="18" max="32" width="14.28515625" customWidth="1"/>
  </cols>
  <sheetData>
    <row r="1" spans="1:32" ht="15.75" thickBot="1" x14ac:dyDescent="0.3">
      <c r="A1" t="s">
        <v>8741</v>
      </c>
      <c r="B1" s="197" t="s">
        <v>269</v>
      </c>
      <c r="C1" s="197" t="s">
        <v>270</v>
      </c>
      <c r="D1" s="197" t="s">
        <v>286</v>
      </c>
      <c r="E1" s="197" t="s">
        <v>287</v>
      </c>
      <c r="F1" s="197" t="s">
        <v>504</v>
      </c>
      <c r="G1" s="270" t="s">
        <v>288</v>
      </c>
      <c r="H1" s="270" t="s">
        <v>289</v>
      </c>
      <c r="I1" s="197" t="s">
        <v>290</v>
      </c>
      <c r="J1" s="197" t="s">
        <v>291</v>
      </c>
      <c r="K1" s="197" t="s">
        <v>118</v>
      </c>
      <c r="L1" s="197" t="s">
        <v>292</v>
      </c>
      <c r="M1" s="197" t="s">
        <v>293</v>
      </c>
      <c r="N1" s="197" t="s">
        <v>294</v>
      </c>
      <c r="O1" s="197" t="s">
        <v>505</v>
      </c>
      <c r="P1" s="197" t="s">
        <v>506</v>
      </c>
      <c r="Q1" s="197" t="s">
        <v>507</v>
      </c>
      <c r="R1" s="309" t="s">
        <v>554</v>
      </c>
      <c r="S1" s="309" t="s">
        <v>554</v>
      </c>
      <c r="T1" s="309" t="s">
        <v>554</v>
      </c>
      <c r="U1" s="309" t="s">
        <v>554</v>
      </c>
      <c r="V1" s="309" t="s">
        <v>554</v>
      </c>
      <c r="W1" s="309" t="s">
        <v>554</v>
      </c>
      <c r="X1" s="309" t="s">
        <v>554</v>
      </c>
      <c r="Y1" s="309" t="s">
        <v>554</v>
      </c>
      <c r="Z1" s="309" t="s">
        <v>554</v>
      </c>
      <c r="AA1" s="309" t="s">
        <v>554</v>
      </c>
      <c r="AB1" s="309" t="s">
        <v>554</v>
      </c>
      <c r="AC1" s="309" t="s">
        <v>554</v>
      </c>
      <c r="AD1" s="309" t="s">
        <v>554</v>
      </c>
      <c r="AE1" s="309" t="s">
        <v>554</v>
      </c>
      <c r="AF1" s="309" t="s">
        <v>554</v>
      </c>
    </row>
    <row r="2" spans="1:32" x14ac:dyDescent="0.25">
      <c r="C2" t="s">
        <v>374</v>
      </c>
      <c r="F2" t="s">
        <v>438</v>
      </c>
      <c r="I2" t="s">
        <v>419</v>
      </c>
      <c r="L2" t="s">
        <v>432</v>
      </c>
      <c r="R2" s="52">
        <v>1</v>
      </c>
      <c r="S2" s="52">
        <v>2</v>
      </c>
      <c r="T2" s="52">
        <v>3</v>
      </c>
      <c r="U2" s="52">
        <v>4</v>
      </c>
      <c r="V2" s="52">
        <v>5</v>
      </c>
      <c r="W2" s="52">
        <v>6</v>
      </c>
      <c r="X2" s="52">
        <v>7</v>
      </c>
      <c r="Y2" s="52">
        <v>8</v>
      </c>
      <c r="Z2" s="52">
        <v>9</v>
      </c>
      <c r="AA2" s="52">
        <v>10</v>
      </c>
      <c r="AB2" s="52">
        <v>11</v>
      </c>
      <c r="AC2" s="52">
        <v>12</v>
      </c>
      <c r="AD2" s="52">
        <v>13</v>
      </c>
      <c r="AE2" s="52">
        <v>14</v>
      </c>
      <c r="AF2" s="52">
        <v>15</v>
      </c>
    </row>
    <row r="3" spans="1:32" x14ac:dyDescent="0.25">
      <c r="A3" s="297" t="s">
        <v>485</v>
      </c>
      <c r="C3" t="s">
        <v>375</v>
      </c>
      <c r="F3" t="s">
        <v>555</v>
      </c>
      <c r="G3" s="46" t="s">
        <v>556</v>
      </c>
      <c r="I3" t="s">
        <v>557</v>
      </c>
      <c r="L3" t="s">
        <v>432</v>
      </c>
      <c r="R3" s="52" t="s">
        <v>314</v>
      </c>
      <c r="S3" s="52" t="s">
        <v>314</v>
      </c>
      <c r="T3" s="52" t="s">
        <v>314</v>
      </c>
      <c r="U3" s="52" t="s">
        <v>314</v>
      </c>
      <c r="V3" s="52" t="s">
        <v>314</v>
      </c>
      <c r="W3" s="52" t="s">
        <v>314</v>
      </c>
      <c r="X3" s="52" t="s">
        <v>314</v>
      </c>
      <c r="Y3" s="52" t="s">
        <v>314</v>
      </c>
      <c r="Z3" s="52" t="s">
        <v>314</v>
      </c>
      <c r="AA3" s="52" t="s">
        <v>314</v>
      </c>
      <c r="AB3" s="52" t="s">
        <v>314</v>
      </c>
      <c r="AC3" s="52" t="s">
        <v>314</v>
      </c>
      <c r="AD3" s="52" t="s">
        <v>314</v>
      </c>
      <c r="AE3" s="52" t="s">
        <v>314</v>
      </c>
      <c r="AF3" s="52" t="s">
        <v>314</v>
      </c>
    </row>
    <row r="4" spans="1:32" x14ac:dyDescent="0.25">
      <c r="C4" t="s">
        <v>377</v>
      </c>
      <c r="F4" t="s">
        <v>443</v>
      </c>
      <c r="G4" s="46" t="s">
        <v>404</v>
      </c>
      <c r="I4" t="s">
        <v>420</v>
      </c>
      <c r="K4" t="s">
        <v>122</v>
      </c>
      <c r="L4" t="s">
        <v>434</v>
      </c>
      <c r="M4">
        <v>1</v>
      </c>
      <c r="N4">
        <v>1</v>
      </c>
      <c r="O4" s="138">
        <v>1</v>
      </c>
      <c r="P4" s="138">
        <v>100</v>
      </c>
      <c r="Q4" s="138"/>
      <c r="R4" s="266">
        <v>20</v>
      </c>
      <c r="S4" s="266">
        <v>21</v>
      </c>
      <c r="T4" s="266">
        <v>22</v>
      </c>
      <c r="U4" s="266">
        <v>23</v>
      </c>
      <c r="V4" s="266">
        <v>24</v>
      </c>
      <c r="W4" s="266">
        <v>25</v>
      </c>
      <c r="X4" s="266">
        <v>26</v>
      </c>
      <c r="Y4" s="266">
        <v>27</v>
      </c>
      <c r="Z4" s="266">
        <v>28</v>
      </c>
      <c r="AA4" s="266">
        <v>29</v>
      </c>
      <c r="AB4" s="266">
        <v>30</v>
      </c>
      <c r="AC4" s="266">
        <v>31</v>
      </c>
      <c r="AD4" s="266">
        <v>32</v>
      </c>
      <c r="AE4" s="266">
        <v>33</v>
      </c>
      <c r="AF4" s="266">
        <v>34</v>
      </c>
    </row>
    <row r="5" spans="1:32" x14ac:dyDescent="0.25">
      <c r="C5" t="s">
        <v>378</v>
      </c>
      <c r="F5" t="s">
        <v>444</v>
      </c>
      <c r="G5" s="46" t="s">
        <v>378</v>
      </c>
      <c r="I5" t="s">
        <v>423</v>
      </c>
      <c r="K5" t="s">
        <v>136</v>
      </c>
      <c r="L5" t="s">
        <v>434</v>
      </c>
      <c r="M5">
        <v>1</v>
      </c>
      <c r="N5">
        <v>2</v>
      </c>
      <c r="O5" s="138">
        <v>1</v>
      </c>
      <c r="P5" s="138">
        <v>5</v>
      </c>
      <c r="Q5" s="138">
        <v>2.5</v>
      </c>
      <c r="R5" s="52">
        <f>$Q$5</f>
        <v>2.5</v>
      </c>
      <c r="S5" s="52">
        <f t="shared" ref="S5:AF5" si="0">$Q$5</f>
        <v>2.5</v>
      </c>
      <c r="T5" s="52">
        <f t="shared" si="0"/>
        <v>2.5</v>
      </c>
      <c r="U5" s="52">
        <f t="shared" si="0"/>
        <v>2.5</v>
      </c>
      <c r="V5" s="52">
        <f t="shared" si="0"/>
        <v>2.5</v>
      </c>
      <c r="W5" s="52">
        <f t="shared" si="0"/>
        <v>2.5</v>
      </c>
      <c r="X5" s="52">
        <f t="shared" si="0"/>
        <v>2.5</v>
      </c>
      <c r="Y5" s="52">
        <f t="shared" si="0"/>
        <v>2.5</v>
      </c>
      <c r="Z5" s="52">
        <f t="shared" si="0"/>
        <v>2.5</v>
      </c>
      <c r="AA5" s="52">
        <f t="shared" si="0"/>
        <v>2.5</v>
      </c>
      <c r="AB5" s="52">
        <f t="shared" si="0"/>
        <v>2.5</v>
      </c>
      <c r="AC5" s="52">
        <f t="shared" si="0"/>
        <v>2.5</v>
      </c>
      <c r="AD5" s="52">
        <f t="shared" si="0"/>
        <v>2.5</v>
      </c>
      <c r="AE5" s="52">
        <f t="shared" si="0"/>
        <v>2.5</v>
      </c>
      <c r="AF5" s="52">
        <f t="shared" si="0"/>
        <v>2.5</v>
      </c>
    </row>
    <row r="6" spans="1:32" s="85" customFormat="1" ht="60.75" thickBot="1" x14ac:dyDescent="0.3">
      <c r="C6" s="85" t="s">
        <v>379</v>
      </c>
      <c r="F6" s="85" t="s">
        <v>445</v>
      </c>
      <c r="G6" s="312" t="s">
        <v>405</v>
      </c>
      <c r="H6" s="312" t="s">
        <v>559</v>
      </c>
      <c r="I6" s="85" t="s">
        <v>423</v>
      </c>
      <c r="K6" s="85" t="s">
        <v>107</v>
      </c>
      <c r="L6" s="85" t="s">
        <v>435</v>
      </c>
      <c r="N6" s="85">
        <v>0</v>
      </c>
      <c r="O6" s="313">
        <v>10</v>
      </c>
      <c r="P6" s="313">
        <v>30</v>
      </c>
      <c r="Q6" s="313">
        <v>20</v>
      </c>
      <c r="R6" s="314">
        <f>$Q6</f>
        <v>20</v>
      </c>
      <c r="S6" s="314">
        <f t="shared" ref="S6:AF8" si="1">$Q6</f>
        <v>20</v>
      </c>
      <c r="T6" s="314">
        <f t="shared" si="1"/>
        <v>20</v>
      </c>
      <c r="U6" s="314">
        <f t="shared" si="1"/>
        <v>20</v>
      </c>
      <c r="V6" s="314">
        <f t="shared" si="1"/>
        <v>20</v>
      </c>
      <c r="W6" s="314">
        <f t="shared" si="1"/>
        <v>20</v>
      </c>
      <c r="X6" s="314">
        <f t="shared" si="1"/>
        <v>20</v>
      </c>
      <c r="Y6" s="314">
        <f t="shared" si="1"/>
        <v>20</v>
      </c>
      <c r="Z6" s="314">
        <f t="shared" si="1"/>
        <v>20</v>
      </c>
      <c r="AA6" s="314">
        <f t="shared" si="1"/>
        <v>20</v>
      </c>
      <c r="AB6" s="314">
        <f t="shared" si="1"/>
        <v>20</v>
      </c>
      <c r="AC6" s="314">
        <f t="shared" si="1"/>
        <v>20</v>
      </c>
      <c r="AD6" s="314">
        <f t="shared" si="1"/>
        <v>20</v>
      </c>
      <c r="AE6" s="314">
        <f t="shared" si="1"/>
        <v>20</v>
      </c>
      <c r="AF6" s="314">
        <f t="shared" si="1"/>
        <v>20</v>
      </c>
    </row>
    <row r="7" spans="1:32" x14ac:dyDescent="0.25">
      <c r="B7" t="s">
        <v>333</v>
      </c>
      <c r="C7" t="s">
        <v>381</v>
      </c>
      <c r="D7" t="s">
        <v>194</v>
      </c>
      <c r="F7" t="s">
        <v>446</v>
      </c>
      <c r="G7" s="46" t="s">
        <v>406</v>
      </c>
      <c r="I7" t="s">
        <v>424</v>
      </c>
      <c r="J7" t="s">
        <v>560</v>
      </c>
      <c r="L7" t="s">
        <v>432</v>
      </c>
      <c r="M7">
        <v>1</v>
      </c>
      <c r="O7" s="138"/>
      <c r="P7" s="138"/>
      <c r="Q7" s="138" t="s">
        <v>437</v>
      </c>
      <c r="R7" s="310" t="str">
        <f>$Q7</f>
        <v>unbeheizt</v>
      </c>
      <c r="S7" s="310" t="str">
        <f t="shared" si="1"/>
        <v>unbeheizt</v>
      </c>
      <c r="T7" s="310" t="str">
        <f t="shared" si="1"/>
        <v>unbeheizt</v>
      </c>
      <c r="U7" s="310" t="str">
        <f t="shared" si="1"/>
        <v>unbeheizt</v>
      </c>
      <c r="V7" s="310" t="str">
        <f t="shared" si="1"/>
        <v>unbeheizt</v>
      </c>
      <c r="W7" s="310" t="str">
        <f t="shared" si="1"/>
        <v>unbeheizt</v>
      </c>
      <c r="X7" s="310" t="str">
        <f t="shared" si="1"/>
        <v>unbeheizt</v>
      </c>
      <c r="Y7" s="310" t="str">
        <f t="shared" si="1"/>
        <v>unbeheizt</v>
      </c>
      <c r="Z7" s="310" t="str">
        <f t="shared" si="1"/>
        <v>unbeheizt</v>
      </c>
      <c r="AA7" s="310" t="str">
        <f t="shared" si="1"/>
        <v>unbeheizt</v>
      </c>
      <c r="AB7" s="310" t="str">
        <f t="shared" si="1"/>
        <v>unbeheizt</v>
      </c>
      <c r="AC7" s="310" t="str">
        <f t="shared" si="1"/>
        <v>unbeheizt</v>
      </c>
      <c r="AD7" s="310" t="str">
        <f t="shared" si="1"/>
        <v>unbeheizt</v>
      </c>
      <c r="AE7" s="310" t="str">
        <f t="shared" si="1"/>
        <v>unbeheizt</v>
      </c>
      <c r="AF7" s="310" t="str">
        <f t="shared" si="1"/>
        <v>unbeheizt</v>
      </c>
    </row>
    <row r="8" spans="1:32" s="85" customFormat="1" ht="15.75" thickBot="1" x14ac:dyDescent="0.3">
      <c r="B8" s="85" t="s">
        <v>334</v>
      </c>
      <c r="C8" s="85" t="s">
        <v>381</v>
      </c>
      <c r="D8" s="85" t="s">
        <v>196</v>
      </c>
      <c r="F8" s="85" t="s">
        <v>447</v>
      </c>
      <c r="G8" s="312" t="s">
        <v>407</v>
      </c>
      <c r="H8" s="312"/>
      <c r="I8" s="85" t="s">
        <v>424</v>
      </c>
      <c r="L8" s="85" t="s">
        <v>432</v>
      </c>
      <c r="M8" s="85">
        <v>1</v>
      </c>
      <c r="Q8" s="85" t="s">
        <v>437</v>
      </c>
      <c r="R8" s="314" t="str">
        <f>$Q8</f>
        <v>unbeheizt</v>
      </c>
      <c r="S8" s="314" t="str">
        <f t="shared" si="1"/>
        <v>unbeheizt</v>
      </c>
      <c r="T8" s="314" t="str">
        <f t="shared" si="1"/>
        <v>unbeheizt</v>
      </c>
      <c r="U8" s="314" t="str">
        <f t="shared" si="1"/>
        <v>unbeheizt</v>
      </c>
      <c r="V8" s="314" t="str">
        <f t="shared" si="1"/>
        <v>unbeheizt</v>
      </c>
      <c r="W8" s="314" t="str">
        <f t="shared" si="1"/>
        <v>unbeheizt</v>
      </c>
      <c r="X8" s="314" t="str">
        <f t="shared" si="1"/>
        <v>unbeheizt</v>
      </c>
      <c r="Y8" s="314" t="str">
        <f t="shared" si="1"/>
        <v>unbeheizt</v>
      </c>
      <c r="Z8" s="314" t="str">
        <f t="shared" si="1"/>
        <v>unbeheizt</v>
      </c>
      <c r="AA8" s="314" t="str">
        <f t="shared" si="1"/>
        <v>unbeheizt</v>
      </c>
      <c r="AB8" s="314" t="str">
        <f t="shared" si="1"/>
        <v>unbeheizt</v>
      </c>
      <c r="AC8" s="314" t="str">
        <f t="shared" si="1"/>
        <v>unbeheizt</v>
      </c>
      <c r="AD8" s="314" t="str">
        <f t="shared" si="1"/>
        <v>unbeheizt</v>
      </c>
      <c r="AE8" s="314" t="str">
        <f t="shared" si="1"/>
        <v>unbeheizt</v>
      </c>
      <c r="AF8" s="314" t="str">
        <f t="shared" si="1"/>
        <v>unbeheizt</v>
      </c>
    </row>
    <row r="9" spans="1:32" x14ac:dyDescent="0.25">
      <c r="B9" t="s">
        <v>185</v>
      </c>
      <c r="C9" t="s">
        <v>234</v>
      </c>
      <c r="D9" t="s">
        <v>184</v>
      </c>
      <c r="F9" s="138" t="s">
        <v>448</v>
      </c>
      <c r="G9" s="46" t="s">
        <v>408</v>
      </c>
      <c r="I9" t="s">
        <v>423</v>
      </c>
      <c r="K9" t="s">
        <v>136</v>
      </c>
      <c r="L9" t="s">
        <v>434</v>
      </c>
      <c r="M9">
        <v>1</v>
      </c>
      <c r="N9">
        <v>2</v>
      </c>
      <c r="O9" s="138">
        <v>1</v>
      </c>
      <c r="P9" s="138">
        <v>20</v>
      </c>
      <c r="Q9" s="138"/>
      <c r="R9" s="310">
        <v>5</v>
      </c>
      <c r="S9" s="310">
        <v>6</v>
      </c>
      <c r="T9" s="310">
        <v>7</v>
      </c>
      <c r="U9" s="310">
        <v>8</v>
      </c>
      <c r="V9" s="310">
        <v>9</v>
      </c>
      <c r="W9" s="310">
        <v>10</v>
      </c>
      <c r="X9" s="310">
        <v>11</v>
      </c>
      <c r="Y9" s="310">
        <v>12</v>
      </c>
      <c r="Z9" s="310">
        <v>13</v>
      </c>
      <c r="AA9" s="310">
        <v>14</v>
      </c>
      <c r="AB9" s="310">
        <v>15</v>
      </c>
      <c r="AC9" s="310">
        <v>16</v>
      </c>
      <c r="AD9" s="310">
        <v>17</v>
      </c>
      <c r="AE9" s="310">
        <v>18</v>
      </c>
      <c r="AF9" s="310">
        <v>19</v>
      </c>
    </row>
    <row r="10" spans="1:32" x14ac:dyDescent="0.25">
      <c r="D10" t="s">
        <v>184</v>
      </c>
      <c r="F10" s="323" t="s">
        <v>450</v>
      </c>
      <c r="G10" s="46" t="s">
        <v>8748</v>
      </c>
      <c r="I10" t="s">
        <v>424</v>
      </c>
      <c r="L10" t="s">
        <v>435</v>
      </c>
      <c r="M10">
        <v>0</v>
      </c>
      <c r="N10">
        <v>0</v>
      </c>
      <c r="O10" s="138"/>
      <c r="P10" s="138"/>
      <c r="Q10" s="138" t="str">
        <f>IF(IN_build!Q7="Ja",IN_build!$S$7,IN_build!$P$5)</f>
        <v>1979 - 1983</v>
      </c>
      <c r="R10" s="320" t="str">
        <f>$Q10</f>
        <v>1979 - 1983</v>
      </c>
      <c r="S10" s="320" t="str">
        <f t="shared" ref="S10:AF10" si="2">$Q10</f>
        <v>1979 - 1983</v>
      </c>
      <c r="T10" s="320" t="str">
        <f t="shared" si="2"/>
        <v>1979 - 1983</v>
      </c>
      <c r="U10" s="320" t="str">
        <f t="shared" si="2"/>
        <v>1979 - 1983</v>
      </c>
      <c r="V10" s="320" t="str">
        <f t="shared" si="2"/>
        <v>1979 - 1983</v>
      </c>
      <c r="W10" s="320" t="str">
        <f t="shared" si="2"/>
        <v>1979 - 1983</v>
      </c>
      <c r="X10" s="320" t="str">
        <f t="shared" si="2"/>
        <v>1979 - 1983</v>
      </c>
      <c r="Y10" s="320" t="str">
        <f t="shared" si="2"/>
        <v>1979 - 1983</v>
      </c>
      <c r="Z10" s="320" t="str">
        <f t="shared" si="2"/>
        <v>1979 - 1983</v>
      </c>
      <c r="AA10" s="320" t="str">
        <f t="shared" si="2"/>
        <v>1979 - 1983</v>
      </c>
      <c r="AB10" s="320" t="str">
        <f t="shared" si="2"/>
        <v>1979 - 1983</v>
      </c>
      <c r="AC10" s="320" t="str">
        <f t="shared" si="2"/>
        <v>1979 - 1983</v>
      </c>
      <c r="AD10" s="320" t="str">
        <f t="shared" si="2"/>
        <v>1979 - 1983</v>
      </c>
      <c r="AE10" s="320" t="str">
        <f t="shared" si="2"/>
        <v>1979 - 1983</v>
      </c>
      <c r="AF10" s="320" t="str">
        <f t="shared" si="2"/>
        <v>1979 - 1983</v>
      </c>
    </row>
    <row r="11" spans="1:32" s="85" customFormat="1" ht="15.75" thickBot="1" x14ac:dyDescent="0.3">
      <c r="A11" s="85" t="s">
        <v>498</v>
      </c>
      <c r="B11" s="85" t="s">
        <v>185</v>
      </c>
      <c r="C11" s="85" t="s">
        <v>383</v>
      </c>
      <c r="D11" s="85" t="s">
        <v>184</v>
      </c>
      <c r="F11" s="85" t="s">
        <v>562</v>
      </c>
      <c r="G11" s="312" t="s">
        <v>563</v>
      </c>
      <c r="H11" s="312"/>
      <c r="I11" s="85" t="s">
        <v>420</v>
      </c>
      <c r="J11" s="85" t="s">
        <v>299</v>
      </c>
      <c r="K11" s="85" t="s">
        <v>430</v>
      </c>
      <c r="L11" s="85" t="s">
        <v>434</v>
      </c>
      <c r="N11" s="85">
        <v>2</v>
      </c>
      <c r="O11" s="313">
        <v>0</v>
      </c>
      <c r="P11" s="313">
        <v>50</v>
      </c>
      <c r="Q11" s="313"/>
      <c r="R11" s="324" cm="1">
        <f t="array" aca="1" ref="R11" ca="1">IF(R10=IN_build!$P$5, 0, _xlfn.XLOOKUP(1,
  (INDIRECT("UWert_Mod[Bauteil]")="Außenwand") *
  (INDIRECT("UWert_Mod[Modernisierungsjahr]")=R10),
  INDIRECT("UWert_Mod[d_ins]")
))</f>
        <v>0</v>
      </c>
      <c r="S11" s="324" cm="1">
        <f t="array" aca="1" ref="S11" ca="1">IF(S10=IN_build!$P$5, 0, _xlfn.XLOOKUP(1,
  (INDIRECT("UWert_Mod[Bauteil]")="Außenwand") *
  (INDIRECT("UWert_Mod[Modernisierungsjahr]")=S10),
  INDIRECT("UWert_Mod[d_ins]")
))</f>
        <v>0</v>
      </c>
      <c r="T11" s="324" cm="1">
        <f t="array" aca="1" ref="T11" ca="1">IF(T10=IN_build!$P$5, 0, _xlfn.XLOOKUP(1,
  (INDIRECT("UWert_Mod[Bauteil]")="Außenwand") *
  (INDIRECT("UWert_Mod[Modernisierungsjahr]")=T10),
  INDIRECT("UWert_Mod[d_ins]")
))</f>
        <v>0</v>
      </c>
      <c r="U11" s="324" cm="1">
        <f t="array" aca="1" ref="U11" ca="1">IF(U10=IN_build!$P$5, 0, _xlfn.XLOOKUP(1,
  (INDIRECT("UWert_Mod[Bauteil]")="Außenwand") *
  (INDIRECT("UWert_Mod[Modernisierungsjahr]")=U10),
  INDIRECT("UWert_Mod[d_ins]")
))</f>
        <v>0</v>
      </c>
      <c r="V11" s="324" cm="1">
        <f t="array" aca="1" ref="V11" ca="1">IF(V10=IN_build!$P$5, 0, _xlfn.XLOOKUP(1,
  (INDIRECT("UWert_Mod[Bauteil]")="Außenwand") *
  (INDIRECT("UWert_Mod[Modernisierungsjahr]")=V10),
  INDIRECT("UWert_Mod[d_ins]")
))</f>
        <v>0</v>
      </c>
      <c r="W11" s="324" cm="1">
        <f t="array" aca="1" ref="W11" ca="1">IF(W10=IN_build!$P$5, 0, _xlfn.XLOOKUP(1,
  (INDIRECT("UWert_Mod[Bauteil]")="Außenwand") *
  (INDIRECT("UWert_Mod[Modernisierungsjahr]")=W10),
  INDIRECT("UWert_Mod[d_ins]")
))</f>
        <v>0</v>
      </c>
      <c r="X11" s="324" cm="1">
        <f t="array" aca="1" ref="X11" ca="1">IF(X10=IN_build!$P$5, 0, _xlfn.XLOOKUP(1,
  (INDIRECT("UWert_Mod[Bauteil]")="Außenwand") *
  (INDIRECT("UWert_Mod[Modernisierungsjahr]")=X10),
  INDIRECT("UWert_Mod[d_ins]")
))</f>
        <v>0</v>
      </c>
      <c r="Y11" s="324" cm="1">
        <f t="array" aca="1" ref="Y11" ca="1">IF(Y10=IN_build!$P$5, 0, _xlfn.XLOOKUP(1,
  (INDIRECT("UWert_Mod[Bauteil]")="Außenwand") *
  (INDIRECT("UWert_Mod[Modernisierungsjahr]")=Y10),
  INDIRECT("UWert_Mod[d_ins]")
))</f>
        <v>0</v>
      </c>
      <c r="Z11" s="324" cm="1">
        <f t="array" aca="1" ref="Z11" ca="1">IF(Z10=IN_build!$P$5, 0, _xlfn.XLOOKUP(1,
  (INDIRECT("UWert_Mod[Bauteil]")="Außenwand") *
  (INDIRECT("UWert_Mod[Modernisierungsjahr]")=Z10),
  INDIRECT("UWert_Mod[d_ins]")
))</f>
        <v>0</v>
      </c>
      <c r="AA11" s="324" cm="1">
        <f t="array" aca="1" ref="AA11" ca="1">IF(AA10=IN_build!$P$5, 0, _xlfn.XLOOKUP(1,
  (INDIRECT("UWert_Mod[Bauteil]")="Außenwand") *
  (INDIRECT("UWert_Mod[Modernisierungsjahr]")=AA10),
  INDIRECT("UWert_Mod[d_ins]")
))</f>
        <v>0</v>
      </c>
      <c r="AB11" s="324" cm="1">
        <f t="array" aca="1" ref="AB11" ca="1">IF(AB10=IN_build!$P$5, 0, _xlfn.XLOOKUP(1,
  (INDIRECT("UWert_Mod[Bauteil]")="Außenwand") *
  (INDIRECT("UWert_Mod[Modernisierungsjahr]")=AB10),
  INDIRECT("UWert_Mod[d_ins]")
))</f>
        <v>0</v>
      </c>
      <c r="AC11" s="324" cm="1">
        <f t="array" aca="1" ref="AC11" ca="1">IF(AC10=IN_build!$P$5, 0, _xlfn.XLOOKUP(1,
  (INDIRECT("UWert_Mod[Bauteil]")="Außenwand") *
  (INDIRECT("UWert_Mod[Modernisierungsjahr]")=AC10),
  INDIRECT("UWert_Mod[d_ins]")
))</f>
        <v>0</v>
      </c>
      <c r="AD11" s="324" cm="1">
        <f t="array" aca="1" ref="AD11" ca="1">IF(AD10=IN_build!$P$5, 0, _xlfn.XLOOKUP(1,
  (INDIRECT("UWert_Mod[Bauteil]")="Außenwand") *
  (INDIRECT("UWert_Mod[Modernisierungsjahr]")=AD10),
  INDIRECT("UWert_Mod[d_ins]")
))</f>
        <v>0</v>
      </c>
      <c r="AE11" s="324" cm="1">
        <f t="array" aca="1" ref="AE11" ca="1">IF(AE10=IN_build!$P$5, 0, _xlfn.XLOOKUP(1,
  (INDIRECT("UWert_Mod[Bauteil]")="Außenwand") *
  (INDIRECT("UWert_Mod[Modernisierungsjahr]")=AE10),
  INDIRECT("UWert_Mod[d_ins]")
))</f>
        <v>0</v>
      </c>
      <c r="AF11" s="324" cm="1">
        <f t="array" aca="1" ref="AF11" ca="1">IF(AF10=IN_build!$P$5, 0, _xlfn.XLOOKUP(1,
  (INDIRECT("UWert_Mod[Bauteil]")="Außenwand") *
  (INDIRECT("UWert_Mod[Modernisierungsjahr]")=AF10),
  INDIRECT("UWert_Mod[d_ins]")
))</f>
        <v>0</v>
      </c>
    </row>
    <row r="12" spans="1:32" s="85" customFormat="1" ht="15.75" thickBot="1" x14ac:dyDescent="0.3">
      <c r="A12" s="315" t="s">
        <v>490</v>
      </c>
      <c r="B12" s="85" t="s">
        <v>336</v>
      </c>
      <c r="D12" s="85" t="s">
        <v>564</v>
      </c>
      <c r="F12" s="85" t="s">
        <v>8749</v>
      </c>
      <c r="G12" s="312"/>
      <c r="H12" s="312"/>
      <c r="O12" s="313"/>
      <c r="P12" s="313"/>
      <c r="Q12" s="85" t="s">
        <v>475</v>
      </c>
      <c r="R12" s="316" t="str">
        <f>$Q12</f>
        <v>Außenluft</v>
      </c>
      <c r="S12" s="316" t="str">
        <f t="shared" ref="S12:AF12" si="3">$Q12</f>
        <v>Außenluft</v>
      </c>
      <c r="T12" s="316" t="str">
        <f t="shared" si="3"/>
        <v>Außenluft</v>
      </c>
      <c r="U12" s="316" t="str">
        <f t="shared" si="3"/>
        <v>Außenluft</v>
      </c>
      <c r="V12" s="316" t="str">
        <f t="shared" si="3"/>
        <v>Außenluft</v>
      </c>
      <c r="W12" s="316" t="str">
        <f t="shared" si="3"/>
        <v>Außenluft</v>
      </c>
      <c r="X12" s="316" t="str">
        <f t="shared" si="3"/>
        <v>Außenluft</v>
      </c>
      <c r="Y12" s="316" t="str">
        <f t="shared" si="3"/>
        <v>Außenluft</v>
      </c>
      <c r="Z12" s="316" t="str">
        <f t="shared" si="3"/>
        <v>Außenluft</v>
      </c>
      <c r="AA12" s="316" t="str">
        <f t="shared" si="3"/>
        <v>Außenluft</v>
      </c>
      <c r="AB12" s="316" t="str">
        <f t="shared" si="3"/>
        <v>Außenluft</v>
      </c>
      <c r="AC12" s="316" t="str">
        <f t="shared" si="3"/>
        <v>Außenluft</v>
      </c>
      <c r="AD12" s="316" t="str">
        <f t="shared" si="3"/>
        <v>Außenluft</v>
      </c>
      <c r="AE12" s="316" t="str">
        <f t="shared" si="3"/>
        <v>Außenluft</v>
      </c>
      <c r="AF12" s="316" t="str">
        <f t="shared" si="3"/>
        <v>Außenluft</v>
      </c>
    </row>
    <row r="13" spans="1:32" x14ac:dyDescent="0.25">
      <c r="B13" t="s">
        <v>565</v>
      </c>
      <c r="C13" t="s">
        <v>236</v>
      </c>
      <c r="D13" t="s">
        <v>184</v>
      </c>
      <c r="E13" t="s">
        <v>399</v>
      </c>
      <c r="F13" t="str">
        <f>"L_"&amp;D13&amp;"_"&amp;E13&amp;"_wid"</f>
        <v>L_wall_win1_wid</v>
      </c>
      <c r="G13" s="46" t="s">
        <v>566</v>
      </c>
      <c r="I13" t="s">
        <v>420</v>
      </c>
      <c r="K13" t="s">
        <v>430</v>
      </c>
      <c r="L13" t="s">
        <v>434</v>
      </c>
      <c r="M13">
        <v>1</v>
      </c>
      <c r="N13">
        <v>0</v>
      </c>
      <c r="O13">
        <v>20</v>
      </c>
      <c r="P13">
        <v>400</v>
      </c>
      <c r="R13" s="310"/>
      <c r="S13" s="310"/>
      <c r="T13" s="310"/>
      <c r="U13" s="310"/>
      <c r="V13" s="310"/>
      <c r="W13" s="310"/>
      <c r="X13" s="310"/>
      <c r="Y13" s="310"/>
      <c r="Z13" s="310"/>
      <c r="AA13" s="310"/>
      <c r="AB13" s="310"/>
      <c r="AC13" s="310"/>
      <c r="AD13" s="310"/>
      <c r="AE13" s="310"/>
      <c r="AF13" s="310"/>
    </row>
    <row r="14" spans="1:32" x14ac:dyDescent="0.25">
      <c r="B14" t="s">
        <v>565</v>
      </c>
      <c r="C14" t="s">
        <v>238</v>
      </c>
      <c r="D14" t="s">
        <v>184</v>
      </c>
      <c r="E14" t="s">
        <v>399</v>
      </c>
      <c r="F14" t="str">
        <f>"L_"&amp;D14&amp;"_"&amp;E14&amp;"_hei"</f>
        <v>L_wall_win1_hei</v>
      </c>
      <c r="G14" s="46" t="s">
        <v>238</v>
      </c>
      <c r="I14" t="s">
        <v>420</v>
      </c>
      <c r="K14" t="s">
        <v>430</v>
      </c>
      <c r="L14" t="s">
        <v>434</v>
      </c>
      <c r="M14">
        <v>1</v>
      </c>
      <c r="N14">
        <v>0</v>
      </c>
      <c r="O14">
        <v>20</v>
      </c>
      <c r="P14">
        <f>$R$5*100</f>
        <v>250</v>
      </c>
      <c r="R14" s="52"/>
      <c r="S14" s="52"/>
      <c r="T14" s="52"/>
      <c r="U14" s="52"/>
      <c r="V14" s="52"/>
      <c r="W14" s="52"/>
      <c r="X14" s="52"/>
      <c r="Y14" s="52"/>
      <c r="Z14" s="52"/>
      <c r="AA14" s="52"/>
      <c r="AB14" s="52"/>
      <c r="AC14" s="52"/>
      <c r="AD14" s="52"/>
      <c r="AE14" s="52"/>
      <c r="AF14" s="52"/>
    </row>
    <row r="15" spans="1:32" x14ac:dyDescent="0.25">
      <c r="A15" t="s">
        <v>501</v>
      </c>
      <c r="B15" t="s">
        <v>565</v>
      </c>
      <c r="C15" t="s">
        <v>385</v>
      </c>
      <c r="D15" t="s">
        <v>184</v>
      </c>
      <c r="E15" t="s">
        <v>399</v>
      </c>
      <c r="F15" t="str">
        <f>"YEAR_"&amp;D15&amp;"_"&amp;E15</f>
        <v>YEAR_wall_win1</v>
      </c>
      <c r="G15" s="46" t="s">
        <v>414</v>
      </c>
      <c r="I15" t="s">
        <v>424</v>
      </c>
      <c r="L15" t="s">
        <v>435</v>
      </c>
      <c r="M15">
        <v>0</v>
      </c>
      <c r="Q15" t="str">
        <f>IN_build!$S$8</f>
        <v>ab 2023</v>
      </c>
      <c r="R15" s="52" t="s">
        <v>567</v>
      </c>
      <c r="S15" s="52" t="s">
        <v>8751</v>
      </c>
      <c r="T15" s="52" t="s">
        <v>8752</v>
      </c>
      <c r="U15" s="52" t="s">
        <v>8753</v>
      </c>
      <c r="V15" s="52" t="s">
        <v>8754</v>
      </c>
      <c r="W15" s="52" t="s">
        <v>8755</v>
      </c>
      <c r="X15" s="52" t="s">
        <v>8756</v>
      </c>
      <c r="Y15" s="52" t="s">
        <v>8757</v>
      </c>
      <c r="Z15" s="52" t="s">
        <v>8758</v>
      </c>
      <c r="AA15" s="52" t="s">
        <v>8759</v>
      </c>
      <c r="AB15" s="52" t="s">
        <v>8760</v>
      </c>
      <c r="AC15" s="52" t="s">
        <v>8761</v>
      </c>
      <c r="AD15" s="52" t="s">
        <v>8762</v>
      </c>
      <c r="AE15" s="52" t="s">
        <v>8763</v>
      </c>
      <c r="AF15" s="52" t="s">
        <v>8764</v>
      </c>
    </row>
    <row r="16" spans="1:32" s="85" customFormat="1" ht="15.75" thickBot="1" x14ac:dyDescent="0.3">
      <c r="A16" s="85" t="s">
        <v>502</v>
      </c>
      <c r="B16" s="85" t="s">
        <v>565</v>
      </c>
      <c r="C16" s="85" t="s">
        <v>386</v>
      </c>
      <c r="D16" s="85" t="s">
        <v>184</v>
      </c>
      <c r="E16" s="85" t="s">
        <v>399</v>
      </c>
      <c r="F16" s="85" t="str">
        <f>"NO_"&amp;D16&amp;"_"&amp;E16</f>
        <v>NO_wall_win1</v>
      </c>
      <c r="G16" s="312" t="s">
        <v>415</v>
      </c>
      <c r="H16" s="312"/>
      <c r="I16" s="85" t="s">
        <v>420</v>
      </c>
      <c r="L16" s="85" t="s">
        <v>435</v>
      </c>
      <c r="M16" s="85">
        <v>0</v>
      </c>
      <c r="N16" s="85">
        <v>0</v>
      </c>
      <c r="O16" s="85">
        <v>1</v>
      </c>
      <c r="P16" s="85">
        <v>10</v>
      </c>
      <c r="Q16" s="85">
        <v>1</v>
      </c>
      <c r="R16" s="314">
        <f>$Q16</f>
        <v>1</v>
      </c>
      <c r="S16" s="314">
        <f t="shared" ref="S16:AF16" si="4">$Q16</f>
        <v>1</v>
      </c>
      <c r="T16" s="314">
        <f t="shared" si="4"/>
        <v>1</v>
      </c>
      <c r="U16" s="314">
        <f t="shared" si="4"/>
        <v>1</v>
      </c>
      <c r="V16" s="314">
        <f t="shared" si="4"/>
        <v>1</v>
      </c>
      <c r="W16" s="314">
        <f t="shared" si="4"/>
        <v>1</v>
      </c>
      <c r="X16" s="314">
        <f t="shared" si="4"/>
        <v>1</v>
      </c>
      <c r="Y16" s="314">
        <f t="shared" si="4"/>
        <v>1</v>
      </c>
      <c r="Z16" s="314">
        <f t="shared" si="4"/>
        <v>1</v>
      </c>
      <c r="AA16" s="314">
        <f t="shared" si="4"/>
        <v>1</v>
      </c>
      <c r="AB16" s="314">
        <f t="shared" si="4"/>
        <v>1</v>
      </c>
      <c r="AC16" s="314">
        <f t="shared" si="4"/>
        <v>1</v>
      </c>
      <c r="AD16" s="314">
        <f t="shared" si="4"/>
        <v>1</v>
      </c>
      <c r="AE16" s="314">
        <f t="shared" si="4"/>
        <v>1</v>
      </c>
      <c r="AF16" s="314">
        <f t="shared" si="4"/>
        <v>1</v>
      </c>
    </row>
    <row r="17" spans="1:32" x14ac:dyDescent="0.25">
      <c r="B17" t="s">
        <v>568</v>
      </c>
      <c r="C17" t="s">
        <v>236</v>
      </c>
      <c r="D17" t="s">
        <v>184</v>
      </c>
      <c r="E17" t="s">
        <v>400</v>
      </c>
      <c r="F17" t="str">
        <f>"L_"&amp;D17&amp;"_"&amp;E17&amp;"_wid"</f>
        <v>L_wall_win2_wid</v>
      </c>
      <c r="G17" s="46" t="s">
        <v>566</v>
      </c>
      <c r="I17" t="s">
        <v>420</v>
      </c>
      <c r="K17" t="s">
        <v>430</v>
      </c>
      <c r="L17" t="s">
        <v>434</v>
      </c>
      <c r="M17">
        <v>1</v>
      </c>
      <c r="N17">
        <v>0</v>
      </c>
      <c r="O17">
        <v>20</v>
      </c>
      <c r="P17">
        <v>400</v>
      </c>
      <c r="R17" s="310"/>
      <c r="S17" s="310"/>
      <c r="T17" s="310"/>
      <c r="U17" s="310"/>
      <c r="V17" s="310"/>
      <c r="W17" s="310"/>
      <c r="X17" s="310"/>
      <c r="Y17" s="310"/>
      <c r="Z17" s="310"/>
      <c r="AA17" s="310"/>
      <c r="AB17" s="310"/>
      <c r="AC17" s="310"/>
      <c r="AD17" s="310"/>
      <c r="AE17" s="310"/>
      <c r="AF17" s="310"/>
    </row>
    <row r="18" spans="1:32" x14ac:dyDescent="0.25">
      <c r="B18" t="s">
        <v>568</v>
      </c>
      <c r="C18" t="s">
        <v>238</v>
      </c>
      <c r="D18" t="s">
        <v>184</v>
      </c>
      <c r="E18" t="s">
        <v>400</v>
      </c>
      <c r="F18" t="str">
        <f>"L_"&amp;D18&amp;"_"&amp;E18&amp;"_hei"</f>
        <v>L_wall_win2_hei</v>
      </c>
      <c r="G18" s="46" t="s">
        <v>238</v>
      </c>
      <c r="I18" t="s">
        <v>420</v>
      </c>
      <c r="K18" t="s">
        <v>430</v>
      </c>
      <c r="L18" t="s">
        <v>434</v>
      </c>
      <c r="M18">
        <v>1</v>
      </c>
      <c r="N18">
        <v>0</v>
      </c>
      <c r="O18">
        <v>20</v>
      </c>
      <c r="P18">
        <f>$R$5*100</f>
        <v>250</v>
      </c>
      <c r="R18" s="52"/>
      <c r="S18" s="52"/>
      <c r="T18" s="52"/>
      <c r="U18" s="52"/>
      <c r="V18" s="52"/>
      <c r="W18" s="52"/>
      <c r="X18" s="52"/>
      <c r="Y18" s="52"/>
      <c r="Z18" s="52"/>
      <c r="AA18" s="52"/>
      <c r="AB18" s="52"/>
      <c r="AC18" s="52"/>
      <c r="AD18" s="52"/>
      <c r="AE18" s="52"/>
      <c r="AF18" s="52"/>
    </row>
    <row r="19" spans="1:32" x14ac:dyDescent="0.25">
      <c r="B19" t="s">
        <v>568</v>
      </c>
      <c r="C19" t="s">
        <v>385</v>
      </c>
      <c r="D19" t="s">
        <v>184</v>
      </c>
      <c r="E19" t="s">
        <v>400</v>
      </c>
      <c r="F19" t="str">
        <f>"YEAR_"&amp;D19&amp;"_"&amp;E19</f>
        <v>YEAR_wall_win2</v>
      </c>
      <c r="G19" s="46" t="s">
        <v>414</v>
      </c>
      <c r="I19" t="s">
        <v>424</v>
      </c>
      <c r="L19" t="s">
        <v>435</v>
      </c>
      <c r="M19">
        <v>0</v>
      </c>
      <c r="Q19" t="str">
        <f>IN_build!$S$8</f>
        <v>ab 2023</v>
      </c>
      <c r="R19" s="52" t="s">
        <v>567</v>
      </c>
      <c r="S19" s="52" t="s">
        <v>8751</v>
      </c>
      <c r="T19" s="52" t="s">
        <v>8752</v>
      </c>
      <c r="U19" s="52" t="s">
        <v>8753</v>
      </c>
      <c r="V19" s="52" t="s">
        <v>8754</v>
      </c>
      <c r="W19" s="52" t="s">
        <v>8755</v>
      </c>
      <c r="X19" s="52" t="s">
        <v>8756</v>
      </c>
      <c r="Y19" s="52" t="s">
        <v>8757</v>
      </c>
      <c r="Z19" s="52" t="s">
        <v>8758</v>
      </c>
      <c r="AA19" s="52" t="s">
        <v>8759</v>
      </c>
      <c r="AB19" s="52" t="s">
        <v>8760</v>
      </c>
      <c r="AC19" s="52" t="s">
        <v>8761</v>
      </c>
      <c r="AD19" s="52" t="s">
        <v>8762</v>
      </c>
      <c r="AE19" s="52" t="s">
        <v>8763</v>
      </c>
      <c r="AF19" s="52" t="s">
        <v>8764</v>
      </c>
    </row>
    <row r="20" spans="1:32" s="85" customFormat="1" ht="15.75" thickBot="1" x14ac:dyDescent="0.3">
      <c r="A20" s="85" t="s">
        <v>502</v>
      </c>
      <c r="B20" s="85" t="s">
        <v>568</v>
      </c>
      <c r="D20" s="85" t="s">
        <v>184</v>
      </c>
      <c r="E20" s="85" t="s">
        <v>400</v>
      </c>
      <c r="F20" s="85" t="str">
        <f>"NO_"&amp;D20&amp;"_"&amp;E20</f>
        <v>NO_wall_win2</v>
      </c>
      <c r="G20" s="312" t="s">
        <v>415</v>
      </c>
      <c r="H20" s="312"/>
      <c r="I20" s="85" t="s">
        <v>420</v>
      </c>
      <c r="L20" s="85" t="s">
        <v>435</v>
      </c>
      <c r="M20" s="85">
        <v>0</v>
      </c>
      <c r="N20" s="85">
        <v>0</v>
      </c>
      <c r="O20" s="85">
        <v>1</v>
      </c>
      <c r="P20" s="85">
        <v>10</v>
      </c>
      <c r="Q20" s="85">
        <v>1</v>
      </c>
      <c r="R20" s="314">
        <f>$Q20</f>
        <v>1</v>
      </c>
      <c r="S20" s="314">
        <f t="shared" ref="S20:AF20" si="5">$Q20</f>
        <v>1</v>
      </c>
      <c r="T20" s="314">
        <f t="shared" si="5"/>
        <v>1</v>
      </c>
      <c r="U20" s="314">
        <f t="shared" si="5"/>
        <v>1</v>
      </c>
      <c r="V20" s="314">
        <f t="shared" si="5"/>
        <v>1</v>
      </c>
      <c r="W20" s="314">
        <f t="shared" si="5"/>
        <v>1</v>
      </c>
      <c r="X20" s="314">
        <f t="shared" si="5"/>
        <v>1</v>
      </c>
      <c r="Y20" s="314">
        <f t="shared" si="5"/>
        <v>1</v>
      </c>
      <c r="Z20" s="314">
        <f t="shared" si="5"/>
        <v>1</v>
      </c>
      <c r="AA20" s="314">
        <f t="shared" si="5"/>
        <v>1</v>
      </c>
      <c r="AB20" s="314">
        <f t="shared" si="5"/>
        <v>1</v>
      </c>
      <c r="AC20" s="314">
        <f t="shared" si="5"/>
        <v>1</v>
      </c>
      <c r="AD20" s="314">
        <f t="shared" si="5"/>
        <v>1</v>
      </c>
      <c r="AE20" s="314">
        <f t="shared" si="5"/>
        <v>1</v>
      </c>
      <c r="AF20" s="314">
        <f t="shared" si="5"/>
        <v>1</v>
      </c>
    </row>
    <row r="21" spans="1:32" x14ac:dyDescent="0.25">
      <c r="B21" t="s">
        <v>569</v>
      </c>
      <c r="C21" t="s">
        <v>236</v>
      </c>
      <c r="D21" t="s">
        <v>184</v>
      </c>
      <c r="E21" t="s">
        <v>401</v>
      </c>
      <c r="F21" t="str">
        <f>"L_"&amp;D21&amp;"_"&amp;E21&amp;"_wid"</f>
        <v>L_wall_win3_wid</v>
      </c>
      <c r="G21" s="46" t="s">
        <v>570</v>
      </c>
      <c r="I21" t="s">
        <v>420</v>
      </c>
      <c r="K21" t="s">
        <v>430</v>
      </c>
      <c r="L21" t="s">
        <v>434</v>
      </c>
      <c r="M21">
        <v>1</v>
      </c>
      <c r="N21">
        <v>0</v>
      </c>
      <c r="O21">
        <v>20</v>
      </c>
      <c r="P21">
        <v>400</v>
      </c>
      <c r="R21" s="310"/>
      <c r="S21" s="310"/>
      <c r="T21" s="310"/>
      <c r="U21" s="310"/>
      <c r="V21" s="310"/>
      <c r="W21" s="310"/>
      <c r="X21" s="310"/>
      <c r="Y21" s="310"/>
      <c r="Z21" s="310"/>
      <c r="AA21" s="310"/>
      <c r="AB21" s="310"/>
      <c r="AC21" s="310"/>
      <c r="AD21" s="310"/>
      <c r="AE21" s="310"/>
      <c r="AF21" s="310"/>
    </row>
    <row r="22" spans="1:32" x14ac:dyDescent="0.25">
      <c r="B22" t="s">
        <v>569</v>
      </c>
      <c r="C22" t="s">
        <v>238</v>
      </c>
      <c r="D22" t="s">
        <v>184</v>
      </c>
      <c r="E22" t="s">
        <v>401</v>
      </c>
      <c r="F22" t="str">
        <f>"L_"&amp;D22&amp;"_"&amp;E22&amp;"_hei"</f>
        <v>L_wall_win3_hei</v>
      </c>
      <c r="G22" s="46" t="s">
        <v>238</v>
      </c>
      <c r="I22" t="s">
        <v>420</v>
      </c>
      <c r="K22" t="s">
        <v>430</v>
      </c>
      <c r="L22" t="s">
        <v>434</v>
      </c>
      <c r="M22">
        <v>1</v>
      </c>
      <c r="N22">
        <v>0</v>
      </c>
      <c r="O22">
        <v>20</v>
      </c>
      <c r="P22">
        <f>$R$5*100</f>
        <v>250</v>
      </c>
      <c r="R22" s="52"/>
      <c r="S22" s="52"/>
      <c r="T22" s="52"/>
      <c r="U22" s="52"/>
      <c r="V22" s="52"/>
      <c r="W22" s="52"/>
      <c r="X22" s="52"/>
      <c r="Y22" s="52"/>
      <c r="Z22" s="52"/>
      <c r="AA22" s="52"/>
      <c r="AB22" s="52"/>
      <c r="AC22" s="52"/>
      <c r="AD22" s="52"/>
      <c r="AE22" s="52"/>
      <c r="AF22" s="52"/>
    </row>
    <row r="23" spans="1:32" x14ac:dyDescent="0.25">
      <c r="B23" t="s">
        <v>569</v>
      </c>
      <c r="C23" t="s">
        <v>385</v>
      </c>
      <c r="D23" t="s">
        <v>184</v>
      </c>
      <c r="E23" t="s">
        <v>401</v>
      </c>
      <c r="F23" t="str">
        <f>"YEAR_"&amp;D23&amp;"_"&amp;E23</f>
        <v>YEAR_wall_win3</v>
      </c>
      <c r="G23" s="46" t="s">
        <v>414</v>
      </c>
      <c r="I23" t="s">
        <v>424</v>
      </c>
      <c r="L23" t="s">
        <v>435</v>
      </c>
      <c r="M23">
        <v>0</v>
      </c>
      <c r="Q23" t="str">
        <f>IN_build!$S$8</f>
        <v>ab 2023</v>
      </c>
      <c r="R23" s="52" t="str">
        <f>$Q$23</f>
        <v>ab 2023</v>
      </c>
      <c r="S23" s="52" t="str">
        <f t="shared" ref="S23:AF23" si="6">$Q$23</f>
        <v>ab 2023</v>
      </c>
      <c r="T23" s="52" t="str">
        <f t="shared" si="6"/>
        <v>ab 2023</v>
      </c>
      <c r="U23" s="52" t="str">
        <f t="shared" si="6"/>
        <v>ab 2023</v>
      </c>
      <c r="V23" s="52" t="str">
        <f t="shared" si="6"/>
        <v>ab 2023</v>
      </c>
      <c r="W23" s="52" t="str">
        <f t="shared" si="6"/>
        <v>ab 2023</v>
      </c>
      <c r="X23" s="52" t="str">
        <f t="shared" si="6"/>
        <v>ab 2023</v>
      </c>
      <c r="Y23" s="52" t="str">
        <f t="shared" si="6"/>
        <v>ab 2023</v>
      </c>
      <c r="Z23" s="52" t="str">
        <f t="shared" si="6"/>
        <v>ab 2023</v>
      </c>
      <c r="AA23" s="52" t="str">
        <f t="shared" si="6"/>
        <v>ab 2023</v>
      </c>
      <c r="AB23" s="52" t="str">
        <f t="shared" si="6"/>
        <v>ab 2023</v>
      </c>
      <c r="AC23" s="52" t="str">
        <f t="shared" si="6"/>
        <v>ab 2023</v>
      </c>
      <c r="AD23" s="52" t="str">
        <f t="shared" si="6"/>
        <v>ab 2023</v>
      </c>
      <c r="AE23" s="52" t="str">
        <f t="shared" si="6"/>
        <v>ab 2023</v>
      </c>
      <c r="AF23" s="52" t="str">
        <f t="shared" si="6"/>
        <v>ab 2023</v>
      </c>
    </row>
    <row r="24" spans="1:32" s="85" customFormat="1" ht="15.75" thickBot="1" x14ac:dyDescent="0.3">
      <c r="A24" s="85" t="s">
        <v>502</v>
      </c>
      <c r="B24" s="85" t="s">
        <v>569</v>
      </c>
      <c r="C24" s="85" t="s">
        <v>386</v>
      </c>
      <c r="D24" s="85" t="s">
        <v>184</v>
      </c>
      <c r="E24" s="85" t="s">
        <v>401</v>
      </c>
      <c r="F24" s="85" t="str">
        <f>"NO_"&amp;D24&amp;"_"&amp;E24</f>
        <v>NO_wall_win3</v>
      </c>
      <c r="G24" s="312" t="s">
        <v>415</v>
      </c>
      <c r="H24" s="312"/>
      <c r="I24" s="85" t="s">
        <v>420</v>
      </c>
      <c r="L24" s="85" t="s">
        <v>435</v>
      </c>
      <c r="M24" s="85">
        <v>0</v>
      </c>
      <c r="N24" s="85">
        <v>0</v>
      </c>
      <c r="O24" s="85">
        <v>1</v>
      </c>
      <c r="P24" s="85">
        <v>10</v>
      </c>
      <c r="Q24" s="85">
        <v>1</v>
      </c>
      <c r="R24" s="314">
        <f>$Q24</f>
        <v>1</v>
      </c>
      <c r="S24" s="314">
        <f t="shared" ref="S24:AF24" si="7">$Q24</f>
        <v>1</v>
      </c>
      <c r="T24" s="314">
        <f t="shared" si="7"/>
        <v>1</v>
      </c>
      <c r="U24" s="314">
        <f t="shared" si="7"/>
        <v>1</v>
      </c>
      <c r="V24" s="314">
        <f t="shared" si="7"/>
        <v>1</v>
      </c>
      <c r="W24" s="314">
        <f t="shared" si="7"/>
        <v>1</v>
      </c>
      <c r="X24" s="314">
        <f t="shared" si="7"/>
        <v>1</v>
      </c>
      <c r="Y24" s="314">
        <f t="shared" si="7"/>
        <v>1</v>
      </c>
      <c r="Z24" s="314">
        <f t="shared" si="7"/>
        <v>1</v>
      </c>
      <c r="AA24" s="314">
        <f t="shared" si="7"/>
        <v>1</v>
      </c>
      <c r="AB24" s="314">
        <f t="shared" si="7"/>
        <v>1</v>
      </c>
      <c r="AC24" s="314">
        <f t="shared" si="7"/>
        <v>1</v>
      </c>
      <c r="AD24" s="314">
        <f t="shared" si="7"/>
        <v>1</v>
      </c>
      <c r="AE24" s="314">
        <f t="shared" si="7"/>
        <v>1</v>
      </c>
      <c r="AF24" s="314">
        <f t="shared" si="7"/>
        <v>1</v>
      </c>
    </row>
    <row r="25" spans="1:32" x14ac:dyDescent="0.25">
      <c r="A25" s="297"/>
      <c r="D25" t="s">
        <v>571</v>
      </c>
      <c r="F25" t="s">
        <v>572</v>
      </c>
      <c r="G25" s="46" t="s">
        <v>573</v>
      </c>
      <c r="I25" t="s">
        <v>425</v>
      </c>
      <c r="L25" t="s">
        <v>433</v>
      </c>
      <c r="M25">
        <v>1</v>
      </c>
      <c r="O25" s="138"/>
      <c r="P25" s="138"/>
      <c r="Q25" s="138" t="s">
        <v>476</v>
      </c>
      <c r="R25" s="310" t="str">
        <f t="shared" ref="R25:AF25" si="8">$Q25</f>
        <v>Nein</v>
      </c>
      <c r="S25" s="310" t="str">
        <f t="shared" si="8"/>
        <v>Nein</v>
      </c>
      <c r="T25" s="310" t="str">
        <f t="shared" si="8"/>
        <v>Nein</v>
      </c>
      <c r="U25" s="310" t="str">
        <f t="shared" si="8"/>
        <v>Nein</v>
      </c>
      <c r="V25" s="310" t="str">
        <f t="shared" si="8"/>
        <v>Nein</v>
      </c>
      <c r="W25" s="310" t="str">
        <f t="shared" si="8"/>
        <v>Nein</v>
      </c>
      <c r="X25" s="310" t="str">
        <f t="shared" si="8"/>
        <v>Nein</v>
      </c>
      <c r="Y25" s="310" t="str">
        <f t="shared" si="8"/>
        <v>Nein</v>
      </c>
      <c r="Z25" s="310" t="str">
        <f t="shared" si="8"/>
        <v>Nein</v>
      </c>
      <c r="AA25" s="310" t="str">
        <f t="shared" si="8"/>
        <v>Nein</v>
      </c>
      <c r="AB25" s="310" t="str">
        <f t="shared" si="8"/>
        <v>Nein</v>
      </c>
      <c r="AC25" s="310" t="str">
        <f t="shared" si="8"/>
        <v>Nein</v>
      </c>
      <c r="AD25" s="310" t="str">
        <f t="shared" si="8"/>
        <v>Nein</v>
      </c>
      <c r="AE25" s="310" t="str">
        <f t="shared" si="8"/>
        <v>Nein</v>
      </c>
      <c r="AF25" s="310" t="str">
        <f t="shared" si="8"/>
        <v>Nein</v>
      </c>
    </row>
    <row r="26" spans="1:32" x14ac:dyDescent="0.25">
      <c r="A26" s="297"/>
      <c r="D26" t="s">
        <v>571</v>
      </c>
      <c r="F26" t="s">
        <v>574</v>
      </c>
      <c r="G26" s="46" t="s">
        <v>575</v>
      </c>
      <c r="I26" t="s">
        <v>420</v>
      </c>
      <c r="J26" t="s">
        <v>572</v>
      </c>
      <c r="K26" t="s">
        <v>136</v>
      </c>
      <c r="L26" t="s">
        <v>434</v>
      </c>
      <c r="M26">
        <v>0</v>
      </c>
      <c r="N26">
        <v>2</v>
      </c>
      <c r="O26" s="138">
        <v>1</v>
      </c>
      <c r="P26" s="138">
        <v>20</v>
      </c>
      <c r="Q26" s="138"/>
      <c r="R26" s="52"/>
      <c r="S26" s="52"/>
      <c r="T26" s="52"/>
      <c r="U26" s="52"/>
      <c r="V26" s="52"/>
      <c r="W26" s="52"/>
      <c r="X26" s="52"/>
      <c r="Y26" s="52"/>
      <c r="Z26" s="52"/>
      <c r="AA26" s="52"/>
      <c r="AB26" s="52"/>
      <c r="AC26" s="52"/>
      <c r="AD26" s="52"/>
      <c r="AE26" s="52"/>
      <c r="AF26" s="52"/>
    </row>
    <row r="27" spans="1:32" s="85" customFormat="1" ht="15.75" thickBot="1" x14ac:dyDescent="0.3">
      <c r="A27" s="315"/>
      <c r="D27" s="85" t="s">
        <v>571</v>
      </c>
      <c r="F27" s="85" t="s">
        <v>576</v>
      </c>
      <c r="G27" s="312" t="s">
        <v>577</v>
      </c>
      <c r="H27" s="312"/>
      <c r="I27" s="85" t="s">
        <v>420</v>
      </c>
      <c r="J27" s="85" t="s">
        <v>572</v>
      </c>
      <c r="K27" s="85" t="s">
        <v>430</v>
      </c>
      <c r="L27" s="85" t="s">
        <v>434</v>
      </c>
      <c r="M27" s="85">
        <v>0</v>
      </c>
      <c r="N27" s="85">
        <v>0</v>
      </c>
      <c r="O27" s="313">
        <v>0</v>
      </c>
      <c r="P27" s="313">
        <v>50</v>
      </c>
      <c r="Q27" s="313">
        <v>0</v>
      </c>
      <c r="R27" s="314">
        <f>$Q$27</f>
        <v>0</v>
      </c>
      <c r="S27" s="314">
        <f t="shared" ref="S27:AF27" si="9">$Q$27</f>
        <v>0</v>
      </c>
      <c r="T27" s="314">
        <f t="shared" si="9"/>
        <v>0</v>
      </c>
      <c r="U27" s="314">
        <f t="shared" si="9"/>
        <v>0</v>
      </c>
      <c r="V27" s="314">
        <f t="shared" si="9"/>
        <v>0</v>
      </c>
      <c r="W27" s="314">
        <f t="shared" si="9"/>
        <v>0</v>
      </c>
      <c r="X27" s="314">
        <f t="shared" si="9"/>
        <v>0</v>
      </c>
      <c r="Y27" s="314">
        <f t="shared" si="9"/>
        <v>0</v>
      </c>
      <c r="Z27" s="314">
        <f t="shared" si="9"/>
        <v>0</v>
      </c>
      <c r="AA27" s="314">
        <f t="shared" si="9"/>
        <v>0</v>
      </c>
      <c r="AB27" s="314">
        <f t="shared" si="9"/>
        <v>0</v>
      </c>
      <c r="AC27" s="314">
        <f t="shared" si="9"/>
        <v>0</v>
      </c>
      <c r="AD27" s="314">
        <f t="shared" si="9"/>
        <v>0</v>
      </c>
      <c r="AE27" s="314">
        <f t="shared" si="9"/>
        <v>0</v>
      </c>
      <c r="AF27" s="314">
        <f t="shared" si="9"/>
        <v>0</v>
      </c>
    </row>
    <row r="28" spans="1:32" x14ac:dyDescent="0.25">
      <c r="B28" t="s">
        <v>340</v>
      </c>
      <c r="D28" t="s">
        <v>192</v>
      </c>
      <c r="F28" t="s">
        <v>578</v>
      </c>
      <c r="G28" s="46" t="s">
        <v>579</v>
      </c>
      <c r="I28" t="s">
        <v>425</v>
      </c>
      <c r="L28" t="s">
        <v>433</v>
      </c>
      <c r="M28">
        <v>1</v>
      </c>
      <c r="O28" s="138"/>
      <c r="P28" s="138"/>
      <c r="Q28" s="138" t="str">
        <f>IF(IN_build!$P$4="Flach bzw. Flachdach","Nein","Ja")</f>
        <v>Ja</v>
      </c>
      <c r="R28" s="310" t="str">
        <f t="shared" ref="R28:AF28" si="10">$Q$28</f>
        <v>Ja</v>
      </c>
      <c r="S28" s="310" t="str">
        <f t="shared" si="10"/>
        <v>Ja</v>
      </c>
      <c r="T28" s="310" t="str">
        <f t="shared" si="10"/>
        <v>Ja</v>
      </c>
      <c r="U28" s="310" t="str">
        <f t="shared" si="10"/>
        <v>Ja</v>
      </c>
      <c r="V28" s="310" t="str">
        <f t="shared" si="10"/>
        <v>Ja</v>
      </c>
      <c r="W28" s="310" t="str">
        <f t="shared" si="10"/>
        <v>Ja</v>
      </c>
      <c r="X28" s="310" t="str">
        <f t="shared" si="10"/>
        <v>Ja</v>
      </c>
      <c r="Y28" s="310" t="str">
        <f t="shared" si="10"/>
        <v>Ja</v>
      </c>
      <c r="Z28" s="310" t="str">
        <f t="shared" si="10"/>
        <v>Ja</v>
      </c>
      <c r="AA28" s="310" t="str">
        <f t="shared" si="10"/>
        <v>Ja</v>
      </c>
      <c r="AB28" s="310" t="str">
        <f t="shared" si="10"/>
        <v>Ja</v>
      </c>
      <c r="AC28" s="310" t="str">
        <f t="shared" si="10"/>
        <v>Ja</v>
      </c>
      <c r="AD28" s="310" t="str">
        <f t="shared" si="10"/>
        <v>Ja</v>
      </c>
      <c r="AE28" s="310" t="str">
        <f t="shared" si="10"/>
        <v>Ja</v>
      </c>
      <c r="AF28" s="310" t="str">
        <f t="shared" si="10"/>
        <v>Ja</v>
      </c>
    </row>
    <row r="29" spans="1:32" x14ac:dyDescent="0.25">
      <c r="B29" t="s">
        <v>340</v>
      </c>
      <c r="D29" t="s">
        <v>192</v>
      </c>
      <c r="F29" t="s">
        <v>580</v>
      </c>
      <c r="G29" s="46" t="s">
        <v>581</v>
      </c>
      <c r="I29" t="s">
        <v>425</v>
      </c>
      <c r="L29" t="s">
        <v>433</v>
      </c>
      <c r="M29">
        <v>1</v>
      </c>
      <c r="O29" s="138"/>
      <c r="P29" s="138"/>
      <c r="Q29" s="138" t="s">
        <v>476</v>
      </c>
      <c r="R29" s="52" t="str">
        <f>$Q$29</f>
        <v>Nein</v>
      </c>
      <c r="S29" s="52" t="str">
        <f t="shared" ref="S29:AF29" si="11">$Q$29</f>
        <v>Nein</v>
      </c>
      <c r="T29" s="52" t="str">
        <f t="shared" si="11"/>
        <v>Nein</v>
      </c>
      <c r="U29" s="52" t="str">
        <f t="shared" si="11"/>
        <v>Nein</v>
      </c>
      <c r="V29" s="52" t="str">
        <f t="shared" si="11"/>
        <v>Nein</v>
      </c>
      <c r="W29" s="52" t="str">
        <f t="shared" si="11"/>
        <v>Nein</v>
      </c>
      <c r="X29" s="52" t="str">
        <f t="shared" si="11"/>
        <v>Nein</v>
      </c>
      <c r="Y29" s="52" t="str">
        <f t="shared" si="11"/>
        <v>Nein</v>
      </c>
      <c r="Z29" s="52" t="str">
        <f t="shared" si="11"/>
        <v>Nein</v>
      </c>
      <c r="AA29" s="52" t="str">
        <f t="shared" si="11"/>
        <v>Nein</v>
      </c>
      <c r="AB29" s="52" t="str">
        <f t="shared" si="11"/>
        <v>Nein</v>
      </c>
      <c r="AC29" s="52" t="str">
        <f t="shared" si="11"/>
        <v>Nein</v>
      </c>
      <c r="AD29" s="52" t="str">
        <f t="shared" si="11"/>
        <v>Nein</v>
      </c>
      <c r="AE29" s="52" t="str">
        <f t="shared" si="11"/>
        <v>Nein</v>
      </c>
      <c r="AF29" s="52" t="str">
        <f t="shared" si="11"/>
        <v>Nein</v>
      </c>
    </row>
    <row r="30" spans="1:32" x14ac:dyDescent="0.25">
      <c r="B30" t="s">
        <v>340</v>
      </c>
      <c r="C30" t="s">
        <v>384</v>
      </c>
      <c r="D30" t="s">
        <v>192</v>
      </c>
      <c r="F30" t="s">
        <v>460</v>
      </c>
      <c r="G30" s="46" t="s">
        <v>234</v>
      </c>
      <c r="H30" s="46" t="s">
        <v>416</v>
      </c>
      <c r="I30" t="s">
        <v>420</v>
      </c>
      <c r="J30" t="s">
        <v>578</v>
      </c>
      <c r="K30" t="s">
        <v>136</v>
      </c>
      <c r="L30" t="s">
        <v>434</v>
      </c>
      <c r="M30">
        <v>0</v>
      </c>
      <c r="N30">
        <v>2</v>
      </c>
      <c r="O30" s="138">
        <v>1</v>
      </c>
      <c r="P30" s="138" t="s">
        <v>582</v>
      </c>
      <c r="Q30" s="138"/>
      <c r="R30" s="52">
        <v>4</v>
      </c>
      <c r="S30" s="52">
        <v>4</v>
      </c>
      <c r="T30" s="52">
        <v>4</v>
      </c>
      <c r="U30" s="52">
        <v>4</v>
      </c>
      <c r="V30" s="52">
        <v>4</v>
      </c>
      <c r="W30" s="52">
        <v>4</v>
      </c>
      <c r="X30" s="52">
        <v>4</v>
      </c>
      <c r="Y30" s="52">
        <v>4</v>
      </c>
      <c r="Z30" s="52">
        <v>4</v>
      </c>
      <c r="AA30" s="52">
        <v>4</v>
      </c>
      <c r="AB30" s="52">
        <v>4</v>
      </c>
      <c r="AC30" s="52">
        <v>4</v>
      </c>
      <c r="AD30" s="52">
        <v>4</v>
      </c>
      <c r="AE30" s="52">
        <v>4</v>
      </c>
      <c r="AF30" s="52">
        <v>4</v>
      </c>
    </row>
    <row r="31" spans="1:32" x14ac:dyDescent="0.25">
      <c r="B31" t="s">
        <v>340</v>
      </c>
      <c r="C31" t="s">
        <v>382</v>
      </c>
      <c r="D31" t="s">
        <v>192</v>
      </c>
      <c r="F31" t="s">
        <v>461</v>
      </c>
      <c r="G31" s="46" t="s">
        <v>238</v>
      </c>
      <c r="H31" s="271" t="s">
        <v>417</v>
      </c>
      <c r="I31" t="s">
        <v>420</v>
      </c>
      <c r="J31" t="s">
        <v>578</v>
      </c>
      <c r="K31" t="s">
        <v>136</v>
      </c>
      <c r="L31" t="s">
        <v>434</v>
      </c>
      <c r="M31">
        <v>0</v>
      </c>
      <c r="N31">
        <v>2</v>
      </c>
      <c r="O31" s="138">
        <v>1</v>
      </c>
      <c r="P31" s="138">
        <v>4</v>
      </c>
      <c r="Q31" s="138"/>
      <c r="R31" s="52">
        <v>3</v>
      </c>
      <c r="S31" s="52">
        <v>3</v>
      </c>
      <c r="T31" s="52">
        <v>3</v>
      </c>
      <c r="U31" s="52">
        <v>3</v>
      </c>
      <c r="V31" s="52">
        <v>3</v>
      </c>
      <c r="W31" s="52">
        <v>3</v>
      </c>
      <c r="X31" s="52">
        <v>3</v>
      </c>
      <c r="Y31" s="52">
        <v>3</v>
      </c>
      <c r="Z31" s="52">
        <v>3</v>
      </c>
      <c r="AA31" s="52">
        <v>3</v>
      </c>
      <c r="AB31" s="52">
        <v>3</v>
      </c>
      <c r="AC31" s="52">
        <v>3</v>
      </c>
      <c r="AD31" s="52">
        <v>3</v>
      </c>
      <c r="AE31" s="52">
        <v>3</v>
      </c>
      <c r="AF31" s="52">
        <v>3</v>
      </c>
    </row>
    <row r="32" spans="1:32" ht="30" x14ac:dyDescent="0.25">
      <c r="D32" t="s">
        <v>194</v>
      </c>
      <c r="F32" s="294" t="str">
        <f>"L_"&amp;D32&amp;"_"&amp;E32&amp;"_wid"</f>
        <v>L_topceil__wid</v>
      </c>
      <c r="G32" s="46" t="s">
        <v>8750</v>
      </c>
      <c r="H32" s="271"/>
      <c r="I32" t="s">
        <v>420</v>
      </c>
      <c r="J32" t="s">
        <v>561</v>
      </c>
      <c r="K32" t="s">
        <v>136</v>
      </c>
      <c r="L32" t="s">
        <v>432</v>
      </c>
      <c r="M32">
        <v>1</v>
      </c>
      <c r="O32" s="138"/>
      <c r="P32" s="138"/>
      <c r="Q32" s="138"/>
      <c r="R32" s="320"/>
      <c r="S32" s="320"/>
      <c r="T32" s="320"/>
      <c r="U32" s="320"/>
      <c r="V32" s="320"/>
      <c r="W32" s="320"/>
      <c r="X32" s="320"/>
      <c r="Y32" s="320"/>
      <c r="Z32" s="320"/>
      <c r="AA32" s="320"/>
      <c r="AB32" s="320"/>
      <c r="AC32" s="320"/>
      <c r="AD32" s="320"/>
      <c r="AE32" s="320"/>
      <c r="AF32" s="320"/>
    </row>
    <row r="33" spans="1:32" s="85" customFormat="1" ht="30.75" thickBot="1" x14ac:dyDescent="0.3">
      <c r="D33" s="85" t="s">
        <v>194</v>
      </c>
      <c r="F33" s="85" t="str">
        <f>"L_"&amp;D33&amp;"_"&amp;E33&amp;"_len"</f>
        <v>L_topceil__len</v>
      </c>
      <c r="G33" s="312" t="s">
        <v>8750</v>
      </c>
      <c r="H33" s="312"/>
      <c r="I33" s="85" t="s">
        <v>420</v>
      </c>
      <c r="J33" s="85" t="s">
        <v>561</v>
      </c>
      <c r="K33" s="85" t="s">
        <v>136</v>
      </c>
      <c r="L33" s="85" t="s">
        <v>432</v>
      </c>
      <c r="M33" s="85">
        <v>1</v>
      </c>
      <c r="O33" s="313"/>
      <c r="P33" s="313"/>
      <c r="Q33" s="313"/>
      <c r="R33" s="319"/>
      <c r="S33" s="319"/>
      <c r="T33" s="319"/>
      <c r="U33" s="319"/>
      <c r="V33" s="319"/>
      <c r="W33" s="319"/>
      <c r="X33" s="319"/>
      <c r="Y33" s="319"/>
      <c r="Z33" s="319"/>
      <c r="AA33" s="319"/>
      <c r="AB33" s="319"/>
      <c r="AC33" s="319"/>
      <c r="AD33" s="319"/>
      <c r="AE33" s="319"/>
      <c r="AF33" s="319"/>
    </row>
    <row r="34" spans="1:32" ht="30" x14ac:dyDescent="0.25">
      <c r="B34" t="s">
        <v>340</v>
      </c>
      <c r="D34" t="s">
        <v>192</v>
      </c>
      <c r="F34" t="s">
        <v>583</v>
      </c>
      <c r="G34" s="46" t="s">
        <v>584</v>
      </c>
      <c r="I34" t="s">
        <v>420</v>
      </c>
      <c r="J34" t="s">
        <v>578</v>
      </c>
      <c r="K34" t="s">
        <v>136</v>
      </c>
      <c r="L34" t="s">
        <v>434</v>
      </c>
      <c r="M34">
        <v>1</v>
      </c>
      <c r="N34">
        <v>2</v>
      </c>
      <c r="O34" s="138"/>
      <c r="P34" s="138"/>
      <c r="Q34" s="138">
        <v>0</v>
      </c>
      <c r="R34" s="311">
        <f>$Q$34</f>
        <v>0</v>
      </c>
      <c r="S34" s="311">
        <f t="shared" ref="S34:AF34" si="12">$Q$34</f>
        <v>0</v>
      </c>
      <c r="T34" s="311">
        <f t="shared" si="12"/>
        <v>0</v>
      </c>
      <c r="U34" s="311">
        <f t="shared" si="12"/>
        <v>0</v>
      </c>
      <c r="V34" s="311">
        <f t="shared" si="12"/>
        <v>0</v>
      </c>
      <c r="W34" s="311">
        <f t="shared" si="12"/>
        <v>0</v>
      </c>
      <c r="X34" s="311">
        <f t="shared" si="12"/>
        <v>0</v>
      </c>
      <c r="Y34" s="311">
        <f t="shared" si="12"/>
        <v>0</v>
      </c>
      <c r="Z34" s="311">
        <f t="shared" si="12"/>
        <v>0</v>
      </c>
      <c r="AA34" s="311">
        <f t="shared" si="12"/>
        <v>0</v>
      </c>
      <c r="AB34" s="311">
        <f t="shared" si="12"/>
        <v>0</v>
      </c>
      <c r="AC34" s="311">
        <f t="shared" si="12"/>
        <v>0</v>
      </c>
      <c r="AD34" s="311">
        <f t="shared" si="12"/>
        <v>0</v>
      </c>
      <c r="AE34" s="311">
        <f t="shared" si="12"/>
        <v>0</v>
      </c>
      <c r="AF34" s="311">
        <f t="shared" si="12"/>
        <v>0</v>
      </c>
    </row>
    <row r="35" spans="1:32" ht="30" x14ac:dyDescent="0.25">
      <c r="B35" t="s">
        <v>340</v>
      </c>
      <c r="D35" t="s">
        <v>192</v>
      </c>
      <c r="F35" t="s">
        <v>585</v>
      </c>
      <c r="G35" s="46" t="s">
        <v>586</v>
      </c>
      <c r="I35" t="s">
        <v>425</v>
      </c>
      <c r="J35" t="s">
        <v>578</v>
      </c>
      <c r="L35" t="s">
        <v>433</v>
      </c>
      <c r="M35">
        <v>1</v>
      </c>
      <c r="O35" s="138"/>
      <c r="P35" s="138"/>
      <c r="Q35" s="138" t="s">
        <v>308</v>
      </c>
      <c r="R35" s="52" t="s">
        <v>308</v>
      </c>
      <c r="S35" s="52" t="s">
        <v>308</v>
      </c>
      <c r="T35" s="52" t="s">
        <v>308</v>
      </c>
      <c r="U35" s="52" t="s">
        <v>308</v>
      </c>
      <c r="V35" s="52" t="s">
        <v>308</v>
      </c>
      <c r="W35" s="52" t="s">
        <v>308</v>
      </c>
      <c r="X35" s="52" t="s">
        <v>308</v>
      </c>
      <c r="Y35" s="52" t="s">
        <v>308</v>
      </c>
      <c r="Z35" s="52" t="s">
        <v>308</v>
      </c>
      <c r="AA35" s="52" t="s">
        <v>308</v>
      </c>
      <c r="AB35" s="52" t="s">
        <v>308</v>
      </c>
      <c r="AC35" s="52" t="s">
        <v>308</v>
      </c>
      <c r="AD35" s="52" t="s">
        <v>308</v>
      </c>
      <c r="AE35" s="52" t="s">
        <v>308</v>
      </c>
      <c r="AF35" s="52" t="s">
        <v>308</v>
      </c>
    </row>
    <row r="36" spans="1:32" x14ac:dyDescent="0.25">
      <c r="B36" t="s">
        <v>340</v>
      </c>
      <c r="D36" t="s">
        <v>564</v>
      </c>
      <c r="F36" t="s">
        <v>587</v>
      </c>
      <c r="G36" t="s">
        <v>588</v>
      </c>
      <c r="H36"/>
      <c r="I36" t="s">
        <v>425</v>
      </c>
      <c r="J36" t="s">
        <v>578</v>
      </c>
      <c r="L36" t="s">
        <v>433</v>
      </c>
      <c r="M36">
        <v>1</v>
      </c>
      <c r="O36" s="138"/>
      <c r="P36" s="138"/>
      <c r="Q36" s="138"/>
      <c r="R36" s="266" t="str">
        <f>IF(R$35="Nein","Ja","Nein")</f>
        <v>Nein</v>
      </c>
      <c r="S36" s="266" t="str">
        <f t="shared" ref="S36:AF36" si="13">IF(S$35="Nein","Ja","Nein")</f>
        <v>Nein</v>
      </c>
      <c r="T36" s="266" t="str">
        <f t="shared" si="13"/>
        <v>Nein</v>
      </c>
      <c r="U36" s="266" t="str">
        <f t="shared" si="13"/>
        <v>Nein</v>
      </c>
      <c r="V36" s="266" t="str">
        <f t="shared" si="13"/>
        <v>Nein</v>
      </c>
      <c r="W36" s="266" t="str">
        <f t="shared" si="13"/>
        <v>Nein</v>
      </c>
      <c r="X36" s="266" t="str">
        <f t="shared" si="13"/>
        <v>Nein</v>
      </c>
      <c r="Y36" s="266" t="str">
        <f t="shared" si="13"/>
        <v>Nein</v>
      </c>
      <c r="Z36" s="266" t="str">
        <f t="shared" si="13"/>
        <v>Nein</v>
      </c>
      <c r="AA36" s="266" t="str">
        <f t="shared" si="13"/>
        <v>Nein</v>
      </c>
      <c r="AB36" s="266" t="str">
        <f t="shared" si="13"/>
        <v>Nein</v>
      </c>
      <c r="AC36" s="266" t="str">
        <f t="shared" si="13"/>
        <v>Nein</v>
      </c>
      <c r="AD36" s="266" t="str">
        <f t="shared" si="13"/>
        <v>Nein</v>
      </c>
      <c r="AE36" s="266" t="str">
        <f t="shared" si="13"/>
        <v>Nein</v>
      </c>
      <c r="AF36" s="266" t="str">
        <f t="shared" si="13"/>
        <v>Nein</v>
      </c>
    </row>
    <row r="37" spans="1:32" x14ac:dyDescent="0.25">
      <c r="A37" t="s">
        <v>500</v>
      </c>
      <c r="B37" t="s">
        <v>340</v>
      </c>
      <c r="C37" t="s">
        <v>382</v>
      </c>
      <c r="D37" t="s">
        <v>564</v>
      </c>
      <c r="F37" s="176" t="s">
        <v>589</v>
      </c>
      <c r="G37" t="s">
        <v>590</v>
      </c>
      <c r="H37"/>
      <c r="I37" t="s">
        <v>420</v>
      </c>
      <c r="J37" t="s">
        <v>591</v>
      </c>
      <c r="K37" t="s">
        <v>136</v>
      </c>
      <c r="L37" t="s">
        <v>434</v>
      </c>
      <c r="M37">
        <v>0</v>
      </c>
      <c r="N37">
        <v>2</v>
      </c>
      <c r="O37" s="138">
        <v>0</v>
      </c>
      <c r="P37" s="138">
        <v>3</v>
      </c>
      <c r="Q37" s="138"/>
      <c r="R37" s="266">
        <f>IF(R$35="Ja",0,R$34)</f>
        <v>0</v>
      </c>
      <c r="S37" s="266">
        <f t="shared" ref="S37:AF37" si="14">IF(S$35="Ja",0,S$34)</f>
        <v>0</v>
      </c>
      <c r="T37" s="266">
        <f t="shared" si="14"/>
        <v>0</v>
      </c>
      <c r="U37" s="266">
        <f t="shared" si="14"/>
        <v>0</v>
      </c>
      <c r="V37" s="266">
        <f t="shared" si="14"/>
        <v>0</v>
      </c>
      <c r="W37" s="266">
        <f t="shared" si="14"/>
        <v>0</v>
      </c>
      <c r="X37" s="266">
        <f t="shared" si="14"/>
        <v>0</v>
      </c>
      <c r="Y37" s="266">
        <f t="shared" si="14"/>
        <v>0</v>
      </c>
      <c r="Z37" s="266">
        <f t="shared" si="14"/>
        <v>0</v>
      </c>
      <c r="AA37" s="266">
        <f t="shared" si="14"/>
        <v>0</v>
      </c>
      <c r="AB37" s="266">
        <f t="shared" si="14"/>
        <v>0</v>
      </c>
      <c r="AC37" s="266">
        <f t="shared" si="14"/>
        <v>0</v>
      </c>
      <c r="AD37" s="266">
        <f t="shared" si="14"/>
        <v>0</v>
      </c>
      <c r="AE37" s="266">
        <f t="shared" si="14"/>
        <v>0</v>
      </c>
      <c r="AF37" s="266">
        <f t="shared" si="14"/>
        <v>0</v>
      </c>
    </row>
    <row r="38" spans="1:32" x14ac:dyDescent="0.25">
      <c r="B38" t="s">
        <v>340</v>
      </c>
      <c r="D38" t="s">
        <v>564</v>
      </c>
      <c r="F38" t="s">
        <v>592</v>
      </c>
      <c r="G38" t="s">
        <v>593</v>
      </c>
      <c r="H38" t="s">
        <v>594</v>
      </c>
      <c r="I38" t="s">
        <v>425</v>
      </c>
      <c r="J38" t="s">
        <v>578</v>
      </c>
      <c r="L38" t="s">
        <v>433</v>
      </c>
      <c r="M38">
        <v>1</v>
      </c>
      <c r="O38" s="138"/>
      <c r="P38" s="138"/>
      <c r="Q38" s="138"/>
      <c r="R38" s="266" t="str">
        <f>IF(R$35="Nein","Nein","Ja")</f>
        <v>Ja</v>
      </c>
      <c r="S38" s="266" t="str">
        <f t="shared" ref="S38:AF38" si="15">IF(S$35="Nein","Nein","Ja")</f>
        <v>Ja</v>
      </c>
      <c r="T38" s="266" t="str">
        <f t="shared" si="15"/>
        <v>Ja</v>
      </c>
      <c r="U38" s="266" t="str">
        <f t="shared" si="15"/>
        <v>Ja</v>
      </c>
      <c r="V38" s="266" t="str">
        <f t="shared" si="15"/>
        <v>Ja</v>
      </c>
      <c r="W38" s="266" t="str">
        <f t="shared" si="15"/>
        <v>Ja</v>
      </c>
      <c r="X38" s="266" t="str">
        <f t="shared" si="15"/>
        <v>Ja</v>
      </c>
      <c r="Y38" s="266" t="str">
        <f t="shared" si="15"/>
        <v>Ja</v>
      </c>
      <c r="Z38" s="266" t="str">
        <f t="shared" si="15"/>
        <v>Ja</v>
      </c>
      <c r="AA38" s="266" t="str">
        <f t="shared" si="15"/>
        <v>Ja</v>
      </c>
      <c r="AB38" s="266" t="str">
        <f t="shared" si="15"/>
        <v>Ja</v>
      </c>
      <c r="AC38" s="266" t="str">
        <f t="shared" si="15"/>
        <v>Ja</v>
      </c>
      <c r="AD38" s="266" t="str">
        <f t="shared" si="15"/>
        <v>Ja</v>
      </c>
      <c r="AE38" s="266" t="str">
        <f t="shared" si="15"/>
        <v>Ja</v>
      </c>
      <c r="AF38" s="266" t="str">
        <f t="shared" si="15"/>
        <v>Ja</v>
      </c>
    </row>
    <row r="39" spans="1:32" s="85" customFormat="1" ht="15.75" thickBot="1" x14ac:dyDescent="0.3">
      <c r="B39" s="85" t="s">
        <v>340</v>
      </c>
      <c r="C39" s="85" t="s">
        <v>382</v>
      </c>
      <c r="D39" s="85" t="s">
        <v>564</v>
      </c>
      <c r="F39" s="317" t="s">
        <v>595</v>
      </c>
      <c r="G39" s="85" t="s">
        <v>596</v>
      </c>
      <c r="H39" s="85" t="s">
        <v>597</v>
      </c>
      <c r="I39" s="85" t="s">
        <v>420</v>
      </c>
      <c r="J39" s="85" t="s">
        <v>598</v>
      </c>
      <c r="K39" s="85" t="s">
        <v>136</v>
      </c>
      <c r="L39" s="85" t="s">
        <v>434</v>
      </c>
      <c r="M39" s="85">
        <v>0</v>
      </c>
      <c r="N39" s="85">
        <v>2</v>
      </c>
      <c r="O39" s="313">
        <v>0</v>
      </c>
      <c r="P39" s="313">
        <v>3</v>
      </c>
      <c r="Q39" s="313"/>
      <c r="R39" s="318">
        <f>IF(R$35="Nein",0,R$34)</f>
        <v>0</v>
      </c>
      <c r="S39" s="318">
        <f t="shared" ref="S39:AF39" si="16">IF(S$35="Nein",0,S$34)</f>
        <v>0</v>
      </c>
      <c r="T39" s="318">
        <f t="shared" si="16"/>
        <v>0</v>
      </c>
      <c r="U39" s="318">
        <f t="shared" si="16"/>
        <v>0</v>
      </c>
      <c r="V39" s="318">
        <f t="shared" si="16"/>
        <v>0</v>
      </c>
      <c r="W39" s="318">
        <f t="shared" si="16"/>
        <v>0</v>
      </c>
      <c r="X39" s="318">
        <f t="shared" si="16"/>
        <v>0</v>
      </c>
      <c r="Y39" s="318">
        <f t="shared" si="16"/>
        <v>0</v>
      </c>
      <c r="Z39" s="318">
        <f t="shared" si="16"/>
        <v>0</v>
      </c>
      <c r="AA39" s="318">
        <f t="shared" si="16"/>
        <v>0</v>
      </c>
      <c r="AB39" s="318">
        <f t="shared" si="16"/>
        <v>0</v>
      </c>
      <c r="AC39" s="318">
        <f t="shared" si="16"/>
        <v>0</v>
      </c>
      <c r="AD39" s="318">
        <f t="shared" si="16"/>
        <v>0</v>
      </c>
      <c r="AE39" s="318">
        <f t="shared" si="16"/>
        <v>0</v>
      </c>
      <c r="AF39" s="318">
        <f t="shared" si="16"/>
        <v>0</v>
      </c>
    </row>
    <row r="40" spans="1:32" s="85" customFormat="1" ht="15.75" thickBot="1" x14ac:dyDescent="0.3">
      <c r="B40" s="85" t="s">
        <v>599</v>
      </c>
      <c r="D40" s="85" t="s">
        <v>192</v>
      </c>
      <c r="E40" s="85" t="s">
        <v>600</v>
      </c>
      <c r="F40" s="317" t="s">
        <v>601</v>
      </c>
      <c r="G40" s="312" t="s">
        <v>602</v>
      </c>
      <c r="H40" s="312"/>
      <c r="I40" s="85" t="s">
        <v>425</v>
      </c>
      <c r="L40" s="85" t="s">
        <v>433</v>
      </c>
      <c r="M40" s="85">
        <v>1</v>
      </c>
      <c r="O40" s="313"/>
      <c r="P40" s="313"/>
      <c r="Q40" s="313" t="s">
        <v>476</v>
      </c>
      <c r="R40" s="319" t="s">
        <v>308</v>
      </c>
      <c r="S40" s="319" t="s">
        <v>308</v>
      </c>
      <c r="T40" s="319" t="s">
        <v>308</v>
      </c>
      <c r="U40" s="319" t="s">
        <v>308</v>
      </c>
      <c r="V40" s="319" t="s">
        <v>308</v>
      </c>
      <c r="W40" s="319" t="s">
        <v>308</v>
      </c>
      <c r="X40" s="319" t="s">
        <v>308</v>
      </c>
      <c r="Y40" s="319" t="s">
        <v>308</v>
      </c>
      <c r="Z40" s="319" t="s">
        <v>308</v>
      </c>
      <c r="AA40" s="319" t="s">
        <v>308</v>
      </c>
      <c r="AB40" s="319" t="s">
        <v>308</v>
      </c>
      <c r="AC40" s="319" t="s">
        <v>308</v>
      </c>
      <c r="AD40" s="319" t="s">
        <v>308</v>
      </c>
      <c r="AE40" s="319" t="s">
        <v>308</v>
      </c>
      <c r="AF40" s="319" t="s">
        <v>308</v>
      </c>
    </row>
    <row r="41" spans="1:32" x14ac:dyDescent="0.25">
      <c r="B41" t="s">
        <v>360</v>
      </c>
      <c r="C41" t="s">
        <v>236</v>
      </c>
      <c r="D41" t="s">
        <v>192</v>
      </c>
      <c r="E41" t="s">
        <v>399</v>
      </c>
      <c r="F41" t="s">
        <v>603</v>
      </c>
      <c r="G41" s="46" t="s">
        <v>604</v>
      </c>
      <c r="J41" t="s">
        <v>578</v>
      </c>
      <c r="K41" t="s">
        <v>430</v>
      </c>
      <c r="L41" t="s">
        <v>435</v>
      </c>
      <c r="M41">
        <v>0</v>
      </c>
      <c r="N41">
        <v>0</v>
      </c>
      <c r="O41">
        <v>50</v>
      </c>
      <c r="P41">
        <v>200</v>
      </c>
      <c r="R41" s="310"/>
      <c r="S41" s="310"/>
      <c r="T41" s="310"/>
      <c r="U41" s="310"/>
      <c r="V41" s="310"/>
      <c r="W41" s="310"/>
      <c r="X41" s="310"/>
      <c r="Y41" s="310"/>
      <c r="Z41" s="310"/>
      <c r="AA41" s="310"/>
      <c r="AB41" s="310"/>
      <c r="AC41" s="310"/>
      <c r="AD41" s="310"/>
      <c r="AE41" s="310"/>
      <c r="AF41" s="310"/>
    </row>
    <row r="42" spans="1:32" x14ac:dyDescent="0.25">
      <c r="B42" t="s">
        <v>360</v>
      </c>
      <c r="C42" t="s">
        <v>238</v>
      </c>
      <c r="D42" t="s">
        <v>192</v>
      </c>
      <c r="E42" t="s">
        <v>399</v>
      </c>
      <c r="F42" t="s">
        <v>605</v>
      </c>
      <c r="G42" s="46" t="s">
        <v>238</v>
      </c>
      <c r="J42" t="s">
        <v>578</v>
      </c>
      <c r="K42" t="s">
        <v>430</v>
      </c>
      <c r="L42" t="s">
        <v>435</v>
      </c>
      <c r="M42">
        <v>0</v>
      </c>
      <c r="N42">
        <v>0</v>
      </c>
      <c r="O42">
        <v>70</v>
      </c>
      <c r="P42">
        <v>200</v>
      </c>
      <c r="R42" s="52"/>
      <c r="S42" s="52"/>
      <c r="T42" s="52"/>
      <c r="U42" s="52"/>
      <c r="V42" s="52"/>
      <c r="W42" s="52"/>
      <c r="X42" s="52"/>
      <c r="Y42" s="52"/>
      <c r="Z42" s="52"/>
      <c r="AA42" s="52"/>
      <c r="AB42" s="52"/>
      <c r="AC42" s="52"/>
      <c r="AD42" s="52"/>
      <c r="AE42" s="52"/>
      <c r="AF42" s="52"/>
    </row>
    <row r="43" spans="1:32" x14ac:dyDescent="0.25">
      <c r="B43" t="s">
        <v>360</v>
      </c>
      <c r="C43" t="s">
        <v>385</v>
      </c>
      <c r="D43" t="s">
        <v>192</v>
      </c>
      <c r="E43" t="s">
        <v>399</v>
      </c>
      <c r="F43" t="s">
        <v>606</v>
      </c>
      <c r="G43" s="46" t="s">
        <v>414</v>
      </c>
      <c r="J43" t="s">
        <v>578</v>
      </c>
      <c r="L43" t="s">
        <v>435</v>
      </c>
      <c r="M43">
        <v>0</v>
      </c>
      <c r="N43">
        <v>0</v>
      </c>
      <c r="O43">
        <v>1800</v>
      </c>
      <c r="P43">
        <v>2045</v>
      </c>
      <c r="Q43" t="str">
        <f>IN_build!$S$8</f>
        <v>ab 2023</v>
      </c>
      <c r="R43" s="52" t="str">
        <f t="shared" ref="R43:AF43" si="17">$Q43</f>
        <v>ab 2023</v>
      </c>
      <c r="S43" s="52" t="str">
        <f t="shared" si="17"/>
        <v>ab 2023</v>
      </c>
      <c r="T43" s="52" t="str">
        <f t="shared" si="17"/>
        <v>ab 2023</v>
      </c>
      <c r="U43" s="52" t="str">
        <f t="shared" si="17"/>
        <v>ab 2023</v>
      </c>
      <c r="V43" s="52" t="str">
        <f t="shared" si="17"/>
        <v>ab 2023</v>
      </c>
      <c r="W43" s="52" t="str">
        <f t="shared" si="17"/>
        <v>ab 2023</v>
      </c>
      <c r="X43" s="52" t="str">
        <f t="shared" si="17"/>
        <v>ab 2023</v>
      </c>
      <c r="Y43" s="52" t="str">
        <f t="shared" si="17"/>
        <v>ab 2023</v>
      </c>
      <c r="Z43" s="52" t="str">
        <f t="shared" si="17"/>
        <v>ab 2023</v>
      </c>
      <c r="AA43" s="52" t="str">
        <f t="shared" si="17"/>
        <v>ab 2023</v>
      </c>
      <c r="AB43" s="52" t="str">
        <f t="shared" si="17"/>
        <v>ab 2023</v>
      </c>
      <c r="AC43" s="52" t="str">
        <f t="shared" si="17"/>
        <v>ab 2023</v>
      </c>
      <c r="AD43" s="52" t="str">
        <f t="shared" si="17"/>
        <v>ab 2023</v>
      </c>
      <c r="AE43" s="52" t="str">
        <f t="shared" si="17"/>
        <v>ab 2023</v>
      </c>
      <c r="AF43" s="52" t="str">
        <f t="shared" si="17"/>
        <v>ab 2023</v>
      </c>
    </row>
    <row r="44" spans="1:32" s="85" customFormat="1" ht="15.75" thickBot="1" x14ac:dyDescent="0.3">
      <c r="B44" s="85" t="s">
        <v>360</v>
      </c>
      <c r="D44" s="85" t="s">
        <v>192</v>
      </c>
      <c r="E44" s="85" t="s">
        <v>399</v>
      </c>
      <c r="F44" s="85" t="s">
        <v>607</v>
      </c>
      <c r="G44" s="312" t="s">
        <v>415</v>
      </c>
      <c r="H44" s="312"/>
      <c r="I44" s="85" t="s">
        <v>420</v>
      </c>
      <c r="J44" s="85" t="s">
        <v>578</v>
      </c>
      <c r="L44" s="85" t="s">
        <v>432</v>
      </c>
      <c r="M44" s="85">
        <v>0</v>
      </c>
      <c r="O44" s="85">
        <v>0</v>
      </c>
      <c r="P44" s="85">
        <v>1</v>
      </c>
      <c r="R44" s="314"/>
      <c r="S44" s="314"/>
      <c r="T44" s="314"/>
      <c r="U44" s="314"/>
      <c r="V44" s="314"/>
      <c r="W44" s="314"/>
      <c r="X44" s="314"/>
      <c r="Y44" s="314"/>
      <c r="Z44" s="314"/>
      <c r="AA44" s="314"/>
      <c r="AB44" s="314"/>
      <c r="AC44" s="314"/>
      <c r="AD44" s="314"/>
      <c r="AE44" s="314"/>
      <c r="AF44" s="314"/>
    </row>
    <row r="45" spans="1:32" x14ac:dyDescent="0.25">
      <c r="B45" t="s">
        <v>361</v>
      </c>
      <c r="C45" t="s">
        <v>236</v>
      </c>
      <c r="D45" t="s">
        <v>192</v>
      </c>
      <c r="E45" t="s">
        <v>400</v>
      </c>
      <c r="F45" t="s">
        <v>608</v>
      </c>
      <c r="G45" s="46" t="s">
        <v>604</v>
      </c>
      <c r="J45" t="s">
        <v>578</v>
      </c>
      <c r="K45" t="s">
        <v>430</v>
      </c>
      <c r="L45" t="s">
        <v>435</v>
      </c>
      <c r="M45">
        <v>0</v>
      </c>
      <c r="N45">
        <v>0</v>
      </c>
      <c r="O45">
        <v>50</v>
      </c>
      <c r="P45">
        <v>200</v>
      </c>
      <c r="R45" s="310"/>
      <c r="S45" s="310"/>
      <c r="T45" s="310"/>
      <c r="U45" s="310"/>
      <c r="V45" s="310"/>
      <c r="W45" s="310"/>
      <c r="X45" s="310"/>
      <c r="Y45" s="310"/>
      <c r="Z45" s="310"/>
      <c r="AA45" s="310"/>
      <c r="AB45" s="310"/>
      <c r="AC45" s="310"/>
      <c r="AD45" s="310"/>
      <c r="AE45" s="310"/>
      <c r="AF45" s="310"/>
    </row>
    <row r="46" spans="1:32" x14ac:dyDescent="0.25">
      <c r="B46" t="s">
        <v>361</v>
      </c>
      <c r="C46" t="s">
        <v>238</v>
      </c>
      <c r="D46" t="s">
        <v>192</v>
      </c>
      <c r="E46" t="s">
        <v>400</v>
      </c>
      <c r="F46" t="s">
        <v>609</v>
      </c>
      <c r="G46" s="46" t="s">
        <v>238</v>
      </c>
      <c r="J46" t="s">
        <v>578</v>
      </c>
      <c r="K46" t="s">
        <v>430</v>
      </c>
      <c r="L46" t="s">
        <v>435</v>
      </c>
      <c r="M46">
        <v>0</v>
      </c>
      <c r="N46">
        <v>0</v>
      </c>
      <c r="O46">
        <v>70</v>
      </c>
      <c r="P46">
        <v>200</v>
      </c>
      <c r="R46" s="52"/>
      <c r="S46" s="52"/>
      <c r="T46" s="52"/>
      <c r="U46" s="52"/>
      <c r="V46" s="52"/>
      <c r="W46" s="52"/>
      <c r="X46" s="52"/>
      <c r="Y46" s="52"/>
      <c r="Z46" s="52"/>
      <c r="AA46" s="52"/>
      <c r="AB46" s="52"/>
      <c r="AC46" s="52"/>
      <c r="AD46" s="52"/>
      <c r="AE46" s="52"/>
      <c r="AF46" s="52"/>
    </row>
    <row r="47" spans="1:32" x14ac:dyDescent="0.25">
      <c r="B47" t="s">
        <v>361</v>
      </c>
      <c r="C47" t="s">
        <v>385</v>
      </c>
      <c r="D47" t="s">
        <v>192</v>
      </c>
      <c r="E47" t="s">
        <v>400</v>
      </c>
      <c r="F47" t="s">
        <v>610</v>
      </c>
      <c r="G47" s="46" t="s">
        <v>414</v>
      </c>
      <c r="J47" t="s">
        <v>578</v>
      </c>
      <c r="L47" t="s">
        <v>435</v>
      </c>
      <c r="M47">
        <v>0</v>
      </c>
      <c r="N47">
        <v>0</v>
      </c>
      <c r="O47">
        <v>1800</v>
      </c>
      <c r="P47">
        <v>2045</v>
      </c>
      <c r="Q47" t="str">
        <f>IN_build!$P$5</f>
        <v>1979 - 1983</v>
      </c>
      <c r="R47" s="52" t="str">
        <f>$Q$47</f>
        <v>1979 - 1983</v>
      </c>
      <c r="S47" s="52" t="str">
        <f t="shared" ref="S47:AF47" si="18">$Q$47</f>
        <v>1979 - 1983</v>
      </c>
      <c r="T47" s="52" t="str">
        <f t="shared" si="18"/>
        <v>1979 - 1983</v>
      </c>
      <c r="U47" s="52" t="str">
        <f t="shared" si="18"/>
        <v>1979 - 1983</v>
      </c>
      <c r="V47" s="52" t="str">
        <f t="shared" si="18"/>
        <v>1979 - 1983</v>
      </c>
      <c r="W47" s="52" t="str">
        <f t="shared" si="18"/>
        <v>1979 - 1983</v>
      </c>
      <c r="X47" s="52" t="str">
        <f t="shared" si="18"/>
        <v>1979 - 1983</v>
      </c>
      <c r="Y47" s="52" t="str">
        <f t="shared" si="18"/>
        <v>1979 - 1983</v>
      </c>
      <c r="Z47" s="52" t="str">
        <f t="shared" si="18"/>
        <v>1979 - 1983</v>
      </c>
      <c r="AA47" s="52" t="str">
        <f t="shared" si="18"/>
        <v>1979 - 1983</v>
      </c>
      <c r="AB47" s="52" t="str">
        <f t="shared" si="18"/>
        <v>1979 - 1983</v>
      </c>
      <c r="AC47" s="52" t="str">
        <f t="shared" si="18"/>
        <v>1979 - 1983</v>
      </c>
      <c r="AD47" s="52" t="str">
        <f t="shared" si="18"/>
        <v>1979 - 1983</v>
      </c>
      <c r="AE47" s="52" t="str">
        <f t="shared" si="18"/>
        <v>1979 - 1983</v>
      </c>
      <c r="AF47" s="52" t="str">
        <f t="shared" si="18"/>
        <v>1979 - 1983</v>
      </c>
    </row>
    <row r="48" spans="1:32" s="85" customFormat="1" ht="15.75" thickBot="1" x14ac:dyDescent="0.3">
      <c r="B48" s="85" t="s">
        <v>361</v>
      </c>
      <c r="D48" s="85" t="s">
        <v>192</v>
      </c>
      <c r="E48" s="85" t="s">
        <v>400</v>
      </c>
      <c r="F48" s="85" t="s">
        <v>611</v>
      </c>
      <c r="G48" s="312" t="s">
        <v>415</v>
      </c>
      <c r="H48" s="312"/>
      <c r="J48" s="85" t="s">
        <v>578</v>
      </c>
      <c r="L48" s="85" t="s">
        <v>432</v>
      </c>
      <c r="M48" s="85">
        <v>0</v>
      </c>
      <c r="O48" s="85">
        <v>0</v>
      </c>
      <c r="P48" s="85">
        <v>1</v>
      </c>
      <c r="Q48" s="85">
        <v>1</v>
      </c>
      <c r="R48" s="314">
        <f>$Q48</f>
        <v>1</v>
      </c>
      <c r="S48" s="314">
        <f t="shared" ref="S48:AF48" si="19">$Q48</f>
        <v>1</v>
      </c>
      <c r="T48" s="314">
        <f t="shared" si="19"/>
        <v>1</v>
      </c>
      <c r="U48" s="314">
        <f t="shared" si="19"/>
        <v>1</v>
      </c>
      <c r="V48" s="314">
        <f t="shared" si="19"/>
        <v>1</v>
      </c>
      <c r="W48" s="314">
        <f t="shared" si="19"/>
        <v>1</v>
      </c>
      <c r="X48" s="314">
        <f t="shared" si="19"/>
        <v>1</v>
      </c>
      <c r="Y48" s="314">
        <f t="shared" si="19"/>
        <v>1</v>
      </c>
      <c r="Z48" s="314">
        <f t="shared" si="19"/>
        <v>1</v>
      </c>
      <c r="AA48" s="314">
        <f t="shared" si="19"/>
        <v>1</v>
      </c>
      <c r="AB48" s="314">
        <f t="shared" si="19"/>
        <v>1</v>
      </c>
      <c r="AC48" s="314">
        <f t="shared" si="19"/>
        <v>1</v>
      </c>
      <c r="AD48" s="314">
        <f t="shared" si="19"/>
        <v>1</v>
      </c>
      <c r="AE48" s="314">
        <f t="shared" si="19"/>
        <v>1</v>
      </c>
      <c r="AF48" s="314">
        <f t="shared" si="19"/>
        <v>1</v>
      </c>
    </row>
    <row r="49" spans="2:32" x14ac:dyDescent="0.25">
      <c r="B49" t="s">
        <v>369</v>
      </c>
      <c r="C49" t="s">
        <v>387</v>
      </c>
      <c r="D49" t="s">
        <v>612</v>
      </c>
      <c r="F49" t="s">
        <v>613</v>
      </c>
      <c r="G49" s="46" t="s">
        <v>614</v>
      </c>
      <c r="I49" t="s">
        <v>421</v>
      </c>
      <c r="L49" t="s">
        <v>432</v>
      </c>
      <c r="M49">
        <v>1</v>
      </c>
      <c r="R49" s="310"/>
      <c r="S49" s="310"/>
      <c r="T49" s="310"/>
      <c r="U49" s="310"/>
      <c r="V49" s="310"/>
      <c r="W49" s="310"/>
      <c r="X49" s="310"/>
      <c r="Y49" s="310"/>
      <c r="Z49" s="310"/>
      <c r="AA49" s="310"/>
      <c r="AB49" s="310"/>
      <c r="AC49" s="310"/>
      <c r="AD49" s="310"/>
      <c r="AE49" s="310"/>
      <c r="AF49" s="310"/>
    </row>
    <row r="50" spans="2:32" x14ac:dyDescent="0.25">
      <c r="B50" t="s">
        <v>369</v>
      </c>
      <c r="C50" t="s">
        <v>388</v>
      </c>
      <c r="D50" t="s">
        <v>612</v>
      </c>
      <c r="F50" t="s">
        <v>615</v>
      </c>
      <c r="G50" s="46" t="s">
        <v>616</v>
      </c>
      <c r="I50" t="s">
        <v>421</v>
      </c>
      <c r="L50" t="s">
        <v>432</v>
      </c>
      <c r="M50">
        <v>1</v>
      </c>
      <c r="R50" s="52"/>
      <c r="S50" s="52"/>
      <c r="T50" s="52"/>
      <c r="U50" s="52"/>
      <c r="V50" s="52"/>
      <c r="W50" s="52"/>
      <c r="X50" s="52"/>
      <c r="Y50" s="52"/>
      <c r="Z50" s="52"/>
      <c r="AA50" s="52"/>
      <c r="AB50" s="52"/>
      <c r="AC50" s="52"/>
      <c r="AD50" s="52"/>
      <c r="AE50" s="52"/>
      <c r="AF50" s="52"/>
    </row>
    <row r="51" spans="2:32" ht="15.75" thickBot="1" x14ac:dyDescent="0.3">
      <c r="B51" t="s">
        <v>369</v>
      </c>
      <c r="C51" t="s">
        <v>382</v>
      </c>
      <c r="D51" t="s">
        <v>612</v>
      </c>
      <c r="F51" t="s">
        <v>617</v>
      </c>
      <c r="G51" s="46" t="s">
        <v>618</v>
      </c>
      <c r="I51" t="s">
        <v>420</v>
      </c>
      <c r="K51" t="s">
        <v>431</v>
      </c>
      <c r="L51" t="s">
        <v>435</v>
      </c>
      <c r="M51">
        <v>1</v>
      </c>
      <c r="N51">
        <v>0</v>
      </c>
      <c r="O51">
        <v>200</v>
      </c>
      <c r="P51">
        <v>2500</v>
      </c>
      <c r="R51" s="52"/>
      <c r="S51" s="52"/>
      <c r="T51" s="52"/>
      <c r="U51" s="52"/>
      <c r="V51" s="52"/>
      <c r="W51" s="52"/>
      <c r="X51" s="52"/>
      <c r="Y51" s="52"/>
      <c r="Z51" s="52"/>
      <c r="AA51" s="52"/>
      <c r="AB51" s="52"/>
      <c r="AC51" s="52"/>
      <c r="AD51" s="52"/>
      <c r="AE51" s="52"/>
      <c r="AF51" s="52"/>
    </row>
    <row r="52" spans="2:32" ht="15.75" thickBot="1" x14ac:dyDescent="0.3">
      <c r="B52" t="s">
        <v>369</v>
      </c>
      <c r="C52" t="s">
        <v>236</v>
      </c>
      <c r="D52" t="s">
        <v>612</v>
      </c>
      <c r="F52" t="s">
        <v>619</v>
      </c>
      <c r="G52" s="46" t="s">
        <v>620</v>
      </c>
      <c r="I52" t="s">
        <v>420</v>
      </c>
      <c r="K52" t="s">
        <v>431</v>
      </c>
      <c r="L52" t="s">
        <v>435</v>
      </c>
      <c r="M52">
        <v>1</v>
      </c>
      <c r="N52">
        <v>0</v>
      </c>
      <c r="O52">
        <v>100</v>
      </c>
      <c r="P52">
        <v>2500</v>
      </c>
      <c r="Q52" s="308"/>
      <c r="R52" s="52"/>
      <c r="S52" s="52"/>
      <c r="T52" s="52"/>
      <c r="U52" s="52"/>
      <c r="V52" s="52"/>
      <c r="W52" s="52"/>
      <c r="X52" s="52"/>
      <c r="Y52" s="52"/>
      <c r="Z52" s="52"/>
      <c r="AA52" s="52"/>
      <c r="AB52" s="52"/>
      <c r="AC52" s="52"/>
      <c r="AD52" s="52"/>
      <c r="AE52" s="52"/>
      <c r="AF52" s="52"/>
    </row>
    <row r="53" spans="2:32" x14ac:dyDescent="0.25">
      <c r="B53" t="s">
        <v>369</v>
      </c>
      <c r="C53" t="s">
        <v>390</v>
      </c>
      <c r="D53" t="s">
        <v>612</v>
      </c>
      <c r="F53" t="s">
        <v>621</v>
      </c>
      <c r="G53" s="46" t="s">
        <v>622</v>
      </c>
      <c r="I53" t="s">
        <v>420</v>
      </c>
      <c r="K53" t="s">
        <v>431</v>
      </c>
      <c r="L53" t="s">
        <v>435</v>
      </c>
      <c r="M53">
        <v>1</v>
      </c>
      <c r="N53">
        <v>0</v>
      </c>
      <c r="O53">
        <v>40</v>
      </c>
      <c r="P53">
        <v>300</v>
      </c>
      <c r="R53" s="52"/>
      <c r="S53" s="52"/>
      <c r="T53" s="52"/>
      <c r="U53" s="52"/>
      <c r="V53" s="52"/>
      <c r="W53" s="52"/>
      <c r="X53" s="52"/>
      <c r="Y53" s="52"/>
      <c r="Z53" s="52"/>
      <c r="AA53" s="52"/>
      <c r="AB53" s="52"/>
      <c r="AC53" s="52"/>
      <c r="AD53" s="52"/>
      <c r="AE53" s="52"/>
      <c r="AF53" s="52"/>
    </row>
    <row r="54" spans="2:32" x14ac:dyDescent="0.25">
      <c r="B54" t="s">
        <v>369</v>
      </c>
      <c r="C54" t="s">
        <v>391</v>
      </c>
      <c r="D54" t="s">
        <v>612</v>
      </c>
      <c r="F54" t="s">
        <v>625</v>
      </c>
      <c r="G54" s="46" t="s">
        <v>626</v>
      </c>
      <c r="I54" t="s">
        <v>420</v>
      </c>
      <c r="J54" t="s">
        <v>627</v>
      </c>
      <c r="L54" t="s">
        <v>435</v>
      </c>
      <c r="M54">
        <v>0</v>
      </c>
      <c r="N54">
        <v>0</v>
      </c>
      <c r="O54">
        <v>1</v>
      </c>
      <c r="P54">
        <v>20</v>
      </c>
      <c r="R54" s="52"/>
      <c r="S54" s="52"/>
      <c r="T54" s="52"/>
      <c r="U54" s="52"/>
      <c r="V54" s="52"/>
      <c r="W54" s="52"/>
      <c r="X54" s="52"/>
      <c r="Y54" s="52"/>
      <c r="Z54" s="52"/>
      <c r="AA54" s="52"/>
      <c r="AB54" s="52"/>
      <c r="AC54" s="52"/>
      <c r="AD54" s="52"/>
      <c r="AE54" s="52"/>
      <c r="AF54" s="52"/>
    </row>
    <row r="55" spans="2:32" s="85" customFormat="1" ht="30.75" thickBot="1" x14ac:dyDescent="0.3">
      <c r="B55" s="85" t="s">
        <v>369</v>
      </c>
      <c r="C55" s="85" t="s">
        <v>628</v>
      </c>
      <c r="D55" s="85" t="s">
        <v>612</v>
      </c>
      <c r="F55" s="85" t="s">
        <v>629</v>
      </c>
      <c r="G55" s="312" t="s">
        <v>630</v>
      </c>
      <c r="H55" s="312"/>
      <c r="I55" s="85" t="s">
        <v>420</v>
      </c>
      <c r="L55" s="85" t="s">
        <v>435</v>
      </c>
      <c r="M55" s="85">
        <v>0</v>
      </c>
      <c r="N55" s="85">
        <v>0</v>
      </c>
      <c r="O55" s="85">
        <v>0</v>
      </c>
      <c r="P55" s="85">
        <v>2</v>
      </c>
      <c r="Q55" s="85">
        <v>1</v>
      </c>
      <c r="R55" s="314">
        <f>$Q$55</f>
        <v>1</v>
      </c>
      <c r="S55" s="314">
        <f t="shared" ref="S55:AF55" si="20">$Q$55</f>
        <v>1</v>
      </c>
      <c r="T55" s="314">
        <f t="shared" si="20"/>
        <v>1</v>
      </c>
      <c r="U55" s="314">
        <f t="shared" si="20"/>
        <v>1</v>
      </c>
      <c r="V55" s="314">
        <f t="shared" si="20"/>
        <v>1</v>
      </c>
      <c r="W55" s="314">
        <f t="shared" si="20"/>
        <v>1</v>
      </c>
      <c r="X55" s="314">
        <f t="shared" si="20"/>
        <v>1</v>
      </c>
      <c r="Y55" s="314">
        <f t="shared" si="20"/>
        <v>1</v>
      </c>
      <c r="Z55" s="314">
        <f t="shared" si="20"/>
        <v>1</v>
      </c>
      <c r="AA55" s="314">
        <f t="shared" si="20"/>
        <v>1</v>
      </c>
      <c r="AB55" s="314">
        <f t="shared" si="20"/>
        <v>1</v>
      </c>
      <c r="AC55" s="314">
        <f t="shared" si="20"/>
        <v>1</v>
      </c>
      <c r="AD55" s="314">
        <f t="shared" si="20"/>
        <v>1</v>
      </c>
      <c r="AE55" s="314">
        <f t="shared" si="20"/>
        <v>1</v>
      </c>
      <c r="AF55" s="314">
        <f t="shared" si="20"/>
        <v>1</v>
      </c>
    </row>
    <row r="56" spans="2:32" x14ac:dyDescent="0.25">
      <c r="B56" t="s">
        <v>370</v>
      </c>
      <c r="C56" t="s">
        <v>387</v>
      </c>
      <c r="D56" t="s">
        <v>631</v>
      </c>
      <c r="F56" t="s">
        <v>632</v>
      </c>
      <c r="G56" s="46" t="s">
        <v>614</v>
      </c>
      <c r="I56" t="s">
        <v>421</v>
      </c>
      <c r="J56" t="s">
        <v>633</v>
      </c>
      <c r="L56" t="s">
        <v>432</v>
      </c>
      <c r="M56">
        <v>0</v>
      </c>
      <c r="R56" s="310"/>
      <c r="S56" s="310"/>
      <c r="T56" s="310"/>
      <c r="U56" s="310"/>
      <c r="V56" s="310"/>
      <c r="W56" s="310"/>
      <c r="X56" s="310"/>
      <c r="Y56" s="310"/>
      <c r="Z56" s="310"/>
      <c r="AA56" s="310"/>
      <c r="AB56" s="310"/>
      <c r="AC56" s="310"/>
      <c r="AD56" s="310"/>
      <c r="AE56" s="310"/>
      <c r="AF56" s="310"/>
    </row>
    <row r="57" spans="2:32" x14ac:dyDescent="0.25">
      <c r="B57" t="s">
        <v>370</v>
      </c>
      <c r="C57" t="s">
        <v>388</v>
      </c>
      <c r="D57" t="s">
        <v>631</v>
      </c>
      <c r="F57" t="s">
        <v>634</v>
      </c>
      <c r="G57" s="46" t="s">
        <v>616</v>
      </c>
      <c r="I57" t="s">
        <v>421</v>
      </c>
      <c r="L57" t="s">
        <v>432</v>
      </c>
      <c r="M57">
        <v>0</v>
      </c>
      <c r="R57" s="52"/>
      <c r="S57" s="52"/>
      <c r="T57" s="52"/>
      <c r="U57" s="52"/>
      <c r="V57" s="52"/>
      <c r="W57" s="52"/>
      <c r="X57" s="52"/>
      <c r="Y57" s="52"/>
      <c r="Z57" s="52"/>
      <c r="AA57" s="52"/>
      <c r="AB57" s="52"/>
      <c r="AC57" s="52"/>
      <c r="AD57" s="52"/>
      <c r="AE57" s="52"/>
      <c r="AF57" s="52"/>
    </row>
    <row r="58" spans="2:32" x14ac:dyDescent="0.25">
      <c r="B58" t="s">
        <v>370</v>
      </c>
      <c r="C58" t="s">
        <v>382</v>
      </c>
      <c r="D58" t="s">
        <v>631</v>
      </c>
      <c r="F58" t="s">
        <v>635</v>
      </c>
      <c r="G58" s="46" t="s">
        <v>618</v>
      </c>
      <c r="I58" t="s">
        <v>420</v>
      </c>
      <c r="K58" t="s">
        <v>431</v>
      </c>
      <c r="L58" t="s">
        <v>435</v>
      </c>
      <c r="M58">
        <v>0</v>
      </c>
      <c r="N58">
        <v>0</v>
      </c>
      <c r="O58">
        <v>200</v>
      </c>
      <c r="P58">
        <v>2500</v>
      </c>
      <c r="R58" s="52"/>
      <c r="S58" s="52"/>
      <c r="T58" s="52"/>
      <c r="U58" s="52"/>
      <c r="V58" s="52"/>
      <c r="W58" s="52"/>
      <c r="X58" s="52"/>
      <c r="Y58" s="52"/>
      <c r="Z58" s="52"/>
      <c r="AA58" s="52"/>
      <c r="AB58" s="52"/>
      <c r="AC58" s="52"/>
      <c r="AD58" s="52"/>
      <c r="AE58" s="52"/>
      <c r="AF58" s="52"/>
    </row>
    <row r="59" spans="2:32" x14ac:dyDescent="0.25">
      <c r="B59" t="s">
        <v>370</v>
      </c>
      <c r="C59" t="s">
        <v>236</v>
      </c>
      <c r="D59" t="s">
        <v>631</v>
      </c>
      <c r="F59" t="s">
        <v>636</v>
      </c>
      <c r="G59" s="46" t="s">
        <v>620</v>
      </c>
      <c r="I59" t="s">
        <v>420</v>
      </c>
      <c r="K59" t="s">
        <v>431</v>
      </c>
      <c r="L59" t="s">
        <v>435</v>
      </c>
      <c r="M59">
        <v>1</v>
      </c>
      <c r="N59">
        <v>0</v>
      </c>
      <c r="O59">
        <v>100</v>
      </c>
      <c r="P59">
        <v>2500</v>
      </c>
      <c r="R59" s="52"/>
      <c r="S59" s="52"/>
      <c r="T59" s="52"/>
      <c r="U59" s="52"/>
      <c r="V59" s="52"/>
      <c r="W59" s="52"/>
      <c r="X59" s="52"/>
      <c r="Y59" s="52"/>
      <c r="Z59" s="52"/>
      <c r="AA59" s="52"/>
      <c r="AB59" s="52"/>
      <c r="AC59" s="52"/>
      <c r="AD59" s="52"/>
      <c r="AE59" s="52"/>
      <c r="AF59" s="52"/>
    </row>
    <row r="60" spans="2:32" x14ac:dyDescent="0.25">
      <c r="B60" t="s">
        <v>370</v>
      </c>
      <c r="C60" t="s">
        <v>390</v>
      </c>
      <c r="D60" t="s">
        <v>631</v>
      </c>
      <c r="F60" t="s">
        <v>637</v>
      </c>
      <c r="G60" s="46" t="s">
        <v>622</v>
      </c>
      <c r="I60" t="s">
        <v>420</v>
      </c>
      <c r="K60" t="s">
        <v>431</v>
      </c>
      <c r="L60" t="s">
        <v>435</v>
      </c>
      <c r="M60">
        <v>0</v>
      </c>
      <c r="N60">
        <v>0</v>
      </c>
      <c r="O60">
        <v>40</v>
      </c>
      <c r="P60">
        <v>300</v>
      </c>
      <c r="R60" s="52"/>
      <c r="S60" s="52"/>
      <c r="T60" s="52"/>
      <c r="U60" s="52"/>
      <c r="V60" s="52"/>
      <c r="W60" s="52"/>
      <c r="X60" s="52"/>
      <c r="Y60" s="52"/>
      <c r="Z60" s="52"/>
      <c r="AA60" s="52"/>
      <c r="AB60" s="52"/>
      <c r="AC60" s="52"/>
      <c r="AD60" s="52"/>
      <c r="AE60" s="52"/>
      <c r="AF60" s="52"/>
    </row>
    <row r="61" spans="2:32" x14ac:dyDescent="0.25">
      <c r="B61" t="s">
        <v>370</v>
      </c>
      <c r="C61" t="s">
        <v>391</v>
      </c>
      <c r="D61" t="s">
        <v>631</v>
      </c>
      <c r="F61" t="s">
        <v>638</v>
      </c>
      <c r="G61" s="46" t="s">
        <v>626</v>
      </c>
      <c r="I61" t="s">
        <v>420</v>
      </c>
      <c r="J61" t="s">
        <v>639</v>
      </c>
      <c r="L61" t="s">
        <v>435</v>
      </c>
      <c r="M61">
        <v>0</v>
      </c>
      <c r="N61">
        <v>0</v>
      </c>
      <c r="O61">
        <v>1</v>
      </c>
      <c r="P61">
        <v>20</v>
      </c>
      <c r="R61" s="52"/>
      <c r="S61" s="52"/>
      <c r="T61" s="52"/>
      <c r="U61" s="52"/>
      <c r="V61" s="52"/>
      <c r="W61" s="52"/>
      <c r="X61" s="52"/>
      <c r="Y61" s="52"/>
      <c r="Z61" s="52"/>
      <c r="AA61" s="52"/>
      <c r="AB61" s="52"/>
      <c r="AC61" s="52"/>
      <c r="AD61" s="52"/>
      <c r="AE61" s="52"/>
      <c r="AF61" s="52"/>
    </row>
    <row r="62" spans="2:32" s="85" customFormat="1" ht="30.75" thickBot="1" x14ac:dyDescent="0.3">
      <c r="B62" s="85" t="s">
        <v>370</v>
      </c>
      <c r="C62" s="85" t="s">
        <v>628</v>
      </c>
      <c r="D62" s="85" t="s">
        <v>631</v>
      </c>
      <c r="F62" s="85" t="s">
        <v>640</v>
      </c>
      <c r="G62" s="312" t="s">
        <v>630</v>
      </c>
      <c r="H62" s="312"/>
      <c r="I62" s="85" t="s">
        <v>420</v>
      </c>
      <c r="L62" s="85" t="s">
        <v>435</v>
      </c>
      <c r="M62" s="85">
        <v>0</v>
      </c>
      <c r="N62" s="85">
        <v>0</v>
      </c>
      <c r="O62" s="85">
        <v>0</v>
      </c>
      <c r="P62" s="85">
        <v>2</v>
      </c>
      <c r="Q62" s="85">
        <v>1</v>
      </c>
      <c r="R62" s="314">
        <f>$Q$62</f>
        <v>1</v>
      </c>
      <c r="S62" s="314">
        <f t="shared" ref="S62:AF62" si="21">$Q$62</f>
        <v>1</v>
      </c>
      <c r="T62" s="314">
        <f t="shared" si="21"/>
        <v>1</v>
      </c>
      <c r="U62" s="314">
        <f t="shared" si="21"/>
        <v>1</v>
      </c>
      <c r="V62" s="314">
        <f t="shared" si="21"/>
        <v>1</v>
      </c>
      <c r="W62" s="314">
        <f t="shared" si="21"/>
        <v>1</v>
      </c>
      <c r="X62" s="314">
        <f t="shared" si="21"/>
        <v>1</v>
      </c>
      <c r="Y62" s="314">
        <f t="shared" si="21"/>
        <v>1</v>
      </c>
      <c r="Z62" s="314">
        <f t="shared" si="21"/>
        <v>1</v>
      </c>
      <c r="AA62" s="314">
        <f t="shared" si="21"/>
        <v>1</v>
      </c>
      <c r="AB62" s="314">
        <f t="shared" si="21"/>
        <v>1</v>
      </c>
      <c r="AC62" s="314">
        <f t="shared" si="21"/>
        <v>1</v>
      </c>
      <c r="AD62" s="314">
        <f t="shared" si="21"/>
        <v>1</v>
      </c>
      <c r="AE62" s="314">
        <f t="shared" si="21"/>
        <v>1</v>
      </c>
      <c r="AF62" s="314">
        <f t="shared" si="21"/>
        <v>1</v>
      </c>
    </row>
    <row r="63" spans="2:32" x14ac:dyDescent="0.25">
      <c r="B63" t="s">
        <v>371</v>
      </c>
      <c r="C63" t="s">
        <v>387</v>
      </c>
      <c r="D63" t="s">
        <v>641</v>
      </c>
      <c r="F63" t="s">
        <v>642</v>
      </c>
      <c r="G63" s="46" t="s">
        <v>614</v>
      </c>
      <c r="I63" t="s">
        <v>421</v>
      </c>
      <c r="J63" t="s">
        <v>643</v>
      </c>
      <c r="L63" t="s">
        <v>432</v>
      </c>
      <c r="M63">
        <v>0</v>
      </c>
      <c r="R63" s="310"/>
      <c r="S63" s="310"/>
      <c r="T63" s="310"/>
      <c r="U63" s="310"/>
      <c r="V63" s="310"/>
      <c r="W63" s="310"/>
      <c r="X63" s="310"/>
      <c r="Y63" s="310"/>
      <c r="Z63" s="310"/>
      <c r="AA63" s="310"/>
      <c r="AB63" s="310"/>
      <c r="AC63" s="310"/>
      <c r="AD63" s="310"/>
      <c r="AE63" s="310"/>
      <c r="AF63" s="310"/>
    </row>
    <row r="64" spans="2:32" x14ac:dyDescent="0.25">
      <c r="B64" t="s">
        <v>371</v>
      </c>
      <c r="C64" t="s">
        <v>388</v>
      </c>
      <c r="D64" t="s">
        <v>641</v>
      </c>
      <c r="F64" t="s">
        <v>644</v>
      </c>
      <c r="G64" s="46" t="s">
        <v>616</v>
      </c>
      <c r="I64" t="s">
        <v>421</v>
      </c>
      <c r="L64" t="s">
        <v>432</v>
      </c>
      <c r="M64">
        <v>0</v>
      </c>
      <c r="R64" s="52"/>
      <c r="S64" s="52"/>
      <c r="T64" s="52"/>
      <c r="U64" s="52"/>
      <c r="V64" s="52"/>
      <c r="W64" s="52"/>
      <c r="X64" s="52"/>
      <c r="Y64" s="52"/>
      <c r="Z64" s="52"/>
      <c r="AA64" s="52"/>
      <c r="AB64" s="52"/>
      <c r="AC64" s="52"/>
      <c r="AD64" s="52"/>
      <c r="AE64" s="52"/>
      <c r="AF64" s="52"/>
    </row>
    <row r="65" spans="2:32" x14ac:dyDescent="0.25">
      <c r="B65" t="s">
        <v>371</v>
      </c>
      <c r="C65" t="s">
        <v>382</v>
      </c>
      <c r="D65" t="s">
        <v>641</v>
      </c>
      <c r="F65" t="s">
        <v>645</v>
      </c>
      <c r="G65" s="46" t="s">
        <v>618</v>
      </c>
      <c r="I65" t="s">
        <v>420</v>
      </c>
      <c r="K65" t="s">
        <v>431</v>
      </c>
      <c r="L65" t="s">
        <v>435</v>
      </c>
      <c r="M65">
        <v>0</v>
      </c>
      <c r="N65">
        <v>0</v>
      </c>
      <c r="O65">
        <v>200</v>
      </c>
      <c r="P65">
        <v>2500</v>
      </c>
      <c r="R65" s="52"/>
      <c r="S65" s="52"/>
      <c r="T65" s="52"/>
      <c r="U65" s="52"/>
      <c r="V65" s="52"/>
      <c r="W65" s="52"/>
      <c r="X65" s="52"/>
      <c r="Y65" s="52"/>
      <c r="Z65" s="52"/>
      <c r="AA65" s="52"/>
      <c r="AB65" s="52"/>
      <c r="AC65" s="52"/>
      <c r="AD65" s="52"/>
      <c r="AE65" s="52"/>
      <c r="AF65" s="52"/>
    </row>
    <row r="66" spans="2:32" x14ac:dyDescent="0.25">
      <c r="B66" t="s">
        <v>371</v>
      </c>
      <c r="C66" t="s">
        <v>236</v>
      </c>
      <c r="D66" t="s">
        <v>641</v>
      </c>
      <c r="F66" t="s">
        <v>646</v>
      </c>
      <c r="G66" s="46" t="s">
        <v>620</v>
      </c>
      <c r="I66" t="s">
        <v>420</v>
      </c>
      <c r="K66" t="s">
        <v>431</v>
      </c>
      <c r="L66" t="s">
        <v>435</v>
      </c>
      <c r="M66">
        <v>1</v>
      </c>
      <c r="N66">
        <v>0</v>
      </c>
      <c r="O66">
        <v>100</v>
      </c>
      <c r="P66">
        <v>2500</v>
      </c>
      <c r="R66" s="52"/>
      <c r="S66" s="52"/>
      <c r="T66" s="52"/>
      <c r="U66" s="52"/>
      <c r="V66" s="52"/>
      <c r="W66" s="52"/>
      <c r="X66" s="52"/>
      <c r="Y66" s="52"/>
      <c r="Z66" s="52"/>
      <c r="AA66" s="52"/>
      <c r="AB66" s="52"/>
      <c r="AC66" s="52"/>
      <c r="AD66" s="52"/>
      <c r="AE66" s="52"/>
      <c r="AF66" s="52"/>
    </row>
    <row r="67" spans="2:32" x14ac:dyDescent="0.25">
      <c r="B67" t="s">
        <v>371</v>
      </c>
      <c r="C67" t="s">
        <v>390</v>
      </c>
      <c r="D67" t="s">
        <v>641</v>
      </c>
      <c r="F67" t="s">
        <v>647</v>
      </c>
      <c r="G67" s="46" t="s">
        <v>622</v>
      </c>
      <c r="I67" t="s">
        <v>420</v>
      </c>
      <c r="K67" t="s">
        <v>431</v>
      </c>
      <c r="L67" t="s">
        <v>435</v>
      </c>
      <c r="M67">
        <v>0</v>
      </c>
      <c r="N67">
        <v>0</v>
      </c>
      <c r="O67">
        <v>40</v>
      </c>
      <c r="P67">
        <v>300</v>
      </c>
      <c r="R67" s="52"/>
      <c r="S67" s="52"/>
      <c r="T67" s="52"/>
      <c r="U67" s="52"/>
      <c r="V67" s="52"/>
      <c r="W67" s="52"/>
      <c r="X67" s="52"/>
      <c r="Y67" s="52"/>
      <c r="Z67" s="52"/>
      <c r="AA67" s="52"/>
      <c r="AB67" s="52"/>
      <c r="AC67" s="52"/>
      <c r="AD67" s="52"/>
      <c r="AE67" s="52"/>
      <c r="AF67" s="52"/>
    </row>
    <row r="68" spans="2:32" x14ac:dyDescent="0.25">
      <c r="B68" t="s">
        <v>371</v>
      </c>
      <c r="C68" t="s">
        <v>391</v>
      </c>
      <c r="D68" t="s">
        <v>641</v>
      </c>
      <c r="F68" t="s">
        <v>648</v>
      </c>
      <c r="G68" s="46" t="s">
        <v>626</v>
      </c>
      <c r="I68" t="s">
        <v>420</v>
      </c>
      <c r="J68" t="s">
        <v>649</v>
      </c>
      <c r="L68" t="s">
        <v>435</v>
      </c>
      <c r="M68">
        <v>0</v>
      </c>
      <c r="N68">
        <v>0</v>
      </c>
      <c r="O68">
        <v>1</v>
      </c>
      <c r="P68">
        <v>20</v>
      </c>
      <c r="R68" s="52"/>
      <c r="S68" s="52"/>
      <c r="T68" s="52"/>
      <c r="U68" s="52"/>
      <c r="V68" s="52"/>
      <c r="W68" s="52"/>
      <c r="X68" s="52"/>
      <c r="Y68" s="52"/>
      <c r="Z68" s="52"/>
      <c r="AA68" s="52"/>
      <c r="AB68" s="52"/>
      <c r="AC68" s="52"/>
      <c r="AD68" s="52"/>
      <c r="AE68" s="52"/>
      <c r="AF68" s="52"/>
    </row>
    <row r="69" spans="2:32" s="85" customFormat="1" ht="30.75" thickBot="1" x14ac:dyDescent="0.3">
      <c r="B69" s="85" t="s">
        <v>371</v>
      </c>
      <c r="C69" s="85" t="s">
        <v>628</v>
      </c>
      <c r="D69" s="85" t="s">
        <v>641</v>
      </c>
      <c r="F69" s="85" t="s">
        <v>650</v>
      </c>
      <c r="G69" s="312" t="s">
        <v>630</v>
      </c>
      <c r="H69" s="312"/>
      <c r="I69" s="85" t="s">
        <v>420</v>
      </c>
      <c r="L69" s="85" t="s">
        <v>435</v>
      </c>
      <c r="M69" s="85">
        <v>0</v>
      </c>
      <c r="N69" s="85">
        <v>0</v>
      </c>
      <c r="O69" s="85">
        <v>0</v>
      </c>
      <c r="P69" s="85">
        <v>2</v>
      </c>
      <c r="Q69" s="85">
        <v>1</v>
      </c>
      <c r="R69" s="314">
        <f>$Q$69</f>
        <v>1</v>
      </c>
      <c r="S69" s="314">
        <f t="shared" ref="S69:AF69" si="22">$Q$69</f>
        <v>1</v>
      </c>
      <c r="T69" s="314">
        <f t="shared" si="22"/>
        <v>1</v>
      </c>
      <c r="U69" s="314">
        <f t="shared" si="22"/>
        <v>1</v>
      </c>
      <c r="V69" s="314">
        <f t="shared" si="22"/>
        <v>1</v>
      </c>
      <c r="W69" s="314">
        <f t="shared" si="22"/>
        <v>1</v>
      </c>
      <c r="X69" s="314">
        <f t="shared" si="22"/>
        <v>1</v>
      </c>
      <c r="Y69" s="314">
        <f t="shared" si="22"/>
        <v>1</v>
      </c>
      <c r="Z69" s="314">
        <f t="shared" si="22"/>
        <v>1</v>
      </c>
      <c r="AA69" s="314">
        <f t="shared" si="22"/>
        <v>1</v>
      </c>
      <c r="AB69" s="314">
        <f t="shared" si="22"/>
        <v>1</v>
      </c>
      <c r="AC69" s="314">
        <f t="shared" si="22"/>
        <v>1</v>
      </c>
      <c r="AD69" s="314">
        <f t="shared" si="22"/>
        <v>1</v>
      </c>
      <c r="AE69" s="314">
        <f t="shared" si="22"/>
        <v>1</v>
      </c>
      <c r="AF69" s="314">
        <f t="shared" si="22"/>
        <v>1</v>
      </c>
    </row>
  </sheetData>
  <autoFilter ref="B1:Y69" xr:uid="{20892E64-CE98-4370-90F3-9CC89BDCD725}"/>
  <phoneticPr fontId="25" type="noConversion"/>
  <conditionalFormatting sqref="G40 H49 F63:G68 F56:G61 F49:G54 I49:I69 D1:D1048576">
    <cfRule type="expression" dxfId="52" priority="30">
      <formula>F1="x"</formula>
    </cfRule>
  </conditionalFormatting>
  <conditionalFormatting sqref="B1:B1048576">
    <cfRule type="expression" dxfId="51" priority="51">
      <formula>#REF!="x"</formula>
    </cfRule>
  </conditionalFormatting>
  <conditionalFormatting sqref="C1:C1048576">
    <cfRule type="expression" dxfId="50" priority="53">
      <formula>D1="x"</formula>
    </cfRule>
  </conditionalFormatting>
  <dataValidations count="3">
    <dataValidation type="list" allowBlank="1" showInputMessage="1" showErrorMessage="1" sqref="R49:AF49 R63:AF63 R56:AF56" xr:uid="{8AF606D4-6441-4C58-B510-3002615AB751}">
      <formula1>INDIRECT("Heizkörpertypen")</formula1>
    </dataValidation>
    <dataValidation type="list" allowBlank="1" showInputMessage="1" showErrorMessage="1" sqref="R50:AF51 R64:AF65 R57:AF58" xr:uid="{705F0CC1-008F-406E-B7B9-A32FAE440525}">
      <formula1>INDIRECT(R49)</formula1>
    </dataValidation>
    <dataValidation type="list" allowBlank="1" showInputMessage="1" showErrorMessage="1" sqref="R60:AF60 R67:AF67 R53:AF53" xr:uid="{FCC02202-6FA1-4BF3-99E8-9A31E5C53681}">
      <formula1>INDIRECT(R50&amp;"_t")</formula1>
    </dataValidation>
  </dataValidation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48CE8D03-1AC8-4FF1-9774-ED27B80A2365}">
          <x14:formula1>
            <xm:f>Daten!$E$66:$E$67</xm:f>
          </x14:formula1>
          <xm:sqref>R40:AF40 R35:AF35 R25:AF25 R43:AF43 R28:AF29</xm:sqref>
        </x14:dataValidation>
        <x14:dataValidation type="list" allowBlank="1" showInputMessage="1" showErrorMessage="1" xr:uid="{3EAE3CB7-76B6-4419-A65E-FDAB3B7BFE2A}">
          <x14:formula1>
            <xm:f>Daten!$E$17:$E$29</xm:f>
          </x14:formula1>
          <xm:sqref>R47:AF47 R44:AF44</xm:sqref>
        </x14:dataValidation>
        <x14:dataValidation type="list" allowBlank="1" showInputMessage="1" showErrorMessage="1" xr:uid="{143E8EF2-E2AD-4A11-8BB7-5DCCF994CCFA}">
          <x14:formula1>
            <xm:f>Daten!$E$106:$E$109</xm:f>
          </x14:formula1>
          <xm:sqref>R8:AF8 R12:AF12</xm:sqref>
        </x14:dataValidation>
        <x14:dataValidation type="list" allowBlank="1" showInputMessage="1" showErrorMessage="1" xr:uid="{0FA496B9-7E4C-4417-8CF0-356C4E8A47D8}">
          <x14:formula1>
            <xm:f>Daten!$E$106:$E$108</xm:f>
          </x14:formula1>
          <xm:sqref>R7:AF7</xm:sqref>
        </x14:dataValidation>
        <x14:dataValidation type="list" allowBlank="1" showInputMessage="1" showErrorMessage="1" xr:uid="{7234F17B-29A0-4A64-BFBD-7D0790FA06C0}">
          <x14:formula1>
            <xm:f>Daten!$E$17:$E$28</xm:f>
          </x14:formula1>
          <xm:sqref>R15:AF15 R19:AF19 R23:AF23</xm:sqref>
        </x14:dataValidation>
        <x14:dataValidation type="list" allowBlank="1" showInputMessage="1" showErrorMessage="1" xr:uid="{EB4BC145-2086-4736-AA0B-0B6EAA6FD0DC}">
          <x14:formula1>
            <xm:f>Daten!$B$19:$B$24</xm:f>
          </x14:formula1>
          <xm:sqref>R10:AF10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FAE0D-41F1-417C-913C-795186D59B2F}">
  <sheetPr>
    <tabColor rgb="FFA2C5D3"/>
  </sheetPr>
  <dimension ref="A1:AA76"/>
  <sheetViews>
    <sheetView zoomScale="90" zoomScaleNormal="70" workbookViewId="0">
      <pane ySplit="1" topLeftCell="A2" activePane="bottomLeft" state="frozen"/>
      <selection pane="bottomLeft" activeCell="M43" sqref="M43"/>
    </sheetView>
  </sheetViews>
  <sheetFormatPr baseColWidth="10" defaultColWidth="11.42578125" defaultRowHeight="15" x14ac:dyDescent="0.25"/>
  <cols>
    <col min="1" max="1" width="15.42578125" customWidth="1"/>
    <col min="2" max="2" width="42.28515625" bestFit="1" customWidth="1"/>
    <col min="3" max="3" width="6.5703125" customWidth="1"/>
    <col min="4" max="5" width="14.140625" customWidth="1"/>
    <col min="6" max="6" width="23.28515625" bestFit="1" customWidth="1"/>
    <col min="7" max="7" width="9.5703125" customWidth="1"/>
    <col min="8" max="9" width="14.140625" customWidth="1"/>
    <col min="10" max="10" width="6.5703125" customWidth="1"/>
    <col min="11" max="12" width="11.42578125" customWidth="1"/>
    <col min="13" max="13" width="11.42578125" style="297" customWidth="1"/>
    <col min="14" max="23" width="11.42578125" customWidth="1"/>
  </cols>
  <sheetData>
    <row r="1" spans="1:27" ht="15.75" thickBot="1" x14ac:dyDescent="0.3">
      <c r="A1" s="197" t="s">
        <v>651</v>
      </c>
      <c r="B1" s="197" t="s">
        <v>0</v>
      </c>
      <c r="C1" s="197" t="s">
        <v>553</v>
      </c>
      <c r="D1" s="197" t="s">
        <v>286</v>
      </c>
      <c r="E1" s="197" t="s">
        <v>287</v>
      </c>
      <c r="F1" s="197" t="s">
        <v>504</v>
      </c>
      <c r="G1" s="197" t="s">
        <v>2</v>
      </c>
      <c r="H1" s="197" t="s">
        <v>652</v>
      </c>
      <c r="I1" s="197" t="s">
        <v>653</v>
      </c>
      <c r="J1" s="197" t="s">
        <v>331</v>
      </c>
      <c r="K1" s="197" t="s">
        <v>654</v>
      </c>
      <c r="L1" s="197" t="s">
        <v>655</v>
      </c>
      <c r="M1" s="295" t="s">
        <v>554</v>
      </c>
    </row>
    <row r="2" spans="1:27" s="46" customFormat="1" x14ac:dyDescent="0.25">
      <c r="D2" t="s">
        <v>374</v>
      </c>
      <c r="E2"/>
      <c r="F2" t="s">
        <v>438</v>
      </c>
      <c r="M2" s="296">
        <f>IN_rooms!R2</f>
        <v>1</v>
      </c>
      <c r="N2" s="296">
        <f>IN_rooms!S2</f>
        <v>2</v>
      </c>
      <c r="O2" s="296">
        <f>IN_rooms!T2</f>
        <v>3</v>
      </c>
      <c r="P2" s="296">
        <f>IN_rooms!U2</f>
        <v>4</v>
      </c>
      <c r="Q2" s="296">
        <f>IN_rooms!V2</f>
        <v>5</v>
      </c>
      <c r="R2" s="296">
        <f>IN_rooms!W2</f>
        <v>6</v>
      </c>
      <c r="S2" s="296">
        <f>IN_rooms!X2</f>
        <v>7</v>
      </c>
      <c r="T2" s="296">
        <f>IN_rooms!Y2</f>
        <v>8</v>
      </c>
      <c r="U2" s="296">
        <f>IN_rooms!Z2</f>
        <v>9</v>
      </c>
      <c r="V2" s="296">
        <f>IN_rooms!AA2</f>
        <v>10</v>
      </c>
      <c r="W2" s="296">
        <f>IN_rooms!AB2</f>
        <v>11</v>
      </c>
      <c r="X2" s="296">
        <f>IN_rooms!AC2</f>
        <v>12</v>
      </c>
      <c r="Y2" s="296">
        <f>IN_rooms!AD2</f>
        <v>13</v>
      </c>
      <c r="Z2" s="296">
        <f>IN_rooms!AE2</f>
        <v>14</v>
      </c>
      <c r="AA2" s="296">
        <f>IN_rooms!AF2</f>
        <v>15</v>
      </c>
    </row>
    <row r="3" spans="1:27" x14ac:dyDescent="0.25">
      <c r="B3" t="s">
        <v>273</v>
      </c>
      <c r="F3" t="s">
        <v>513</v>
      </c>
      <c r="M3" s="297" t="str">
        <f>IN_build!$P$3</f>
        <v>Ein- oder Zweifamilienhaus</v>
      </c>
      <c r="N3" t="str">
        <f>IN_build!$P$3</f>
        <v>Ein- oder Zweifamilienhaus</v>
      </c>
      <c r="O3" t="str">
        <f>IN_build!$P$3</f>
        <v>Ein- oder Zweifamilienhaus</v>
      </c>
      <c r="P3" t="str">
        <f>IN_build!$P$3</f>
        <v>Ein- oder Zweifamilienhaus</v>
      </c>
      <c r="Q3" t="str">
        <f>IN_build!$P$3</f>
        <v>Ein- oder Zweifamilienhaus</v>
      </c>
      <c r="R3" t="str">
        <f>IN_build!$P$3</f>
        <v>Ein- oder Zweifamilienhaus</v>
      </c>
      <c r="S3" t="str">
        <f>IN_build!$P$3</f>
        <v>Ein- oder Zweifamilienhaus</v>
      </c>
      <c r="T3" t="str">
        <f>IN_build!$P$3</f>
        <v>Ein- oder Zweifamilienhaus</v>
      </c>
      <c r="U3" t="str">
        <f>IN_build!$P$3</f>
        <v>Ein- oder Zweifamilienhaus</v>
      </c>
      <c r="V3" t="str">
        <f>IN_build!$P$3</f>
        <v>Ein- oder Zweifamilienhaus</v>
      </c>
      <c r="W3" t="str">
        <f>IN_build!$P$3</f>
        <v>Ein- oder Zweifamilienhaus</v>
      </c>
      <c r="X3" t="str">
        <f>IN_build!$P$3</f>
        <v>Ein- oder Zweifamilienhaus</v>
      </c>
      <c r="Y3" t="str">
        <f>IN_build!$P$3</f>
        <v>Ein- oder Zweifamilienhaus</v>
      </c>
      <c r="Z3" t="str">
        <f>IN_build!$P$3</f>
        <v>Ein- oder Zweifamilienhaus</v>
      </c>
      <c r="AA3" t="str">
        <f>IN_build!$P$3</f>
        <v>Ein- oder Zweifamilienhaus</v>
      </c>
    </row>
    <row r="4" spans="1:27" ht="15.75" thickBot="1" x14ac:dyDescent="0.3">
      <c r="B4" t="s">
        <v>246</v>
      </c>
      <c r="F4" t="s">
        <v>520</v>
      </c>
      <c r="M4" s="297" t="str">
        <f>IN_build!$P$5</f>
        <v>1979 - 1983</v>
      </c>
      <c r="N4" t="str">
        <f>IN_build!$P$5</f>
        <v>1979 - 1983</v>
      </c>
      <c r="O4" t="str">
        <f>IN_build!$P$5</f>
        <v>1979 - 1983</v>
      </c>
      <c r="P4" t="str">
        <f>IN_build!$P$5</f>
        <v>1979 - 1983</v>
      </c>
      <c r="Q4" t="str">
        <f>IN_build!$P$5</f>
        <v>1979 - 1983</v>
      </c>
      <c r="R4" t="str">
        <f>IN_build!$P$5</f>
        <v>1979 - 1983</v>
      </c>
      <c r="S4" t="str">
        <f>IN_build!$P$5</f>
        <v>1979 - 1983</v>
      </c>
      <c r="T4" t="str">
        <f>IN_build!$P$5</f>
        <v>1979 - 1983</v>
      </c>
      <c r="U4" t="str">
        <f>IN_build!$P$5</f>
        <v>1979 - 1983</v>
      </c>
      <c r="V4" t="str">
        <f>IN_build!$P$5</f>
        <v>1979 - 1983</v>
      </c>
      <c r="W4" t="str">
        <f>IN_build!$P$5</f>
        <v>1979 - 1983</v>
      </c>
      <c r="X4" t="str">
        <f>IN_build!$P$5</f>
        <v>1979 - 1983</v>
      </c>
      <c r="Y4" t="str">
        <f>IN_build!$P$5</f>
        <v>1979 - 1983</v>
      </c>
      <c r="Z4" t="str">
        <f>IN_build!$P$5</f>
        <v>1979 - 1983</v>
      </c>
      <c r="AA4" t="str">
        <f>IN_build!$P$5</f>
        <v>1979 - 1983</v>
      </c>
    </row>
    <row r="5" spans="1:27" ht="15.75" thickBot="1" x14ac:dyDescent="0.3">
      <c r="B5" t="s">
        <v>375</v>
      </c>
      <c r="F5" t="s">
        <v>555</v>
      </c>
      <c r="M5" s="298" t="str">
        <f>IN_rooms!R3</f>
        <v>Sonstige</v>
      </c>
      <c r="N5" s="21" t="str">
        <f>IN_rooms!S3</f>
        <v>Sonstige</v>
      </c>
      <c r="O5" s="21" t="str">
        <f>IN_rooms!T3</f>
        <v>Sonstige</v>
      </c>
      <c r="P5" s="21" t="str">
        <f>IN_rooms!U3</f>
        <v>Sonstige</v>
      </c>
      <c r="Q5" s="21" t="str">
        <f>IN_rooms!V3</f>
        <v>Sonstige</v>
      </c>
      <c r="R5" s="21" t="str">
        <f>IN_rooms!W3</f>
        <v>Sonstige</v>
      </c>
      <c r="S5" s="21" t="str">
        <f>IN_rooms!X3</f>
        <v>Sonstige</v>
      </c>
      <c r="T5" s="21" t="str">
        <f>IN_rooms!Y3</f>
        <v>Sonstige</v>
      </c>
      <c r="U5" s="21" t="str">
        <f>IN_rooms!Z3</f>
        <v>Sonstige</v>
      </c>
      <c r="V5" s="21" t="str">
        <f>IN_rooms!AA3</f>
        <v>Sonstige</v>
      </c>
      <c r="W5" s="21" t="str">
        <f>IN_rooms!AB3</f>
        <v>Sonstige</v>
      </c>
      <c r="X5" s="21" t="str">
        <f>IN_rooms!AC3</f>
        <v>Sonstige</v>
      </c>
      <c r="Y5" s="21" t="str">
        <f>IN_rooms!AD3</f>
        <v>Sonstige</v>
      </c>
      <c r="Z5" s="21" t="str">
        <f>IN_rooms!AE3</f>
        <v>Sonstige</v>
      </c>
      <c r="AA5" s="21" t="str">
        <f>IN_rooms!AF3</f>
        <v>Sonstige</v>
      </c>
    </row>
    <row r="6" spans="1:27" ht="15.75" thickBot="1" x14ac:dyDescent="0.3">
      <c r="A6" t="s">
        <v>656</v>
      </c>
      <c r="B6" t="s">
        <v>657</v>
      </c>
      <c r="F6" t="s">
        <v>658</v>
      </c>
      <c r="G6" t="s">
        <v>172</v>
      </c>
      <c r="M6" s="298">
        <f>IN_rooms!R$4*IN_rooms!R$5</f>
        <v>50</v>
      </c>
      <c r="N6" s="21">
        <f>IN_rooms!S$4*IN_rooms!S$5</f>
        <v>52.5</v>
      </c>
      <c r="O6" s="21">
        <f>IN_rooms!T$4*IN_rooms!T$5</f>
        <v>55</v>
      </c>
      <c r="P6" s="21">
        <f>IN_rooms!U$4*IN_rooms!U$5</f>
        <v>57.5</v>
      </c>
      <c r="Q6" s="21">
        <f>IN_rooms!V$4*IN_rooms!V$5</f>
        <v>60</v>
      </c>
      <c r="R6" s="21">
        <f>IN_rooms!W$4*IN_rooms!W$5</f>
        <v>62.5</v>
      </c>
      <c r="S6" s="21">
        <f>IN_rooms!X$4*IN_rooms!X$5</f>
        <v>65</v>
      </c>
      <c r="T6" s="21">
        <f>IN_rooms!Y$4*IN_rooms!Y$5</f>
        <v>67.5</v>
      </c>
      <c r="U6" s="21">
        <f>IN_rooms!Z$4*IN_rooms!Z$5</f>
        <v>70</v>
      </c>
      <c r="V6" s="21">
        <f>IN_rooms!AA$4*IN_rooms!AA$5</f>
        <v>72.5</v>
      </c>
      <c r="W6" s="21">
        <f>IN_rooms!AB$4*IN_rooms!AB$5</f>
        <v>75</v>
      </c>
      <c r="X6" s="21">
        <f>IN_rooms!AC$4*IN_rooms!AC$5</f>
        <v>77.5</v>
      </c>
      <c r="Y6" s="21">
        <f>IN_rooms!AD$4*IN_rooms!AD$5</f>
        <v>80</v>
      </c>
      <c r="Z6" s="21">
        <f>IN_rooms!AE$4*IN_rooms!AE$5</f>
        <v>82.5</v>
      </c>
      <c r="AA6" s="21">
        <f>IN_rooms!AF$4*IN_rooms!AF$5</f>
        <v>85</v>
      </c>
    </row>
    <row r="7" spans="1:27" ht="15.75" thickBot="1" x14ac:dyDescent="0.3">
      <c r="A7" t="s">
        <v>656</v>
      </c>
      <c r="B7" t="s">
        <v>659</v>
      </c>
      <c r="F7" t="s">
        <v>660</v>
      </c>
      <c r="G7" t="s">
        <v>129</v>
      </c>
      <c r="I7" t="s">
        <v>661</v>
      </c>
      <c r="M7" s="298">
        <v>0.5</v>
      </c>
      <c r="N7" s="21">
        <v>0.5</v>
      </c>
      <c r="O7" s="21">
        <v>0.5</v>
      </c>
      <c r="P7" s="21">
        <v>0.5</v>
      </c>
      <c r="Q7" s="21">
        <v>0.5</v>
      </c>
      <c r="R7" s="21">
        <v>0.5</v>
      </c>
      <c r="S7" s="21">
        <v>0.5</v>
      </c>
      <c r="T7" s="21">
        <v>0.5</v>
      </c>
      <c r="U7" s="21">
        <v>0.5</v>
      </c>
      <c r="V7" s="21">
        <v>0.5</v>
      </c>
      <c r="W7" s="21">
        <v>0.5</v>
      </c>
      <c r="X7" s="21">
        <v>0.5</v>
      </c>
      <c r="Y7" s="21">
        <v>0.5</v>
      </c>
      <c r="Z7" s="21">
        <v>0.5</v>
      </c>
      <c r="AA7" s="21">
        <v>0.5</v>
      </c>
    </row>
    <row r="8" spans="1:27" ht="15.75" thickBot="1" x14ac:dyDescent="0.3">
      <c r="B8" t="s">
        <v>662</v>
      </c>
      <c r="F8" t="s">
        <v>663</v>
      </c>
      <c r="G8" t="s">
        <v>105</v>
      </c>
      <c r="M8" s="298">
        <f>IF(AND(M$16&lt;=U_GEG_A.7!$C$10,
M$28&lt;=AVERAGE(U_GEG_A.7!$C$21:$C$22,
M$34&lt;=U_GEG_A.7!$C$21,M$39&lt;=U_GEG_A.7!$C$25),
M$45&lt;=U_GEG_A.7!$C$11,
M$63&lt;=U_GEG_A.7!$C$12,
M$69&lt;=U_GEG_A.7!$C$12),
0.05,0.1)</f>
        <v>0.1</v>
      </c>
      <c r="N8" s="21">
        <f>IF(AND(N$16&lt;=U_GEG_A.7!$C$10,
N$28&lt;=AVERAGE(U_GEG_A.7!$C$21:$C$22,
N$34&lt;=U_GEG_A.7!$C$21,N$39&lt;=U_GEG_A.7!$C$25),
N$45&lt;=U_GEG_A.7!$C$11,
N$63&lt;=U_GEG_A.7!$C$12,
N$69&lt;=U_GEG_A.7!$C$12),
0.05,0.1)</f>
        <v>0.1</v>
      </c>
      <c r="O8" s="21">
        <f>IF(AND(O$16&lt;=U_GEG_A.7!$C$10,
O$28&lt;=AVERAGE(U_GEG_A.7!$C$21:$C$22,
O$34&lt;=U_GEG_A.7!$C$21,O$39&lt;=U_GEG_A.7!$C$25),
O$45&lt;=U_GEG_A.7!$C$11,
O$63&lt;=U_GEG_A.7!$C$12,
O$69&lt;=U_GEG_A.7!$C$12),
0.05,0.1)</f>
        <v>0.1</v>
      </c>
      <c r="P8" s="21">
        <f>IF(AND(P$16&lt;=U_GEG_A.7!$C$10,
P$28&lt;=AVERAGE(U_GEG_A.7!$C$21:$C$22,
P$34&lt;=U_GEG_A.7!$C$21,P$39&lt;=U_GEG_A.7!$C$25),
P$45&lt;=U_GEG_A.7!$C$11,
P$63&lt;=U_GEG_A.7!$C$12,
P$69&lt;=U_GEG_A.7!$C$12),
0.05,0.1)</f>
        <v>0.1</v>
      </c>
      <c r="Q8" s="21">
        <f>IF(AND(Q$16&lt;=U_GEG_A.7!$C$10,
Q$28&lt;=AVERAGE(U_GEG_A.7!$C$21:$C$22,
Q$34&lt;=U_GEG_A.7!$C$21,Q$39&lt;=U_GEG_A.7!$C$25),
Q$45&lt;=U_GEG_A.7!$C$11,
Q$63&lt;=U_GEG_A.7!$C$12,
Q$69&lt;=U_GEG_A.7!$C$12),
0.05,0.1)</f>
        <v>0.1</v>
      </c>
      <c r="R8" s="21">
        <f>IF(AND(R$16&lt;=U_GEG_A.7!$C$10,
R$28&lt;=AVERAGE(U_GEG_A.7!$C$21:$C$22,
R$34&lt;=U_GEG_A.7!$C$21,R$39&lt;=U_GEG_A.7!$C$25),
R$45&lt;=U_GEG_A.7!$C$11,
R$63&lt;=U_GEG_A.7!$C$12,
R$69&lt;=U_GEG_A.7!$C$12),
0.05,0.1)</f>
        <v>0.1</v>
      </c>
      <c r="S8" s="21">
        <f>IF(AND(S$16&lt;=U_GEG_A.7!$C$10,
S$28&lt;=AVERAGE(U_GEG_A.7!$C$21:$C$22,
S$34&lt;=U_GEG_A.7!$C$21,S$39&lt;=U_GEG_A.7!$C$25),
S$45&lt;=U_GEG_A.7!$C$11,
S$63&lt;=U_GEG_A.7!$C$12,
S$69&lt;=U_GEG_A.7!$C$12),
0.05,0.1)</f>
        <v>0.1</v>
      </c>
      <c r="T8" s="21">
        <f>IF(AND(T$16&lt;=U_GEG_A.7!$C$10,
T$28&lt;=AVERAGE(U_GEG_A.7!$C$21:$C$22,
T$34&lt;=U_GEG_A.7!$C$21,T$39&lt;=U_GEG_A.7!$C$25),
T$45&lt;=U_GEG_A.7!$C$11,
T$63&lt;=U_GEG_A.7!$C$12,
T$69&lt;=U_GEG_A.7!$C$12),
0.05,0.1)</f>
        <v>0.1</v>
      </c>
      <c r="U8" s="21">
        <f>IF(AND(U$16&lt;=U_GEG_A.7!$C$10,
U$28&lt;=AVERAGE(U_GEG_A.7!$C$21:$C$22,
U$34&lt;=U_GEG_A.7!$C$21,U$39&lt;=U_GEG_A.7!$C$25),
U$45&lt;=U_GEG_A.7!$C$11,
U$63&lt;=U_GEG_A.7!$C$12,
U$69&lt;=U_GEG_A.7!$C$12),
0.05,0.1)</f>
        <v>0.1</v>
      </c>
      <c r="V8" s="21">
        <f>IF(AND(V$16&lt;=U_GEG_A.7!$C$10,
V$28&lt;=AVERAGE(U_GEG_A.7!$C$21:$C$22,
V$34&lt;=U_GEG_A.7!$C$21,V$39&lt;=U_GEG_A.7!$C$25),
V$45&lt;=U_GEG_A.7!$C$11,
V$63&lt;=U_GEG_A.7!$C$12,
V$69&lt;=U_GEG_A.7!$C$12),
0.05,0.1)</f>
        <v>0.1</v>
      </c>
      <c r="W8" s="21">
        <f>IF(AND(W$16&lt;=U_GEG_A.7!$C$10,
W$28&lt;=AVERAGE(U_GEG_A.7!$C$21:$C$22,
W$34&lt;=U_GEG_A.7!$C$21,W$39&lt;=U_GEG_A.7!$C$25),
W$45&lt;=U_GEG_A.7!$C$11,
W$63&lt;=U_GEG_A.7!$C$12,
W$69&lt;=U_GEG_A.7!$C$12),
0.05,0.1)</f>
        <v>0.1</v>
      </c>
      <c r="X8" s="21">
        <f>IF(AND(X$16&lt;=U_GEG_A.7!$C$10,
X$28&lt;=AVERAGE(U_GEG_A.7!$C$21:$C$22,
X$34&lt;=U_GEG_A.7!$C$21,X$39&lt;=U_GEG_A.7!$C$25),
X$45&lt;=U_GEG_A.7!$C$11,
X$63&lt;=U_GEG_A.7!$C$12,
X$69&lt;=U_GEG_A.7!$C$12),
0.05,0.1)</f>
        <v>0.1</v>
      </c>
      <c r="Y8" s="21">
        <f>IF(AND(Y$16&lt;=U_GEG_A.7!$C$10,
Y$28&lt;=AVERAGE(U_GEG_A.7!$C$21:$C$22,
Y$34&lt;=U_GEG_A.7!$C$21,Y$39&lt;=U_GEG_A.7!$C$25),
Y$45&lt;=U_GEG_A.7!$C$11,
Y$63&lt;=U_GEG_A.7!$C$12,
Y$69&lt;=U_GEG_A.7!$C$12),
0.05,0.1)</f>
        <v>0.1</v>
      </c>
      <c r="Z8" s="21">
        <f>IF(AND(Z$16&lt;=U_GEG_A.7!$C$10,
Z$28&lt;=AVERAGE(U_GEG_A.7!$C$21:$C$22,
Z$34&lt;=U_GEG_A.7!$C$21,Z$39&lt;=U_GEG_A.7!$C$25),
Z$45&lt;=U_GEG_A.7!$C$11,
Z$63&lt;=U_GEG_A.7!$C$12,
Z$69&lt;=U_GEG_A.7!$C$12),
0.05,0.1)</f>
        <v>0.1</v>
      </c>
      <c r="AA8" s="21">
        <f>IF(AND(AA$16&lt;=U_GEG_A.7!$C$10,
AA$28&lt;=AVERAGE(U_GEG_A.7!$C$21:$C$22,
AA$34&lt;=U_GEG_A.7!$C$21,AA$39&lt;=U_GEG_A.7!$C$25),
AA$45&lt;=U_GEG_A.7!$C$11,
AA$63&lt;=U_GEG_A.7!$C$12,
AA$69&lt;=U_GEG_A.7!$C$12),
0.05,0.1)</f>
        <v>0.1</v>
      </c>
    </row>
    <row r="9" spans="1:27" ht="15.75" thickBot="1" x14ac:dyDescent="0.3">
      <c r="B9" t="s">
        <v>664</v>
      </c>
      <c r="F9" t="s">
        <v>665</v>
      </c>
      <c r="G9" t="s">
        <v>666</v>
      </c>
      <c r="M9" s="298">
        <v>0.34</v>
      </c>
      <c r="N9" s="21">
        <v>0.34</v>
      </c>
      <c r="O9" s="21">
        <v>0.34</v>
      </c>
      <c r="P9" s="21">
        <v>0.34</v>
      </c>
      <c r="Q9" s="21">
        <v>0.34</v>
      </c>
      <c r="R9" s="21">
        <v>0.34</v>
      </c>
      <c r="S9" s="21">
        <v>0.34</v>
      </c>
      <c r="T9" s="21">
        <v>0.34</v>
      </c>
      <c r="U9" s="21">
        <v>0.34</v>
      </c>
      <c r="V9" s="21">
        <v>0.34</v>
      </c>
      <c r="W9" s="21">
        <v>0.34</v>
      </c>
      <c r="X9" s="21">
        <v>0.34</v>
      </c>
      <c r="Y9" s="21">
        <v>0.34</v>
      </c>
      <c r="Z9" s="21">
        <v>0.34</v>
      </c>
      <c r="AA9" s="21">
        <v>0.34</v>
      </c>
    </row>
    <row r="10" spans="1:27" ht="15.75" thickBot="1" x14ac:dyDescent="0.3">
      <c r="B10" t="s">
        <v>667</v>
      </c>
      <c r="F10" t="s">
        <v>668</v>
      </c>
      <c r="G10" t="s">
        <v>107</v>
      </c>
      <c r="M10" s="298">
        <f>IF(IN_rooms!R$6&lt;&gt;20,IN_rooms!R$6,20)</f>
        <v>20</v>
      </c>
      <c r="N10" s="21">
        <f>IF(IN_rooms!S$6&lt;&gt;20,IN_rooms!S$6,20)</f>
        <v>20</v>
      </c>
      <c r="O10" s="21">
        <f>IF(IN_rooms!T$6&lt;&gt;20,IN_rooms!T$6,20)</f>
        <v>20</v>
      </c>
      <c r="P10" s="21">
        <f>IF(IN_rooms!U$6&lt;&gt;20,IN_rooms!U$6,20)</f>
        <v>20</v>
      </c>
      <c r="Q10" s="21">
        <f>IF(IN_rooms!V$6&lt;&gt;20,IN_rooms!V$6,20)</f>
        <v>20</v>
      </c>
      <c r="R10" s="21">
        <f>IF(IN_rooms!W$6&lt;&gt;20,IN_rooms!W$6,20)</f>
        <v>20</v>
      </c>
      <c r="S10" s="21">
        <f>IF(IN_rooms!X$6&lt;&gt;20,IN_rooms!X$6,20)</f>
        <v>20</v>
      </c>
      <c r="T10" s="21">
        <f>IF(IN_rooms!Y$6&lt;&gt;20,IN_rooms!Y$6,20)</f>
        <v>20</v>
      </c>
      <c r="U10" s="21">
        <f>IF(IN_rooms!Z$6&lt;&gt;20,IN_rooms!Z$6,20)</f>
        <v>20</v>
      </c>
      <c r="V10" s="21">
        <f>IF(IN_rooms!AA$6&lt;&gt;20,IN_rooms!AA$6,20)</f>
        <v>20</v>
      </c>
      <c r="W10" s="21">
        <f>IF(IN_rooms!AB$6&lt;&gt;20,IN_rooms!AB$6,20)</f>
        <v>20</v>
      </c>
      <c r="X10" s="21">
        <f>IF(IN_rooms!AC$6&lt;&gt;20,IN_rooms!AC$6,20)</f>
        <v>20</v>
      </c>
      <c r="Y10" s="21">
        <f>IF(IN_rooms!AD$6&lt;&gt;20,IN_rooms!AD$6,20)</f>
        <v>20</v>
      </c>
      <c r="Z10" s="21">
        <f>IF(IN_rooms!AE$6&lt;&gt;20,IN_rooms!AE$6,20)</f>
        <v>20</v>
      </c>
      <c r="AA10" s="21">
        <f>IF(IN_rooms!AF$6&lt;&gt;20,IN_rooms!AF$6,20)</f>
        <v>20</v>
      </c>
    </row>
    <row r="11" spans="1:27" ht="15.75" thickBot="1" x14ac:dyDescent="0.3">
      <c r="A11" t="s">
        <v>656</v>
      </c>
      <c r="B11" t="s">
        <v>669</v>
      </c>
      <c r="F11" t="s">
        <v>670</v>
      </c>
      <c r="G11" t="s">
        <v>175</v>
      </c>
      <c r="M11" s="298">
        <f>M$7*M$6</f>
        <v>25</v>
      </c>
      <c r="N11" s="21">
        <f>N$7*N$6</f>
        <v>26.25</v>
      </c>
      <c r="O11" s="21">
        <f>O$7*O$6</f>
        <v>27.5</v>
      </c>
      <c r="P11" s="21">
        <f>P$7*P$6</f>
        <v>28.75</v>
      </c>
      <c r="Q11" s="21">
        <f>Q$7*Q$6</f>
        <v>30</v>
      </c>
      <c r="R11" s="21">
        <f>R$7*R$6</f>
        <v>31.25</v>
      </c>
      <c r="S11" s="21">
        <f>S$7*S$6</f>
        <v>32.5</v>
      </c>
      <c r="T11" s="21">
        <f>T$7*T$6</f>
        <v>33.75</v>
      </c>
      <c r="U11" s="21">
        <f>U$7*U$6</f>
        <v>35</v>
      </c>
      <c r="V11" s="21">
        <f>V$7*V$6</f>
        <v>36.25</v>
      </c>
      <c r="W11" s="21">
        <f>W$7*W$6</f>
        <v>37.5</v>
      </c>
      <c r="X11" s="21">
        <f>X$7*X$6</f>
        <v>38.75</v>
      </c>
      <c r="Y11" s="21">
        <f>Y$7*Y$6</f>
        <v>40</v>
      </c>
      <c r="Z11" s="21">
        <f>Z$7*Z$6</f>
        <v>41.25</v>
      </c>
      <c r="AA11" s="21">
        <f>AA$7*AA$6</f>
        <v>42.5</v>
      </c>
    </row>
    <row r="12" spans="1:27" ht="15.75" thickBot="1" x14ac:dyDescent="0.3">
      <c r="A12" t="s">
        <v>656</v>
      </c>
      <c r="B12" t="s">
        <v>671</v>
      </c>
      <c r="F12" t="s">
        <v>672</v>
      </c>
      <c r="G12" t="s">
        <v>112</v>
      </c>
      <c r="M12" s="299">
        <f>M$9*M$11*(M$10-Normaußentemperatur_12831!$B$6)</f>
        <v>255</v>
      </c>
      <c r="N12" s="68">
        <f>N$9*N$11*(N$10-Normaußentemperatur_12831!$B$6)</f>
        <v>267.75</v>
      </c>
      <c r="O12" s="68">
        <f>O$9*O$11*(O$10-Normaußentemperatur_12831!$B$6)</f>
        <v>280.50000000000006</v>
      </c>
      <c r="P12" s="68">
        <f>P$9*P$11*(P$10-Normaußentemperatur_12831!$B$6)</f>
        <v>293.25</v>
      </c>
      <c r="Q12" s="68">
        <f>Q$9*Q$11*(Q$10-Normaußentemperatur_12831!$B$6)</f>
        <v>306.00000000000006</v>
      </c>
      <c r="R12" s="68">
        <f>R$9*R$11*(R$10-Normaußentemperatur_12831!$B$6)</f>
        <v>318.75</v>
      </c>
      <c r="S12" s="68">
        <f>S$9*S$11*(S$10-Normaußentemperatur_12831!$B$6)</f>
        <v>331.5</v>
      </c>
      <c r="T12" s="68">
        <f>T$9*T$11*(T$10-Normaußentemperatur_12831!$B$6)</f>
        <v>344.25000000000006</v>
      </c>
      <c r="U12" s="68">
        <f>U$9*U$11*(U$10-Normaußentemperatur_12831!$B$6)</f>
        <v>357</v>
      </c>
      <c r="V12" s="68">
        <f>V$9*V$11*(V$10-Normaußentemperatur_12831!$B$6)</f>
        <v>369.75000000000006</v>
      </c>
      <c r="W12" s="68">
        <f>W$9*W$11*(W$10-Normaußentemperatur_12831!$B$6)</f>
        <v>382.50000000000006</v>
      </c>
      <c r="X12" s="68">
        <f>X$9*X$11*(X$10-Normaußentemperatur_12831!$B$6)</f>
        <v>395.25</v>
      </c>
      <c r="Y12" s="68">
        <f>Y$9*Y$11*(Y$10-Normaußentemperatur_12831!$B$6)</f>
        <v>408.00000000000006</v>
      </c>
      <c r="Z12" s="68">
        <f>Z$9*Z$11*(Z$10-Normaußentemperatur_12831!$B$6)</f>
        <v>420.75</v>
      </c>
      <c r="AA12" s="68">
        <f>AA$9*AA$11*(AA$10-Normaußentemperatur_12831!$B$6)</f>
        <v>433.50000000000006</v>
      </c>
    </row>
    <row r="13" spans="1:27" ht="15.75" thickBot="1" x14ac:dyDescent="0.3">
      <c r="A13" t="s">
        <v>656</v>
      </c>
      <c r="B13" t="s">
        <v>673</v>
      </c>
      <c r="F13" t="s">
        <v>674</v>
      </c>
      <c r="G13" t="s">
        <v>111</v>
      </c>
      <c r="M13" s="300">
        <f>M$12/M$72</f>
        <v>0.31122071148504926</v>
      </c>
      <c r="N13" s="206">
        <f>N$12/N$72</f>
        <v>0.32275562788174667</v>
      </c>
      <c r="O13" s="206">
        <f>O$12/O$72</f>
        <v>0.32769648646280558</v>
      </c>
      <c r="P13" s="206">
        <f>P$12/P$72</f>
        <v>0.33234169145771358</v>
      </c>
      <c r="Q13" s="206">
        <f>Q$12/Q$72</f>
        <v>0.33671700916068337</v>
      </c>
      <c r="R13" s="206">
        <f>R$12/R$72</f>
        <v>0.34084529633491062</v>
      </c>
      <c r="S13" s="206">
        <f>S$12/S$72</f>
        <v>0.34474689961781452</v>
      </c>
      <c r="T13" s="206">
        <f>T$12/T$72</f>
        <v>0.34843999089045774</v>
      </c>
      <c r="U13" s="206">
        <f>U$12/U$72</f>
        <v>0.35194085027726435</v>
      </c>
      <c r="V13" s="206">
        <f>V$12/V$72</f>
        <v>0.35526410607480008</v>
      </c>
      <c r="W13" s="206">
        <f>W$12/W$72</f>
        <v>0.35842293906810041</v>
      </c>
      <c r="X13" s="206">
        <f>X$12/X$72</f>
        <v>0.36142925725258895</v>
      </c>
      <c r="Y13" s="206">
        <f>Y$12/Y$72</f>
        <v>0.36429384584477331</v>
      </c>
      <c r="Z13" s="206">
        <f>Z$12/Z$72</f>
        <v>0.36702649656526004</v>
      </c>
      <c r="AA13" s="206">
        <f>AA$12/AA$72</f>
        <v>0.36963611946025454</v>
      </c>
    </row>
    <row r="14" spans="1:27" ht="15.75" thickBot="1" x14ac:dyDescent="0.3">
      <c r="A14" t="s">
        <v>185</v>
      </c>
      <c r="B14" t="s">
        <v>675</v>
      </c>
      <c r="D14" t="s">
        <v>184</v>
      </c>
      <c r="F14" t="s">
        <v>676</v>
      </c>
      <c r="G14" t="s">
        <v>122</v>
      </c>
      <c r="I14" t="s">
        <v>677</v>
      </c>
      <c r="M14" s="301" cm="1">
        <f t="array" ref="M14">_xlfn.LET(
  _xlpm.a, IN_rooms!R$33,
  _xlpm.c, IF(IN_rooms!R$37 &gt; 0, IN_rooms!R$37, IN_rooms!R$39),
  _xlpm.f, IN_rooms!R$5,
  _xlpm.neigungswinkel, _xlfn.IFS(
    IN_build!$P$4 = "Geneigt", 25,
    IN_build!$P$4 = "Steil", 40,
    IN_build!$P$4 = "Sehr steil", 55),
  _xlpm.d, (_xlpm.f - _xlpm.c) / TAN(_xlpm.neigungswinkel * PI() / 180),
  _xlpm.e, - (IN_rooms!R$13 * IN_rooms!R$14 / 10000)
            - (IN_rooms!R$17 * IN_rooms!R$18 / 10000)
            - (IN_rooms!R$21 * IN_rooms!R$22 / 10000),
  _xlpm.g, IF(IN_rooms!R$37 &gt; 0, IN_rooms!R$37, 0)*IF(IN_rooms!R$29="Ja",IN_rooms!R$30,IN_rooms!R$30/2),
  _xlpm.bed_eins, AND(IN_rooms!R$29 = "Nein", _xlpm.d + _xlpm.a &lt;= 1.5 * IN_rooms!R$4 / IN_rooms!R$30),
  _xlpm.bed_zwei, AND(IN_rooms!R$29 = "Nein", _xlpm.d + _xlpm.a &gt; 1.5 * IN_rooms!R$4 / IN_rooms!R$30),
  _xlpm.bed_drei, AND(IN_rooms!R$29 = "Ja", _xlpm.d + _xlpm.a &lt;= 1.5 * IN_rooms!R$4 / IN_rooms!R$30),
  _xlpm.bed_vier, AND(IN_rooms!R$29 = "Ja", _xlpm.d + _xlpm.a &gt; 1.5 * IN_rooms!R$4 / IN_rooms!R$30),
  _xlpm.fallback, IN_rooms!R$9 * IN_rooms!R$5
            - (IN_rooms!R$13 * IN_rooms!R$14 / 10000)
            - (IN_rooms!R$17 * IN_rooms!R$18 / 10000)
            - (IN_rooms!R$21 * IN_rooms!R$22 / 10000),
  _xlfn.IFS(
    IN_rooms!R$28="Nein",_xlpm.fallback,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3.7242299768569067</v>
      </c>
      <c r="N14" s="67" cm="1">
        <f t="array" ref="N14">_xlfn.LET(
  _xlpm.a, IN_rooms!S$33,
  _xlpm.c, IF(IN_rooms!S$37 &gt; 0, IN_rooms!S$37, IN_rooms!S$39),
  _xlpm.f, IN_rooms!S$5,
  _xlpm.neigungswinkel, _xlfn.IFS(
    IN_build!$P$4 = "Geneigt", 25,
    IN_build!$P$4 = "Steil", 40,
    IN_build!$P$4 = "Sehr steil", 55),
  _xlpm.d, _xlpm.f - _xlpm.c / TAN(_xlpm.neigungswinkel * PI() / 180),
  _xlpm.e, - (IN_rooms!S$13 * IN_rooms!S$14 / 10000)
            - (IN_rooms!S$17 * IN_rooms!S$18 / 10000)
            - (IN_rooms!S$21 * IN_rooms!S$22 / 10000),
  _xlpm.g, IF(IN_rooms!S$37 &gt; 0, IN_rooms!S$37, 0)*IF(IN_rooms!S$29="Ja",IN_rooms!S$30,IN_rooms!S$30/2),
  _xlpm.bed_eins, AND(IN_rooms!S$29 = "Nein", _xlpm.d + _xlpm.a &lt;= 1.5 * IN_rooms!S$4 / IN_rooms!S$30),
  _xlpm.bed_zwei, AND(IN_rooms!S$29 = "Nein", _xlpm.d + _xlpm.a &gt; 1.5 * IN_rooms!S$4 / IN_rooms!S$30),
  _xlpm.bed_drei, AND(IN_rooms!S$29 = "Ja", _xlpm.d + _xlpm.a &lt;= 1.5 * IN_rooms!S$4 / IN_rooms!S$30),
  _xlpm.bed_vier, AND(IN_rooms!S$29 = "Ja", _xlpm.d + _xlpm.a &gt; 1.5 * IN_rooms!S$4 / IN_rooms!S$30),
  _xlpm.fallback, IN_rooms!S$9 * IN_rooms!S$5
            - (IN_rooms!S$13 * IN_rooms!S$14 / 10000)
            - (IN_rooms!S$17 * IN_rooms!S$18 / 10000)
            - (IN_rooms!S$21 * IN_rooms!S$22 / 10000),
  _xlfn.IFS(
    IN_rooms!S$28="Nein",_xlpm.fallback,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O14" s="67" cm="1">
        <f t="array" ref="O14">_xlfn.LET(
  _xlpm.a, IN_rooms!T$33,
  _xlpm.c, IF(IN_rooms!T$37 &gt; 0, IN_rooms!T$37, IN_rooms!T$39),
  _xlpm.f, IN_rooms!T$5,
  _xlpm.neigungswinkel, _xlfn.IFS(
    IN_build!$P$4 = "Geneigt", 25,
    IN_build!$P$4 = "Steil", 40,
    IN_build!$P$4 = "Sehr steil", 55),
  _xlpm.d, _xlpm.f - _xlpm.c / TAN(_xlpm.neigungswinkel * PI() / 180),
  _xlpm.e, - (IN_rooms!T$13 * IN_rooms!T$14 / 10000)
            - (IN_rooms!T$17 * IN_rooms!T$18 / 10000)
            - (IN_rooms!T$21 * IN_rooms!T$22 / 10000),
  _xlpm.g, IF(IN_rooms!T$37 &gt; 0, IN_rooms!T$37, 0)*IF(IN_rooms!T$29="Ja",IN_rooms!T$30,IN_rooms!T$30/2),
  _xlpm.bed_eins, AND(IN_rooms!T$29 = "Nein", _xlpm.d + _xlpm.a &lt;= 1.5 * IN_rooms!T$4 / IN_rooms!T$30),
  _xlpm.bed_zwei, AND(IN_rooms!T$29 = "Nein", _xlpm.d + _xlpm.a &gt; 1.5 * IN_rooms!T$4 / IN_rooms!T$30),
  _xlpm.bed_drei, AND(IN_rooms!T$29 = "Ja", _xlpm.d + _xlpm.a &lt;= 1.5 * IN_rooms!T$4 / IN_rooms!T$30),
  _xlpm.bed_vier, AND(IN_rooms!T$29 = "Ja", _xlpm.d + _xlpm.a &gt; 1.5 * IN_rooms!T$4 / IN_rooms!T$30),
  _xlpm.fallback, IN_rooms!T$9 * IN_rooms!T$5
            - (IN_rooms!T$13 * IN_rooms!T$14 / 10000)
            - (IN_rooms!T$17 * IN_rooms!T$18 / 10000)
            - (IN_rooms!T$21 * IN_rooms!T$22 / 10000),
  _xlfn.IFS(
    IN_rooms!T$28="Nein",_xlpm.fallback,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P14" s="67" cm="1">
        <f t="array" ref="P14">_xlfn.LET(
  _xlpm.a, IN_rooms!U$33,
  _xlpm.c, IF(IN_rooms!U$37 &gt; 0, IN_rooms!U$37, IN_rooms!U$39),
  _xlpm.f, IN_rooms!U$5,
  _xlpm.neigungswinkel, _xlfn.IFS(
    IN_build!$P$4 = "Geneigt", 25,
    IN_build!$P$4 = "Steil", 40,
    IN_build!$P$4 = "Sehr steil", 55),
  _xlpm.d, _xlpm.f - _xlpm.c / TAN(_xlpm.neigungswinkel * PI() / 180),
  _xlpm.e, - (IN_rooms!U$13 * IN_rooms!U$14 / 10000)
            - (IN_rooms!U$17 * IN_rooms!U$18 / 10000)
            - (IN_rooms!U$21 * IN_rooms!U$22 / 10000),
  _xlpm.g, IF(IN_rooms!U$37 &gt; 0, IN_rooms!U$37, 0)*IF(IN_rooms!U$29="Ja",IN_rooms!U$30,IN_rooms!U$30/2),
  _xlpm.bed_eins, AND(IN_rooms!U$29 = "Nein", _xlpm.d + _xlpm.a &lt;= 1.5 * IN_rooms!U$4 / IN_rooms!U$30),
  _xlpm.bed_zwei, AND(IN_rooms!U$29 = "Nein", _xlpm.d + _xlpm.a &gt; 1.5 * IN_rooms!U$4 / IN_rooms!U$30),
  _xlpm.bed_drei, AND(IN_rooms!U$29 = "Ja", _xlpm.d + _xlpm.a &lt;= 1.5 * IN_rooms!U$4 / IN_rooms!U$30),
  _xlpm.bed_vier, AND(IN_rooms!U$29 = "Ja", _xlpm.d + _xlpm.a &gt; 1.5 * IN_rooms!U$4 / IN_rooms!U$30),
  _xlpm.fallback, IN_rooms!U$9 * IN_rooms!U$5
            - (IN_rooms!U$13 * IN_rooms!U$14 / 10000)
            - (IN_rooms!U$17 * IN_rooms!U$18 / 10000)
            - (IN_rooms!U$21 * IN_rooms!U$22 / 10000),
  _xlfn.IFS(
    IN_rooms!U$28="Nein",_xlpm.fallback,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Q14" s="67" cm="1">
        <f t="array" ref="Q14">_xlfn.LET(
  _xlpm.a, IN_rooms!V$33,
  _xlpm.c, IF(IN_rooms!V$37 &gt; 0, IN_rooms!V$37, IN_rooms!V$39),
  _xlpm.f, IN_rooms!V$5,
  _xlpm.neigungswinkel, _xlfn.IFS(
    IN_build!$P$4 = "Geneigt", 25,
    IN_build!$P$4 = "Steil", 40,
    IN_build!$P$4 = "Sehr steil", 55),
  _xlpm.d, _xlpm.f - _xlpm.c / TAN(_xlpm.neigungswinkel * PI() / 180),
  _xlpm.e, - (IN_rooms!V$13 * IN_rooms!V$14 / 10000)
            - (IN_rooms!V$17 * IN_rooms!V$18 / 10000)
            - (IN_rooms!V$21 * IN_rooms!V$22 / 10000),
  _xlpm.g, IF(IN_rooms!V$37 &gt; 0, IN_rooms!V$37, 0)*IF(IN_rooms!V$29="Ja",IN_rooms!V$30,IN_rooms!V$30/2),
  _xlpm.bed_eins, AND(IN_rooms!V$29 = "Nein", _xlpm.d + _xlpm.a &lt;= 1.5 * IN_rooms!V$4 / IN_rooms!V$30),
  _xlpm.bed_zwei, AND(IN_rooms!V$29 = "Nein", _xlpm.d + _xlpm.a &gt; 1.5 * IN_rooms!V$4 / IN_rooms!V$30),
  _xlpm.bed_drei, AND(IN_rooms!V$29 = "Ja", _xlpm.d + _xlpm.a &lt;= 1.5 * IN_rooms!V$4 / IN_rooms!V$30),
  _xlpm.bed_vier, AND(IN_rooms!V$29 = "Ja", _xlpm.d + _xlpm.a &gt; 1.5 * IN_rooms!V$4 / IN_rooms!V$30),
  _xlpm.fallback, IN_rooms!V$9 * IN_rooms!V$5
            - (IN_rooms!V$13 * IN_rooms!V$14 / 10000)
            - (IN_rooms!V$17 * IN_rooms!V$18 / 10000)
            - (IN_rooms!V$21 * IN_rooms!V$22 / 10000),
  _xlfn.IFS(
    IN_rooms!V$28="Nein",_xlpm.fallback,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R14" s="67" cm="1">
        <f t="array" ref="R14">_xlfn.LET(
  _xlpm.a, IN_rooms!W$33,
  _xlpm.c, IF(IN_rooms!W$37 &gt; 0, IN_rooms!W$37, IN_rooms!W$39),
  _xlpm.f, IN_rooms!W$5,
  _xlpm.neigungswinkel, _xlfn.IFS(
    IN_build!$P$4 = "Geneigt", 25,
    IN_build!$P$4 = "Steil", 40,
    IN_build!$P$4 = "Sehr steil", 55),
  _xlpm.d, _xlpm.f - _xlpm.c / TAN(_xlpm.neigungswinkel * PI() / 180),
  _xlpm.e, - (IN_rooms!W$13 * IN_rooms!W$14 / 10000)
            - (IN_rooms!W$17 * IN_rooms!W$18 / 10000)
            - (IN_rooms!W$21 * IN_rooms!W$22 / 10000),
  _xlpm.g, IF(IN_rooms!W$37 &gt; 0, IN_rooms!W$37, 0)*IF(IN_rooms!W$29="Ja",IN_rooms!W$30,IN_rooms!W$30/2),
  _xlpm.bed_eins, AND(IN_rooms!W$29 = "Nein", _xlpm.d + _xlpm.a &lt;= 1.5 * IN_rooms!W$4 / IN_rooms!W$30),
  _xlpm.bed_zwei, AND(IN_rooms!W$29 = "Nein", _xlpm.d + _xlpm.a &gt; 1.5 * IN_rooms!W$4 / IN_rooms!W$30),
  _xlpm.bed_drei, AND(IN_rooms!W$29 = "Ja", _xlpm.d + _xlpm.a &lt;= 1.5 * IN_rooms!W$4 / IN_rooms!W$30),
  _xlpm.bed_vier, AND(IN_rooms!W$29 = "Ja", _xlpm.d + _xlpm.a &gt; 1.5 * IN_rooms!W$4 / IN_rooms!W$30),
  _xlpm.fallback, IN_rooms!W$9 * IN_rooms!W$5
            - (IN_rooms!W$13 * IN_rooms!W$14 / 10000)
            - (IN_rooms!W$17 * IN_rooms!W$18 / 10000)
            - (IN_rooms!W$21 * IN_rooms!W$22 / 10000),
  _xlfn.IFS(
    IN_rooms!W$28="Nein",_xlpm.fallback,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S14" s="67" cm="1">
        <f t="array" ref="S14">_xlfn.LET(
  _xlpm.a, IN_rooms!X$33,
  _xlpm.c, IF(IN_rooms!X$37 &gt; 0, IN_rooms!X$37, IN_rooms!X$39),
  _xlpm.f, IN_rooms!X$5,
  _xlpm.neigungswinkel, _xlfn.IFS(
    IN_build!$P$4 = "Geneigt", 25,
    IN_build!$P$4 = "Steil", 40,
    IN_build!$P$4 = "Sehr steil", 55),
  _xlpm.d, _xlpm.f - _xlpm.c / TAN(_xlpm.neigungswinkel * PI() / 180),
  _xlpm.e, - (IN_rooms!X$13 * IN_rooms!X$14 / 10000)
            - (IN_rooms!X$17 * IN_rooms!X$18 / 10000)
            - (IN_rooms!X$21 * IN_rooms!X$22 / 10000),
  _xlpm.g, IF(IN_rooms!X$37 &gt; 0, IN_rooms!X$37, 0)*IF(IN_rooms!X$29="Ja",IN_rooms!X$30,IN_rooms!X$30/2),
  _xlpm.bed_eins, AND(IN_rooms!X$29 = "Nein", _xlpm.d + _xlpm.a &lt;= 1.5 * IN_rooms!X$4 / IN_rooms!X$30),
  _xlpm.bed_zwei, AND(IN_rooms!X$29 = "Nein", _xlpm.d + _xlpm.a &gt; 1.5 * IN_rooms!X$4 / IN_rooms!X$30),
  _xlpm.bed_drei, AND(IN_rooms!X$29 = "Ja", _xlpm.d + _xlpm.a &lt;= 1.5 * IN_rooms!X$4 / IN_rooms!X$30),
  _xlpm.bed_vier, AND(IN_rooms!X$29 = "Ja", _xlpm.d + _xlpm.a &gt; 1.5 * IN_rooms!X$4 / IN_rooms!X$30),
  _xlpm.fallback, IN_rooms!X$9 * IN_rooms!X$5
            - (IN_rooms!X$13 * IN_rooms!X$14 / 10000)
            - (IN_rooms!X$17 * IN_rooms!X$18 / 10000)
            - (IN_rooms!X$21 * IN_rooms!X$22 / 10000),
  _xlfn.IFS(
    IN_rooms!X$28="Nein",_xlpm.fallback,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T14" s="67" cm="1">
        <f t="array" ref="T14">_xlfn.LET(
  _xlpm.a, IN_rooms!Y$33,
  _xlpm.c, IF(IN_rooms!Y$37 &gt; 0, IN_rooms!Y$37, IN_rooms!Y$39),
  _xlpm.f, IN_rooms!Y$5,
  _xlpm.neigungswinkel, _xlfn.IFS(
    IN_build!$P$4 = "Geneigt", 25,
    IN_build!$P$4 = "Steil", 40,
    IN_build!$P$4 = "Sehr steil", 55),
  _xlpm.d, _xlpm.f - _xlpm.c / TAN(_xlpm.neigungswinkel * PI() / 180),
  _xlpm.e, - (IN_rooms!Y$13 * IN_rooms!Y$14 / 10000)
            - (IN_rooms!Y$17 * IN_rooms!Y$18 / 10000)
            - (IN_rooms!Y$21 * IN_rooms!Y$22 / 10000),
  _xlpm.g, IF(IN_rooms!Y$37 &gt; 0, IN_rooms!Y$37, 0)*IF(IN_rooms!Y$29="Ja",IN_rooms!Y$30,IN_rooms!Y$30/2),
  _xlpm.bed_eins, AND(IN_rooms!Y$29 = "Nein", _xlpm.d + _xlpm.a &lt;= 1.5 * IN_rooms!Y$4 / IN_rooms!Y$30),
  _xlpm.bed_zwei, AND(IN_rooms!Y$29 = "Nein", _xlpm.d + _xlpm.a &gt; 1.5 * IN_rooms!Y$4 / IN_rooms!Y$30),
  _xlpm.bed_drei, AND(IN_rooms!Y$29 = "Ja", _xlpm.d + _xlpm.a &lt;= 1.5 * IN_rooms!Y$4 / IN_rooms!Y$30),
  _xlpm.bed_vier, AND(IN_rooms!Y$29 = "Ja", _xlpm.d + _xlpm.a &gt; 1.5 * IN_rooms!Y$4 / IN_rooms!Y$30),
  _xlpm.fallback, IN_rooms!Y$9 * IN_rooms!Y$5
            - (IN_rooms!Y$13 * IN_rooms!Y$14 / 10000)
            - (IN_rooms!Y$17 * IN_rooms!Y$18 / 10000)
            - (IN_rooms!Y$21 * IN_rooms!Y$22 / 10000),
  _xlfn.IFS(
    IN_rooms!Y$28="Nein",_xlpm.fallback,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U14" s="67" cm="1">
        <f t="array" ref="U14">_xlfn.LET(
  _xlpm.a, IN_rooms!Z$33,
  _xlpm.c, IF(IN_rooms!Z$37 &gt; 0, IN_rooms!Z$37, IN_rooms!Z$39),
  _xlpm.f, IN_rooms!Z$5,
  _xlpm.neigungswinkel, _xlfn.IFS(
    IN_build!$P$4 = "Geneigt", 25,
    IN_build!$P$4 = "Steil", 40,
    IN_build!$P$4 = "Sehr steil", 55),
  _xlpm.d, _xlpm.f - _xlpm.c / TAN(_xlpm.neigungswinkel * PI() / 180),
  _xlpm.e, - (IN_rooms!Z$13 * IN_rooms!Z$14 / 10000)
            - (IN_rooms!Z$17 * IN_rooms!Z$18 / 10000)
            - (IN_rooms!Z$21 * IN_rooms!Z$22 / 10000),
  _xlpm.g, IF(IN_rooms!Z$37 &gt; 0, IN_rooms!Z$37, 0)*IF(IN_rooms!Z$29="Ja",IN_rooms!Z$30,IN_rooms!Z$30/2),
  _xlpm.bed_eins, AND(IN_rooms!Z$29 = "Nein", _xlpm.d + _xlpm.a &lt;= 1.5 * IN_rooms!Z$4 / IN_rooms!Z$30),
  _xlpm.bed_zwei, AND(IN_rooms!Z$29 = "Nein", _xlpm.d + _xlpm.a &gt; 1.5 * IN_rooms!Z$4 / IN_rooms!Z$30),
  _xlpm.bed_drei, AND(IN_rooms!Z$29 = "Ja", _xlpm.d + _xlpm.a &lt;= 1.5 * IN_rooms!Z$4 / IN_rooms!Z$30),
  _xlpm.bed_vier, AND(IN_rooms!Z$29 = "Ja", _xlpm.d + _xlpm.a &gt; 1.5 * IN_rooms!Z$4 / IN_rooms!Z$30),
  _xlpm.fallback, IN_rooms!Z$9 * IN_rooms!Z$5
            - (IN_rooms!Z$13 * IN_rooms!Z$14 / 10000)
            - (IN_rooms!Z$17 * IN_rooms!Z$18 / 10000)
            - (IN_rooms!Z$21 * IN_rooms!Z$22 / 10000),
  _xlfn.IFS(
    IN_rooms!Z$28="Nein",_xlpm.fallback,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V14" s="67" cm="1">
        <f t="array" ref="V14">_xlfn.LET(
  _xlpm.a, IN_rooms!AA$33,
  _xlpm.c, IF(IN_rooms!AA$37 &gt; 0, IN_rooms!AA$37, IN_rooms!AA$39),
  _xlpm.f, IN_rooms!AA$5,
  _xlpm.neigungswinkel, _xlfn.IFS(
    IN_build!$P$4 = "Geneigt", 25,
    IN_build!$P$4 = "Steil", 40,
    IN_build!$P$4 = "Sehr steil", 55),
  _xlpm.d, _xlpm.f - _xlpm.c / TAN(_xlpm.neigungswinkel * PI() / 180),
  _xlpm.e, - (IN_rooms!AA$13 * IN_rooms!AA$14 / 10000)
            - (IN_rooms!AA$17 * IN_rooms!AA$18 / 10000)
            - (IN_rooms!AA$21 * IN_rooms!AA$22 / 10000),
  _xlpm.g, IF(IN_rooms!AA$37 &gt; 0, IN_rooms!AA$37, 0)*IF(IN_rooms!AA$29="Ja",IN_rooms!AA$30,IN_rooms!AA$30/2),
  _xlpm.bed_eins, AND(IN_rooms!AA$29 = "Nein", _xlpm.d + _xlpm.a &lt;= 1.5 * IN_rooms!AA$4 / IN_rooms!AA$30),
  _xlpm.bed_zwei, AND(IN_rooms!AA$29 = "Nein", _xlpm.d + _xlpm.a &gt; 1.5 * IN_rooms!AA$4 / IN_rooms!AA$30),
  _xlpm.bed_drei, AND(IN_rooms!AA$29 = "Ja", _xlpm.d + _xlpm.a &lt;= 1.5 * IN_rooms!AA$4 / IN_rooms!AA$30),
  _xlpm.bed_vier, AND(IN_rooms!AA$29 = "Ja", _xlpm.d + _xlpm.a &gt; 1.5 * IN_rooms!AA$4 / IN_rooms!AA$30),
  _xlpm.fallback, IN_rooms!AA$9 * IN_rooms!AA$5
            - (IN_rooms!AA$13 * IN_rooms!AA$14 / 10000)
            - (IN_rooms!AA$17 * IN_rooms!AA$18 / 10000)
            - (IN_rooms!AA$21 * IN_rooms!AA$22 / 10000),
  _xlfn.IFS(
    IN_rooms!AA$28="Nein",_xlpm.fallback,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W14" s="67" cm="1">
        <f t="array" ref="W14">_xlfn.LET(
  _xlpm.a, IN_rooms!AB$33,
  _xlpm.c, IF(IN_rooms!AB$37 &gt; 0, IN_rooms!AB$37, IN_rooms!AB$39),
  _xlpm.f, IN_rooms!AB$5,
  _xlpm.neigungswinkel, _xlfn.IFS(
    IN_build!$P$4 = "Geneigt", 25,
    IN_build!$P$4 = "Steil", 40,
    IN_build!$P$4 = "Sehr steil", 55),
  _xlpm.d, _xlpm.f - _xlpm.c / TAN(_xlpm.neigungswinkel * PI() / 180),
  _xlpm.e, - (IN_rooms!AB$13 * IN_rooms!AB$14 / 10000)
            - (IN_rooms!AB$17 * IN_rooms!AB$18 / 10000)
            - (IN_rooms!AB$21 * IN_rooms!AB$22 / 10000),
  _xlpm.g, IF(IN_rooms!AB$37 &gt; 0, IN_rooms!AB$37, 0)*IF(IN_rooms!AB$29="Ja",IN_rooms!AB$30,IN_rooms!AB$30/2),
  _xlpm.bed_eins, AND(IN_rooms!AB$29 = "Nein", _xlpm.d + _xlpm.a &lt;= 1.5 * IN_rooms!AB$4 / IN_rooms!AB$30),
  _xlpm.bed_zwei, AND(IN_rooms!AB$29 = "Nein", _xlpm.d + _xlpm.a &gt; 1.5 * IN_rooms!AB$4 / IN_rooms!AB$30),
  _xlpm.bed_drei, AND(IN_rooms!AB$29 = "Ja", _xlpm.d + _xlpm.a &lt;= 1.5 * IN_rooms!AB$4 / IN_rooms!AB$30),
  _xlpm.bed_vier, AND(IN_rooms!AB$29 = "Ja", _xlpm.d + _xlpm.a &gt; 1.5 * IN_rooms!AB$4 / IN_rooms!AB$30),
  _xlpm.fallback, IN_rooms!AB$9 * IN_rooms!AB$5
            - (IN_rooms!AB$13 * IN_rooms!AB$14 / 10000)
            - (IN_rooms!AB$17 * IN_rooms!AB$18 / 10000)
            - (IN_rooms!AB$21 * IN_rooms!AB$22 / 10000),
  _xlfn.IFS(
    IN_rooms!AB$28="Nein",_xlpm.fallback,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X14" s="67" cm="1">
        <f t="array" ref="X14">_xlfn.LET(
  _xlpm.a, IN_rooms!AC$33,
  _xlpm.c, IF(IN_rooms!AC$37 &gt; 0, IN_rooms!AC$37, IN_rooms!AC$39),
  _xlpm.f, IN_rooms!AC$5,
  _xlpm.neigungswinkel, _xlfn.IFS(
    IN_build!$P$4 = "Geneigt", 25,
    IN_build!$P$4 = "Steil", 40,
    IN_build!$P$4 = "Sehr steil", 55),
  _xlpm.d, _xlpm.f - _xlpm.c / TAN(_xlpm.neigungswinkel * PI() / 180),
  _xlpm.e, - (IN_rooms!AC$13 * IN_rooms!AC$14 / 10000)
            - (IN_rooms!AC$17 * IN_rooms!AC$18 / 10000)
            - (IN_rooms!AC$21 * IN_rooms!AC$22 / 10000),
  _xlpm.g, IF(IN_rooms!AC$37 &gt; 0, IN_rooms!AC$37, 0)*IF(IN_rooms!AC$29="Ja",IN_rooms!AC$30,IN_rooms!AC$30/2),
  _xlpm.bed_eins, AND(IN_rooms!AC$29 = "Nein", _xlpm.d + _xlpm.a &lt;= 1.5 * IN_rooms!AC$4 / IN_rooms!AC$30),
  _xlpm.bed_zwei, AND(IN_rooms!AC$29 = "Nein", _xlpm.d + _xlpm.a &gt; 1.5 * IN_rooms!AC$4 / IN_rooms!AC$30),
  _xlpm.bed_drei, AND(IN_rooms!AC$29 = "Ja", _xlpm.d + _xlpm.a &lt;= 1.5 * IN_rooms!AC$4 / IN_rooms!AC$30),
  _xlpm.bed_vier, AND(IN_rooms!AC$29 = "Ja", _xlpm.d + _xlpm.a &gt; 1.5 * IN_rooms!AC$4 / IN_rooms!AC$30),
  _xlpm.fallback, IN_rooms!AC$9 * IN_rooms!AC$5
            - (IN_rooms!AC$13 * IN_rooms!AC$14 / 10000)
            - (IN_rooms!AC$17 * IN_rooms!AC$18 / 10000)
            - (IN_rooms!AC$21 * IN_rooms!AC$22 / 10000),
  _xlfn.IFS(
    IN_rooms!AC$28="Nein",_xlpm.fallback,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Y14" s="67" cm="1">
        <f t="array" ref="Y14">_xlfn.LET(
  _xlpm.a, IN_rooms!AD$33,
  _xlpm.c, IF(IN_rooms!AD$37 &gt; 0, IN_rooms!AD$37, IN_rooms!AD$39),
  _xlpm.f, IN_rooms!AD$5,
  _xlpm.neigungswinkel, _xlfn.IFS(
    IN_build!$P$4 = "Geneigt", 25,
    IN_build!$P$4 = "Steil", 40,
    IN_build!$P$4 = "Sehr steil", 55),
  _xlpm.d, _xlpm.f - _xlpm.c / TAN(_xlpm.neigungswinkel * PI() / 180),
  _xlpm.e, - (IN_rooms!AD$13 * IN_rooms!AD$14 / 10000)
            - (IN_rooms!AD$17 * IN_rooms!AD$18 / 10000)
            - (IN_rooms!AD$21 * IN_rooms!AD$22 / 10000),
  _xlpm.g, IF(IN_rooms!AD$37 &gt; 0, IN_rooms!AD$37, 0)*IF(IN_rooms!AD$29="Ja",IN_rooms!AD$30,IN_rooms!AD$30/2),
  _xlpm.bed_eins, AND(IN_rooms!AD$29 = "Nein", _xlpm.d + _xlpm.a &lt;= 1.5 * IN_rooms!AD$4 / IN_rooms!AD$30),
  _xlpm.bed_zwei, AND(IN_rooms!AD$29 = "Nein", _xlpm.d + _xlpm.a &gt; 1.5 * IN_rooms!AD$4 / IN_rooms!AD$30),
  _xlpm.bed_drei, AND(IN_rooms!AD$29 = "Ja", _xlpm.d + _xlpm.a &lt;= 1.5 * IN_rooms!AD$4 / IN_rooms!AD$30),
  _xlpm.bed_vier, AND(IN_rooms!AD$29 = "Ja", _xlpm.d + _xlpm.a &gt; 1.5 * IN_rooms!AD$4 / IN_rooms!AD$30),
  _xlpm.fallback, IN_rooms!AD$9 * IN_rooms!AD$5
            - (IN_rooms!AD$13 * IN_rooms!AD$14 / 10000)
            - (IN_rooms!AD$17 * IN_rooms!AD$18 / 10000)
            - (IN_rooms!AD$21 * IN_rooms!AD$22 / 10000),
  _xlfn.IFS(
    IN_rooms!AD$28="Nein",_xlpm.fallback,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Z14" s="67" cm="1">
        <f t="array" ref="Z14">_xlfn.LET(
  _xlpm.a, IN_rooms!AE$33,
  _xlpm.c, IF(IN_rooms!AE$37 &gt; 0, IN_rooms!AE$37, IN_rooms!AE$39),
  _xlpm.f, IN_rooms!AE$5,
  _xlpm.neigungswinkel, _xlfn.IFS(
    IN_build!$P$4 = "Geneigt", 25,
    IN_build!$P$4 = "Steil", 40,
    IN_build!$P$4 = "Sehr steil", 55),
  _xlpm.d, _xlpm.f - _xlpm.c / TAN(_xlpm.neigungswinkel * PI() / 180),
  _xlpm.e, - (IN_rooms!AE$13 * IN_rooms!AE$14 / 10000)
            - (IN_rooms!AE$17 * IN_rooms!AE$18 / 10000)
            - (IN_rooms!AE$21 * IN_rooms!AE$22 / 10000),
  _xlpm.g, IF(IN_rooms!AE$37 &gt; 0, IN_rooms!AE$37, 0)*IF(IN_rooms!AE$29="Ja",IN_rooms!AE$30,IN_rooms!AE$30/2),
  _xlpm.bed_eins, AND(IN_rooms!AE$29 = "Nein", _xlpm.d + _xlpm.a &lt;= 1.5 * IN_rooms!AE$4 / IN_rooms!AE$30),
  _xlpm.bed_zwei, AND(IN_rooms!AE$29 = "Nein", _xlpm.d + _xlpm.a &gt; 1.5 * IN_rooms!AE$4 / IN_rooms!AE$30),
  _xlpm.bed_drei, AND(IN_rooms!AE$29 = "Ja", _xlpm.d + _xlpm.a &lt;= 1.5 * IN_rooms!AE$4 / IN_rooms!AE$30),
  _xlpm.bed_vier, AND(IN_rooms!AE$29 = "Ja", _xlpm.d + _xlpm.a &gt; 1.5 * IN_rooms!AE$4 / IN_rooms!AE$30),
  _xlpm.fallback, IN_rooms!AE$9 * IN_rooms!AE$5
            - (IN_rooms!AE$13 * IN_rooms!AE$14 / 10000)
            - (IN_rooms!AE$17 * IN_rooms!AE$18 / 10000)
            - (IN_rooms!AE$21 * IN_rooms!AE$22 / 10000),
  _xlfn.IFS(
    IN_rooms!AE$28="Nein",_xlpm.fallback,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c r="AA14" s="67" cm="1">
        <f t="array" ref="AA14">_xlfn.LET(
  _xlpm.a, IN_rooms!AF$33,
  _xlpm.c, IF(IN_rooms!AF$37 &gt; 0, IN_rooms!AF$37, IN_rooms!AF$39),
  _xlpm.f, IN_rooms!AF$5,
  _xlpm.neigungswinkel, _xlfn.IFS(
    IN_build!$P$4 = "Geneigt", 25,
    IN_build!$P$4 = "Steil", 40,
    IN_build!$P$4 = "Sehr steil", 55),
  _xlpm.d, _xlpm.f - _xlpm.c / TAN(_xlpm.neigungswinkel * PI() / 180),
  _xlpm.e, - (IN_rooms!AF$13 * IN_rooms!AF$14 / 10000)
            - (IN_rooms!AF$17 * IN_rooms!AF$18 / 10000)
            - (IN_rooms!AF$21 * IN_rooms!AF$22 / 10000),
  _xlpm.g, IF(IN_rooms!AF$37 &gt; 0, IN_rooms!AF$37, 0)*IF(IN_rooms!AF$29="Ja",IN_rooms!AF$30,IN_rooms!AF$30/2),
  _xlpm.bed_eins, AND(IN_rooms!AF$29 = "Nein", _xlpm.d + _xlpm.a &lt;= 1.5 * IN_rooms!AF$4 / IN_rooms!AF$30),
  _xlpm.bed_zwei, AND(IN_rooms!AF$29 = "Nein", _xlpm.d + _xlpm.a &gt; 1.5 * IN_rooms!AF$4 / IN_rooms!AF$30),
  _xlpm.bed_drei, AND(IN_rooms!AF$29 = "Ja", _xlpm.d + _xlpm.a &lt;= 1.5 * IN_rooms!AF$4 / IN_rooms!AF$30),
  _xlpm.bed_vier, AND(IN_rooms!AF$29 = "Ja", _xlpm.d + _xlpm.a &gt; 1.5 * IN_rooms!AF$4 / IN_rooms!AF$30),
  _xlpm.fallback, IN_rooms!AF$9 * IN_rooms!AF$5
            - (IN_rooms!AF$13 * IN_rooms!AF$14 / 10000)
            - (IN_rooms!AF$17 * IN_rooms!AF$18 / 10000)
            - (IN_rooms!AF$21 * IN_rooms!AF$22 / 10000),
  _xlfn.IFS(
    IN_rooms!AF$28="Nein",_xlpm.fallback,
    _xlpm.bed_eins, (_xlpm.a + _xlpm.d) * _xlpm.c + (_xlpm.f - _xlpm.c) * _xlpm.a + 0.5 * (_xlpm.f - _xlpm.c) * _xlpm.d-_xlpm.e+_xlpm.g,
    _xlpm.bed_zwei, 2 * (_xlpm.a + _xlpm.d) * _xlpm.c + (_xlpm.f - _xlpm.c) * _xlpm.a + 0.5 * (_xlpm.f - _xlpm.c) * _xlpm.d-_xlpm.e+_xlpm.g,
    _xlpm.bed_drei, (_xlpm.a + _xlpm.d) * _xlpm.c + (_xlpm.f - _xlpm.c) * _xlpm.a + (_xlpm.f - _xlpm.c) * _xlpm.d-_xlpm.e+_xlpm.g,
    _xlpm.bed_vier, 2 * (_xlpm.a + _xlpm.d) * _xlpm.c + (_xlpm.f - _xlpm.c) * _xlpm.a + (_xlpm.f - _xlpm.c) * _xlpm.d-_xlpm.e+_xlpm.g,
    TRUE, _xlpm.fallback
  )
)</f>
        <v>3.125</v>
      </c>
    </row>
    <row r="15" spans="1:27" ht="15.75" thickBot="1" x14ac:dyDescent="0.3">
      <c r="A15" t="s">
        <v>185</v>
      </c>
      <c r="B15" t="s">
        <v>678</v>
      </c>
      <c r="D15" t="s">
        <v>184</v>
      </c>
      <c r="F15" t="s">
        <v>679</v>
      </c>
      <c r="G15" t="s">
        <v>680</v>
      </c>
      <c r="M15" s="302" cm="1">
        <f t="array" ref="M15">IF(M14=0,0,_xlfn.AGGREGATE(15,6,IWU[U-Wert]/((IWU[Bauteil]=LEFT($A$14,9))*(IWU[Baujahr]=clc_load!M4)*(IWU[Gebäudetyp]=clc_load!M3)),1))</f>
        <v>0.8</v>
      </c>
      <c r="N15" s="66" cm="1">
        <f t="array" ref="N15">IF(N14=0,0,_xlfn.AGGREGATE(15,6,IWU[U-Wert]/((IWU[Bauteil]=LEFT($A$14,9))*(IWU[Baujahr]=clc_load!N4)*(IWU[Gebäudetyp]=clc_load!N3)),1))</f>
        <v>0.8</v>
      </c>
      <c r="O15" s="66" cm="1">
        <f t="array" ref="O15">IF(O14=0,0,_xlfn.AGGREGATE(15,6,IWU[U-Wert]/((IWU[Bauteil]=LEFT($A$14,9))*(IWU[Baujahr]=clc_load!O4)*(IWU[Gebäudetyp]=clc_load!O3)),1))</f>
        <v>0.8</v>
      </c>
      <c r="P15" s="66" cm="1">
        <f t="array" ref="P15">IF(P14=0,0,_xlfn.AGGREGATE(15,6,IWU[U-Wert]/((IWU[Bauteil]=LEFT($A$14,9))*(IWU[Baujahr]=clc_load!P4)*(IWU[Gebäudetyp]=clc_load!P3)),1))</f>
        <v>0.8</v>
      </c>
      <c r="Q15" s="66" cm="1">
        <f t="array" ref="Q15">IF(Q14=0,0,_xlfn.AGGREGATE(15,6,IWU[U-Wert]/((IWU[Bauteil]=LEFT($A$14,9))*(IWU[Baujahr]=clc_load!Q4)*(IWU[Gebäudetyp]=clc_load!Q3)),1))</f>
        <v>0.8</v>
      </c>
      <c r="R15" s="66" cm="1">
        <f t="array" ref="R15">IF(R14=0,0,_xlfn.AGGREGATE(15,6,IWU[U-Wert]/((IWU[Bauteil]=LEFT($A$14,9))*(IWU[Baujahr]=clc_load!R4)*(IWU[Gebäudetyp]=clc_load!R3)),1))</f>
        <v>0.8</v>
      </c>
      <c r="S15" s="66" cm="1">
        <f t="array" ref="S15">IF(S14=0,0,_xlfn.AGGREGATE(15,6,IWU[U-Wert]/((IWU[Bauteil]=LEFT($A$14,9))*(IWU[Baujahr]=clc_load!S4)*(IWU[Gebäudetyp]=clc_load!S3)),1))</f>
        <v>0.8</v>
      </c>
      <c r="T15" s="66" cm="1">
        <f t="array" ref="T15">IF(T14=0,0,_xlfn.AGGREGATE(15,6,IWU[U-Wert]/((IWU[Bauteil]=LEFT($A$14,9))*(IWU[Baujahr]=clc_load!T4)*(IWU[Gebäudetyp]=clc_load!T3)),1))</f>
        <v>0.8</v>
      </c>
      <c r="U15" s="66" cm="1">
        <f t="array" ref="U15">IF(U14=0,0,_xlfn.AGGREGATE(15,6,IWU[U-Wert]/((IWU[Bauteil]=LEFT($A$14,9))*(IWU[Baujahr]=clc_load!U4)*(IWU[Gebäudetyp]=clc_load!U3)),1))</f>
        <v>0.8</v>
      </c>
      <c r="V15" s="66" cm="1">
        <f t="array" ref="V15">IF(V14=0,0,_xlfn.AGGREGATE(15,6,IWU[U-Wert]/((IWU[Bauteil]=LEFT($A$14,9))*(IWU[Baujahr]=clc_load!V4)*(IWU[Gebäudetyp]=clc_load!V3)),1))</f>
        <v>0.8</v>
      </c>
      <c r="W15" s="66" cm="1">
        <f t="array" ref="W15">IF(W14=0,0,_xlfn.AGGREGATE(15,6,IWU[U-Wert]/((IWU[Bauteil]=LEFT($A$14,9))*(IWU[Baujahr]=clc_load!W4)*(IWU[Gebäudetyp]=clc_load!W3)),1))</f>
        <v>0.8</v>
      </c>
      <c r="X15" s="66" cm="1">
        <f t="array" ref="X15">IF(X14=0,0,_xlfn.AGGREGATE(15,6,IWU[U-Wert]/((IWU[Bauteil]=LEFT($A$14,9))*(IWU[Baujahr]=clc_load!X4)*(IWU[Gebäudetyp]=clc_load!X3)),1))</f>
        <v>0.8</v>
      </c>
      <c r="Y15" s="66" cm="1">
        <f t="array" ref="Y15">IF(Y14=0,0,_xlfn.AGGREGATE(15,6,IWU[U-Wert]/((IWU[Bauteil]=LEFT($A$14,9))*(IWU[Baujahr]=clc_load!Y4)*(IWU[Gebäudetyp]=clc_load!Y3)),1))</f>
        <v>0.8</v>
      </c>
      <c r="Z15" s="66" cm="1">
        <f t="array" ref="Z15">IF(Z14=0,0,_xlfn.AGGREGATE(15,6,IWU[U-Wert]/((IWU[Bauteil]=LEFT($A$14,9))*(IWU[Baujahr]=clc_load!Z4)*(IWU[Gebäudetyp]=clc_load!Z3)),1))</f>
        <v>0.8</v>
      </c>
      <c r="AA15" s="66" cm="1">
        <f t="array" ref="AA15">IF(AA14=0,0,_xlfn.AGGREGATE(15,6,IWU[U-Wert]/((IWU[Bauteil]=LEFT($A$14,9))*(IWU[Baujahr]=clc_load!AA4)*(IWU[Gebäudetyp]=clc_load!AA3)),1))</f>
        <v>0.8</v>
      </c>
    </row>
    <row r="16" spans="1:27" ht="15.75" thickBot="1" x14ac:dyDescent="0.3">
      <c r="A16" t="s">
        <v>185</v>
      </c>
      <c r="B16" t="s">
        <v>681</v>
      </c>
      <c r="D16" t="s">
        <v>184</v>
      </c>
      <c r="F16" t="s">
        <v>682</v>
      </c>
      <c r="G16" t="s">
        <v>680</v>
      </c>
      <c r="K16">
        <f>0.04/M16</f>
        <v>4.9999999999999996E-2</v>
      </c>
      <c r="M16" s="302" cm="1">
        <f t="array" ref="M16">IF(IN_build!$Q$7="Ja",_xlfn.AGGREGATE(15,6,UWert_Mod[U-Wert]/((UWert_Mod[Bauteil]=LEFT(clc_load!$A$16,9))*(UWert_Mod[Modernisierungsjahr]=IN_build!$S$7)),1),M$15)</f>
        <v>0.8</v>
      </c>
      <c r="N16" s="66" cm="1">
        <f t="array" ref="N16">IF(IN_build!$Q$7="Ja",_xlfn.AGGREGATE(15,6,UWert_Mod[U-Wert]/((UWert_Mod[Bauteil]=LEFT(clc_load!$A$16,9))*(UWert_Mod[Modernisierungsjahr]=IN_build!$S$7)),1),N$15)</f>
        <v>0.8</v>
      </c>
      <c r="O16" s="66" cm="1">
        <f t="array" ref="O16">IF(IN_build!$Q$7="Ja",_xlfn.AGGREGATE(15,6,UWert_Mod[U-Wert]/((UWert_Mod[Bauteil]=LEFT(clc_load!$A$16,9))*(UWert_Mod[Modernisierungsjahr]=IN_build!$S$7)),1),O$15)</f>
        <v>0.8</v>
      </c>
      <c r="P16" s="66" cm="1">
        <f t="array" ref="P16">IF(IN_build!$Q$7="Ja",_xlfn.AGGREGATE(15,6,UWert_Mod[U-Wert]/((UWert_Mod[Bauteil]=LEFT(clc_load!$A$16,9))*(UWert_Mod[Modernisierungsjahr]=IN_build!$S$7)),1),P$15)</f>
        <v>0.8</v>
      </c>
      <c r="Q16" s="66" cm="1">
        <f t="array" ref="Q16">IF(IN_build!$Q$7="Ja",_xlfn.AGGREGATE(15,6,UWert_Mod[U-Wert]/((UWert_Mod[Bauteil]=LEFT(clc_load!$A$16,9))*(UWert_Mod[Modernisierungsjahr]=IN_build!$S$7)),1),Q$15)</f>
        <v>0.8</v>
      </c>
      <c r="R16" s="66" cm="1">
        <f t="array" ref="R16">IF(IN_build!$Q$7="Ja",_xlfn.AGGREGATE(15,6,UWert_Mod[U-Wert]/((UWert_Mod[Bauteil]=LEFT(clc_load!$A$16,9))*(UWert_Mod[Modernisierungsjahr]=IN_build!$S$7)),1),R$15)</f>
        <v>0.8</v>
      </c>
      <c r="S16" s="66" cm="1">
        <f t="array" ref="S16">IF(IN_build!$Q$7="Ja",_xlfn.AGGREGATE(15,6,UWert_Mod[U-Wert]/((UWert_Mod[Bauteil]=LEFT(clc_load!$A$16,9))*(UWert_Mod[Modernisierungsjahr]=IN_build!$S$7)),1),S$15)</f>
        <v>0.8</v>
      </c>
      <c r="T16" s="66" cm="1">
        <f t="array" ref="T16">IF(IN_build!$Q$7="Ja",_xlfn.AGGREGATE(15,6,UWert_Mod[U-Wert]/((UWert_Mod[Bauteil]=LEFT(clc_load!$A$16,9))*(UWert_Mod[Modernisierungsjahr]=IN_build!$S$7)),1),T$15)</f>
        <v>0.8</v>
      </c>
      <c r="U16" s="66" cm="1">
        <f t="array" ref="U16">IF(IN_build!$Q$7="Ja",_xlfn.AGGREGATE(15,6,UWert_Mod[U-Wert]/((UWert_Mod[Bauteil]=LEFT(clc_load!$A$16,9))*(UWert_Mod[Modernisierungsjahr]=IN_build!$S$7)),1),U$15)</f>
        <v>0.8</v>
      </c>
      <c r="V16" s="66" cm="1">
        <f t="array" ref="V16">IF(IN_build!$Q$7="Ja",_xlfn.AGGREGATE(15,6,UWert_Mod[U-Wert]/((UWert_Mod[Bauteil]=LEFT(clc_load!$A$16,9))*(UWert_Mod[Modernisierungsjahr]=IN_build!$S$7)),1),V$15)</f>
        <v>0.8</v>
      </c>
      <c r="W16" s="66" cm="1">
        <f t="array" ref="W16">IF(IN_build!$Q$7="Ja",_xlfn.AGGREGATE(15,6,UWert_Mod[U-Wert]/((UWert_Mod[Bauteil]=LEFT(clc_load!$A$16,9))*(UWert_Mod[Modernisierungsjahr]=IN_build!$S$7)),1),W$15)</f>
        <v>0.8</v>
      </c>
      <c r="X16" s="66" cm="1">
        <f t="array" ref="X16">IF(IN_build!$Q$7="Ja",_xlfn.AGGREGATE(15,6,UWert_Mod[U-Wert]/((UWert_Mod[Bauteil]=LEFT(clc_load!$A$16,9))*(UWert_Mod[Modernisierungsjahr]=IN_build!$S$7)),1),X$15)</f>
        <v>0.8</v>
      </c>
      <c r="Y16" s="66" cm="1">
        <f t="array" ref="Y16">IF(IN_build!$Q$7="Ja",_xlfn.AGGREGATE(15,6,UWert_Mod[U-Wert]/((UWert_Mod[Bauteil]=LEFT(clc_load!$A$16,9))*(UWert_Mod[Modernisierungsjahr]=IN_build!$S$7)),1),Y$15)</f>
        <v>0.8</v>
      </c>
      <c r="Z16" s="66" cm="1">
        <f t="array" ref="Z16">IF(IN_build!$Q$7="Ja",_xlfn.AGGREGATE(15,6,UWert_Mod[U-Wert]/((UWert_Mod[Bauteil]=LEFT(clc_load!$A$16,9))*(UWert_Mod[Modernisierungsjahr]=IN_build!$S$7)),1),Z$15)</f>
        <v>0.8</v>
      </c>
      <c r="AA16" s="66" cm="1">
        <f t="array" ref="AA16">IF(IN_build!$Q$7="Ja",_xlfn.AGGREGATE(15,6,UWert_Mod[U-Wert]/((UWert_Mod[Bauteil]=LEFT(clc_load!$A$16,9))*(UWert_Mod[Modernisierungsjahr]=IN_build!$S$7)),1),AA$15)</f>
        <v>0.8</v>
      </c>
    </row>
    <row r="17" spans="1:27" ht="15.75" thickBot="1" x14ac:dyDescent="0.3">
      <c r="A17" t="s">
        <v>185</v>
      </c>
      <c r="B17" t="s">
        <v>683</v>
      </c>
      <c r="D17" t="s">
        <v>184</v>
      </c>
      <c r="F17" t="s">
        <v>684</v>
      </c>
      <c r="G17" t="s">
        <v>112</v>
      </c>
      <c r="M17" s="299">
        <f>IF(M14=0,0,M14*(M16+M$8)*_xlfn.XLOOKUP(IN_rooms!R12,DD_Bauteil_grenz[[Grenze Bauteil gegen ]],DD_Bauteil_grenz[Temperaturkorrekturfaktor],"FEHLER",0,1)*(M$10-Normaußentemperatur_12831!$B$6))</f>
        <v>100.55420937513648</v>
      </c>
      <c r="N17" s="68">
        <f>IF(N14=0,0,N14*(N16+N$8)*_xlfn.XLOOKUP(IN_rooms!S12,DD_Bauteil_grenz[[Grenze Bauteil gegen ]],DD_Bauteil_grenz[Temperaturkorrekturfaktor],"FEHLER",0,1)*(N$10-Normaußentemperatur_12831!$B$6))</f>
        <v>84.375</v>
      </c>
      <c r="O17" s="68">
        <f>IF(O14=0,0,O14*(O16+O$8)*_xlfn.XLOOKUP(IN_rooms!T12,DD_Bauteil_grenz[[Grenze Bauteil gegen ]],DD_Bauteil_grenz[Temperaturkorrekturfaktor],"FEHLER",0,1)*(O$10-Normaußentemperatur_12831!$B$6))</f>
        <v>84.375</v>
      </c>
      <c r="P17" s="68">
        <f>IF(P14=0,0,P14*(P16+P$8)*_xlfn.XLOOKUP(IN_rooms!U12,DD_Bauteil_grenz[[Grenze Bauteil gegen ]],DD_Bauteil_grenz[Temperaturkorrekturfaktor],"FEHLER",0,1)*(P$10-Normaußentemperatur_12831!$B$6))</f>
        <v>84.375</v>
      </c>
      <c r="Q17" s="68">
        <f>IF(Q14=0,0,Q14*(Q16+Q$8)*_xlfn.XLOOKUP(IN_rooms!V12,DD_Bauteil_grenz[[Grenze Bauteil gegen ]],DD_Bauteil_grenz[Temperaturkorrekturfaktor],"FEHLER",0,1)*(Q$10-Normaußentemperatur_12831!$B$6))</f>
        <v>84.375</v>
      </c>
      <c r="R17" s="68">
        <f>IF(R14=0,0,R14*(R16+R$8)*_xlfn.XLOOKUP(IN_rooms!W12,DD_Bauteil_grenz[[Grenze Bauteil gegen ]],DD_Bauteil_grenz[Temperaturkorrekturfaktor],"FEHLER",0,1)*(R$10-Normaußentemperatur_12831!$B$6))</f>
        <v>84.375</v>
      </c>
      <c r="S17" s="68">
        <f>IF(S14=0,0,S14*(S16+S$8)*_xlfn.XLOOKUP(IN_rooms!X12,DD_Bauteil_grenz[[Grenze Bauteil gegen ]],DD_Bauteil_grenz[Temperaturkorrekturfaktor],"FEHLER",0,1)*(S$10-Normaußentemperatur_12831!$B$6))</f>
        <v>84.375</v>
      </c>
      <c r="T17" s="68">
        <f>IF(T14=0,0,T14*(T16+T$8)*_xlfn.XLOOKUP(IN_rooms!Y12,DD_Bauteil_grenz[[Grenze Bauteil gegen ]],DD_Bauteil_grenz[Temperaturkorrekturfaktor],"FEHLER",0,1)*(T$10-Normaußentemperatur_12831!$B$6))</f>
        <v>84.375</v>
      </c>
      <c r="U17" s="68">
        <f>IF(U14=0,0,U14*(U16+U$8)*_xlfn.XLOOKUP(IN_rooms!Z12,DD_Bauteil_grenz[[Grenze Bauteil gegen ]],DD_Bauteil_grenz[Temperaturkorrekturfaktor],"FEHLER",0,1)*(U$10-Normaußentemperatur_12831!$B$6))</f>
        <v>84.375</v>
      </c>
      <c r="V17" s="68">
        <f>IF(V14=0,0,V14*(V16+V$8)*_xlfn.XLOOKUP(IN_rooms!AA12,DD_Bauteil_grenz[[Grenze Bauteil gegen ]],DD_Bauteil_grenz[Temperaturkorrekturfaktor],"FEHLER",0,1)*(V$10-Normaußentemperatur_12831!$B$6))</f>
        <v>84.375</v>
      </c>
      <c r="W17" s="68">
        <f>IF(W14=0,0,W14*(W16+W$8)*_xlfn.XLOOKUP(IN_rooms!AB12,DD_Bauteil_grenz[[Grenze Bauteil gegen ]],DD_Bauteil_grenz[Temperaturkorrekturfaktor],"FEHLER",0,1)*(W$10-Normaußentemperatur_12831!$B$6))</f>
        <v>84.375</v>
      </c>
      <c r="X17" s="68">
        <f>IF(X14=0,0,X14*(X16+X$8)*_xlfn.XLOOKUP(IN_rooms!AC12,DD_Bauteil_grenz[[Grenze Bauteil gegen ]],DD_Bauteil_grenz[Temperaturkorrekturfaktor],"FEHLER",0,1)*(X$10-Normaußentemperatur_12831!$B$6))</f>
        <v>84.375</v>
      </c>
      <c r="Y17" s="68">
        <f>IF(Y14=0,0,Y14*(Y16+Y$8)*_xlfn.XLOOKUP(IN_rooms!AD12,DD_Bauteil_grenz[[Grenze Bauteil gegen ]],DD_Bauteil_grenz[Temperaturkorrekturfaktor],"FEHLER",0,1)*(Y$10-Normaußentemperatur_12831!$B$6))</f>
        <v>84.375</v>
      </c>
      <c r="Z17" s="68">
        <f>IF(Z14=0,0,Z14*(Z16+Z$8)*_xlfn.XLOOKUP(IN_rooms!AE12,DD_Bauteil_grenz[[Grenze Bauteil gegen ]],DD_Bauteil_grenz[Temperaturkorrekturfaktor],"FEHLER",0,1)*(Z$10-Normaußentemperatur_12831!$B$6))</f>
        <v>84.375</v>
      </c>
      <c r="AA17" s="68">
        <f>IF(AA14=0,0,AA14*(AA16+AA$8)*_xlfn.XLOOKUP(IN_rooms!AF12,DD_Bauteil_grenz[[Grenze Bauteil gegen ]],DD_Bauteil_grenz[Temperaturkorrekturfaktor],"FEHLER",0,1)*(AA$10-Normaußentemperatur_12831!$B$6))</f>
        <v>84.375</v>
      </c>
    </row>
    <row r="18" spans="1:27" ht="15.75" thickBot="1" x14ac:dyDescent="0.3">
      <c r="A18" t="s">
        <v>185</v>
      </c>
      <c r="B18" t="s">
        <v>673</v>
      </c>
      <c r="D18" t="s">
        <v>184</v>
      </c>
      <c r="F18" t="s">
        <v>685</v>
      </c>
      <c r="G18" t="s">
        <v>111</v>
      </c>
      <c r="M18" s="303">
        <f>M$17/M$72</f>
        <v>0.12272373562567289</v>
      </c>
      <c r="N18" s="137">
        <f>N$17/N$72</f>
        <v>0.1017087062652563</v>
      </c>
      <c r="O18" s="137">
        <f>O$17/O$72</f>
        <v>9.8571804083063153E-2</v>
      </c>
      <c r="P18" s="137">
        <f>P$17/P$72</f>
        <v>9.5622609434764125E-2</v>
      </c>
      <c r="Q18" s="137">
        <f>Q$17/Q$72</f>
        <v>9.2844763555335469E-2</v>
      </c>
      <c r="R18" s="137">
        <f>R$17/R$72</f>
        <v>9.0223754912182222E-2</v>
      </c>
      <c r="S18" s="137">
        <f>S$17/S$72</f>
        <v>8.7746665626706175E-2</v>
      </c>
      <c r="T18" s="137">
        <f>T$17/T$72</f>
        <v>8.5401958551582766E-2</v>
      </c>
      <c r="U18" s="137">
        <f>U$17/U$72</f>
        <v>8.3179297597042512E-2</v>
      </c>
      <c r="V18" s="137">
        <f>V$17/V$72</f>
        <v>8.1069395402464509E-2</v>
      </c>
      <c r="W18" s="137">
        <f>W$17/W$72</f>
        <v>7.9063883617963321E-2</v>
      </c>
      <c r="X18" s="137">
        <f>X$17/X$72</f>
        <v>7.7155201975173171E-2</v>
      </c>
      <c r="Y18" s="137">
        <f>Y$17/Y$72</f>
        <v>7.5336503046943004E-2</v>
      </c>
      <c r="Z18" s="137">
        <f>Z$17/Z$72</f>
        <v>7.3601570166830221E-2</v>
      </c>
      <c r="AA18" s="137">
        <f>AA$17/AA$72</f>
        <v>7.194474643473811E-2</v>
      </c>
    </row>
    <row r="19" spans="1:27" ht="15.75" thickBot="1" x14ac:dyDescent="0.3">
      <c r="A19" t="s">
        <v>187</v>
      </c>
      <c r="B19" t="s">
        <v>675</v>
      </c>
      <c r="D19" t="s">
        <v>571</v>
      </c>
      <c r="F19" t="s">
        <v>686</v>
      </c>
      <c r="G19" t="s">
        <v>122</v>
      </c>
      <c r="M19" s="302">
        <f>IF(IN_rooms!R25="Nein",0,IN_rooms!R26*IN_rooms!R5)</f>
        <v>0</v>
      </c>
      <c r="N19" s="66">
        <f>IF(IN_rooms!S25="Nein",0,IN_rooms!S26*IN_rooms!S5)</f>
        <v>0</v>
      </c>
      <c r="O19" s="66">
        <f>IF(IN_rooms!T25="Nein",0,IN_rooms!T26*IN_rooms!T5)</f>
        <v>0</v>
      </c>
      <c r="P19" s="66">
        <f>IF(IN_rooms!U25="Nein",0,IN_rooms!U26*IN_rooms!U5)</f>
        <v>0</v>
      </c>
      <c r="Q19" s="66">
        <f>IF(IN_rooms!V25="Nein",0,IN_rooms!V26*IN_rooms!V5)</f>
        <v>0</v>
      </c>
      <c r="R19" s="66">
        <f>IF(IN_rooms!W25="Nein",0,IN_rooms!W26*IN_rooms!W5)</f>
        <v>0</v>
      </c>
      <c r="S19" s="66">
        <f>IF(IN_rooms!X25="Nein",0,IN_rooms!X26*IN_rooms!X5)</f>
        <v>0</v>
      </c>
      <c r="T19" s="66">
        <f>IF(IN_rooms!Y25="Nein",0,IN_rooms!Y26*IN_rooms!Y5)</f>
        <v>0</v>
      </c>
      <c r="U19" s="66">
        <f>IF(IN_rooms!Z25="Nein",0,IN_rooms!Z26*IN_rooms!Z5)</f>
        <v>0</v>
      </c>
      <c r="V19" s="66">
        <f>IF(IN_rooms!AA25="Nein",0,IN_rooms!AA26*IN_rooms!AA5)</f>
        <v>0</v>
      </c>
      <c r="W19" s="66">
        <f>IF(IN_rooms!AB25="Nein",0,IN_rooms!AB26*IN_rooms!AB5)</f>
        <v>0</v>
      </c>
      <c r="X19" s="66">
        <f>IF(IN_rooms!AC25="Nein",0,IN_rooms!AC26*IN_rooms!AC5)</f>
        <v>0</v>
      </c>
      <c r="Y19" s="66">
        <f>IF(IN_rooms!AD25="Nein",0,IN_rooms!AD26*IN_rooms!AD5)</f>
        <v>0</v>
      </c>
      <c r="Z19" s="66">
        <f>IF(IN_rooms!AE25="Nein",0,IN_rooms!AE26*IN_rooms!AE5)</f>
        <v>0</v>
      </c>
      <c r="AA19" s="66">
        <f>IF(IN_rooms!AF25="Nein",0,IN_rooms!AF26*IN_rooms!AF5)</f>
        <v>0</v>
      </c>
    </row>
    <row r="20" spans="1:27" ht="18" customHeight="1" thickBot="1" x14ac:dyDescent="0.3">
      <c r="A20" t="s">
        <v>187</v>
      </c>
      <c r="B20" t="s">
        <v>678</v>
      </c>
      <c r="D20" t="s">
        <v>571</v>
      </c>
      <c r="F20" t="s">
        <v>687</v>
      </c>
      <c r="G20" t="s">
        <v>680</v>
      </c>
      <c r="I20" s="204" t="s">
        <v>688</v>
      </c>
      <c r="M20" s="298">
        <f>INDEX(PAR[U_inwall],1)</f>
        <v>1</v>
      </c>
      <c r="N20" s="21">
        <f>INDEX(PAR[U_inwall],1)</f>
        <v>1</v>
      </c>
      <c r="O20" s="21">
        <f>INDEX(PAR[U_inwall],1)</f>
        <v>1</v>
      </c>
      <c r="P20" s="21">
        <f>INDEX(PAR[U_inwall],1)</f>
        <v>1</v>
      </c>
      <c r="Q20" s="21">
        <f>INDEX(PAR[U_inwall],1)</f>
        <v>1</v>
      </c>
      <c r="R20" s="21">
        <f>INDEX(PAR[U_inwall],1)</f>
        <v>1</v>
      </c>
      <c r="S20" s="21">
        <f>INDEX(PAR[U_inwall],1)</f>
        <v>1</v>
      </c>
      <c r="T20" s="21">
        <f>INDEX(PAR[U_inwall],1)</f>
        <v>1</v>
      </c>
      <c r="U20" s="21">
        <f>INDEX(PAR[U_inwall],1)</f>
        <v>1</v>
      </c>
      <c r="V20" s="21">
        <f>INDEX(PAR[U_inwall],1)</f>
        <v>1</v>
      </c>
      <c r="W20" s="21">
        <f>INDEX(PAR[U_inwall],1)</f>
        <v>1</v>
      </c>
      <c r="X20" s="21">
        <f>INDEX(PAR[U_inwall],1)</f>
        <v>1</v>
      </c>
      <c r="Y20" s="21">
        <f>INDEX(PAR[U_inwall],1)</f>
        <v>1</v>
      </c>
      <c r="Z20" s="21">
        <f>INDEX(PAR[U_inwall],1)</f>
        <v>1</v>
      </c>
      <c r="AA20" s="21">
        <f>INDEX(PAR[U_inwall],1)</f>
        <v>1</v>
      </c>
    </row>
    <row r="21" spans="1:27" ht="15.75" thickBot="1" x14ac:dyDescent="0.3">
      <c r="A21" t="s">
        <v>187</v>
      </c>
      <c r="B21" t="s">
        <v>681</v>
      </c>
      <c r="D21" t="s">
        <v>571</v>
      </c>
      <c r="F21" t="s">
        <v>689</v>
      </c>
      <c r="G21" t="s">
        <v>680</v>
      </c>
      <c r="M21" s="302">
        <f>M$20</f>
        <v>1</v>
      </c>
      <c r="N21" s="66">
        <f t="shared" ref="N21:AA21" si="0">N$20</f>
        <v>1</v>
      </c>
      <c r="O21" s="66">
        <f t="shared" si="0"/>
        <v>1</v>
      </c>
      <c r="P21" s="66">
        <f t="shared" si="0"/>
        <v>1</v>
      </c>
      <c r="Q21" s="66">
        <f t="shared" si="0"/>
        <v>1</v>
      </c>
      <c r="R21" s="66">
        <f t="shared" si="0"/>
        <v>1</v>
      </c>
      <c r="S21" s="66">
        <f t="shared" si="0"/>
        <v>1</v>
      </c>
      <c r="T21" s="66">
        <f t="shared" si="0"/>
        <v>1</v>
      </c>
      <c r="U21" s="66">
        <f t="shared" si="0"/>
        <v>1</v>
      </c>
      <c r="V21" s="66">
        <f t="shared" si="0"/>
        <v>1</v>
      </c>
      <c r="W21" s="66">
        <f t="shared" si="0"/>
        <v>1</v>
      </c>
      <c r="X21" s="66">
        <f t="shared" si="0"/>
        <v>1</v>
      </c>
      <c r="Y21" s="66">
        <f t="shared" si="0"/>
        <v>1</v>
      </c>
      <c r="Z21" s="66">
        <f t="shared" si="0"/>
        <v>1</v>
      </c>
      <c r="AA21" s="66">
        <f t="shared" si="0"/>
        <v>1</v>
      </c>
    </row>
    <row r="22" spans="1:27" ht="20.25" customHeight="1" thickBot="1" x14ac:dyDescent="0.3">
      <c r="A22" t="s">
        <v>187</v>
      </c>
      <c r="B22" t="s">
        <v>683</v>
      </c>
      <c r="D22" t="s">
        <v>571</v>
      </c>
      <c r="F22" t="s">
        <v>690</v>
      </c>
      <c r="G22" t="s">
        <v>112</v>
      </c>
      <c r="I22" t="s">
        <v>691</v>
      </c>
      <c r="K22">
        <v>1</v>
      </c>
      <c r="M22" s="299">
        <f>IF(M19=0,0,(M19*(M21+M$8)*0.5*(M$10-IF(IN_rooms!R$28="Ja",15,5))))</f>
        <v>0</v>
      </c>
      <c r="N22" s="68">
        <f>IF(N19=0,0,(N19*(N21+N$8)*0.5*(N$10-IF(IN_rooms!S$28="Ja",15,5))))</f>
        <v>0</v>
      </c>
      <c r="O22" s="68">
        <f>IF(O19=0,0,(O19*(O21+O$8)*0.5*(O$10-IF(IN_rooms!T$28="Ja",15,5))))</f>
        <v>0</v>
      </c>
      <c r="P22" s="68">
        <f>IF(P19=0,0,(P19*(P21+P$8)*0.5*(P$10-IF(IN_rooms!U$28="Ja",15,5))))</f>
        <v>0</v>
      </c>
      <c r="Q22" s="68">
        <f>IF(Q19=0,0,(Q19*(Q21+Q$8)*0.5*(Q$10-IF(IN_rooms!V$28="Ja",15,5))))</f>
        <v>0</v>
      </c>
      <c r="R22" s="68">
        <f>IF(R19=0,0,(R19*(R21+R$8)*0.5*(R$10-IF(IN_rooms!W$28="Ja",15,5))))</f>
        <v>0</v>
      </c>
      <c r="S22" s="68">
        <f>IF(S19=0,0,(S19*(S21+S$8)*0.5*(S$10-IF(IN_rooms!X$28="Ja",15,5))))</f>
        <v>0</v>
      </c>
      <c r="T22" s="68">
        <f>IF(T19=0,0,(T19*(T21+T$8)*0.5*(T$10-IF(IN_rooms!Y$28="Ja",15,5))))</f>
        <v>0</v>
      </c>
      <c r="U22" s="68">
        <f>IF(U19=0,0,(U19*(U21+U$8)*0.5*(U$10-IF(IN_rooms!Z$28="Ja",15,5))))</f>
        <v>0</v>
      </c>
      <c r="V22" s="68">
        <f>IF(V19=0,0,(V19*(V21+V$8)*0.5*(V$10-IF(IN_rooms!AA$28="Ja",15,5))))</f>
        <v>0</v>
      </c>
      <c r="W22" s="68">
        <f>IF(W19=0,0,(W19*(W21+W$8)*0.5*(W$10-IF(IN_rooms!AB$28="Ja",15,5))))</f>
        <v>0</v>
      </c>
      <c r="X22" s="68">
        <f>IF(X19=0,0,(X19*(X21+X$8)*0.5*(X$10-IF(IN_rooms!AC$28="Ja",15,5))))</f>
        <v>0</v>
      </c>
      <c r="Y22" s="68">
        <f>IF(Y19=0,0,(Y19*(Y21+Y$8)*0.5*(Y$10-IF(IN_rooms!AD$28="Ja",15,5))))</f>
        <v>0</v>
      </c>
      <c r="Z22" s="68">
        <f>IF(Z19=0,0,(Z19*(Z21+Z$8)*0.5*(Z$10-IF(IN_rooms!AE$28="Ja",15,5))))</f>
        <v>0</v>
      </c>
      <c r="AA22" s="68">
        <f>IF(AA19=0,0,(AA19*(AA21+AA$8)*0.5*(AA$10-IF(IN_rooms!AF$28="Ja",15,5))))</f>
        <v>0</v>
      </c>
    </row>
    <row r="23" spans="1:27" ht="15.75" thickBot="1" x14ac:dyDescent="0.3">
      <c r="A23" t="s">
        <v>187</v>
      </c>
      <c r="B23" t="s">
        <v>673</v>
      </c>
      <c r="D23" t="s">
        <v>571</v>
      </c>
      <c r="F23" t="s">
        <v>692</v>
      </c>
      <c r="G23" t="s">
        <v>111</v>
      </c>
      <c r="M23" s="303" t="str">
        <f>IF(M$22=0,"",M$22/M$72)</f>
        <v/>
      </c>
      <c r="N23" s="137" t="str">
        <f>IF(N$22=0,"",N$22/N$72)</f>
        <v/>
      </c>
      <c r="O23" s="137" t="str">
        <f>IF(O$22=0,"",O$22/O$72)</f>
        <v/>
      </c>
      <c r="P23" s="137" t="str">
        <f>IF(P$22=0,"",P$22/P$72)</f>
        <v/>
      </c>
      <c r="Q23" s="137" t="str">
        <f>IF(Q$22=0,"",Q$22/Q$72)</f>
        <v/>
      </c>
      <c r="R23" s="137" t="str">
        <f>IF(R$22=0,"",R$22/R$72)</f>
        <v/>
      </c>
      <c r="S23" s="137" t="str">
        <f>IF(S$22=0,"",S$22/S$72)</f>
        <v/>
      </c>
      <c r="T23" s="137" t="str">
        <f>IF(T$22=0,"",T$22/T$72)</f>
        <v/>
      </c>
      <c r="U23" s="137" t="str">
        <f>IF(U$22=0,"",U$22/U$72)</f>
        <v/>
      </c>
      <c r="V23" s="137" t="str">
        <f>IF(V$22=0,"",V$22/V$72)</f>
        <v/>
      </c>
      <c r="W23" s="137" t="str">
        <f>IF(W$22=0,"",W$22/W$72)</f>
        <v/>
      </c>
      <c r="X23" s="137" t="str">
        <f>IF(X$22=0,"",X$22/X$72)</f>
        <v/>
      </c>
      <c r="Y23" s="137" t="str">
        <f>IF(Y$22=0,"",Y$22/Y$72)</f>
        <v/>
      </c>
      <c r="Z23" s="137" t="str">
        <f>IF(Z$22=0,"",Z$22/Z$72)</f>
        <v/>
      </c>
      <c r="AA23" s="137" t="str">
        <f>IF(AA$22=0,"",AA$22/AA$72)</f>
        <v/>
      </c>
    </row>
    <row r="24" spans="1:27" ht="39" customHeight="1" thickBot="1" x14ac:dyDescent="0.3">
      <c r="A24" t="s">
        <v>693</v>
      </c>
      <c r="B24" t="s">
        <v>694</v>
      </c>
      <c r="D24" t="s">
        <v>600</v>
      </c>
      <c r="G24" t="s">
        <v>112</v>
      </c>
      <c r="I24" t="s">
        <v>695</v>
      </c>
      <c r="M24" s="301">
        <f>IF(M$25&lt;=0,0,0.3239*M$28^(2)-1.3851*M$28+3.0537)</f>
        <v>2.5179961099999999</v>
      </c>
      <c r="N24" s="67">
        <f>IF(N$25&lt;=0,0,0.3239*N$28^(2)-1.3851*N$28+3.0537)</f>
        <v>2.5179961099999999</v>
      </c>
      <c r="O24" s="67">
        <f>IF(O$25&lt;=0,0,0.3239*O$28^(2)-1.3851*O$28+3.0537)</f>
        <v>2.5179961099999999</v>
      </c>
      <c r="P24" s="67">
        <f>IF(P$25&lt;=0,0,0.3239*P$28^(2)-1.3851*P$28+3.0537)</f>
        <v>2.5179961099999999</v>
      </c>
      <c r="Q24" s="67">
        <f>IF(Q$25&lt;=0,0,0.3239*Q$28^(2)-1.3851*Q$28+3.0537)</f>
        <v>2.5179961099999999</v>
      </c>
      <c r="R24" s="67">
        <f>IF(R$25&lt;=0,0,0.3239*R$28^(2)-1.3851*R$28+3.0537)</f>
        <v>2.5179961099999999</v>
      </c>
      <c r="S24" s="67">
        <f>IF(S$25&lt;=0,0,0.3239*S$28^(2)-1.3851*S$28+3.0537)</f>
        <v>2.5179961099999999</v>
      </c>
      <c r="T24" s="67">
        <f>IF(T$25&lt;=0,0,0.3239*T$28^(2)-1.3851*T$28+3.0537)</f>
        <v>2.5179961099999999</v>
      </c>
      <c r="U24" s="67">
        <f>IF(U$25&lt;=0,0,0.3239*U$28^(2)-1.3851*U$28+3.0537)</f>
        <v>2.5179961099999999</v>
      </c>
      <c r="V24" s="67">
        <f>IF(V$25&lt;=0,0,0.3239*V$28^(2)-1.3851*V$28+3.0537)</f>
        <v>2.5179961099999999</v>
      </c>
      <c r="W24" s="67">
        <f>IF(W$25&lt;=0,0,0.3239*W$28^(2)-1.3851*W$28+3.0537)</f>
        <v>2.5179961099999999</v>
      </c>
      <c r="X24" s="67">
        <f>IF(X$25&lt;=0,0,0.3239*X$28^(2)-1.3851*X$28+3.0537)</f>
        <v>2.5179961099999999</v>
      </c>
      <c r="Y24" s="67">
        <f>IF(Y$25&lt;=0,0,0.3239*Y$28^(2)-1.3851*Y$28+3.0537)</f>
        <v>2.5179961099999999</v>
      </c>
      <c r="Z24" s="67">
        <f>IF(Z$25&lt;=0,0,0.3239*Z$28^(2)-1.3851*Z$28+3.0537)</f>
        <v>2.5179961099999999</v>
      </c>
      <c r="AA24" s="67">
        <f>IF(AA$25&lt;=0,0,0.3239*AA$28^(2)-1.3851*AA$28+3.0537)</f>
        <v>2.5179961099999999</v>
      </c>
    </row>
    <row r="25" spans="1:27" ht="15.75" thickBot="1" x14ac:dyDescent="0.3">
      <c r="A25" s="203" t="s">
        <v>696</v>
      </c>
      <c r="B25" t="s">
        <v>697</v>
      </c>
      <c r="D25" t="s">
        <v>600</v>
      </c>
      <c r="G25" t="s">
        <v>172</v>
      </c>
      <c r="I25" t="s">
        <v>698</v>
      </c>
      <c r="M25" s="301">
        <f>IF(IN_rooms!R$40="Ja",0.4183*M$26-1.3793,0)</f>
        <v>3.6403000000000008</v>
      </c>
      <c r="N25" s="67">
        <f>IF(IN_rooms!S$40="Ja",0.4183*N$26-1.3793,0)</f>
        <v>3.6403000000000008</v>
      </c>
      <c r="O25" s="67">
        <f>IF(IN_rooms!T$40="Ja",0.4183*O$26-1.3793,0)</f>
        <v>3.6403000000000008</v>
      </c>
      <c r="P25" s="67">
        <f>IF(IN_rooms!U$40="Ja",0.4183*P$26-1.3793,0)</f>
        <v>3.6403000000000008</v>
      </c>
      <c r="Q25" s="67">
        <f>IF(IN_rooms!V$40="Ja",0.4183*Q$26-1.3793,0)</f>
        <v>3.6403000000000008</v>
      </c>
      <c r="R25" s="67">
        <f>IF(IN_rooms!W$40="Ja",0.4183*R$26-1.3793,0)</f>
        <v>3.6403000000000008</v>
      </c>
      <c r="S25" s="67">
        <f>IF(IN_rooms!X$40="Ja",0.4183*S$26-1.3793,0)</f>
        <v>3.6403000000000008</v>
      </c>
      <c r="T25" s="67">
        <f>IF(IN_rooms!Y$40="Ja",0.4183*T$26-1.3793,0)</f>
        <v>3.6403000000000008</v>
      </c>
      <c r="U25" s="67">
        <f>IF(IN_rooms!Z$40="Ja",0.4183*U$26-1.3793,0)</f>
        <v>3.6403000000000008</v>
      </c>
      <c r="V25" s="67">
        <f>IF(IN_rooms!AA$40="Ja",0.4183*V$26-1.3793,0)</f>
        <v>3.6403000000000008</v>
      </c>
      <c r="W25" s="67">
        <f>IF(IN_rooms!AB$40="Ja",0.4183*W$26-1.3793,0)</f>
        <v>3.6403000000000008</v>
      </c>
      <c r="X25" s="67">
        <f>IF(IN_rooms!AC$40="Ja",0.4183*X$26-1.3793,0)</f>
        <v>3.6403000000000008</v>
      </c>
      <c r="Y25" s="67">
        <f>IF(IN_rooms!AD$40="Ja",0.4183*Y$26-1.3793,0)</f>
        <v>3.6403000000000008</v>
      </c>
      <c r="Z25" s="67">
        <f>IF(IN_rooms!AE$40="Ja",0.4183*Z$26-1.3793,0)</f>
        <v>3.6403000000000008</v>
      </c>
      <c r="AA25" s="67">
        <f>IF(IN_rooms!AF$40="Ja",0.4183*AA$26-1.3793,0)</f>
        <v>3.6403000000000008</v>
      </c>
    </row>
    <row r="26" spans="1:27" ht="15.75" thickBot="1" x14ac:dyDescent="0.3">
      <c r="A26" t="s">
        <v>340</v>
      </c>
      <c r="B26" t="s">
        <v>675</v>
      </c>
      <c r="D26" t="s">
        <v>192</v>
      </c>
      <c r="F26" t="s">
        <v>699</v>
      </c>
      <c r="G26" t="s">
        <v>122</v>
      </c>
      <c r="M26" s="301" cm="1">
        <f t="array" ref="M26">_xlfn.IFS(
  IN_rooms!R$28="Nein",
    0,
  IN_rooms!R$39&gt;0,
    IN_rooms!R$30 * IN_rooms!R$31
      * IF(IN_rooms!R$29="Nein",1,2)
    + IN_rooms!R$39
      / SIN(
          _xlfn.IFS(
            IN_build!$P$4="Geneigt",   25,
            IN_build!$P$4="Steil",     40,
            IN_build!$P$4="Sehr steil",55
          )
          * PI() / 180
        )
      * IN_rooms!R$30
    - (IN_rooms!R$41 * IN_rooms!R$42 / 10000)
    - (IN_rooms!R$45 * IN_rooms!R$46 / 10000),
  OR(
    IN_rooms!R$39=0,
    IN_rooms!R$37&gt;0
  ),
    IN_rooms!R$30 * IN_rooms!R$31
    - (IN_rooms!R$41 * IN_rooms!R$42 / 10000)
    - (IN_rooms!R$45 * IN_rooms!R$46 / 10000)
)</f>
        <v>12</v>
      </c>
      <c r="N26" s="67" cm="1">
        <f t="array" ref="N26">_xlfn.IFS(
  IN_rooms!S$28="Nein",
    0,
  IN_rooms!S$39&gt;0,
    IN_rooms!S$30 * IN_rooms!S$31
      * IF(IN_rooms!S$29="Nein",1,2)
    + IN_rooms!S$39
      / SIN(
          _xlfn.IFS(
            IN_build!$P$4="Geneigt",   25,
            IN_build!$P$4="Steil",     40,
            IN_build!$P$4="Sehr steil",55
          )
          * PI() / 180
        )
      * IN_rooms!S$30
    - (IN_rooms!S$41 * IN_rooms!S$42 / 10000)
    - (IN_rooms!S$45 * IN_rooms!S$46 / 10000),
  OR(
    IN_rooms!S$39=0,
    IN_rooms!S$37&gt;0
  ),
    IN_rooms!S$30 * IN_rooms!S$31
    - (IN_rooms!S$41 * IN_rooms!S$42 / 10000)
    - (IN_rooms!S$45 * IN_rooms!S$46 / 10000)
)</f>
        <v>12</v>
      </c>
      <c r="O26" s="67" cm="1">
        <f t="array" ref="O26">_xlfn.IFS(
  IN_rooms!T$28="Nein",
    0,
  IN_rooms!T$39&gt;0,
    IN_rooms!T$30 * IN_rooms!T$31
      * IF(IN_rooms!T$29="Nein",1,2)
    + IN_rooms!T$39
      / SIN(
          _xlfn.IFS(
            IN_build!$P$4="Geneigt",   25,
            IN_build!$P$4="Steil",     40,
            IN_build!$P$4="Sehr steil",55
          )
          * PI() / 180
        )
      * IN_rooms!T$30
    - (IN_rooms!T$41 * IN_rooms!T$42 / 10000)
    - (IN_rooms!T$45 * IN_rooms!T$46 / 10000),
  OR(
    IN_rooms!T$39=0,
    IN_rooms!T$37&gt;0
  ),
    IN_rooms!T$30 * IN_rooms!T$31
    - (IN_rooms!T$41 * IN_rooms!T$42 / 10000)
    - (IN_rooms!T$45 * IN_rooms!T$46 / 10000)
)</f>
        <v>12</v>
      </c>
      <c r="P26" s="67" cm="1">
        <f t="array" ref="P26">_xlfn.IFS(
  IN_rooms!U$28="Nein",
    0,
  IN_rooms!U$39&gt;0,
    IN_rooms!U$30 * IN_rooms!U$31
      * IF(IN_rooms!U$29="Nein",1,2)
    + IN_rooms!U$39
      / SIN(
          _xlfn.IFS(
            IN_build!$P$4="Geneigt",   25,
            IN_build!$P$4="Steil",     40,
            IN_build!$P$4="Sehr steil",55
          )
          * PI() / 180
        )
      * IN_rooms!U$30
    - (IN_rooms!U$41 * IN_rooms!U$42 / 10000)
    - (IN_rooms!U$45 * IN_rooms!U$46 / 10000),
  OR(
    IN_rooms!U$39=0,
    IN_rooms!U$37&gt;0
  ),
    IN_rooms!U$30 * IN_rooms!U$31
    - (IN_rooms!U$41 * IN_rooms!U$42 / 10000)
    - (IN_rooms!U$45 * IN_rooms!U$46 / 10000)
)</f>
        <v>12</v>
      </c>
      <c r="Q26" s="67" cm="1">
        <f t="array" ref="Q26">_xlfn.IFS(
  IN_rooms!V$28="Nein",
    0,
  IN_rooms!V$39&gt;0,
    IN_rooms!V$30 * IN_rooms!V$31
      * IF(IN_rooms!V$29="Nein",1,2)
    + IN_rooms!V$39
      / SIN(
          _xlfn.IFS(
            IN_build!$P$4="Geneigt",   25,
            IN_build!$P$4="Steil",     40,
            IN_build!$P$4="Sehr steil",55
          )
          * PI() / 180
        )
      * IN_rooms!V$30
    - (IN_rooms!V$41 * IN_rooms!V$42 / 10000)
    - (IN_rooms!V$45 * IN_rooms!V$46 / 10000),
  OR(
    IN_rooms!V$39=0,
    IN_rooms!V$37&gt;0
  ),
    IN_rooms!V$30 * IN_rooms!V$31
    - (IN_rooms!V$41 * IN_rooms!V$42 / 10000)
    - (IN_rooms!V$45 * IN_rooms!V$46 / 10000)
)</f>
        <v>12</v>
      </c>
      <c r="R26" s="67" cm="1">
        <f t="array" ref="R26">_xlfn.IFS(
  IN_rooms!W$28="Nein",
    0,
  IN_rooms!W$39&gt;0,
    IN_rooms!W$30 * IN_rooms!W$31
      * IF(IN_rooms!W$29="Nein",1,2)
    + IN_rooms!W$39
      / SIN(
          _xlfn.IFS(
            IN_build!$P$4="Geneigt",   25,
            IN_build!$P$4="Steil",     40,
            IN_build!$P$4="Sehr steil",55
          )
          * PI() / 180
        )
      * IN_rooms!W$30
    - (IN_rooms!W$41 * IN_rooms!W$42 / 10000)
    - (IN_rooms!W$45 * IN_rooms!W$46 / 10000),
  OR(
    IN_rooms!W$39=0,
    IN_rooms!W$37&gt;0
  ),
    IN_rooms!W$30 * IN_rooms!W$31
    - (IN_rooms!W$41 * IN_rooms!W$42 / 10000)
    - (IN_rooms!W$45 * IN_rooms!W$46 / 10000)
)</f>
        <v>12</v>
      </c>
      <c r="S26" s="67" cm="1">
        <f t="array" ref="S26">_xlfn.IFS(
  IN_rooms!X$28="Nein",
    0,
  IN_rooms!X$39&gt;0,
    IN_rooms!X$30 * IN_rooms!X$31
      * IF(IN_rooms!X$29="Nein",1,2)
    + IN_rooms!X$39
      / SIN(
          _xlfn.IFS(
            IN_build!$P$4="Geneigt",   25,
            IN_build!$P$4="Steil",     40,
            IN_build!$P$4="Sehr steil",55
          )
          * PI() / 180
        )
      * IN_rooms!X$30
    - (IN_rooms!X$41 * IN_rooms!X$42 / 10000)
    - (IN_rooms!X$45 * IN_rooms!X$46 / 10000),
  OR(
    IN_rooms!X$39=0,
    IN_rooms!X$37&gt;0
  ),
    IN_rooms!X$30 * IN_rooms!X$31
    - (IN_rooms!X$41 * IN_rooms!X$42 / 10000)
    - (IN_rooms!X$45 * IN_rooms!X$46 / 10000)
)</f>
        <v>12</v>
      </c>
      <c r="T26" s="67" cm="1">
        <f t="array" ref="T26">_xlfn.IFS(
  IN_rooms!Y$28="Nein",
    0,
  IN_rooms!Y$39&gt;0,
    IN_rooms!Y$30 * IN_rooms!Y$31
      * IF(IN_rooms!Y$29="Nein",1,2)
    + IN_rooms!Y$39
      / SIN(
          _xlfn.IFS(
            IN_build!$P$4="Geneigt",   25,
            IN_build!$P$4="Steil",     40,
            IN_build!$P$4="Sehr steil",55
          )
          * PI() / 180
        )
      * IN_rooms!Y$30
    - (IN_rooms!Y$41 * IN_rooms!Y$42 / 10000)
    - (IN_rooms!Y$45 * IN_rooms!Y$46 / 10000),
  OR(
    IN_rooms!Y$39=0,
    IN_rooms!Y$37&gt;0
  ),
    IN_rooms!Y$30 * IN_rooms!Y$31
    - (IN_rooms!Y$41 * IN_rooms!Y$42 / 10000)
    - (IN_rooms!Y$45 * IN_rooms!Y$46 / 10000)
)</f>
        <v>12</v>
      </c>
      <c r="U26" s="67" cm="1">
        <f t="array" ref="U26">_xlfn.IFS(
  IN_rooms!Z$28="Nein",
    0,
  IN_rooms!Z$39&gt;0,
    IN_rooms!Z$30 * IN_rooms!Z$31
      * IF(IN_rooms!Z$29="Nein",1,2)
    + IN_rooms!Z$39
      / SIN(
          _xlfn.IFS(
            IN_build!$P$4="Geneigt",   25,
            IN_build!$P$4="Steil",     40,
            IN_build!$P$4="Sehr steil",55
          )
          * PI() / 180
        )
      * IN_rooms!Z$30
    - (IN_rooms!Z$41 * IN_rooms!Z$42 / 10000)
    - (IN_rooms!Z$45 * IN_rooms!Z$46 / 10000),
  OR(
    IN_rooms!Z$39=0,
    IN_rooms!Z$37&gt;0
  ),
    IN_rooms!Z$30 * IN_rooms!Z$31
    - (IN_rooms!Z$41 * IN_rooms!Z$42 / 10000)
    - (IN_rooms!Z$45 * IN_rooms!Z$46 / 10000)
)</f>
        <v>12</v>
      </c>
      <c r="V26" s="67" cm="1">
        <f t="array" ref="V26">_xlfn.IFS(
  IN_rooms!AA$28="Nein",
    0,
  IN_rooms!AA$39&gt;0,
    IN_rooms!AA$30 * IN_rooms!AA$31
      * IF(IN_rooms!AA$29="Nein",1,2)
    + IN_rooms!AA$39
      / SIN(
          _xlfn.IFS(
            IN_build!$P$4="Geneigt",   25,
            IN_build!$P$4="Steil",     40,
            IN_build!$P$4="Sehr steil",55
          )
          * PI() / 180
        )
      * IN_rooms!AA$30
    - (IN_rooms!AA$41 * IN_rooms!AA$42 / 10000)
    - (IN_rooms!AA$45 * IN_rooms!AA$46 / 10000),
  OR(
    IN_rooms!AA$39=0,
    IN_rooms!AA$37&gt;0
  ),
    IN_rooms!AA$30 * IN_rooms!AA$31
    - (IN_rooms!AA$41 * IN_rooms!AA$42 / 10000)
    - (IN_rooms!AA$45 * IN_rooms!AA$46 / 10000)
)</f>
        <v>12</v>
      </c>
      <c r="W26" s="67" cm="1">
        <f t="array" ref="W26">_xlfn.IFS(
  IN_rooms!AB$28="Nein",
    0,
  IN_rooms!AB$39&gt;0,
    IN_rooms!AB$30 * IN_rooms!AB$31
      * IF(IN_rooms!AB$29="Nein",1,2)
    + IN_rooms!AB$39
      / SIN(
          _xlfn.IFS(
            IN_build!$P$4="Geneigt",   25,
            IN_build!$P$4="Steil",     40,
            IN_build!$P$4="Sehr steil",55
          )
          * PI() / 180
        )
      * IN_rooms!AB$30
    - (IN_rooms!AB$41 * IN_rooms!AB$42 / 10000)
    - (IN_rooms!AB$45 * IN_rooms!AB$46 / 10000),
  OR(
    IN_rooms!AB$39=0,
    IN_rooms!AB$37&gt;0
  ),
    IN_rooms!AB$30 * IN_rooms!AB$31
    - (IN_rooms!AB$41 * IN_rooms!AB$42 / 10000)
    - (IN_rooms!AB$45 * IN_rooms!AB$46 / 10000)
)</f>
        <v>12</v>
      </c>
      <c r="X26" s="67" cm="1">
        <f t="array" ref="X26">_xlfn.IFS(
  IN_rooms!AC$28="Nein",
    0,
  IN_rooms!AC$39&gt;0,
    IN_rooms!AC$30 * IN_rooms!AC$31
      * IF(IN_rooms!AC$29="Nein",1,2)
    + IN_rooms!AC$39
      / SIN(
          _xlfn.IFS(
            IN_build!$P$4="Geneigt",   25,
            IN_build!$P$4="Steil",     40,
            IN_build!$P$4="Sehr steil",55
          )
          * PI() / 180
        )
      * IN_rooms!AC$30
    - (IN_rooms!AC$41 * IN_rooms!AC$42 / 10000)
    - (IN_rooms!AC$45 * IN_rooms!AC$46 / 10000),
  OR(
    IN_rooms!AC$39=0,
    IN_rooms!AC$37&gt;0
  ),
    IN_rooms!AC$30 * IN_rooms!AC$31
    - (IN_rooms!AC$41 * IN_rooms!AC$42 / 10000)
    - (IN_rooms!AC$45 * IN_rooms!AC$46 / 10000)
)</f>
        <v>12</v>
      </c>
      <c r="Y26" s="67" cm="1">
        <f t="array" ref="Y26">_xlfn.IFS(
  IN_rooms!AD$28="Nein",
    0,
  IN_rooms!AD$39&gt;0,
    IN_rooms!AD$30 * IN_rooms!AD$31
      * IF(IN_rooms!AD$29="Nein",1,2)
    + IN_rooms!AD$39
      / SIN(
          _xlfn.IFS(
            IN_build!$P$4="Geneigt",   25,
            IN_build!$P$4="Steil",     40,
            IN_build!$P$4="Sehr steil",55
          )
          * PI() / 180
        )
      * IN_rooms!AD$30
    - (IN_rooms!AD$41 * IN_rooms!AD$42 / 10000)
    - (IN_rooms!AD$45 * IN_rooms!AD$46 / 10000),
  OR(
    IN_rooms!AD$39=0,
    IN_rooms!AD$37&gt;0
  ),
    IN_rooms!AD$30 * IN_rooms!AD$31
    - (IN_rooms!AD$41 * IN_rooms!AD$42 / 10000)
    - (IN_rooms!AD$45 * IN_rooms!AD$46 / 10000)
)</f>
        <v>12</v>
      </c>
      <c r="Z26" s="67" cm="1">
        <f t="array" ref="Z26">_xlfn.IFS(
  IN_rooms!AE$28="Nein",
    0,
  IN_rooms!AE$39&gt;0,
    IN_rooms!AE$30 * IN_rooms!AE$31
      * IF(IN_rooms!AE$29="Nein",1,2)
    + IN_rooms!AE$39
      / SIN(
          _xlfn.IFS(
            IN_build!$P$4="Geneigt",   25,
            IN_build!$P$4="Steil",     40,
            IN_build!$P$4="Sehr steil",55
          )
          * PI() / 180
        )
      * IN_rooms!AE$30
    - (IN_rooms!AE$41 * IN_rooms!AE$42 / 10000)
    - (IN_rooms!AE$45 * IN_rooms!AE$46 / 10000),
  OR(
    IN_rooms!AE$39=0,
    IN_rooms!AE$37&gt;0
  ),
    IN_rooms!AE$30 * IN_rooms!AE$31
    - (IN_rooms!AE$41 * IN_rooms!AE$42 / 10000)
    - (IN_rooms!AE$45 * IN_rooms!AE$46 / 10000)
)</f>
        <v>12</v>
      </c>
      <c r="AA26" s="67" cm="1">
        <f t="array" ref="AA26">_xlfn.IFS(
  IN_rooms!AF$28="Nein",
    0,
  IN_rooms!AF$39&gt;0,
    IN_rooms!AF$30 * IN_rooms!AF$31
      * IF(IN_rooms!AF$29="Nein",1,2)
    + IN_rooms!AF$39
      / SIN(
          _xlfn.IFS(
            IN_build!$P$4="Geneigt",   25,
            IN_build!$P$4="Steil",     40,
            IN_build!$P$4="Sehr steil",55
          )
          * PI() / 180
        )
      * IN_rooms!AF$30
    - (IN_rooms!AF$41 * IN_rooms!AF$42 / 10000)
    - (IN_rooms!AF$45 * IN_rooms!AF$46 / 10000),
  OR(
    IN_rooms!AF$39=0,
    IN_rooms!AF$37&gt;0
  ),
    IN_rooms!AF$30 * IN_rooms!AF$31
    - (IN_rooms!AF$41 * IN_rooms!AF$42 / 10000)
    - (IN_rooms!AF$45 * IN_rooms!AF$46 / 10000)
)</f>
        <v>12</v>
      </c>
    </row>
    <row r="27" spans="1:27" ht="15.75" thickBot="1" x14ac:dyDescent="0.3">
      <c r="A27" t="s">
        <v>340</v>
      </c>
      <c r="B27" t="s">
        <v>678</v>
      </c>
      <c r="D27" t="s">
        <v>192</v>
      </c>
      <c r="F27" t="s">
        <v>700</v>
      </c>
      <c r="G27" t="s">
        <v>680</v>
      </c>
      <c r="M27" s="302" cm="1">
        <f t="array" ref="M27">_xlfn.AGGREGATE(15,6,IWU[U-Wert]/((IWU[Bauteil]=LEFT($A$27,4))*(IWU[Baujahr]=clc_load!M4)*(IWU[Gebäudetyp]=clc_load!M3)),1)</f>
        <v>0.43</v>
      </c>
      <c r="N27" s="66" cm="1">
        <f t="array" ref="N27">_xlfn.AGGREGATE(15,6,IWU[U-Wert]/((IWU[Bauteil]=LEFT($A$27,4))*(IWU[Baujahr]=clc_load!N4)*(IWU[Gebäudetyp]=clc_load!N3)),1)</f>
        <v>0.43</v>
      </c>
      <c r="O27" s="66" cm="1">
        <f t="array" ref="O27">_xlfn.AGGREGATE(15,6,IWU[U-Wert]/((IWU[Bauteil]=LEFT($A$27,4))*(IWU[Baujahr]=clc_load!O4)*(IWU[Gebäudetyp]=clc_load!O3)),1)</f>
        <v>0.43</v>
      </c>
      <c r="P27" s="66" cm="1">
        <f t="array" ref="P27">_xlfn.AGGREGATE(15,6,IWU[U-Wert]/((IWU[Bauteil]=LEFT($A$27,4))*(IWU[Baujahr]=clc_load!P4)*(IWU[Gebäudetyp]=clc_load!P3)),1)</f>
        <v>0.43</v>
      </c>
      <c r="Q27" s="66" cm="1">
        <f t="array" ref="Q27">_xlfn.AGGREGATE(15,6,IWU[U-Wert]/((IWU[Bauteil]=LEFT($A$27,4))*(IWU[Baujahr]=clc_load!Q4)*(IWU[Gebäudetyp]=clc_load!Q3)),1)</f>
        <v>0.43</v>
      </c>
      <c r="R27" s="66" cm="1">
        <f t="array" ref="R27">_xlfn.AGGREGATE(15,6,IWU[U-Wert]/((IWU[Bauteil]=LEFT($A$27,4))*(IWU[Baujahr]=clc_load!R4)*(IWU[Gebäudetyp]=clc_load!R3)),1)</f>
        <v>0.43</v>
      </c>
      <c r="S27" s="66" cm="1">
        <f t="array" ref="S27">_xlfn.AGGREGATE(15,6,IWU[U-Wert]/((IWU[Bauteil]=LEFT($A$27,4))*(IWU[Baujahr]=clc_load!S4)*(IWU[Gebäudetyp]=clc_load!S3)),1)</f>
        <v>0.43</v>
      </c>
      <c r="T27" s="66" cm="1">
        <f t="array" ref="T27">_xlfn.AGGREGATE(15,6,IWU[U-Wert]/((IWU[Bauteil]=LEFT($A$27,4))*(IWU[Baujahr]=clc_load!T4)*(IWU[Gebäudetyp]=clc_load!T3)),1)</f>
        <v>0.43</v>
      </c>
      <c r="U27" s="66" cm="1">
        <f t="array" ref="U27">_xlfn.AGGREGATE(15,6,IWU[U-Wert]/((IWU[Bauteil]=LEFT($A$27,4))*(IWU[Baujahr]=clc_load!U4)*(IWU[Gebäudetyp]=clc_load!U3)),1)</f>
        <v>0.43</v>
      </c>
      <c r="V27" s="66" cm="1">
        <f t="array" ref="V27">_xlfn.AGGREGATE(15,6,IWU[U-Wert]/((IWU[Bauteil]=LEFT($A$27,4))*(IWU[Baujahr]=clc_load!V4)*(IWU[Gebäudetyp]=clc_load!V3)),1)</f>
        <v>0.43</v>
      </c>
      <c r="W27" s="66" cm="1">
        <f t="array" ref="W27">_xlfn.AGGREGATE(15,6,IWU[U-Wert]/((IWU[Bauteil]=LEFT($A$27,4))*(IWU[Baujahr]=clc_load!W4)*(IWU[Gebäudetyp]=clc_load!W3)),1)</f>
        <v>0.43</v>
      </c>
      <c r="X27" s="66" cm="1">
        <f t="array" ref="X27">_xlfn.AGGREGATE(15,6,IWU[U-Wert]/((IWU[Bauteil]=LEFT($A$27,4))*(IWU[Baujahr]=clc_load!X4)*(IWU[Gebäudetyp]=clc_load!X3)),1)</f>
        <v>0.43</v>
      </c>
      <c r="Y27" s="66" cm="1">
        <f t="array" ref="Y27">_xlfn.AGGREGATE(15,6,IWU[U-Wert]/((IWU[Bauteil]=LEFT($A$27,4))*(IWU[Baujahr]=clc_load!Y4)*(IWU[Gebäudetyp]=clc_load!Y3)),1)</f>
        <v>0.43</v>
      </c>
      <c r="Z27" s="66" cm="1">
        <f t="array" ref="Z27">_xlfn.AGGREGATE(15,6,IWU[U-Wert]/((IWU[Bauteil]=LEFT($A$27,4))*(IWU[Baujahr]=clc_load!Z4)*(IWU[Gebäudetyp]=clc_load!Z3)),1)</f>
        <v>0.43</v>
      </c>
      <c r="AA27" s="66" cm="1">
        <f t="array" ref="AA27">_xlfn.AGGREGATE(15,6,IWU[U-Wert]/((IWU[Bauteil]=LEFT($A$27,4))*(IWU[Baujahr]=clc_load!AA4)*(IWU[Gebäudetyp]=clc_load!AA3)),1)</f>
        <v>0.43</v>
      </c>
    </row>
    <row r="28" spans="1:27" ht="15.75" thickBot="1" x14ac:dyDescent="0.3">
      <c r="A28" t="s">
        <v>340</v>
      </c>
      <c r="B28" t="s">
        <v>681</v>
      </c>
      <c r="D28" t="s">
        <v>192</v>
      </c>
      <c r="F28" t="s">
        <v>701</v>
      </c>
      <c r="G28" t="s">
        <v>680</v>
      </c>
      <c r="M28" s="302" cm="1">
        <f t="array" ref="M28">IF(IN_build!$Q$9="Ja",_xlfn.AGGREGATE(15,6,UWert_Mod[U-Wert]/((UWert_Mod[Bauteil]=LEFT(clc_load!$A$28,4))*(UWert_Mod[Modernisierungsjahr]=IN_build!$S$9)),1),M$27)</f>
        <v>0.43</v>
      </c>
      <c r="N28" s="66" cm="1">
        <f t="array" ref="N28">IF(IN_build!$Q$9="Ja",_xlfn.AGGREGATE(15,6,UWert_Mod[U-Wert]/((UWert_Mod[Bauteil]=LEFT(clc_load!$A$28,4))*(UWert_Mod[Modernisierungsjahr]=IN_build!$S$9)),1),N$27)</f>
        <v>0.43</v>
      </c>
      <c r="O28" s="66" cm="1">
        <f t="array" ref="O28">IF(IN_build!$Q$9="Ja",_xlfn.AGGREGATE(15,6,UWert_Mod[U-Wert]/((UWert_Mod[Bauteil]=LEFT(clc_load!$A$28,4))*(UWert_Mod[Modernisierungsjahr]=IN_build!$S$9)),1),O$27)</f>
        <v>0.43</v>
      </c>
      <c r="P28" s="66" cm="1">
        <f t="array" ref="P28">IF(IN_build!$Q$9="Ja",_xlfn.AGGREGATE(15,6,UWert_Mod[U-Wert]/((UWert_Mod[Bauteil]=LEFT(clc_load!$A$28,4))*(UWert_Mod[Modernisierungsjahr]=IN_build!$S$9)),1),P$27)</f>
        <v>0.43</v>
      </c>
      <c r="Q28" s="66" cm="1">
        <f t="array" ref="Q28">IF(IN_build!$Q$9="Ja",_xlfn.AGGREGATE(15,6,UWert_Mod[U-Wert]/((UWert_Mod[Bauteil]=LEFT(clc_load!$A$28,4))*(UWert_Mod[Modernisierungsjahr]=IN_build!$S$9)),1),Q$27)</f>
        <v>0.43</v>
      </c>
      <c r="R28" s="66" cm="1">
        <f t="array" ref="R28">IF(IN_build!$Q$9="Ja",_xlfn.AGGREGATE(15,6,UWert_Mod[U-Wert]/((UWert_Mod[Bauteil]=LEFT(clc_load!$A$28,4))*(UWert_Mod[Modernisierungsjahr]=IN_build!$S$9)),1),R$27)</f>
        <v>0.43</v>
      </c>
      <c r="S28" s="66" cm="1">
        <f t="array" ref="S28">IF(IN_build!$Q$9="Ja",_xlfn.AGGREGATE(15,6,UWert_Mod[U-Wert]/((UWert_Mod[Bauteil]=LEFT(clc_load!$A$28,4))*(UWert_Mod[Modernisierungsjahr]=IN_build!$S$9)),1),S$27)</f>
        <v>0.43</v>
      </c>
      <c r="T28" s="66" cm="1">
        <f t="array" ref="T28">IF(IN_build!$Q$9="Ja",_xlfn.AGGREGATE(15,6,UWert_Mod[U-Wert]/((UWert_Mod[Bauteil]=LEFT(clc_load!$A$28,4))*(UWert_Mod[Modernisierungsjahr]=IN_build!$S$9)),1),T$27)</f>
        <v>0.43</v>
      </c>
      <c r="U28" s="66" cm="1">
        <f t="array" ref="U28">IF(IN_build!$Q$9="Ja",_xlfn.AGGREGATE(15,6,UWert_Mod[U-Wert]/((UWert_Mod[Bauteil]=LEFT(clc_load!$A$28,4))*(UWert_Mod[Modernisierungsjahr]=IN_build!$S$9)),1),U$27)</f>
        <v>0.43</v>
      </c>
      <c r="V28" s="66" cm="1">
        <f t="array" ref="V28">IF(IN_build!$Q$9="Ja",_xlfn.AGGREGATE(15,6,UWert_Mod[U-Wert]/((UWert_Mod[Bauteil]=LEFT(clc_load!$A$28,4))*(UWert_Mod[Modernisierungsjahr]=IN_build!$S$9)),1),V$27)</f>
        <v>0.43</v>
      </c>
      <c r="W28" s="66" cm="1">
        <f t="array" ref="W28">IF(IN_build!$Q$9="Ja",_xlfn.AGGREGATE(15,6,UWert_Mod[U-Wert]/((UWert_Mod[Bauteil]=LEFT(clc_load!$A$28,4))*(UWert_Mod[Modernisierungsjahr]=IN_build!$S$9)),1),W$27)</f>
        <v>0.43</v>
      </c>
      <c r="X28" s="66" cm="1">
        <f t="array" ref="X28">IF(IN_build!$Q$9="Ja",_xlfn.AGGREGATE(15,6,UWert_Mod[U-Wert]/((UWert_Mod[Bauteil]=LEFT(clc_load!$A$28,4))*(UWert_Mod[Modernisierungsjahr]=IN_build!$S$9)),1),X$27)</f>
        <v>0.43</v>
      </c>
      <c r="Y28" s="66" cm="1">
        <f t="array" ref="Y28">IF(IN_build!$Q$9="Ja",_xlfn.AGGREGATE(15,6,UWert_Mod[U-Wert]/((UWert_Mod[Bauteil]=LEFT(clc_load!$A$28,4))*(UWert_Mod[Modernisierungsjahr]=IN_build!$S$9)),1),Y$27)</f>
        <v>0.43</v>
      </c>
      <c r="Z28" s="66" cm="1">
        <f t="array" ref="Z28">IF(IN_build!$Q$9="Ja",_xlfn.AGGREGATE(15,6,UWert_Mod[U-Wert]/((UWert_Mod[Bauteil]=LEFT(clc_load!$A$28,4))*(UWert_Mod[Modernisierungsjahr]=IN_build!$S$9)),1),Z$27)</f>
        <v>0.43</v>
      </c>
      <c r="AA28" s="66" cm="1">
        <f t="array" ref="AA28">IF(IN_build!$Q$9="Ja",_xlfn.AGGREGATE(15,6,UWert_Mod[U-Wert]/((UWert_Mod[Bauteil]=LEFT(clc_load!$A$28,4))*(UWert_Mod[Modernisierungsjahr]=IN_build!$S$9)),1),AA$27)</f>
        <v>0.43</v>
      </c>
    </row>
    <row r="29" spans="1:27" ht="15.75" thickBot="1" x14ac:dyDescent="0.3">
      <c r="A29" t="s">
        <v>340</v>
      </c>
      <c r="B29" t="s">
        <v>683</v>
      </c>
      <c r="D29" t="s">
        <v>192</v>
      </c>
      <c r="F29" t="s">
        <v>702</v>
      </c>
      <c r="G29" t="s">
        <v>112</v>
      </c>
      <c r="M29" s="299">
        <f>IF(M26=0,0,M26*(M28+M$8)*(M$10-Normaußentemperatur_12831!$B$6))</f>
        <v>190.8</v>
      </c>
      <c r="N29" s="68">
        <f>IF(N26=0,0,N26*(N28+N$8)*(N$10-Normaußentemperatur_12831!$B$6))</f>
        <v>190.8</v>
      </c>
      <c r="O29" s="68">
        <f>IF(O26=0,0,O26*(O28+O$8)*(O$10-Normaußentemperatur_12831!$B$6))</f>
        <v>190.8</v>
      </c>
      <c r="P29" s="68">
        <f>IF(P26=0,0,P26*(P28+P$8)*(P$10-Normaußentemperatur_12831!$B$6))</f>
        <v>190.8</v>
      </c>
      <c r="Q29" s="68">
        <f>IF(Q26=0,0,Q26*(Q28+Q$8)*(Q$10-Normaußentemperatur_12831!$B$6))</f>
        <v>190.8</v>
      </c>
      <c r="R29" s="68">
        <f>IF(R26=0,0,R26*(R28+R$8)*(R$10-Normaußentemperatur_12831!$B$6))</f>
        <v>190.8</v>
      </c>
      <c r="S29" s="68">
        <f>IF(S26=0,0,S26*(S28+S$8)*(S$10-Normaußentemperatur_12831!$B$6))</f>
        <v>190.8</v>
      </c>
      <c r="T29" s="68">
        <f>IF(T26=0,0,T26*(T28+T$8)*(T$10-Normaußentemperatur_12831!$B$6))</f>
        <v>190.8</v>
      </c>
      <c r="U29" s="68">
        <f>IF(U26=0,0,U26*(U28+U$8)*(U$10-Normaußentemperatur_12831!$B$6))</f>
        <v>190.8</v>
      </c>
      <c r="V29" s="68">
        <f>IF(V26=0,0,V26*(V28+V$8)*(V$10-Normaußentemperatur_12831!$B$6))</f>
        <v>190.8</v>
      </c>
      <c r="W29" s="68">
        <f>IF(W26=0,0,W26*(W28+W$8)*(W$10-Normaußentemperatur_12831!$B$6))</f>
        <v>190.8</v>
      </c>
      <c r="X29" s="68">
        <f>IF(X26=0,0,X26*(X28+X$8)*(X$10-Normaußentemperatur_12831!$B$6))</f>
        <v>190.8</v>
      </c>
      <c r="Y29" s="68">
        <f>IF(Y26=0,0,Y26*(Y28+Y$8)*(Y$10-Normaußentemperatur_12831!$B$6))</f>
        <v>190.8</v>
      </c>
      <c r="Z29" s="68">
        <f>IF(Z26=0,0,Z26*(Z28+Z$8)*(Z$10-Normaußentemperatur_12831!$B$6))</f>
        <v>190.8</v>
      </c>
      <c r="AA29" s="68">
        <f>IF(AA26=0,0,AA26*(AA28+AA$8)*(AA$10-Normaußentemperatur_12831!$B$6))</f>
        <v>190.8</v>
      </c>
    </row>
    <row r="30" spans="1:27" ht="15.75" thickBot="1" x14ac:dyDescent="0.3">
      <c r="A30" t="s">
        <v>340</v>
      </c>
      <c r="B30" t="s">
        <v>673</v>
      </c>
      <c r="D30" t="s">
        <v>192</v>
      </c>
      <c r="F30" t="s">
        <v>703</v>
      </c>
      <c r="G30" t="s">
        <v>111</v>
      </c>
      <c r="M30" s="304">
        <f>M$29/M$72</f>
        <v>0.23286632059351922</v>
      </c>
      <c r="N30" s="129">
        <f>N$29/N$72</f>
        <v>0.22999728776783293</v>
      </c>
      <c r="O30" s="129">
        <f>O$29/O$72</f>
        <v>0.2229037062998335</v>
      </c>
      <c r="P30" s="129">
        <f>P$29/P$72</f>
        <v>0.21623459413514665</v>
      </c>
      <c r="Q30" s="129">
        <f>Q$29/Q$72</f>
        <v>0.20995295865313196</v>
      </c>
      <c r="R30" s="129">
        <f>R$29/R$72</f>
        <v>0.20402598444141473</v>
      </c>
      <c r="S30" s="129">
        <f>S$29/S$72</f>
        <v>0.19842445987052493</v>
      </c>
      <c r="T30" s="129">
        <f>T$29/T$72</f>
        <v>0.19312229560464586</v>
      </c>
      <c r="U30" s="129">
        <f>U$29/U$72</f>
        <v>0.18809611829944548</v>
      </c>
      <c r="V30" s="129">
        <f>V$29/V$72</f>
        <v>0.18332492613677306</v>
      </c>
      <c r="W30" s="129">
        <f>W$29/W$72</f>
        <v>0.17878979548808774</v>
      </c>
      <c r="X30" s="129">
        <f>X$29/X$72</f>
        <v>0.17447363006652494</v>
      </c>
      <c r="Y30" s="129">
        <f>Y$29/Y$72</f>
        <v>0.17036094555682046</v>
      </c>
      <c r="Z30" s="129">
        <f>Z$29/Z$72</f>
        <v>0.16643768400392542</v>
      </c>
      <c r="AA30" s="129">
        <f>AA$29/AA$72</f>
        <v>0.16269105327108779</v>
      </c>
    </row>
    <row r="31" spans="1:27" ht="17.25" customHeight="1" thickBot="1" x14ac:dyDescent="0.3">
      <c r="A31" t="s">
        <v>333</v>
      </c>
      <c r="B31" t="s">
        <v>704</v>
      </c>
      <c r="D31" t="s">
        <v>194</v>
      </c>
      <c r="F31" t="s">
        <v>705</v>
      </c>
      <c r="G31" t="s">
        <v>122</v>
      </c>
      <c r="I31" s="46"/>
      <c r="M31" s="298">
        <f>IF(
 IN_build!$P$4="Flach bzw. Flachdach",0,
  IN_rooms!R$33*(IN_rooms!R$30/2))</f>
        <v>0</v>
      </c>
      <c r="N31" s="21">
        <f>IF(
 IN_build!$P$4="Flach bzw. Flachdach",0,
  IN_rooms!S$33*(IN_rooms!S$30/2))</f>
        <v>0</v>
      </c>
      <c r="O31" s="21">
        <f>IF(
 IN_build!$P$4="Flach bzw. Flachdach",0,
  IN_rooms!T$33*(IN_rooms!T$30/2))</f>
        <v>0</v>
      </c>
      <c r="P31" s="21">
        <f>IF(
 IN_build!$P$4="Flach bzw. Flachdach",0,
  IN_rooms!U$33*(IN_rooms!U$30/2))</f>
        <v>0</v>
      </c>
      <c r="Q31" s="21">
        <f>IF(
 IN_build!$P$4="Flach bzw. Flachdach",0,
  IN_rooms!V$33*(IN_rooms!V$30/2))</f>
        <v>0</v>
      </c>
      <c r="R31" s="21">
        <f>IF(
 IN_build!$P$4="Flach bzw. Flachdach",0,
  IN_rooms!W$33*(IN_rooms!W$30/2))</f>
        <v>0</v>
      </c>
      <c r="S31" s="21">
        <f>IF(
 IN_build!$P$4="Flach bzw. Flachdach",0,
  IN_rooms!X$33*(IN_rooms!X$30/2))</f>
        <v>0</v>
      </c>
      <c r="T31" s="21">
        <f>IF(
 IN_build!$P$4="Flach bzw. Flachdach",0,
  IN_rooms!Y$33*(IN_rooms!Y$30/2))</f>
        <v>0</v>
      </c>
      <c r="U31" s="21">
        <f>IF(
 IN_build!$P$4="Flach bzw. Flachdach",0,
  IN_rooms!Z$33*(IN_rooms!Z$30/2))</f>
        <v>0</v>
      </c>
      <c r="V31" s="21">
        <f>IF(
 IN_build!$P$4="Flach bzw. Flachdach",0,
  IN_rooms!AA$33*(IN_rooms!AA$30/2))</f>
        <v>0</v>
      </c>
      <c r="W31" s="21">
        <f>IF(
 IN_build!$P$4="Flach bzw. Flachdach",0,
  IN_rooms!AB$33*(IN_rooms!AB$30/2))</f>
        <v>0</v>
      </c>
      <c r="X31" s="21">
        <f>IF(
 IN_build!$P$4="Flach bzw. Flachdach",0,
  IN_rooms!AC$33*(IN_rooms!AC$30/2))</f>
        <v>0</v>
      </c>
      <c r="Y31" s="21">
        <f>IF(
 IN_build!$P$4="Flach bzw. Flachdach",0,
  IN_rooms!AD$33*(IN_rooms!AD$30/2))</f>
        <v>0</v>
      </c>
      <c r="Z31" s="21">
        <f>IF(
 IN_build!$P$4="Flach bzw. Flachdach",0,
  IN_rooms!AE$33*(IN_rooms!AE$30/2))</f>
        <v>0</v>
      </c>
      <c r="AA31" s="21">
        <f>IF(
 IN_build!$P$4="Flach bzw. Flachdach",0,
  IN_rooms!AF$33*(IN_rooms!AF$30/2))</f>
        <v>0</v>
      </c>
    </row>
    <row r="32" spans="1:27" ht="18" customHeight="1" thickBot="1" x14ac:dyDescent="0.3">
      <c r="A32" t="s">
        <v>333</v>
      </c>
      <c r="B32" t="s">
        <v>675</v>
      </c>
      <c r="D32" t="s">
        <v>194</v>
      </c>
      <c r="F32" t="s">
        <v>706</v>
      </c>
      <c r="G32" t="s">
        <v>122</v>
      </c>
      <c r="I32" s="46"/>
      <c r="M32" s="301">
        <f>IF(IN_build!$P$4="Flach bzw. Flachdach",IN_rooms!R$4,clc_load!M$31)</f>
        <v>0</v>
      </c>
      <c r="N32" s="67">
        <f>IF(IN_build!$P$4="Flach bzw. Flachdach",IN_rooms!S$4,clc_load!N$31)</f>
        <v>0</v>
      </c>
      <c r="O32" s="67">
        <f>IF(IN_build!$P$4="Flach bzw. Flachdach",IN_rooms!T$4,clc_load!O$31)</f>
        <v>0</v>
      </c>
      <c r="P32" s="67">
        <f>IF(IN_build!$P$4="Flach bzw. Flachdach",IN_rooms!U$4,clc_load!P$31)</f>
        <v>0</v>
      </c>
      <c r="Q32" s="67">
        <f>IF(IN_build!$P$4="Flach bzw. Flachdach",IN_rooms!V$4,clc_load!Q$31)</f>
        <v>0</v>
      </c>
      <c r="R32" s="67">
        <f>IF(IN_build!$P$4="Flach bzw. Flachdach",IN_rooms!W$4,clc_load!R$31)</f>
        <v>0</v>
      </c>
      <c r="S32" s="67">
        <f>IF(IN_build!$P$4="Flach bzw. Flachdach",IN_rooms!X$4,clc_load!S$31)</f>
        <v>0</v>
      </c>
      <c r="T32" s="67">
        <f>IF(IN_build!$P$4="Flach bzw. Flachdach",IN_rooms!Y$4,clc_load!T$31)</f>
        <v>0</v>
      </c>
      <c r="U32" s="67">
        <f>IF(IN_build!$P$4="Flach bzw. Flachdach",IN_rooms!Z$4,clc_load!U$31)</f>
        <v>0</v>
      </c>
      <c r="V32" s="67">
        <f>IF(IN_build!$P$4="Flach bzw. Flachdach",IN_rooms!AA$4,clc_load!V$31)</f>
        <v>0</v>
      </c>
      <c r="W32" s="67">
        <f>IF(IN_build!$P$4="Flach bzw. Flachdach",IN_rooms!AB$4,clc_load!W$31)</f>
        <v>0</v>
      </c>
      <c r="X32" s="67">
        <f>IF(IN_build!$P$4="Flach bzw. Flachdach",IN_rooms!AC$4,clc_load!X$31)</f>
        <v>0</v>
      </c>
      <c r="Y32" s="67">
        <f>IF(IN_build!$P$4="Flach bzw. Flachdach",IN_rooms!AD$4,clc_load!Y$31)</f>
        <v>0</v>
      </c>
      <c r="Z32" s="67">
        <f>IF(IN_build!$P$4="Flach bzw. Flachdach",IN_rooms!AE$4,clc_load!Z$31)</f>
        <v>0</v>
      </c>
      <c r="AA32" s="67">
        <f>IF(IN_build!$P$4="Flach bzw. Flachdach",IN_rooms!AF$4,clc_load!AA$31)</f>
        <v>0</v>
      </c>
    </row>
    <row r="33" spans="1:27" ht="15.75" thickBot="1" x14ac:dyDescent="0.3">
      <c r="A33" t="s">
        <v>333</v>
      </c>
      <c r="B33" t="s">
        <v>678</v>
      </c>
      <c r="D33" t="s">
        <v>194</v>
      </c>
      <c r="F33" t="s">
        <v>707</v>
      </c>
      <c r="G33" t="s">
        <v>680</v>
      </c>
      <c r="M33" s="302" cm="1">
        <f t="array" ref="M33">IF(M$32=0,0,_xlfn.AGGREGATE(15,6,IWU[U-Wert]/((IWU[Bauteil]=LEFT($A33,5))*(IWU[Baujahr]=clc_load!M$4)*(IWU[Gebäudetyp]=clc_load!M$3)),1))</f>
        <v>0</v>
      </c>
      <c r="N33" s="66" cm="1">
        <f t="array" ref="N33">IF(N$32=0,0,_xlfn.AGGREGATE(15,6,IWU[U-Wert]/((IWU[Bauteil]=LEFT($A33,5))*(IWU[Baujahr]=clc_load!N$4)*(IWU[Gebäudetyp]=clc_load!N$3)),1))</f>
        <v>0</v>
      </c>
      <c r="O33" s="66" cm="1">
        <f t="array" ref="O33">IF(O$32=0,0,_xlfn.AGGREGATE(15,6,IWU[U-Wert]/((IWU[Bauteil]=LEFT($A33,5))*(IWU[Baujahr]=clc_load!O$4)*(IWU[Gebäudetyp]=clc_load!O$3)),1))</f>
        <v>0</v>
      </c>
      <c r="P33" s="66" cm="1">
        <f t="array" ref="P33">IF(P$32=0,0,_xlfn.AGGREGATE(15,6,IWU[U-Wert]/((IWU[Bauteil]=LEFT($A33,5))*(IWU[Baujahr]=clc_load!P$4)*(IWU[Gebäudetyp]=clc_load!P$3)),1))</f>
        <v>0</v>
      </c>
      <c r="Q33" s="66" cm="1">
        <f t="array" ref="Q33">IF(Q$32=0,0,_xlfn.AGGREGATE(15,6,IWU[U-Wert]/((IWU[Bauteil]=LEFT($A33,5))*(IWU[Baujahr]=clc_load!Q$4)*(IWU[Gebäudetyp]=clc_load!Q$3)),1))</f>
        <v>0</v>
      </c>
      <c r="R33" s="66" cm="1">
        <f t="array" ref="R33">IF(R$32=0,0,_xlfn.AGGREGATE(15,6,IWU[U-Wert]/((IWU[Bauteil]=LEFT($A33,5))*(IWU[Baujahr]=clc_load!R$4)*(IWU[Gebäudetyp]=clc_load!R$3)),1))</f>
        <v>0</v>
      </c>
      <c r="S33" s="66" cm="1">
        <f t="array" ref="S33">IF(S$32=0,0,_xlfn.AGGREGATE(15,6,IWU[U-Wert]/((IWU[Bauteil]=LEFT($A33,5))*(IWU[Baujahr]=clc_load!S$4)*(IWU[Gebäudetyp]=clc_load!S$3)),1))</f>
        <v>0</v>
      </c>
      <c r="T33" s="66" cm="1">
        <f t="array" ref="T33">IF(T$32=0,0,_xlfn.AGGREGATE(15,6,IWU[U-Wert]/((IWU[Bauteil]=LEFT($A33,5))*(IWU[Baujahr]=clc_load!T$4)*(IWU[Gebäudetyp]=clc_load!T$3)),1))</f>
        <v>0</v>
      </c>
      <c r="U33" s="66" cm="1">
        <f t="array" ref="U33">IF(U$32=0,0,_xlfn.AGGREGATE(15,6,IWU[U-Wert]/((IWU[Bauteil]=LEFT($A33,5))*(IWU[Baujahr]=clc_load!U$4)*(IWU[Gebäudetyp]=clc_load!U$3)),1))</f>
        <v>0</v>
      </c>
      <c r="V33" s="66" cm="1">
        <f t="array" ref="V33">IF(V$32=0,0,_xlfn.AGGREGATE(15,6,IWU[U-Wert]/((IWU[Bauteil]=LEFT($A33,5))*(IWU[Baujahr]=clc_load!V$4)*(IWU[Gebäudetyp]=clc_load!V$3)),1))</f>
        <v>0</v>
      </c>
      <c r="W33" s="66" cm="1">
        <f t="array" ref="W33">IF(W$32=0,0,_xlfn.AGGREGATE(15,6,IWU[U-Wert]/((IWU[Bauteil]=LEFT($A33,5))*(IWU[Baujahr]=clc_load!W$4)*(IWU[Gebäudetyp]=clc_load!W$3)),1))</f>
        <v>0</v>
      </c>
      <c r="X33" s="66" cm="1">
        <f t="array" ref="X33">IF(X$32=0,0,_xlfn.AGGREGATE(15,6,IWU[U-Wert]/((IWU[Bauteil]=LEFT($A33,5))*(IWU[Baujahr]=clc_load!X$4)*(IWU[Gebäudetyp]=clc_load!X$3)),1))</f>
        <v>0</v>
      </c>
      <c r="Y33" s="66" cm="1">
        <f t="array" ref="Y33">IF(Y$32=0,0,_xlfn.AGGREGATE(15,6,IWU[U-Wert]/((IWU[Bauteil]=LEFT($A33,5))*(IWU[Baujahr]=clc_load!Y$4)*(IWU[Gebäudetyp]=clc_load!Y$3)),1))</f>
        <v>0</v>
      </c>
      <c r="Z33" s="66" cm="1">
        <f t="array" ref="Z33">IF(Z$32=0,0,_xlfn.AGGREGATE(15,6,IWU[U-Wert]/((IWU[Bauteil]=LEFT($A33,5))*(IWU[Baujahr]=clc_load!Z$4)*(IWU[Gebäudetyp]=clc_load!Z$3)),1))</f>
        <v>0</v>
      </c>
      <c r="AA33" s="66" cm="1">
        <f t="array" ref="AA33">IF(AA$32=0,0,_xlfn.AGGREGATE(15,6,IWU[U-Wert]/((IWU[Bauteil]=LEFT($A33,5))*(IWU[Baujahr]=clc_load!AA$4)*(IWU[Gebäudetyp]=clc_load!AA$3)),1))</f>
        <v>0</v>
      </c>
    </row>
    <row r="34" spans="1:27" ht="15.75" thickBot="1" x14ac:dyDescent="0.3">
      <c r="A34" t="s">
        <v>333</v>
      </c>
      <c r="B34" t="s">
        <v>681</v>
      </c>
      <c r="D34" t="s">
        <v>194</v>
      </c>
      <c r="F34" t="s">
        <v>708</v>
      </c>
      <c r="G34" t="s">
        <v>680</v>
      </c>
      <c r="M34" s="302" cm="1">
        <f t="array" ref="M34">IF(IN_build!$Q$11="Ja",_xlfn.AGGREGATE(15,6,UWert_Mod[U-Wert]/((UWert_Mod[Bauteil]=LEFT(clc_load!$A$34,5))*(UWert_Mod[Modernisierungsjahr]=IN_build!$S$11)),1),M$33)</f>
        <v>0</v>
      </c>
      <c r="N34" s="66" cm="1">
        <f t="array" ref="N34">IF(IN_build!$Q$11="Ja",_xlfn.AGGREGATE(15,6,UWert_Mod[U-Wert]/((UWert_Mod[Bauteil]=LEFT(clc_load!$A$34,5))*(UWert_Mod[Modernisierungsjahr]=IN_build!$S$11)),1),N$33)</f>
        <v>0</v>
      </c>
      <c r="O34" s="66" cm="1">
        <f t="array" ref="O34">IF(IN_build!$Q$11="Ja",_xlfn.AGGREGATE(15,6,UWert_Mod[U-Wert]/((UWert_Mod[Bauteil]=LEFT(clc_load!$A$34,5))*(UWert_Mod[Modernisierungsjahr]=IN_build!$S$11)),1),O$33)</f>
        <v>0</v>
      </c>
      <c r="P34" s="66" cm="1">
        <f t="array" ref="P34">IF(IN_build!$Q$11="Ja",_xlfn.AGGREGATE(15,6,UWert_Mod[U-Wert]/((UWert_Mod[Bauteil]=LEFT(clc_load!$A$34,5))*(UWert_Mod[Modernisierungsjahr]=IN_build!$S$11)),1),P$33)</f>
        <v>0</v>
      </c>
      <c r="Q34" s="66" cm="1">
        <f t="array" ref="Q34">IF(IN_build!$Q$11="Ja",_xlfn.AGGREGATE(15,6,UWert_Mod[U-Wert]/((UWert_Mod[Bauteil]=LEFT(clc_load!$A$34,5))*(UWert_Mod[Modernisierungsjahr]=IN_build!$S$11)),1),Q$33)</f>
        <v>0</v>
      </c>
      <c r="R34" s="66" cm="1">
        <f t="array" ref="R34">IF(IN_build!$Q$11="Ja",_xlfn.AGGREGATE(15,6,UWert_Mod[U-Wert]/((UWert_Mod[Bauteil]=LEFT(clc_load!$A$34,5))*(UWert_Mod[Modernisierungsjahr]=IN_build!$S$11)),1),R$33)</f>
        <v>0</v>
      </c>
      <c r="S34" s="66" cm="1">
        <f t="array" ref="S34">IF(IN_build!$Q$11="Ja",_xlfn.AGGREGATE(15,6,UWert_Mod[U-Wert]/((UWert_Mod[Bauteil]=LEFT(clc_load!$A$34,5))*(UWert_Mod[Modernisierungsjahr]=IN_build!$S$11)),1),S$33)</f>
        <v>0</v>
      </c>
      <c r="T34" s="66" cm="1">
        <f t="array" ref="T34">IF(IN_build!$Q$11="Ja",_xlfn.AGGREGATE(15,6,UWert_Mod[U-Wert]/((UWert_Mod[Bauteil]=LEFT(clc_load!$A$34,5))*(UWert_Mod[Modernisierungsjahr]=IN_build!$S$11)),1),T$33)</f>
        <v>0</v>
      </c>
      <c r="U34" s="66" cm="1">
        <f t="array" ref="U34">IF(IN_build!$Q$11="Ja",_xlfn.AGGREGATE(15,6,UWert_Mod[U-Wert]/((UWert_Mod[Bauteil]=LEFT(clc_load!$A$34,5))*(UWert_Mod[Modernisierungsjahr]=IN_build!$S$11)),1),U$33)</f>
        <v>0</v>
      </c>
      <c r="V34" s="66" cm="1">
        <f t="array" ref="V34">IF(IN_build!$Q$11="Ja",_xlfn.AGGREGATE(15,6,UWert_Mod[U-Wert]/((UWert_Mod[Bauteil]=LEFT(clc_load!$A$34,5))*(UWert_Mod[Modernisierungsjahr]=IN_build!$S$11)),1),V$33)</f>
        <v>0</v>
      </c>
      <c r="W34" s="66" cm="1">
        <f t="array" ref="W34">IF(IN_build!$Q$11="Ja",_xlfn.AGGREGATE(15,6,UWert_Mod[U-Wert]/((UWert_Mod[Bauteil]=LEFT(clc_load!$A$34,5))*(UWert_Mod[Modernisierungsjahr]=IN_build!$S$11)),1),W$33)</f>
        <v>0</v>
      </c>
      <c r="X34" s="66" cm="1">
        <f t="array" ref="X34">IF(IN_build!$Q$11="Ja",_xlfn.AGGREGATE(15,6,UWert_Mod[U-Wert]/((UWert_Mod[Bauteil]=LEFT(clc_load!$A$34,5))*(UWert_Mod[Modernisierungsjahr]=IN_build!$S$11)),1),X$33)</f>
        <v>0</v>
      </c>
      <c r="Y34" s="66" cm="1">
        <f t="array" ref="Y34">IF(IN_build!$Q$11="Ja",_xlfn.AGGREGATE(15,6,UWert_Mod[U-Wert]/((UWert_Mod[Bauteil]=LEFT(clc_load!$A$34,5))*(UWert_Mod[Modernisierungsjahr]=IN_build!$S$11)),1),Y$33)</f>
        <v>0</v>
      </c>
      <c r="Z34" s="66" cm="1">
        <f t="array" ref="Z34">IF(IN_build!$Q$11="Ja",_xlfn.AGGREGATE(15,6,UWert_Mod[U-Wert]/((UWert_Mod[Bauteil]=LEFT(clc_load!$A$34,5))*(UWert_Mod[Modernisierungsjahr]=IN_build!$S$11)),1),Z$33)</f>
        <v>0</v>
      </c>
      <c r="AA34" s="66" cm="1">
        <f t="array" ref="AA34">IF(IN_build!$Q$11="Ja",_xlfn.AGGREGATE(15,6,UWert_Mod[U-Wert]/((UWert_Mod[Bauteil]=LEFT(clc_load!$A$34,5))*(UWert_Mod[Modernisierungsjahr]=IN_build!$S$11)),1),AA$33)</f>
        <v>0</v>
      </c>
    </row>
    <row r="35" spans="1:27" ht="15.75" thickBot="1" x14ac:dyDescent="0.3">
      <c r="A35" t="s">
        <v>333</v>
      </c>
      <c r="B35" t="s">
        <v>683</v>
      </c>
      <c r="D35" t="s">
        <v>194</v>
      </c>
      <c r="F35" t="s">
        <v>709</v>
      </c>
      <c r="G35" t="s">
        <v>112</v>
      </c>
      <c r="M35" s="299">
        <f>IF(OR(M$32="entfällt",M$32=0),0,(M$32*(M$34+M$8)*_xlfn.XLOOKUP(IN_rooms!R$7,DD_Bauteil_grenz[[Grenze Bauteil gegen ]],DD_Bauteil_grenz[Temperaturkorrekturfaktor],"FEHLER",0,1))*(M$10-Normaußentemperatur_12831!$B$6))</f>
        <v>0</v>
      </c>
      <c r="N35" s="68">
        <f>IF(OR(N$32="entfällt",N$32=0),0,(N$32*(N$34+N$8)*_xlfn.XLOOKUP(IN_rooms!S$7,DD_Bauteil_grenz[[Grenze Bauteil gegen ]],DD_Bauteil_grenz[Temperaturkorrekturfaktor],"FEHLER",0,1))*(N$10-Normaußentemperatur_12831!$B$6))</f>
        <v>0</v>
      </c>
      <c r="O35" s="68">
        <f>IF(OR(O$32="entfällt",O$32=0),0,(O$32*(O$34+O$8)*_xlfn.XLOOKUP(IN_rooms!T$7,DD_Bauteil_grenz[[Grenze Bauteil gegen ]],DD_Bauteil_grenz[Temperaturkorrekturfaktor],"FEHLER",0,1))*(O$10-Normaußentemperatur_12831!$B$6))</f>
        <v>0</v>
      </c>
      <c r="P35" s="68">
        <f>IF(OR(P$32="entfällt",P$32=0),0,(P$32*(P$34+P$8)*_xlfn.XLOOKUP(IN_rooms!U$7,DD_Bauteil_grenz[[Grenze Bauteil gegen ]],DD_Bauteil_grenz[Temperaturkorrekturfaktor],"FEHLER",0,1))*(P$10-Normaußentemperatur_12831!$B$6))</f>
        <v>0</v>
      </c>
      <c r="Q35" s="68">
        <f>IF(OR(Q$32="entfällt",Q$32=0),0,(Q$32*(Q$34+Q$8)*_xlfn.XLOOKUP(IN_rooms!V$7,DD_Bauteil_grenz[[Grenze Bauteil gegen ]],DD_Bauteil_grenz[Temperaturkorrekturfaktor],"FEHLER",0,1))*(Q$10-Normaußentemperatur_12831!$B$6))</f>
        <v>0</v>
      </c>
      <c r="R35" s="68">
        <f>IF(OR(R$32="entfällt",R$32=0),0,(R$32*(R$34+R$8)*_xlfn.XLOOKUP(IN_rooms!W$7,DD_Bauteil_grenz[[Grenze Bauteil gegen ]],DD_Bauteil_grenz[Temperaturkorrekturfaktor],"FEHLER",0,1))*(R$10-Normaußentemperatur_12831!$B$6))</f>
        <v>0</v>
      </c>
      <c r="S35" s="68">
        <f>IF(OR(S$32="entfällt",S$32=0),0,(S$32*(S$34+S$8)*_xlfn.XLOOKUP(IN_rooms!X$7,DD_Bauteil_grenz[[Grenze Bauteil gegen ]],DD_Bauteil_grenz[Temperaturkorrekturfaktor],"FEHLER",0,1))*(S$10-Normaußentemperatur_12831!$B$6))</f>
        <v>0</v>
      </c>
      <c r="T35" s="68">
        <f>IF(OR(T$32="entfällt",T$32=0),0,(T$32*(T$34+T$8)*_xlfn.XLOOKUP(IN_rooms!Y$7,DD_Bauteil_grenz[[Grenze Bauteil gegen ]],DD_Bauteil_grenz[Temperaturkorrekturfaktor],"FEHLER",0,1))*(T$10-Normaußentemperatur_12831!$B$6))</f>
        <v>0</v>
      </c>
      <c r="U35" s="68">
        <f>IF(OR(U$32="entfällt",U$32=0),0,(U$32*(U$34+U$8)*_xlfn.XLOOKUP(IN_rooms!Z$7,DD_Bauteil_grenz[[Grenze Bauteil gegen ]],DD_Bauteil_grenz[Temperaturkorrekturfaktor],"FEHLER",0,1))*(U$10-Normaußentemperatur_12831!$B$6))</f>
        <v>0</v>
      </c>
      <c r="V35" s="68">
        <f>IF(OR(V$32="entfällt",V$32=0),0,(V$32*(V$34+V$8)*_xlfn.XLOOKUP(IN_rooms!AA$7,DD_Bauteil_grenz[[Grenze Bauteil gegen ]],DD_Bauteil_grenz[Temperaturkorrekturfaktor],"FEHLER",0,1))*(V$10-Normaußentemperatur_12831!$B$6))</f>
        <v>0</v>
      </c>
      <c r="W35" s="68">
        <f>IF(OR(W$32="entfällt",W$32=0),0,(W$32*(W$34+W$8)*_xlfn.XLOOKUP(IN_rooms!AB$7,DD_Bauteil_grenz[[Grenze Bauteil gegen ]],DD_Bauteil_grenz[Temperaturkorrekturfaktor],"FEHLER",0,1))*(W$10-Normaußentemperatur_12831!$B$6))</f>
        <v>0</v>
      </c>
      <c r="X35" s="68">
        <f>IF(OR(X$32="entfällt",X$32=0),0,(X$32*(X$34+X$8)*_xlfn.XLOOKUP(IN_rooms!AC$7,DD_Bauteil_grenz[[Grenze Bauteil gegen ]],DD_Bauteil_grenz[Temperaturkorrekturfaktor],"FEHLER",0,1))*(X$10-Normaußentemperatur_12831!$B$6))</f>
        <v>0</v>
      </c>
      <c r="Y35" s="68">
        <f>IF(OR(Y$32="entfällt",Y$32=0),0,(Y$32*(Y$34+Y$8)*_xlfn.XLOOKUP(IN_rooms!AD$7,DD_Bauteil_grenz[[Grenze Bauteil gegen ]],DD_Bauteil_grenz[Temperaturkorrekturfaktor],"FEHLER",0,1))*(Y$10-Normaußentemperatur_12831!$B$6))</f>
        <v>0</v>
      </c>
      <c r="Z35" s="68">
        <f>IF(OR(Z$32="entfällt",Z$32=0),0,(Z$32*(Z$34+Z$8)*_xlfn.XLOOKUP(IN_rooms!AE$7,DD_Bauteil_grenz[[Grenze Bauteil gegen ]],DD_Bauteil_grenz[Temperaturkorrekturfaktor],"FEHLER",0,1))*(Z$10-Normaußentemperatur_12831!$B$6))</f>
        <v>0</v>
      </c>
      <c r="AA35" s="68">
        <f>IF(OR(AA$32="entfällt",AA$32=0),0,(AA$32*(AA$34+AA$8)*_xlfn.XLOOKUP(IN_rooms!AF$7,DD_Bauteil_grenz[[Grenze Bauteil gegen ]],DD_Bauteil_grenz[Temperaturkorrekturfaktor],"FEHLER",0,1))*(AA$10-Normaußentemperatur_12831!$B$6))</f>
        <v>0</v>
      </c>
    </row>
    <row r="36" spans="1:27" ht="15.75" thickBot="1" x14ac:dyDescent="0.3">
      <c r="A36" t="s">
        <v>333</v>
      </c>
      <c r="B36" t="s">
        <v>673</v>
      </c>
      <c r="D36" t="s">
        <v>194</v>
      </c>
      <c r="F36" t="s">
        <v>710</v>
      </c>
      <c r="G36" t="s">
        <v>111</v>
      </c>
      <c r="M36" s="205">
        <f>M$35/M$72</f>
        <v>0</v>
      </c>
      <c r="N36" s="205">
        <f>N$35/N$72</f>
        <v>0</v>
      </c>
      <c r="O36" s="205">
        <f>O$35/O$72</f>
        <v>0</v>
      </c>
      <c r="P36" s="205">
        <f>P$35/P$72</f>
        <v>0</v>
      </c>
      <c r="Q36" s="205">
        <f>Q$35/Q$72</f>
        <v>0</v>
      </c>
      <c r="R36" s="205">
        <f>R$35/R$72</f>
        <v>0</v>
      </c>
      <c r="S36" s="205">
        <f>S$35/S$72</f>
        <v>0</v>
      </c>
      <c r="T36" s="205">
        <f>T$35/T$72</f>
        <v>0</v>
      </c>
      <c r="U36" s="205">
        <f>U$35/U$72</f>
        <v>0</v>
      </c>
      <c r="V36" s="205">
        <f>V$35/V$72</f>
        <v>0</v>
      </c>
      <c r="W36" s="205">
        <f>W$35/W$72</f>
        <v>0</v>
      </c>
      <c r="X36" s="205">
        <f>X$35/X$72</f>
        <v>0</v>
      </c>
      <c r="Y36" s="205">
        <f>Y$35/Y$72</f>
        <v>0</v>
      </c>
      <c r="Z36" s="205">
        <f>Z$35/Z$72</f>
        <v>0</v>
      </c>
      <c r="AA36" s="205">
        <f>AA$35/AA$72</f>
        <v>0</v>
      </c>
    </row>
    <row r="37" spans="1:27" ht="15.75" thickBot="1" x14ac:dyDescent="0.3">
      <c r="A37" t="s">
        <v>334</v>
      </c>
      <c r="B37" t="s">
        <v>675</v>
      </c>
      <c r="D37" t="s">
        <v>196</v>
      </c>
      <c r="F37" t="s">
        <v>711</v>
      </c>
      <c r="G37" t="s">
        <v>122</v>
      </c>
      <c r="H37" t="s">
        <v>712</v>
      </c>
      <c r="M37" s="301" cm="1">
        <f t="array" ref="M37">IF(IN_rooms!R$39="",
IN_rooms!R$4,
IN_rooms!R$4+
IN_rooms!R$39
/TAN(
_xlfn.IFS(
IN_build!$P$4="Flach bzw. Flachdach",90,IN_build!$P$4="Geneigt",25,IN_build!$P$4="Steil",40,IN_build!$P$4="Sehr steil",55)*PI()/180)
*IN_rooms!R$30)</f>
        <v>20</v>
      </c>
      <c r="N37" s="67" cm="1">
        <f t="array" ref="N37">IF(IN_rooms!S$39="",
IN_rooms!S$4,
IN_rooms!S$4+
IN_rooms!S$39
/TAN(
_xlfn.IFS(
IN_build!$P$4="Flach bzw. Flachdach",90,IN_build!$P$4="Geneigt",25,IN_build!$P$4="Steil",40,IN_build!$P$4="Sehr steil",55)*PI()/180)
*IN_rooms!S$30)</f>
        <v>21</v>
      </c>
      <c r="O37" s="67" cm="1">
        <f t="array" ref="O37">IF(IN_rooms!T$39="",
IN_rooms!T$4,
IN_rooms!T$4+
IN_rooms!T$39
/TAN(
_xlfn.IFS(
IN_build!$P$4="Flach bzw. Flachdach",90,IN_build!$P$4="Geneigt",25,IN_build!$P$4="Steil",40,IN_build!$P$4="Sehr steil",55)*PI()/180)
*IN_rooms!T$30)</f>
        <v>22</v>
      </c>
      <c r="P37" s="67" cm="1">
        <f t="array" ref="P37">IF(IN_rooms!U$39="",
IN_rooms!U$4,
IN_rooms!U$4+
IN_rooms!U$39
/TAN(
_xlfn.IFS(
IN_build!$P$4="Flach bzw. Flachdach",90,IN_build!$P$4="Geneigt",25,IN_build!$P$4="Steil",40,IN_build!$P$4="Sehr steil",55)*PI()/180)
*IN_rooms!U$30)</f>
        <v>23</v>
      </c>
      <c r="Q37" s="67" cm="1">
        <f t="array" ref="Q37">IF(IN_rooms!V$39="",
IN_rooms!V$4,
IN_rooms!V$4+
IN_rooms!V$39
/TAN(
_xlfn.IFS(
IN_build!$P$4="Flach bzw. Flachdach",90,IN_build!$P$4="Geneigt",25,IN_build!$P$4="Steil",40,IN_build!$P$4="Sehr steil",55)*PI()/180)
*IN_rooms!V$30)</f>
        <v>24</v>
      </c>
      <c r="R37" s="67" cm="1">
        <f t="array" ref="R37">IF(IN_rooms!W$39="",
IN_rooms!W$4,
IN_rooms!W$4+
IN_rooms!W$39
/TAN(
_xlfn.IFS(
IN_build!$P$4="Flach bzw. Flachdach",90,IN_build!$P$4="Geneigt",25,IN_build!$P$4="Steil",40,IN_build!$P$4="Sehr steil",55)*PI()/180)
*IN_rooms!W$30)</f>
        <v>25</v>
      </c>
      <c r="S37" s="67" cm="1">
        <f t="array" ref="S37">IF(IN_rooms!X$39="",
IN_rooms!X$4,
IN_rooms!X$4+
IN_rooms!X$39
/TAN(
_xlfn.IFS(
IN_build!$P$4="Flach bzw. Flachdach",90,IN_build!$P$4="Geneigt",25,IN_build!$P$4="Steil",40,IN_build!$P$4="Sehr steil",55)*PI()/180)
*IN_rooms!X$30)</f>
        <v>26</v>
      </c>
      <c r="T37" s="67" cm="1">
        <f t="array" ref="T37">IF(IN_rooms!Y$39="",
IN_rooms!Y$4,
IN_rooms!Y$4+
IN_rooms!Y$39
/TAN(
_xlfn.IFS(
IN_build!$P$4="Flach bzw. Flachdach",90,IN_build!$P$4="Geneigt",25,IN_build!$P$4="Steil",40,IN_build!$P$4="Sehr steil",55)*PI()/180)
*IN_rooms!Y$30)</f>
        <v>27</v>
      </c>
      <c r="U37" s="67" cm="1">
        <f t="array" ref="U37">IF(IN_rooms!Z$39="",
IN_rooms!Z$4,
IN_rooms!Z$4+
IN_rooms!Z$39
/TAN(
_xlfn.IFS(
IN_build!$P$4="Flach bzw. Flachdach",90,IN_build!$P$4="Geneigt",25,IN_build!$P$4="Steil",40,IN_build!$P$4="Sehr steil",55)*PI()/180)
*IN_rooms!Z$30)</f>
        <v>28</v>
      </c>
      <c r="V37" s="67" cm="1">
        <f t="array" ref="V37">IF(IN_rooms!AA$39="",
IN_rooms!AA$4,
IN_rooms!AA$4+
IN_rooms!AA$39
/TAN(
_xlfn.IFS(
IN_build!$P$4="Flach bzw. Flachdach",90,IN_build!$P$4="Geneigt",25,IN_build!$P$4="Steil",40,IN_build!$P$4="Sehr steil",55)*PI()/180)
*IN_rooms!AA$30)</f>
        <v>29</v>
      </c>
      <c r="W37" s="67" cm="1">
        <f t="array" ref="W37">IF(IN_rooms!AB$39="",
IN_rooms!AB$4,
IN_rooms!AB$4+
IN_rooms!AB$39
/TAN(
_xlfn.IFS(
IN_build!$P$4="Flach bzw. Flachdach",90,IN_build!$P$4="Geneigt",25,IN_build!$P$4="Steil",40,IN_build!$P$4="Sehr steil",55)*PI()/180)
*IN_rooms!AB$30)</f>
        <v>30</v>
      </c>
      <c r="X37" s="67" cm="1">
        <f t="array" ref="X37">IF(IN_rooms!AC$39="",
IN_rooms!AC$4,
IN_rooms!AC$4+
IN_rooms!AC$39
/TAN(
_xlfn.IFS(
IN_build!$P$4="Flach bzw. Flachdach",90,IN_build!$P$4="Geneigt",25,IN_build!$P$4="Steil",40,IN_build!$P$4="Sehr steil",55)*PI()/180)
*IN_rooms!AC$30)</f>
        <v>31</v>
      </c>
      <c r="Y37" s="67" cm="1">
        <f t="array" ref="Y37">IF(IN_rooms!AD$39="",
IN_rooms!AD$4,
IN_rooms!AD$4+
IN_rooms!AD$39
/TAN(
_xlfn.IFS(
IN_build!$P$4="Flach bzw. Flachdach",90,IN_build!$P$4="Geneigt",25,IN_build!$P$4="Steil",40,IN_build!$P$4="Sehr steil",55)*PI()/180)
*IN_rooms!AD$30)</f>
        <v>32</v>
      </c>
      <c r="Z37" s="67" cm="1">
        <f t="array" ref="Z37">IF(IN_rooms!AE$39="",
IN_rooms!AE$4,
IN_rooms!AE$4+
IN_rooms!AE$39
/TAN(
_xlfn.IFS(
IN_build!$P$4="Flach bzw. Flachdach",90,IN_build!$P$4="Geneigt",25,IN_build!$P$4="Steil",40,IN_build!$P$4="Sehr steil",55)*PI()/180)
*IN_rooms!AE$30)</f>
        <v>33</v>
      </c>
      <c r="AA37" s="67" cm="1">
        <f t="array" ref="AA37">IF(IN_rooms!AF$39="",
IN_rooms!AF$4,
IN_rooms!AF$4+
IN_rooms!AF$39
/TAN(
_xlfn.IFS(
IN_build!$P$4="Flach bzw. Flachdach",90,IN_build!$P$4="Geneigt",25,IN_build!$P$4="Steil",40,IN_build!$P$4="Sehr steil",55)*PI()/180)
*IN_rooms!AF$30)</f>
        <v>34</v>
      </c>
    </row>
    <row r="38" spans="1:27" ht="15.75" thickBot="1" x14ac:dyDescent="0.3">
      <c r="A38" t="s">
        <v>334</v>
      </c>
      <c r="B38" t="s">
        <v>678</v>
      </c>
      <c r="D38" t="s">
        <v>196</v>
      </c>
      <c r="F38" t="s">
        <v>713</v>
      </c>
      <c r="G38" t="s">
        <v>109</v>
      </c>
      <c r="M38" s="302" cm="1">
        <f t="array" ref="M38">_xlfn.AGGREGATE(15,6,IWU[U-Wert]/((IWU[Bauteil]=clc_load!$A38)*(IWU[Baujahr]=clc_load!$M$4)*(IWU[Gebäudetyp]=clc_load!$M$3)),1)</f>
        <v>0.81</v>
      </c>
      <c r="N38" s="66" cm="1">
        <f t="array" ref="N38">_xlfn.AGGREGATE(15,6,IWU[U-Wert]/((IWU[Bauteil]=clc_load!$A38)*(IWU[Baujahr]=clc_load!$M$4)*(IWU[Gebäudetyp]=clc_load!$M$3)),1)</f>
        <v>0.81</v>
      </c>
      <c r="O38" s="66" cm="1">
        <f t="array" ref="O38">_xlfn.AGGREGATE(15,6,IWU[U-Wert]/((IWU[Bauteil]=clc_load!$A38)*(IWU[Baujahr]=clc_load!$M$4)*(IWU[Gebäudetyp]=clc_load!$M$3)),1)</f>
        <v>0.81</v>
      </c>
      <c r="P38" s="66" cm="1">
        <f t="array" ref="P38">_xlfn.AGGREGATE(15,6,IWU[U-Wert]/((IWU[Bauteil]=clc_load!$A38)*(IWU[Baujahr]=clc_load!$M$4)*(IWU[Gebäudetyp]=clc_load!$M$3)),1)</f>
        <v>0.81</v>
      </c>
      <c r="Q38" s="66" cm="1">
        <f t="array" ref="Q38">_xlfn.AGGREGATE(15,6,IWU[U-Wert]/((IWU[Bauteil]=clc_load!$A38)*(IWU[Baujahr]=clc_load!$M$4)*(IWU[Gebäudetyp]=clc_load!$M$3)),1)</f>
        <v>0.81</v>
      </c>
      <c r="R38" s="66" cm="1">
        <f t="array" ref="R38">_xlfn.AGGREGATE(15,6,IWU[U-Wert]/((IWU[Bauteil]=clc_load!$A38)*(IWU[Baujahr]=clc_load!$M$4)*(IWU[Gebäudetyp]=clc_load!$M$3)),1)</f>
        <v>0.81</v>
      </c>
      <c r="S38" s="66" cm="1">
        <f t="array" ref="S38">_xlfn.AGGREGATE(15,6,IWU[U-Wert]/((IWU[Bauteil]=clc_load!$A38)*(IWU[Baujahr]=clc_load!$M$4)*(IWU[Gebäudetyp]=clc_load!$M$3)),1)</f>
        <v>0.81</v>
      </c>
      <c r="T38" s="66" cm="1">
        <f t="array" ref="T38">_xlfn.AGGREGATE(15,6,IWU[U-Wert]/((IWU[Bauteil]=clc_load!$A38)*(IWU[Baujahr]=clc_load!$M$4)*(IWU[Gebäudetyp]=clc_load!$M$3)),1)</f>
        <v>0.81</v>
      </c>
      <c r="U38" s="66" cm="1">
        <f t="array" ref="U38">_xlfn.AGGREGATE(15,6,IWU[U-Wert]/((IWU[Bauteil]=clc_load!$A38)*(IWU[Baujahr]=clc_load!$M$4)*(IWU[Gebäudetyp]=clc_load!$M$3)),1)</f>
        <v>0.81</v>
      </c>
      <c r="V38" s="66" cm="1">
        <f t="array" ref="V38">_xlfn.AGGREGATE(15,6,IWU[U-Wert]/((IWU[Bauteil]=clc_load!$A38)*(IWU[Baujahr]=clc_load!$M$4)*(IWU[Gebäudetyp]=clc_load!$M$3)),1)</f>
        <v>0.81</v>
      </c>
      <c r="W38" s="66" cm="1">
        <f t="array" ref="W38">_xlfn.AGGREGATE(15,6,IWU[U-Wert]/((IWU[Bauteil]=clc_load!$A38)*(IWU[Baujahr]=clc_load!$M$4)*(IWU[Gebäudetyp]=clc_load!$M$3)),1)</f>
        <v>0.81</v>
      </c>
      <c r="X38" s="66" cm="1">
        <f t="array" ref="X38">_xlfn.AGGREGATE(15,6,IWU[U-Wert]/((IWU[Bauteil]=clc_load!$A38)*(IWU[Baujahr]=clc_load!$M$4)*(IWU[Gebäudetyp]=clc_load!$M$3)),1)</f>
        <v>0.81</v>
      </c>
      <c r="Y38" s="66" cm="1">
        <f t="array" ref="Y38">_xlfn.AGGREGATE(15,6,IWU[U-Wert]/((IWU[Bauteil]=clc_load!$A38)*(IWU[Baujahr]=clc_load!$M$4)*(IWU[Gebäudetyp]=clc_load!$M$3)),1)</f>
        <v>0.81</v>
      </c>
      <c r="Z38" s="66" cm="1">
        <f t="array" ref="Z38">_xlfn.AGGREGATE(15,6,IWU[U-Wert]/((IWU[Bauteil]=clc_load!$A38)*(IWU[Baujahr]=clc_load!$M$4)*(IWU[Gebäudetyp]=clc_load!$M$3)),1)</f>
        <v>0.81</v>
      </c>
      <c r="AA38" s="66" cm="1">
        <f t="array" ref="AA38">_xlfn.AGGREGATE(15,6,IWU[U-Wert]/((IWU[Bauteil]=clc_load!$A38)*(IWU[Baujahr]=clc_load!$M$4)*(IWU[Gebäudetyp]=clc_load!$M$3)),1)</f>
        <v>0.81</v>
      </c>
    </row>
    <row r="39" spans="1:27" ht="15.75" thickBot="1" x14ac:dyDescent="0.3">
      <c r="A39" t="s">
        <v>334</v>
      </c>
      <c r="B39" t="s">
        <v>714</v>
      </c>
      <c r="D39" t="s">
        <v>196</v>
      </c>
      <c r="F39" t="s">
        <v>715</v>
      </c>
      <c r="G39" t="s">
        <v>109</v>
      </c>
      <c r="M39" s="302" cm="1">
        <f t="array" ref="M39">IF(IN_build!$Q$10="Ja",_xlfn.AGGREGATE(15,6,UWert_Mod[U-Wert]/((UWert_Mod[Bauteil]=LEFT(clc_load!$A$39,8))*(UWert_Mod[Modernisierungsjahr]=IN_build!$S$10)),1),M$38)</f>
        <v>0.81</v>
      </c>
      <c r="N39" s="66" cm="1">
        <f t="array" ref="N39">IF(IN_build!$Q$10="Ja",_xlfn.AGGREGATE(15,6,UWert_Mod[U-Wert]/((UWert_Mod[Bauteil]=LEFT(clc_load!$A$39,8))*(UWert_Mod[Modernisierungsjahr]=IN_build!$S$10)),1),N$38)</f>
        <v>0.81</v>
      </c>
      <c r="O39" s="66" cm="1">
        <f t="array" ref="O39">IF(IN_build!$Q$10="Ja",_xlfn.AGGREGATE(15,6,UWert_Mod[U-Wert]/((UWert_Mod[Bauteil]=LEFT(clc_load!$A$39,8))*(UWert_Mod[Modernisierungsjahr]=IN_build!$S$10)),1),O$38)</f>
        <v>0.81</v>
      </c>
      <c r="P39" s="66" cm="1">
        <f t="array" ref="P39">IF(IN_build!$Q$10="Ja",_xlfn.AGGREGATE(15,6,UWert_Mod[U-Wert]/((UWert_Mod[Bauteil]=LEFT(clc_load!$A$39,8))*(UWert_Mod[Modernisierungsjahr]=IN_build!$S$10)),1),P$38)</f>
        <v>0.81</v>
      </c>
      <c r="Q39" s="66" cm="1">
        <f t="array" ref="Q39">IF(IN_build!$Q$10="Ja",_xlfn.AGGREGATE(15,6,UWert_Mod[U-Wert]/((UWert_Mod[Bauteil]=LEFT(clc_load!$A$39,8))*(UWert_Mod[Modernisierungsjahr]=IN_build!$S$10)),1),Q$38)</f>
        <v>0.81</v>
      </c>
      <c r="R39" s="66" cm="1">
        <f t="array" ref="R39">IF(IN_build!$Q$10="Ja",_xlfn.AGGREGATE(15,6,UWert_Mod[U-Wert]/((UWert_Mod[Bauteil]=LEFT(clc_load!$A$39,8))*(UWert_Mod[Modernisierungsjahr]=IN_build!$S$10)),1),R$38)</f>
        <v>0.81</v>
      </c>
      <c r="S39" s="66" cm="1">
        <f t="array" ref="S39">IF(IN_build!$Q$10="Ja",_xlfn.AGGREGATE(15,6,UWert_Mod[U-Wert]/((UWert_Mod[Bauteil]=LEFT(clc_load!$A$39,8))*(UWert_Mod[Modernisierungsjahr]=IN_build!$S$10)),1),S$38)</f>
        <v>0.81</v>
      </c>
      <c r="T39" s="66" cm="1">
        <f t="array" ref="T39">IF(IN_build!$Q$10="Ja",_xlfn.AGGREGATE(15,6,UWert_Mod[U-Wert]/((UWert_Mod[Bauteil]=LEFT(clc_load!$A$39,8))*(UWert_Mod[Modernisierungsjahr]=IN_build!$S$10)),1),T$38)</f>
        <v>0.81</v>
      </c>
      <c r="U39" s="66" cm="1">
        <f t="array" ref="U39">IF(IN_build!$Q$10="Ja",_xlfn.AGGREGATE(15,6,UWert_Mod[U-Wert]/((UWert_Mod[Bauteil]=LEFT(clc_load!$A$39,8))*(UWert_Mod[Modernisierungsjahr]=IN_build!$S$10)),1),U$38)</f>
        <v>0.81</v>
      </c>
      <c r="V39" s="66" cm="1">
        <f t="array" ref="V39">IF(IN_build!$Q$10="Ja",_xlfn.AGGREGATE(15,6,UWert_Mod[U-Wert]/((UWert_Mod[Bauteil]=LEFT(clc_load!$A$39,8))*(UWert_Mod[Modernisierungsjahr]=IN_build!$S$10)),1),V$38)</f>
        <v>0.81</v>
      </c>
      <c r="W39" s="66" cm="1">
        <f t="array" ref="W39">IF(IN_build!$Q$10="Ja",_xlfn.AGGREGATE(15,6,UWert_Mod[U-Wert]/((UWert_Mod[Bauteil]=LEFT(clc_load!$A$39,8))*(UWert_Mod[Modernisierungsjahr]=IN_build!$S$10)),1),W$38)</f>
        <v>0.81</v>
      </c>
      <c r="X39" s="66" cm="1">
        <f t="array" ref="X39">IF(IN_build!$Q$10="Ja",_xlfn.AGGREGATE(15,6,UWert_Mod[U-Wert]/((UWert_Mod[Bauteil]=LEFT(clc_load!$A$39,8))*(UWert_Mod[Modernisierungsjahr]=IN_build!$S$10)),1),X$38)</f>
        <v>0.81</v>
      </c>
      <c r="Y39" s="66" cm="1">
        <f t="array" ref="Y39">IF(IN_build!$Q$10="Ja",_xlfn.AGGREGATE(15,6,UWert_Mod[U-Wert]/((UWert_Mod[Bauteil]=LEFT(clc_load!$A$39,8))*(UWert_Mod[Modernisierungsjahr]=IN_build!$S$10)),1),Y$38)</f>
        <v>0.81</v>
      </c>
      <c r="Z39" s="66" cm="1">
        <f t="array" ref="Z39">IF(IN_build!$Q$10="Ja",_xlfn.AGGREGATE(15,6,UWert_Mod[U-Wert]/((UWert_Mod[Bauteil]=LEFT(clc_load!$A$39,8))*(UWert_Mod[Modernisierungsjahr]=IN_build!$S$10)),1),Z$38)</f>
        <v>0.81</v>
      </c>
      <c r="AA39" s="66" cm="1">
        <f t="array" ref="AA39">IF(IN_build!$Q$10="Ja",_xlfn.AGGREGATE(15,6,UWert_Mod[U-Wert]/((UWert_Mod[Bauteil]=LEFT(clc_load!$A$39,8))*(UWert_Mod[Modernisierungsjahr]=IN_build!$S$10)),1),AA$38)</f>
        <v>0.81</v>
      </c>
    </row>
    <row r="40" spans="1:27" ht="15.75" thickBot="1" x14ac:dyDescent="0.3">
      <c r="A40" t="s">
        <v>334</v>
      </c>
      <c r="B40" t="s">
        <v>683</v>
      </c>
      <c r="D40" t="s">
        <v>196</v>
      </c>
      <c r="F40" t="s">
        <v>716</v>
      </c>
      <c r="G40" t="s">
        <v>112</v>
      </c>
      <c r="M40" s="299">
        <f>M$37*(M$38+M$8)*_xlfn.XLOOKUP(IN_rooms!R8,DD_Bauteil_grenz[[Grenze Bauteil gegen ]],DD_Bauteil_grenz[Temperaturkorrekturfaktor],"FEHLER",0,1)*(M$10-Normaußentemperatur_12831!$B$6)</f>
        <v>273</v>
      </c>
      <c r="N40" s="68">
        <f>N$37*(N$38+N$8)*_xlfn.XLOOKUP(IN_rooms!S8,DD_Bauteil_grenz[[Grenze Bauteil gegen ]],DD_Bauteil_grenz[Temperaturkorrekturfaktor],"FEHLER",0,1)*(N$10-Normaußentemperatur_12831!$B$6)</f>
        <v>286.64999999999998</v>
      </c>
      <c r="O40" s="68">
        <f>O$37*(O$38+O$8)*_xlfn.XLOOKUP(IN_rooms!T8,DD_Bauteil_grenz[[Grenze Bauteil gegen ]],DD_Bauteil_grenz[Temperaturkorrekturfaktor],"FEHLER",0,1)*(O$10-Normaußentemperatur_12831!$B$6)</f>
        <v>300.3</v>
      </c>
      <c r="P40" s="68">
        <f>P$37*(P$38+P$8)*_xlfn.XLOOKUP(IN_rooms!U8,DD_Bauteil_grenz[[Grenze Bauteil gegen ]],DD_Bauteil_grenz[Temperaturkorrekturfaktor],"FEHLER",0,1)*(P$10-Normaußentemperatur_12831!$B$6)</f>
        <v>313.95</v>
      </c>
      <c r="Q40" s="68">
        <f>Q$37*(Q$38+Q$8)*_xlfn.XLOOKUP(IN_rooms!V8,DD_Bauteil_grenz[[Grenze Bauteil gegen ]],DD_Bauteil_grenz[Temperaturkorrekturfaktor],"FEHLER",0,1)*(Q$10-Normaußentemperatur_12831!$B$6)</f>
        <v>327.60000000000002</v>
      </c>
      <c r="R40" s="68">
        <f>R$37*(R$38+R$8)*_xlfn.XLOOKUP(IN_rooms!W8,DD_Bauteil_grenz[[Grenze Bauteil gegen ]],DD_Bauteil_grenz[Temperaturkorrekturfaktor],"FEHLER",0,1)*(R$10-Normaußentemperatur_12831!$B$6)</f>
        <v>341.25</v>
      </c>
      <c r="S40" s="68">
        <f>S$37*(S$38+S$8)*_xlfn.XLOOKUP(IN_rooms!X8,DD_Bauteil_grenz[[Grenze Bauteil gegen ]],DD_Bauteil_grenz[Temperaturkorrekturfaktor],"FEHLER",0,1)*(S$10-Normaußentemperatur_12831!$B$6)</f>
        <v>354.9</v>
      </c>
      <c r="T40" s="68">
        <f>T$37*(T$38+T$8)*_xlfn.XLOOKUP(IN_rooms!Y8,DD_Bauteil_grenz[[Grenze Bauteil gegen ]],DD_Bauteil_grenz[Temperaturkorrekturfaktor],"FEHLER",0,1)*(T$10-Normaußentemperatur_12831!$B$6)</f>
        <v>368.55</v>
      </c>
      <c r="U40" s="68">
        <f>U$37*(U$38+U$8)*_xlfn.XLOOKUP(IN_rooms!Z8,DD_Bauteil_grenz[[Grenze Bauteil gegen ]],DD_Bauteil_grenz[Temperaturkorrekturfaktor],"FEHLER",0,1)*(U$10-Normaußentemperatur_12831!$B$6)</f>
        <v>382.2</v>
      </c>
      <c r="V40" s="68">
        <f>V$37*(V$38+V$8)*_xlfn.XLOOKUP(IN_rooms!AA8,DD_Bauteil_grenz[[Grenze Bauteil gegen ]],DD_Bauteil_grenz[Temperaturkorrekturfaktor],"FEHLER",0,1)*(V$10-Normaußentemperatur_12831!$B$6)</f>
        <v>395.85</v>
      </c>
      <c r="W40" s="68">
        <f>W$37*(W$38+W$8)*_xlfn.XLOOKUP(IN_rooms!AB8,DD_Bauteil_grenz[[Grenze Bauteil gegen ]],DD_Bauteil_grenz[Temperaturkorrekturfaktor],"FEHLER",0,1)*(W$10-Normaußentemperatur_12831!$B$6)</f>
        <v>409.5</v>
      </c>
      <c r="X40" s="68">
        <f>X$37*(X$38+X$8)*_xlfn.XLOOKUP(IN_rooms!AC8,DD_Bauteil_grenz[[Grenze Bauteil gegen ]],DD_Bauteil_grenz[Temperaturkorrekturfaktor],"FEHLER",0,1)*(X$10-Normaußentemperatur_12831!$B$6)</f>
        <v>423.15000000000003</v>
      </c>
      <c r="Y40" s="68">
        <f>Y$37*(Y$38+Y$8)*_xlfn.XLOOKUP(IN_rooms!AD8,DD_Bauteil_grenz[[Grenze Bauteil gegen ]],DD_Bauteil_grenz[Temperaturkorrekturfaktor],"FEHLER",0,1)*(Y$10-Normaußentemperatur_12831!$B$6)</f>
        <v>436.8</v>
      </c>
      <c r="Z40" s="68">
        <f>Z$37*(Z$38+Z$8)*_xlfn.XLOOKUP(IN_rooms!AE8,DD_Bauteil_grenz[[Grenze Bauteil gegen ]],DD_Bauteil_grenz[Temperaturkorrekturfaktor],"FEHLER",0,1)*(Z$10-Normaußentemperatur_12831!$B$6)</f>
        <v>450.45000000000005</v>
      </c>
      <c r="AA40" s="68">
        <f>AA$37*(AA$38+AA$8)*_xlfn.XLOOKUP(IN_rooms!AF8,DD_Bauteil_grenz[[Grenze Bauteil gegen ]],DD_Bauteil_grenz[Temperaturkorrekturfaktor],"FEHLER",0,1)*(AA$10-Normaußentemperatur_12831!$B$6)</f>
        <v>464.1</v>
      </c>
    </row>
    <row r="41" spans="1:27" ht="15.75" thickBot="1" x14ac:dyDescent="0.3">
      <c r="A41" t="s">
        <v>334</v>
      </c>
      <c r="B41" t="s">
        <v>673</v>
      </c>
      <c r="D41" t="s">
        <v>196</v>
      </c>
      <c r="F41" t="s">
        <v>717</v>
      </c>
      <c r="G41" t="s">
        <v>111</v>
      </c>
      <c r="M41" s="303">
        <f>M$40/M$72</f>
        <v>0.33318923229575859</v>
      </c>
      <c r="N41" s="137">
        <f>N$40/N$72</f>
        <v>0.34553837808516402</v>
      </c>
      <c r="O41" s="137">
        <f>O$40/O$72</f>
        <v>0.35082800315429769</v>
      </c>
      <c r="P41" s="137">
        <f>P$40/P$72</f>
        <v>0.35580110497237566</v>
      </c>
      <c r="Q41" s="137">
        <f>Q$40/Q$72</f>
        <v>0.36048526863084923</v>
      </c>
      <c r="R41" s="137">
        <f>R$40/R$72</f>
        <v>0.3649049643114925</v>
      </c>
      <c r="S41" s="137">
        <f>S$40/S$72</f>
        <v>0.36908197488495431</v>
      </c>
      <c r="T41" s="137">
        <f>T$40/T$72</f>
        <v>0.37303575495331354</v>
      </c>
      <c r="U41" s="137">
        <f>U$40/U$72</f>
        <v>0.37678373382624769</v>
      </c>
      <c r="V41" s="137">
        <f>V$40/V$72</f>
        <v>0.38034157238596239</v>
      </c>
      <c r="W41" s="137">
        <f>W$40/W$72</f>
        <v>0.38372338182584864</v>
      </c>
      <c r="X41" s="137">
        <f>X$40/X$72</f>
        <v>0.38694191070571293</v>
      </c>
      <c r="Y41" s="137">
        <f>Y$40/Y$72</f>
        <v>0.39000870555146316</v>
      </c>
      <c r="Z41" s="137">
        <f>Z$40/Z$72</f>
        <v>0.39293424926398435</v>
      </c>
      <c r="AA41" s="137">
        <f>AA$40/AA$72</f>
        <v>0.39572808083391953</v>
      </c>
    </row>
    <row r="42" spans="1:27" ht="15.75" thickBot="1" x14ac:dyDescent="0.3">
      <c r="A42" t="s">
        <v>526</v>
      </c>
      <c r="B42" t="s">
        <v>718</v>
      </c>
      <c r="D42" t="s">
        <v>184</v>
      </c>
      <c r="E42" t="s">
        <v>399</v>
      </c>
      <c r="F42" t="s">
        <v>719</v>
      </c>
      <c r="G42" t="s">
        <v>720</v>
      </c>
      <c r="H42" t="s">
        <v>721</v>
      </c>
      <c r="M42" s="305">
        <f>IF(AND(IN_rooms!R$13="",IN_rooms!R$14=""),0,IN_rooms!R$13*IN_rooms!R$14*IN_rooms!R$16)</f>
        <v>0</v>
      </c>
      <c r="N42" s="70">
        <f>IF(AND(IN_rooms!S$13="",IN_rooms!S$14=""),0,IN_rooms!S$13*IN_rooms!S$14*IN_rooms!S$16)</f>
        <v>0</v>
      </c>
      <c r="O42" s="70">
        <f>IF(AND(IN_rooms!T$13="",IN_rooms!T$14=""),0,IN_rooms!T$13*IN_rooms!T$14*IN_rooms!T$16)</f>
        <v>0</v>
      </c>
      <c r="P42" s="70">
        <f>IF(AND(IN_rooms!U$13="",IN_rooms!U$14=""),0,IN_rooms!U$13*IN_rooms!U$14*IN_rooms!U$16)</f>
        <v>0</v>
      </c>
      <c r="Q42" s="70">
        <f>IF(AND(IN_rooms!V$13="",IN_rooms!V$14=""),0,IN_rooms!V$13*IN_rooms!V$14*IN_rooms!V$16)</f>
        <v>0</v>
      </c>
      <c r="R42" s="70">
        <f>IF(AND(IN_rooms!W$13="",IN_rooms!W$14=""),0,IN_rooms!W$13*IN_rooms!W$14*IN_rooms!W$16)</f>
        <v>0</v>
      </c>
      <c r="S42" s="70">
        <f>IF(AND(IN_rooms!X$13="",IN_rooms!X$14=""),0,IN_rooms!X$13*IN_rooms!X$14*IN_rooms!X$16)</f>
        <v>0</v>
      </c>
      <c r="T42" s="70">
        <f>IF(AND(IN_rooms!Y$13="",IN_rooms!Y$14=""),0,IN_rooms!Y$13*IN_rooms!Y$14*IN_rooms!Y$16)</f>
        <v>0</v>
      </c>
      <c r="U42" s="70">
        <f>IF(AND(IN_rooms!Z$13="",IN_rooms!Z$14=""),0,IN_rooms!Z$13*IN_rooms!Z$14*IN_rooms!Z$16)</f>
        <v>0</v>
      </c>
      <c r="V42" s="70">
        <f>IF(AND(IN_rooms!AA$13="",IN_rooms!AA$14=""),0,IN_rooms!AA$13*IN_rooms!AA$14*IN_rooms!AA$16)</f>
        <v>0</v>
      </c>
      <c r="W42" s="70">
        <f>IF(AND(IN_rooms!AB$13="",IN_rooms!AB$14=""),0,IN_rooms!AB$13*IN_rooms!AB$14*IN_rooms!AB$16)</f>
        <v>0</v>
      </c>
      <c r="X42" s="70">
        <f>IF(AND(IN_rooms!AC$13="",IN_rooms!AC$14=""),0,IN_rooms!AC$13*IN_rooms!AC$14*IN_rooms!AC$16)</f>
        <v>0</v>
      </c>
      <c r="Y42" s="70">
        <f>IF(AND(IN_rooms!AD$13="",IN_rooms!AD$14=""),0,IN_rooms!AD$13*IN_rooms!AD$14*IN_rooms!AD$16)</f>
        <v>0</v>
      </c>
      <c r="Z42" s="70">
        <f>IF(AND(IN_rooms!AE$13="",IN_rooms!AE$14=""),0,IN_rooms!AE$13*IN_rooms!AE$14*IN_rooms!AE$16)</f>
        <v>0</v>
      </c>
      <c r="AA42" s="70">
        <f>IF(AND(IN_rooms!AF$13="",IN_rooms!AF$14=""),0,IN_rooms!AF$13*IN_rooms!AF$14*IN_rooms!AF$16)</f>
        <v>0</v>
      </c>
    </row>
    <row r="43" spans="1:27" ht="15.75" thickBot="1" x14ac:dyDescent="0.3">
      <c r="A43" t="s">
        <v>526</v>
      </c>
      <c r="B43" t="s">
        <v>678</v>
      </c>
      <c r="D43" t="s">
        <v>184</v>
      </c>
      <c r="E43" t="s">
        <v>399</v>
      </c>
      <c r="F43" t="s">
        <v>722</v>
      </c>
      <c r="G43" t="s">
        <v>680</v>
      </c>
      <c r="M43" s="302" cm="1">
        <f t="array" ref="M43">_xlfn.AGGREGATE(15,6,IWU[U-Wert]/((IWU[Bauteil]=clc_load!$A43)*(IWU[Baujahr]=clc_load!$M$4)*(IWU[Gebäudetyp]=clc_load!$M$3)),1)</f>
        <v>4.3</v>
      </c>
      <c r="N43" s="66" cm="1">
        <f t="array" ref="N43">_xlfn.AGGREGATE(15,6,IWU[U-Wert]/((IWU[Bauteil]=clc_load!$A43)*(IWU[Baujahr]=clc_load!$M$4)*(IWU[Gebäudetyp]=clc_load!$M$3)),1)</f>
        <v>4.3</v>
      </c>
      <c r="O43" s="66" cm="1">
        <f t="array" ref="O43">_xlfn.AGGREGATE(15,6,IWU[U-Wert]/((IWU[Bauteil]=clc_load!$A43)*(IWU[Baujahr]=clc_load!$M$4)*(IWU[Gebäudetyp]=clc_load!$M$3)),1)</f>
        <v>4.3</v>
      </c>
      <c r="P43" s="66" cm="1">
        <f t="array" ref="P43">_xlfn.AGGREGATE(15,6,IWU[U-Wert]/((IWU[Bauteil]=clc_load!$A43)*(IWU[Baujahr]=clc_load!$M$4)*(IWU[Gebäudetyp]=clc_load!$M$3)),1)</f>
        <v>4.3</v>
      </c>
      <c r="Q43" s="66" cm="1">
        <f t="array" ref="Q43">_xlfn.AGGREGATE(15,6,IWU[U-Wert]/((IWU[Bauteil]=clc_load!$A43)*(IWU[Baujahr]=clc_load!$M$4)*(IWU[Gebäudetyp]=clc_load!$M$3)),1)</f>
        <v>4.3</v>
      </c>
      <c r="R43" s="66" cm="1">
        <f t="array" ref="R43">_xlfn.AGGREGATE(15,6,IWU[U-Wert]/((IWU[Bauteil]=clc_load!$A43)*(IWU[Baujahr]=clc_load!$M$4)*(IWU[Gebäudetyp]=clc_load!$M$3)),1)</f>
        <v>4.3</v>
      </c>
      <c r="S43" s="66" cm="1">
        <f t="array" ref="S43">_xlfn.AGGREGATE(15,6,IWU[U-Wert]/((IWU[Bauteil]=clc_load!$A43)*(IWU[Baujahr]=clc_load!$M$4)*(IWU[Gebäudetyp]=clc_load!$M$3)),1)</f>
        <v>4.3</v>
      </c>
      <c r="T43" s="66" cm="1">
        <f t="array" ref="T43">_xlfn.AGGREGATE(15,6,IWU[U-Wert]/((IWU[Bauteil]=clc_load!$A43)*(IWU[Baujahr]=clc_load!$M$4)*(IWU[Gebäudetyp]=clc_load!$M$3)),1)</f>
        <v>4.3</v>
      </c>
      <c r="U43" s="66" cm="1">
        <f t="array" ref="U43">_xlfn.AGGREGATE(15,6,IWU[U-Wert]/((IWU[Bauteil]=clc_load!$A43)*(IWU[Baujahr]=clc_load!$M$4)*(IWU[Gebäudetyp]=clc_load!$M$3)),1)</f>
        <v>4.3</v>
      </c>
      <c r="V43" s="66" cm="1">
        <f t="array" ref="V43">_xlfn.AGGREGATE(15,6,IWU[U-Wert]/((IWU[Bauteil]=clc_load!$A43)*(IWU[Baujahr]=clc_load!$M$4)*(IWU[Gebäudetyp]=clc_load!$M$3)),1)</f>
        <v>4.3</v>
      </c>
      <c r="W43" s="66" cm="1">
        <f t="array" ref="W43">_xlfn.AGGREGATE(15,6,IWU[U-Wert]/((IWU[Bauteil]=clc_load!$A43)*(IWU[Baujahr]=clc_load!$M$4)*(IWU[Gebäudetyp]=clc_load!$M$3)),1)</f>
        <v>4.3</v>
      </c>
      <c r="X43" s="66" cm="1">
        <f t="array" ref="X43">_xlfn.AGGREGATE(15,6,IWU[U-Wert]/((IWU[Bauteil]=clc_load!$A43)*(IWU[Baujahr]=clc_load!$M$4)*(IWU[Gebäudetyp]=clc_load!$M$3)),1)</f>
        <v>4.3</v>
      </c>
      <c r="Y43" s="66" cm="1">
        <f t="array" ref="Y43">_xlfn.AGGREGATE(15,6,IWU[U-Wert]/((IWU[Bauteil]=clc_load!$A43)*(IWU[Baujahr]=clc_load!$M$4)*(IWU[Gebäudetyp]=clc_load!$M$3)),1)</f>
        <v>4.3</v>
      </c>
      <c r="Z43" s="66" cm="1">
        <f t="array" ref="Z43">_xlfn.AGGREGATE(15,6,IWU[U-Wert]/((IWU[Bauteil]=clc_load!$A43)*(IWU[Baujahr]=clc_load!$M$4)*(IWU[Gebäudetyp]=clc_load!$M$3)),1)</f>
        <v>4.3</v>
      </c>
      <c r="AA43" s="66" cm="1">
        <f t="array" ref="AA43">_xlfn.AGGREGATE(15,6,IWU[U-Wert]/((IWU[Bauteil]=clc_load!$A43)*(IWU[Baujahr]=clc_load!$M$4)*(IWU[Gebäudetyp]=clc_load!$M$3)),1)</f>
        <v>4.3</v>
      </c>
    </row>
    <row r="44" spans="1:27" ht="15.75" thickBot="1" x14ac:dyDescent="0.3">
      <c r="A44" t="s">
        <v>526</v>
      </c>
      <c r="B44" t="s">
        <v>723</v>
      </c>
      <c r="D44" t="s">
        <v>184</v>
      </c>
      <c r="E44" t="s">
        <v>399</v>
      </c>
      <c r="F44" t="s">
        <v>724</v>
      </c>
      <c r="G44" t="s">
        <v>680</v>
      </c>
      <c r="M44" s="302" cm="1">
        <f t="array" ref="M44">IF(IN_build!$S$8=0,0,_xlfn.AGGREGATE(15,6,IWU[U-Wert]/((IWU[Bauteil]=clc_load!$A44)*(clc_load!$M$3=IWU[Gebäudetyp])*(IWU[Baujahr]=IN_build!$S$8)),1))</f>
        <v>1.1000000000000001</v>
      </c>
      <c r="N44" s="66" cm="1">
        <f t="array" ref="N44">IF(IN_build!$S$8=0,0,_xlfn.AGGREGATE(15,6,IWU[U-Wert]/((IWU[Bauteil]=clc_load!$A44)*(clc_load!$M$3=IWU[Gebäudetyp])*(IWU[Baujahr]=IN_build!$S$8)),1))</f>
        <v>1.1000000000000001</v>
      </c>
      <c r="O44" s="66" cm="1">
        <f t="array" ref="O44">IF(IN_build!$S$8=0,0,_xlfn.AGGREGATE(15,6,IWU[U-Wert]/((IWU[Bauteil]=clc_load!$A44)*(clc_load!$M$3=IWU[Gebäudetyp])*(IWU[Baujahr]=IN_build!$S$8)),1))</f>
        <v>1.1000000000000001</v>
      </c>
      <c r="P44" s="66" cm="1">
        <f t="array" ref="P44">IF(IN_build!$S$8=0,0,_xlfn.AGGREGATE(15,6,IWU[U-Wert]/((IWU[Bauteil]=clc_load!$A44)*(clc_load!$M$3=IWU[Gebäudetyp])*(IWU[Baujahr]=IN_build!$S$8)),1))</f>
        <v>1.1000000000000001</v>
      </c>
      <c r="Q44" s="66" cm="1">
        <f t="array" ref="Q44">IF(IN_build!$S$8=0,0,_xlfn.AGGREGATE(15,6,IWU[U-Wert]/((IWU[Bauteil]=clc_load!$A44)*(clc_load!$M$3=IWU[Gebäudetyp])*(IWU[Baujahr]=IN_build!$S$8)),1))</f>
        <v>1.1000000000000001</v>
      </c>
      <c r="R44" s="66" cm="1">
        <f t="array" ref="R44">IF(IN_build!$S$8=0,0,_xlfn.AGGREGATE(15,6,IWU[U-Wert]/((IWU[Bauteil]=clc_load!$A44)*(clc_load!$M$3=IWU[Gebäudetyp])*(IWU[Baujahr]=IN_build!$S$8)),1))</f>
        <v>1.1000000000000001</v>
      </c>
      <c r="S44" s="66" cm="1">
        <f t="array" ref="S44">IF(IN_build!$S$8=0,0,_xlfn.AGGREGATE(15,6,IWU[U-Wert]/((IWU[Bauteil]=clc_load!$A44)*(clc_load!$M$3=IWU[Gebäudetyp])*(IWU[Baujahr]=IN_build!$S$8)),1))</f>
        <v>1.1000000000000001</v>
      </c>
      <c r="T44" s="66" cm="1">
        <f t="array" ref="T44">IF(IN_build!$S$8=0,0,_xlfn.AGGREGATE(15,6,IWU[U-Wert]/((IWU[Bauteil]=clc_load!$A44)*(clc_load!$M$3=IWU[Gebäudetyp])*(IWU[Baujahr]=IN_build!$S$8)),1))</f>
        <v>1.1000000000000001</v>
      </c>
      <c r="U44" s="66" cm="1">
        <f t="array" ref="U44">IF(IN_build!$S$8=0,0,_xlfn.AGGREGATE(15,6,IWU[U-Wert]/((IWU[Bauteil]=clc_load!$A44)*(clc_load!$M$3=IWU[Gebäudetyp])*(IWU[Baujahr]=IN_build!$S$8)),1))</f>
        <v>1.1000000000000001</v>
      </c>
      <c r="V44" s="66" cm="1">
        <f t="array" ref="V44">IF(IN_build!$S$8=0,0,_xlfn.AGGREGATE(15,6,IWU[U-Wert]/((IWU[Bauteil]=clc_load!$A44)*(clc_load!$M$3=IWU[Gebäudetyp])*(IWU[Baujahr]=IN_build!$S$8)),1))</f>
        <v>1.1000000000000001</v>
      </c>
      <c r="W44" s="66" cm="1">
        <f t="array" ref="W44">IF(IN_build!$S$8=0,0,_xlfn.AGGREGATE(15,6,IWU[U-Wert]/((IWU[Bauteil]=clc_load!$A44)*(clc_load!$M$3=IWU[Gebäudetyp])*(IWU[Baujahr]=IN_build!$S$8)),1))</f>
        <v>1.1000000000000001</v>
      </c>
      <c r="X44" s="66" cm="1">
        <f t="array" ref="X44">IF(IN_build!$S$8=0,0,_xlfn.AGGREGATE(15,6,IWU[U-Wert]/((IWU[Bauteil]=clc_load!$A44)*(clc_load!$M$3=IWU[Gebäudetyp])*(IWU[Baujahr]=IN_build!$S$8)),1))</f>
        <v>1.1000000000000001</v>
      </c>
      <c r="Y44" s="66" cm="1">
        <f t="array" ref="Y44">IF(IN_build!$S$8=0,0,_xlfn.AGGREGATE(15,6,IWU[U-Wert]/((IWU[Bauteil]=clc_load!$A44)*(clc_load!$M$3=IWU[Gebäudetyp])*(IWU[Baujahr]=IN_build!$S$8)),1))</f>
        <v>1.1000000000000001</v>
      </c>
      <c r="Z44" s="66" cm="1">
        <f t="array" ref="Z44">IF(IN_build!$S$8=0,0,_xlfn.AGGREGATE(15,6,IWU[U-Wert]/((IWU[Bauteil]=clc_load!$A44)*(clc_load!$M$3=IWU[Gebäudetyp])*(IWU[Baujahr]=IN_build!$S$8)),1))</f>
        <v>1.1000000000000001</v>
      </c>
      <c r="AA44" s="66" cm="1">
        <f t="array" ref="AA44">IF(IN_build!$S$8=0,0,_xlfn.AGGREGATE(15,6,IWU[U-Wert]/((IWU[Bauteil]=clc_load!$A44)*(clc_load!$M$3=IWU[Gebäudetyp])*(IWU[Baujahr]=IN_build!$S$8)),1))</f>
        <v>1.1000000000000001</v>
      </c>
    </row>
    <row r="45" spans="1:27" ht="15.75" thickBot="1" x14ac:dyDescent="0.3">
      <c r="A45" t="s">
        <v>526</v>
      </c>
      <c r="B45" t="s">
        <v>681</v>
      </c>
      <c r="D45" t="s">
        <v>184</v>
      </c>
      <c r="E45" t="s">
        <v>399</v>
      </c>
      <c r="F45" t="s">
        <v>725</v>
      </c>
      <c r="G45" t="s">
        <v>680</v>
      </c>
      <c r="M45" s="302">
        <f>IF(M44&gt;0,M44,MIN(M44,M43))</f>
        <v>1.1000000000000001</v>
      </c>
      <c r="N45" s="66">
        <f t="shared" ref="N45:AA45" si="1">IF(N44&gt;0,N44,MIN(N44,N43))</f>
        <v>1.1000000000000001</v>
      </c>
      <c r="O45" s="66">
        <f t="shared" si="1"/>
        <v>1.1000000000000001</v>
      </c>
      <c r="P45" s="66">
        <f t="shared" si="1"/>
        <v>1.1000000000000001</v>
      </c>
      <c r="Q45" s="66">
        <f t="shared" si="1"/>
        <v>1.1000000000000001</v>
      </c>
      <c r="R45" s="66">
        <f t="shared" si="1"/>
        <v>1.1000000000000001</v>
      </c>
      <c r="S45" s="66">
        <f t="shared" si="1"/>
        <v>1.1000000000000001</v>
      </c>
      <c r="T45" s="66">
        <f t="shared" si="1"/>
        <v>1.1000000000000001</v>
      </c>
      <c r="U45" s="66">
        <f t="shared" si="1"/>
        <v>1.1000000000000001</v>
      </c>
      <c r="V45" s="66">
        <f t="shared" si="1"/>
        <v>1.1000000000000001</v>
      </c>
      <c r="W45" s="66">
        <f t="shared" si="1"/>
        <v>1.1000000000000001</v>
      </c>
      <c r="X45" s="66">
        <f t="shared" si="1"/>
        <v>1.1000000000000001</v>
      </c>
      <c r="Y45" s="66">
        <f t="shared" si="1"/>
        <v>1.1000000000000001</v>
      </c>
      <c r="Z45" s="66">
        <f t="shared" si="1"/>
        <v>1.1000000000000001</v>
      </c>
      <c r="AA45" s="66">
        <f t="shared" si="1"/>
        <v>1.1000000000000001</v>
      </c>
    </row>
    <row r="46" spans="1:27" ht="15.75" thickBot="1" x14ac:dyDescent="0.3">
      <c r="A46" t="s">
        <v>526</v>
      </c>
      <c r="B46" t="s">
        <v>683</v>
      </c>
      <c r="D46" t="s">
        <v>184</v>
      </c>
      <c r="E46" t="s">
        <v>399</v>
      </c>
      <c r="F46" t="s">
        <v>726</v>
      </c>
      <c r="G46" t="s">
        <v>112</v>
      </c>
      <c r="M46" s="299">
        <f>IF(M$42=0,0,M$42/10000*(M$45+M$8)*(M$10-Normaußentemperatur_12831!$B$6))</f>
        <v>0</v>
      </c>
      <c r="N46" s="68">
        <f>IF(N$42=0,0,N$42/10000*(N$45+N$8)*(N$10-Normaußentemperatur_12831!$B$6))</f>
        <v>0</v>
      </c>
      <c r="O46" s="68">
        <f>IF(O$42=0,0,O$42/10000*(O$45+O$8)*(O$10-Normaußentemperatur_12831!$B$6))</f>
        <v>0</v>
      </c>
      <c r="P46" s="68">
        <f>IF(P$42=0,0,P$42/10000*(P$45+P$8)*(P$10-Normaußentemperatur_12831!$B$6))</f>
        <v>0</v>
      </c>
      <c r="Q46" s="68">
        <f>IF(Q$42=0,0,Q$42/10000*(Q$45+Q$8)*(Q$10-Normaußentemperatur_12831!$B$6))</f>
        <v>0</v>
      </c>
      <c r="R46" s="68">
        <f>IF(R$42=0,0,R$42/10000*(R$45+R$8)*(R$10-Normaußentemperatur_12831!$B$6))</f>
        <v>0</v>
      </c>
      <c r="S46" s="68">
        <f>IF(S$42=0,0,S$42/10000*(S$45+S$8)*(S$10-Normaußentemperatur_12831!$B$6))</f>
        <v>0</v>
      </c>
      <c r="T46" s="68">
        <f>IF(T$42=0,0,T$42/10000*(T$45+T$8)*(T$10-Normaußentemperatur_12831!$B$6))</f>
        <v>0</v>
      </c>
      <c r="U46" s="68">
        <f>IF(U$42=0,0,U$42/10000*(U$45+U$8)*(U$10-Normaußentemperatur_12831!$B$6))</f>
        <v>0</v>
      </c>
      <c r="V46" s="68">
        <f>IF(V$42=0,0,V$42/10000*(V$45+V$8)*(V$10-Normaußentemperatur_12831!$B$6))</f>
        <v>0</v>
      </c>
      <c r="W46" s="68">
        <f>IF(W$42=0,0,W$42/10000*(W$45+W$8)*(W$10-Normaußentemperatur_12831!$B$6))</f>
        <v>0</v>
      </c>
      <c r="X46" s="68">
        <f>IF(X$42=0,0,X$42/10000*(X$45+X$8)*(X$10-Normaußentemperatur_12831!$B$6))</f>
        <v>0</v>
      </c>
      <c r="Y46" s="68">
        <f>IF(Y$42=0,0,Y$42/10000*(Y$45+Y$8)*(Y$10-Normaußentemperatur_12831!$B$6))</f>
        <v>0</v>
      </c>
      <c r="Z46" s="68">
        <f>IF(Z$42=0,0,Z$42/10000*(Z$45+Z$8)*(Z$10-Normaußentemperatur_12831!$B$6))</f>
        <v>0</v>
      </c>
      <c r="AA46" s="68">
        <f>IF(AA$42=0,0,AA$42/10000*(AA$45+AA$8)*(AA$10-Normaußentemperatur_12831!$B$6))</f>
        <v>0</v>
      </c>
    </row>
    <row r="47" spans="1:27" ht="15.75" thickBot="1" x14ac:dyDescent="0.3">
      <c r="A47" t="s">
        <v>526</v>
      </c>
      <c r="B47" t="s">
        <v>673</v>
      </c>
      <c r="D47" t="s">
        <v>184</v>
      </c>
      <c r="E47" t="s">
        <v>399</v>
      </c>
      <c r="F47" t="s">
        <v>727</v>
      </c>
      <c r="G47" t="s">
        <v>111</v>
      </c>
      <c r="M47" s="303">
        <f>M$46/M$72</f>
        <v>0</v>
      </c>
      <c r="N47" s="137">
        <f>N$46/N$72</f>
        <v>0</v>
      </c>
      <c r="O47" s="137">
        <f>O$46/O$72</f>
        <v>0</v>
      </c>
      <c r="P47" s="137">
        <f>P$46/P$72</f>
        <v>0</v>
      </c>
      <c r="Q47" s="137">
        <f>Q$46/Q$72</f>
        <v>0</v>
      </c>
      <c r="R47" s="137">
        <f>R$46/R$72</f>
        <v>0</v>
      </c>
      <c r="S47" s="137">
        <f>S$46/S$72</f>
        <v>0</v>
      </c>
      <c r="T47" s="137">
        <f>T$46/T$72</f>
        <v>0</v>
      </c>
      <c r="U47" s="137">
        <f>U$46/U$72</f>
        <v>0</v>
      </c>
      <c r="V47" s="137">
        <f>V$46/V$72</f>
        <v>0</v>
      </c>
      <c r="W47" s="137">
        <f>W$46/W$72</f>
        <v>0</v>
      </c>
      <c r="X47" s="137">
        <f>X$46/X$72</f>
        <v>0</v>
      </c>
      <c r="Y47" s="137">
        <f>Y$46/Y$72</f>
        <v>0</v>
      </c>
      <c r="Z47" s="137">
        <f>Z$46/Z$72</f>
        <v>0</v>
      </c>
      <c r="AA47" s="137">
        <f>AA$46/AA$72</f>
        <v>0</v>
      </c>
    </row>
    <row r="48" spans="1:27" ht="15.75" thickBot="1" x14ac:dyDescent="0.3">
      <c r="A48" t="s">
        <v>526</v>
      </c>
      <c r="B48" t="s">
        <v>718</v>
      </c>
      <c r="D48" t="s">
        <v>184</v>
      </c>
      <c r="E48" t="s">
        <v>400</v>
      </c>
      <c r="F48" t="s">
        <v>728</v>
      </c>
      <c r="G48" t="s">
        <v>720</v>
      </c>
      <c r="M48" s="305">
        <f>IF(AND(IN_rooms!R$17="",IN_rooms!R$18=""),0,IN_rooms!R$17*IN_rooms!R$18*IN_rooms!R$20)</f>
        <v>0</v>
      </c>
      <c r="N48" s="70">
        <f>IF(AND(IN_rooms!S$17="",IN_rooms!S$18=""),0,IN_rooms!S$17*IN_rooms!S$18*IN_rooms!S$20)</f>
        <v>0</v>
      </c>
      <c r="O48" s="70">
        <f>IF(AND(IN_rooms!T$17="",IN_rooms!T$18=""),0,IN_rooms!T$17*IN_rooms!T$18*IN_rooms!T$20)</f>
        <v>0</v>
      </c>
      <c r="P48" s="70">
        <f>IF(AND(IN_rooms!U$17="",IN_rooms!U$18=""),0,IN_rooms!U$17*IN_rooms!U$18*IN_rooms!U$20)</f>
        <v>0</v>
      </c>
      <c r="Q48" s="70">
        <f>IF(AND(IN_rooms!V$17="",IN_rooms!V$18=""),0,IN_rooms!V$17*IN_rooms!V$18*IN_rooms!V$20)</f>
        <v>0</v>
      </c>
      <c r="R48" s="70">
        <f>IF(AND(IN_rooms!W$17="",IN_rooms!W$18=""),0,IN_rooms!W$17*IN_rooms!W$18*IN_rooms!W$20)</f>
        <v>0</v>
      </c>
      <c r="S48" s="70">
        <f>IF(AND(IN_rooms!X$17="",IN_rooms!X$18=""),0,IN_rooms!X$17*IN_rooms!X$18*IN_rooms!X$20)</f>
        <v>0</v>
      </c>
      <c r="T48" s="70">
        <f>IF(AND(IN_rooms!Y$17="",IN_rooms!Y$18=""),0,IN_rooms!Y$17*IN_rooms!Y$18*IN_rooms!Y$20)</f>
        <v>0</v>
      </c>
      <c r="U48" s="70">
        <f>IF(AND(IN_rooms!Z$17="",IN_rooms!Z$18=""),0,IN_rooms!Z$17*IN_rooms!Z$18*IN_rooms!Z$20)</f>
        <v>0</v>
      </c>
      <c r="V48" s="70">
        <f>IF(AND(IN_rooms!AA$17="",IN_rooms!AA$18=""),0,IN_rooms!AA$17*IN_rooms!AA$18*IN_rooms!AA$20)</f>
        <v>0</v>
      </c>
      <c r="W48" s="70">
        <f>IF(AND(IN_rooms!AB$17="",IN_rooms!AB$18=""),0,IN_rooms!AB$17*IN_rooms!AB$18*IN_rooms!AB$20)</f>
        <v>0</v>
      </c>
      <c r="X48" s="70">
        <f>IF(AND(IN_rooms!AC$17="",IN_rooms!AC$18=""),0,IN_rooms!AC$17*IN_rooms!AC$18*IN_rooms!AC$20)</f>
        <v>0</v>
      </c>
      <c r="Y48" s="70">
        <f>IF(AND(IN_rooms!AD$17="",IN_rooms!AD$18=""),0,IN_rooms!AD$17*IN_rooms!AD$18*IN_rooms!AD$20)</f>
        <v>0</v>
      </c>
      <c r="Z48" s="70">
        <f>IF(AND(IN_rooms!AE$17="",IN_rooms!AE$18=""),0,IN_rooms!AE$17*IN_rooms!AE$18*IN_rooms!AE$20)</f>
        <v>0</v>
      </c>
      <c r="AA48" s="70">
        <f>IF(AND(IN_rooms!AF$17="",IN_rooms!AF$18=""),0,IN_rooms!AF$17*IN_rooms!AF$18*IN_rooms!AF$20)</f>
        <v>0</v>
      </c>
    </row>
    <row r="49" spans="1:27" ht="15.75" thickBot="1" x14ac:dyDescent="0.3">
      <c r="A49" t="s">
        <v>526</v>
      </c>
      <c r="B49" t="s">
        <v>678</v>
      </c>
      <c r="D49" t="s">
        <v>184</v>
      </c>
      <c r="E49" t="s">
        <v>400</v>
      </c>
      <c r="F49" t="s">
        <v>729</v>
      </c>
      <c r="G49" t="s">
        <v>680</v>
      </c>
      <c r="M49" s="302" cm="1">
        <f t="array" ref="M49">_xlfn.AGGREGATE(15,6,IWU[U-Wert]/((IWU[Bauteil]=clc_load!$A49)*(IWU[Baujahr]=clc_load!$M$4)*(IWU[Gebäudetyp]=clc_load!$M$3)),1)</f>
        <v>4.3</v>
      </c>
      <c r="N49" s="66" cm="1">
        <f t="array" ref="N49">_xlfn.AGGREGATE(15,6,IWU[U-Wert]/((IWU[Bauteil]=clc_load!$A49)*(IWU[Baujahr]=clc_load!$M$4)*(IWU[Gebäudetyp]=clc_load!$M$3)),1)</f>
        <v>4.3</v>
      </c>
      <c r="O49" s="66" cm="1">
        <f t="array" ref="O49">_xlfn.AGGREGATE(15,6,IWU[U-Wert]/((IWU[Bauteil]=clc_load!$A49)*(IWU[Baujahr]=clc_load!$M$4)*(IWU[Gebäudetyp]=clc_load!$M$3)),1)</f>
        <v>4.3</v>
      </c>
      <c r="P49" s="66" cm="1">
        <f t="array" ref="P49">_xlfn.AGGREGATE(15,6,IWU[U-Wert]/((IWU[Bauteil]=clc_load!$A49)*(IWU[Baujahr]=clc_load!$M$4)*(IWU[Gebäudetyp]=clc_load!$M$3)),1)</f>
        <v>4.3</v>
      </c>
      <c r="Q49" s="66" cm="1">
        <f t="array" ref="Q49">_xlfn.AGGREGATE(15,6,IWU[U-Wert]/((IWU[Bauteil]=clc_load!$A49)*(IWU[Baujahr]=clc_load!$M$4)*(IWU[Gebäudetyp]=clc_load!$M$3)),1)</f>
        <v>4.3</v>
      </c>
      <c r="R49" s="66" cm="1">
        <f t="array" ref="R49">_xlfn.AGGREGATE(15,6,IWU[U-Wert]/((IWU[Bauteil]=clc_load!$A49)*(IWU[Baujahr]=clc_load!$M$4)*(IWU[Gebäudetyp]=clc_load!$M$3)),1)</f>
        <v>4.3</v>
      </c>
      <c r="S49" s="66" cm="1">
        <f t="array" ref="S49">_xlfn.AGGREGATE(15,6,IWU[U-Wert]/((IWU[Bauteil]=clc_load!$A49)*(IWU[Baujahr]=clc_load!$M$4)*(IWU[Gebäudetyp]=clc_load!$M$3)),1)</f>
        <v>4.3</v>
      </c>
      <c r="T49" s="66" cm="1">
        <f t="array" ref="T49">_xlfn.AGGREGATE(15,6,IWU[U-Wert]/((IWU[Bauteil]=clc_load!$A49)*(IWU[Baujahr]=clc_load!$M$4)*(IWU[Gebäudetyp]=clc_load!$M$3)),1)</f>
        <v>4.3</v>
      </c>
      <c r="U49" s="66" cm="1">
        <f t="array" ref="U49">_xlfn.AGGREGATE(15,6,IWU[U-Wert]/((IWU[Bauteil]=clc_load!$A49)*(IWU[Baujahr]=clc_load!$M$4)*(IWU[Gebäudetyp]=clc_load!$M$3)),1)</f>
        <v>4.3</v>
      </c>
      <c r="V49" s="66" cm="1">
        <f t="array" ref="V49">_xlfn.AGGREGATE(15,6,IWU[U-Wert]/((IWU[Bauteil]=clc_load!$A49)*(IWU[Baujahr]=clc_load!$M$4)*(IWU[Gebäudetyp]=clc_load!$M$3)),1)</f>
        <v>4.3</v>
      </c>
      <c r="W49" s="66" cm="1">
        <f t="array" ref="W49">_xlfn.AGGREGATE(15,6,IWU[U-Wert]/((IWU[Bauteil]=clc_load!$A49)*(IWU[Baujahr]=clc_load!$M$4)*(IWU[Gebäudetyp]=clc_load!$M$3)),1)</f>
        <v>4.3</v>
      </c>
      <c r="X49" s="66" cm="1">
        <f t="array" ref="X49">_xlfn.AGGREGATE(15,6,IWU[U-Wert]/((IWU[Bauteil]=clc_load!$A49)*(IWU[Baujahr]=clc_load!$M$4)*(IWU[Gebäudetyp]=clc_load!$M$3)),1)</f>
        <v>4.3</v>
      </c>
      <c r="Y49" s="66" cm="1">
        <f t="array" ref="Y49">_xlfn.AGGREGATE(15,6,IWU[U-Wert]/((IWU[Bauteil]=clc_load!$A49)*(IWU[Baujahr]=clc_load!$M$4)*(IWU[Gebäudetyp]=clc_load!$M$3)),1)</f>
        <v>4.3</v>
      </c>
      <c r="Z49" s="66" cm="1">
        <f t="array" ref="Z49">_xlfn.AGGREGATE(15,6,IWU[U-Wert]/((IWU[Bauteil]=clc_load!$A49)*(IWU[Baujahr]=clc_load!$M$4)*(IWU[Gebäudetyp]=clc_load!$M$3)),1)</f>
        <v>4.3</v>
      </c>
      <c r="AA49" s="66" cm="1">
        <f t="array" ref="AA49">_xlfn.AGGREGATE(15,6,IWU[U-Wert]/((IWU[Bauteil]=clc_load!$A49)*(IWU[Baujahr]=clc_load!$M$4)*(IWU[Gebäudetyp]=clc_load!$M$3)),1)</f>
        <v>4.3</v>
      </c>
    </row>
    <row r="50" spans="1:27" ht="15.75" thickBot="1" x14ac:dyDescent="0.3">
      <c r="A50" t="s">
        <v>526</v>
      </c>
      <c r="B50" t="s">
        <v>723</v>
      </c>
      <c r="D50" t="s">
        <v>184</v>
      </c>
      <c r="E50" t="s">
        <v>400</v>
      </c>
      <c r="F50" t="s">
        <v>730</v>
      </c>
      <c r="G50" t="s">
        <v>680</v>
      </c>
      <c r="M50" s="302" cm="1">
        <f t="array" ref="M50">IF(IN_build!$S$8=0,0,_xlfn.AGGREGATE(15,6,IWU[U-Wert]/((IWU[Bauteil]=clc_load!$A50)*(clc_load!$M$3=IWU[Gebäudetyp])*(IWU[Baujahr]=IN_build!$S$8)),1))</f>
        <v>1.1000000000000001</v>
      </c>
      <c r="N50" s="66" cm="1">
        <f t="array" ref="N50">IF(IN_build!$S$8=0,0,_xlfn.AGGREGATE(15,6,IWU[U-Wert]/((IWU[Bauteil]=clc_load!$A50)*(clc_load!$M$3=IWU[Gebäudetyp])*(IWU[Baujahr]=IN_build!$S$8)),1))</f>
        <v>1.1000000000000001</v>
      </c>
      <c r="O50" s="66" cm="1">
        <f t="array" ref="O50">IF(IN_build!$S$8=0,0,_xlfn.AGGREGATE(15,6,IWU[U-Wert]/((IWU[Bauteil]=clc_load!$A50)*(clc_load!$M$3=IWU[Gebäudetyp])*(IWU[Baujahr]=IN_build!$S$8)),1))</f>
        <v>1.1000000000000001</v>
      </c>
      <c r="P50" s="66" cm="1">
        <f t="array" ref="P50">IF(IN_build!$S$8=0,0,_xlfn.AGGREGATE(15,6,IWU[U-Wert]/((IWU[Bauteil]=clc_load!$A50)*(clc_load!$M$3=IWU[Gebäudetyp])*(IWU[Baujahr]=IN_build!$S$8)),1))</f>
        <v>1.1000000000000001</v>
      </c>
      <c r="Q50" s="66" cm="1">
        <f t="array" ref="Q50">IF(IN_build!$S$8=0,0,_xlfn.AGGREGATE(15,6,IWU[U-Wert]/((IWU[Bauteil]=clc_load!$A50)*(clc_load!$M$3=IWU[Gebäudetyp])*(IWU[Baujahr]=IN_build!$S$8)),1))</f>
        <v>1.1000000000000001</v>
      </c>
      <c r="R50" s="66" cm="1">
        <f t="array" ref="R50">IF(IN_build!$S$8=0,0,_xlfn.AGGREGATE(15,6,IWU[U-Wert]/((IWU[Bauteil]=clc_load!$A50)*(clc_load!$M$3=IWU[Gebäudetyp])*(IWU[Baujahr]=IN_build!$S$8)),1))</f>
        <v>1.1000000000000001</v>
      </c>
      <c r="S50" s="66" cm="1">
        <f t="array" ref="S50">IF(IN_build!$S$8=0,0,_xlfn.AGGREGATE(15,6,IWU[U-Wert]/((IWU[Bauteil]=clc_load!$A50)*(clc_load!$M$3=IWU[Gebäudetyp])*(IWU[Baujahr]=IN_build!$S$8)),1))</f>
        <v>1.1000000000000001</v>
      </c>
      <c r="T50" s="66" cm="1">
        <f t="array" ref="T50">IF(IN_build!$S$8=0,0,_xlfn.AGGREGATE(15,6,IWU[U-Wert]/((IWU[Bauteil]=clc_load!$A50)*(clc_load!$M$3=IWU[Gebäudetyp])*(IWU[Baujahr]=IN_build!$S$8)),1))</f>
        <v>1.1000000000000001</v>
      </c>
      <c r="U50" s="66" cm="1">
        <f t="array" ref="U50">IF(IN_build!$S$8=0,0,_xlfn.AGGREGATE(15,6,IWU[U-Wert]/((IWU[Bauteil]=clc_load!$A50)*(clc_load!$M$3=IWU[Gebäudetyp])*(IWU[Baujahr]=IN_build!$S$8)),1))</f>
        <v>1.1000000000000001</v>
      </c>
      <c r="V50" s="66" cm="1">
        <f t="array" ref="V50">IF(IN_build!$S$8=0,0,_xlfn.AGGREGATE(15,6,IWU[U-Wert]/((IWU[Bauteil]=clc_load!$A50)*(clc_load!$M$3=IWU[Gebäudetyp])*(IWU[Baujahr]=IN_build!$S$8)),1))</f>
        <v>1.1000000000000001</v>
      </c>
      <c r="W50" s="66" cm="1">
        <f t="array" ref="W50">IF(IN_build!$S$8=0,0,_xlfn.AGGREGATE(15,6,IWU[U-Wert]/((IWU[Bauteil]=clc_load!$A50)*(clc_load!$M$3=IWU[Gebäudetyp])*(IWU[Baujahr]=IN_build!$S$8)),1))</f>
        <v>1.1000000000000001</v>
      </c>
      <c r="X50" s="66" cm="1">
        <f t="array" ref="X50">IF(IN_build!$S$8=0,0,_xlfn.AGGREGATE(15,6,IWU[U-Wert]/((IWU[Bauteil]=clc_load!$A50)*(clc_load!$M$3=IWU[Gebäudetyp])*(IWU[Baujahr]=IN_build!$S$8)),1))</f>
        <v>1.1000000000000001</v>
      </c>
      <c r="Y50" s="66" cm="1">
        <f t="array" ref="Y50">IF(IN_build!$S$8=0,0,_xlfn.AGGREGATE(15,6,IWU[U-Wert]/((IWU[Bauteil]=clc_load!$A50)*(clc_load!$M$3=IWU[Gebäudetyp])*(IWU[Baujahr]=IN_build!$S$8)),1))</f>
        <v>1.1000000000000001</v>
      </c>
      <c r="Z50" s="66" cm="1">
        <f t="array" ref="Z50">IF(IN_build!$S$8=0,0,_xlfn.AGGREGATE(15,6,IWU[U-Wert]/((IWU[Bauteil]=clc_load!$A50)*(clc_load!$M$3=IWU[Gebäudetyp])*(IWU[Baujahr]=IN_build!$S$8)),1))</f>
        <v>1.1000000000000001</v>
      </c>
      <c r="AA50" s="66" cm="1">
        <f t="array" ref="AA50">IF(IN_build!$S$8=0,0,_xlfn.AGGREGATE(15,6,IWU[U-Wert]/((IWU[Bauteil]=clc_load!$A50)*(clc_load!$M$3=IWU[Gebäudetyp])*(IWU[Baujahr]=IN_build!$S$8)),1))</f>
        <v>1.1000000000000001</v>
      </c>
    </row>
    <row r="51" spans="1:27" ht="15.75" thickBot="1" x14ac:dyDescent="0.3">
      <c r="A51" t="s">
        <v>526</v>
      </c>
      <c r="B51" t="s">
        <v>681</v>
      </c>
      <c r="D51" t="s">
        <v>184</v>
      </c>
      <c r="E51" t="s">
        <v>400</v>
      </c>
      <c r="F51" t="s">
        <v>731</v>
      </c>
      <c r="G51" t="s">
        <v>680</v>
      </c>
      <c r="M51" s="302">
        <f>IF(M$50&gt;0,M$50,MIN(M$50,M$49))</f>
        <v>1.1000000000000001</v>
      </c>
      <c r="N51" s="66">
        <f t="shared" ref="N51:AA51" si="2">IF(N$50&gt;0,N$50,MIN(N$50,N$49))</f>
        <v>1.1000000000000001</v>
      </c>
      <c r="O51" s="66">
        <f t="shared" si="2"/>
        <v>1.1000000000000001</v>
      </c>
      <c r="P51" s="66">
        <f t="shared" si="2"/>
        <v>1.1000000000000001</v>
      </c>
      <c r="Q51" s="66">
        <f t="shared" si="2"/>
        <v>1.1000000000000001</v>
      </c>
      <c r="R51" s="66">
        <f t="shared" si="2"/>
        <v>1.1000000000000001</v>
      </c>
      <c r="S51" s="66">
        <f t="shared" si="2"/>
        <v>1.1000000000000001</v>
      </c>
      <c r="T51" s="66">
        <f t="shared" si="2"/>
        <v>1.1000000000000001</v>
      </c>
      <c r="U51" s="66">
        <f t="shared" si="2"/>
        <v>1.1000000000000001</v>
      </c>
      <c r="V51" s="66">
        <f t="shared" si="2"/>
        <v>1.1000000000000001</v>
      </c>
      <c r="W51" s="66">
        <f t="shared" si="2"/>
        <v>1.1000000000000001</v>
      </c>
      <c r="X51" s="66">
        <f t="shared" si="2"/>
        <v>1.1000000000000001</v>
      </c>
      <c r="Y51" s="66">
        <f t="shared" si="2"/>
        <v>1.1000000000000001</v>
      </c>
      <c r="Z51" s="66">
        <f t="shared" si="2"/>
        <v>1.1000000000000001</v>
      </c>
      <c r="AA51" s="66">
        <f t="shared" si="2"/>
        <v>1.1000000000000001</v>
      </c>
    </row>
    <row r="52" spans="1:27" ht="15.75" thickBot="1" x14ac:dyDescent="0.3">
      <c r="A52" t="s">
        <v>526</v>
      </c>
      <c r="B52" t="s">
        <v>683</v>
      </c>
      <c r="D52" t="s">
        <v>184</v>
      </c>
      <c r="E52" t="s">
        <v>400</v>
      </c>
      <c r="F52" t="s">
        <v>732</v>
      </c>
      <c r="G52" t="s">
        <v>112</v>
      </c>
      <c r="M52" s="299">
        <f>IF(M$48=0,0,M$48/10000*(M$50+M$8)*(M$10-Normaußentemperatur_12831!$B$6))</f>
        <v>0</v>
      </c>
      <c r="N52" s="68">
        <f>IF(N$48=0,0,N$48/10000*(N$50+N$8)*(N$10-Normaußentemperatur_12831!$B$6))</f>
        <v>0</v>
      </c>
      <c r="O52" s="68">
        <f>IF(O$48=0,0,O$48/10000*(O$50+O$8)*(O$10-Normaußentemperatur_12831!$B$6))</f>
        <v>0</v>
      </c>
      <c r="P52" s="68">
        <f>IF(P$48=0,0,P$48/10000*(P$50+P$8)*(P$10-Normaußentemperatur_12831!$B$6))</f>
        <v>0</v>
      </c>
      <c r="Q52" s="68">
        <f>IF(Q$48=0,0,Q$48/10000*(Q$50+Q$8)*(Q$10-Normaußentemperatur_12831!$B$6))</f>
        <v>0</v>
      </c>
      <c r="R52" s="68">
        <f>IF(R$48=0,0,R$48/10000*(R$50+R$8)*(R$10-Normaußentemperatur_12831!$B$6))</f>
        <v>0</v>
      </c>
      <c r="S52" s="68">
        <f>IF(S$48=0,0,S$48/10000*(S$50+S$8)*(S$10-Normaußentemperatur_12831!$B$6))</f>
        <v>0</v>
      </c>
      <c r="T52" s="68">
        <f>IF(T$48=0,0,T$48/10000*(T$50+T$8)*(T$10-Normaußentemperatur_12831!$B$6))</f>
        <v>0</v>
      </c>
      <c r="U52" s="68">
        <f>IF(U$48=0,0,U$48/10000*(U$50+U$8)*(U$10-Normaußentemperatur_12831!$B$6))</f>
        <v>0</v>
      </c>
      <c r="V52" s="68">
        <f>IF(V$48=0,0,V$48/10000*(V$50+V$8)*(V$10-Normaußentemperatur_12831!$B$6))</f>
        <v>0</v>
      </c>
      <c r="W52" s="68">
        <f>IF(W$48=0,0,W$48/10000*(W$50+W$8)*(W$10-Normaußentemperatur_12831!$B$6))</f>
        <v>0</v>
      </c>
      <c r="X52" s="68">
        <f>IF(X$48=0,0,X$48/10000*(X$50+X$8)*(X$10-Normaußentemperatur_12831!$B$6))</f>
        <v>0</v>
      </c>
      <c r="Y52" s="68">
        <f>IF(Y$48=0,0,Y$48/10000*(Y$50+Y$8)*(Y$10-Normaußentemperatur_12831!$B$6))</f>
        <v>0</v>
      </c>
      <c r="Z52" s="68">
        <f>IF(Z$48=0,0,Z$48/10000*(Z$50+Z$8)*(Z$10-Normaußentemperatur_12831!$B$6))</f>
        <v>0</v>
      </c>
      <c r="AA52" s="68">
        <f>IF(AA$48=0,0,AA$48/10000*(AA$50+AA$8)*(AA$10-Normaußentemperatur_12831!$B$6))</f>
        <v>0</v>
      </c>
    </row>
    <row r="53" spans="1:27" ht="15.75" thickBot="1" x14ac:dyDescent="0.3">
      <c r="A53" t="s">
        <v>526</v>
      </c>
      <c r="B53" t="s">
        <v>673</v>
      </c>
      <c r="D53" t="s">
        <v>184</v>
      </c>
      <c r="E53" t="s">
        <v>400</v>
      </c>
      <c r="F53" t="s">
        <v>733</v>
      </c>
      <c r="G53" t="s">
        <v>111</v>
      </c>
      <c r="M53" s="303">
        <f>M$52/M$72</f>
        <v>0</v>
      </c>
      <c r="N53" s="137">
        <f>N$52/N$72</f>
        <v>0</v>
      </c>
      <c r="O53" s="137">
        <f>O$52/O$72</f>
        <v>0</v>
      </c>
      <c r="P53" s="137">
        <f>P$52/P$72</f>
        <v>0</v>
      </c>
      <c r="Q53" s="137">
        <f>Q$52/Q$72</f>
        <v>0</v>
      </c>
      <c r="R53" s="137">
        <f>R$52/R$72</f>
        <v>0</v>
      </c>
      <c r="S53" s="137">
        <f>S$52/S$72</f>
        <v>0</v>
      </c>
      <c r="T53" s="137">
        <f>T$52/T$72</f>
        <v>0</v>
      </c>
      <c r="U53" s="137">
        <f>U$52/U$72</f>
        <v>0</v>
      </c>
      <c r="V53" s="137">
        <f>V$52/V$72</f>
        <v>0</v>
      </c>
      <c r="W53" s="137">
        <f>W$52/W$72</f>
        <v>0</v>
      </c>
      <c r="X53" s="137">
        <f>X$52/X$72</f>
        <v>0</v>
      </c>
      <c r="Y53" s="137">
        <f>Y$52/Y$72</f>
        <v>0</v>
      </c>
      <c r="Z53" s="137">
        <f>Z$52/Z$72</f>
        <v>0</v>
      </c>
      <c r="AA53" s="137">
        <f>AA$52/AA$72</f>
        <v>0</v>
      </c>
    </row>
    <row r="54" spans="1:27" ht="15.75" thickBot="1" x14ac:dyDescent="0.3">
      <c r="A54" t="s">
        <v>526</v>
      </c>
      <c r="B54" t="s">
        <v>718</v>
      </c>
      <c r="D54" t="s">
        <v>184</v>
      </c>
      <c r="E54" t="s">
        <v>401</v>
      </c>
      <c r="F54" t="s">
        <v>734</v>
      </c>
      <c r="G54" t="s">
        <v>720</v>
      </c>
      <c r="M54" s="305">
        <f>IF(AND(IN_rooms!R$21="",IN_rooms!R$22=""),0,IN_rooms!R$21*IN_rooms!R$22*IN_rooms!R$24)</f>
        <v>0</v>
      </c>
      <c r="N54" s="70">
        <f>IF(AND(IN_rooms!S$21="",IN_rooms!S$22=""),0,IN_rooms!S$21*IN_rooms!S$22*IN_rooms!S$24)</f>
        <v>0</v>
      </c>
      <c r="O54" s="70">
        <f>IF(AND(IN_rooms!T$21="",IN_rooms!T$22=""),0,IN_rooms!T$21*IN_rooms!T$22*IN_rooms!T$24)</f>
        <v>0</v>
      </c>
      <c r="P54" s="70">
        <f>IF(AND(IN_rooms!U$21="",IN_rooms!U$22=""),0,IN_rooms!U$21*IN_rooms!U$22*IN_rooms!U$24)</f>
        <v>0</v>
      </c>
      <c r="Q54" s="70">
        <f>IF(AND(IN_rooms!V$21="",IN_rooms!V$22=""),0,IN_rooms!V$21*IN_rooms!V$22*IN_rooms!V$24)</f>
        <v>0</v>
      </c>
      <c r="R54" s="70">
        <f>IF(AND(IN_rooms!W$21="",IN_rooms!W$22=""),0,IN_rooms!W$21*IN_rooms!W$22*IN_rooms!W$24)</f>
        <v>0</v>
      </c>
      <c r="S54" s="70">
        <f>IF(AND(IN_rooms!X$21="",IN_rooms!X$22=""),0,IN_rooms!X$21*IN_rooms!X$22*IN_rooms!X$24)</f>
        <v>0</v>
      </c>
      <c r="T54" s="70">
        <f>IF(AND(IN_rooms!Y$21="",IN_rooms!Y$22=""),0,IN_rooms!Y$21*IN_rooms!Y$22*IN_rooms!Y$24)</f>
        <v>0</v>
      </c>
      <c r="U54" s="70">
        <f>IF(AND(IN_rooms!Z$21="",IN_rooms!Z$22=""),0,IN_rooms!Z$21*IN_rooms!Z$22*IN_rooms!Z$24)</f>
        <v>0</v>
      </c>
      <c r="V54" s="70">
        <f>IF(AND(IN_rooms!AA$21="",IN_rooms!AA$22=""),0,IN_rooms!AA$21*IN_rooms!AA$22*IN_rooms!AA$24)</f>
        <v>0</v>
      </c>
      <c r="W54" s="70">
        <f>IF(AND(IN_rooms!AB$21="",IN_rooms!AB$22=""),0,IN_rooms!AB$21*IN_rooms!AB$22*IN_rooms!AB$24)</f>
        <v>0</v>
      </c>
      <c r="X54" s="70">
        <f>IF(AND(IN_rooms!AC$21="",IN_rooms!AC$22=""),0,IN_rooms!AC$21*IN_rooms!AC$22*IN_rooms!AC$24)</f>
        <v>0</v>
      </c>
      <c r="Y54" s="70">
        <f>IF(AND(IN_rooms!AD$21="",IN_rooms!AD$22=""),0,IN_rooms!AD$21*IN_rooms!AD$22*IN_rooms!AD$24)</f>
        <v>0</v>
      </c>
      <c r="Z54" s="70">
        <f>IF(AND(IN_rooms!AE$21="",IN_rooms!AE$22=""),0,IN_rooms!AE$21*IN_rooms!AE$22*IN_rooms!AE$24)</f>
        <v>0</v>
      </c>
      <c r="AA54" s="70">
        <f>IF(AND(IN_rooms!AF$21="",IN_rooms!AF$22=""),0,IN_rooms!AF$21*IN_rooms!AF$22*IN_rooms!AF$24)</f>
        <v>0</v>
      </c>
    </row>
    <row r="55" spans="1:27" ht="15.75" thickBot="1" x14ac:dyDescent="0.3">
      <c r="A55" t="s">
        <v>526</v>
      </c>
      <c r="B55" t="s">
        <v>678</v>
      </c>
      <c r="D55" t="s">
        <v>184</v>
      </c>
      <c r="E55" t="s">
        <v>401</v>
      </c>
      <c r="F55" t="s">
        <v>735</v>
      </c>
      <c r="G55" t="s">
        <v>680</v>
      </c>
      <c r="M55" s="302" cm="1">
        <f t="array" ref="M55">_xlfn.AGGREGATE(15,6,IWU[U-Wert]/((IWU[Bauteil]=clc_load!$A55)*(IWU[Baujahr]=clc_load!$M$4)*(IWU[Gebäudetyp]=clc_load!$M$3)),1)</f>
        <v>4.3</v>
      </c>
      <c r="N55" s="66" cm="1">
        <f t="array" ref="N55">_xlfn.AGGREGATE(15,6,IWU[U-Wert]/((IWU[Bauteil]=clc_load!$A55)*(IWU[Baujahr]=clc_load!$M$4)*(IWU[Gebäudetyp]=clc_load!$M$3)),1)</f>
        <v>4.3</v>
      </c>
      <c r="O55" s="66" cm="1">
        <f t="array" ref="O55">_xlfn.AGGREGATE(15,6,IWU[U-Wert]/((IWU[Bauteil]=clc_load!$A55)*(IWU[Baujahr]=clc_load!$M$4)*(IWU[Gebäudetyp]=clc_load!$M$3)),1)</f>
        <v>4.3</v>
      </c>
      <c r="P55" s="66" cm="1">
        <f t="array" ref="P55">_xlfn.AGGREGATE(15,6,IWU[U-Wert]/((IWU[Bauteil]=clc_load!$A55)*(IWU[Baujahr]=clc_load!$M$4)*(IWU[Gebäudetyp]=clc_load!$M$3)),1)</f>
        <v>4.3</v>
      </c>
      <c r="Q55" s="66" cm="1">
        <f t="array" ref="Q55">_xlfn.AGGREGATE(15,6,IWU[U-Wert]/((IWU[Bauteil]=clc_load!$A55)*(IWU[Baujahr]=clc_load!$M$4)*(IWU[Gebäudetyp]=clc_load!$M$3)),1)</f>
        <v>4.3</v>
      </c>
      <c r="R55" s="66" cm="1">
        <f t="array" ref="R55">_xlfn.AGGREGATE(15,6,IWU[U-Wert]/((IWU[Bauteil]=clc_load!$A55)*(IWU[Baujahr]=clc_load!$M$4)*(IWU[Gebäudetyp]=clc_load!$M$3)),1)</f>
        <v>4.3</v>
      </c>
      <c r="S55" s="66" cm="1">
        <f t="array" ref="S55">_xlfn.AGGREGATE(15,6,IWU[U-Wert]/((IWU[Bauteil]=clc_load!$A55)*(IWU[Baujahr]=clc_load!$M$4)*(IWU[Gebäudetyp]=clc_load!$M$3)),1)</f>
        <v>4.3</v>
      </c>
      <c r="T55" s="66" cm="1">
        <f t="array" ref="T55">_xlfn.AGGREGATE(15,6,IWU[U-Wert]/((IWU[Bauteil]=clc_load!$A55)*(IWU[Baujahr]=clc_load!$M$4)*(IWU[Gebäudetyp]=clc_load!$M$3)),1)</f>
        <v>4.3</v>
      </c>
      <c r="U55" s="66" cm="1">
        <f t="array" ref="U55">_xlfn.AGGREGATE(15,6,IWU[U-Wert]/((IWU[Bauteil]=clc_load!$A55)*(IWU[Baujahr]=clc_load!$M$4)*(IWU[Gebäudetyp]=clc_load!$M$3)),1)</f>
        <v>4.3</v>
      </c>
      <c r="V55" s="66" cm="1">
        <f t="array" ref="V55">_xlfn.AGGREGATE(15,6,IWU[U-Wert]/((IWU[Bauteil]=clc_load!$A55)*(IWU[Baujahr]=clc_load!$M$4)*(IWU[Gebäudetyp]=clc_load!$M$3)),1)</f>
        <v>4.3</v>
      </c>
      <c r="W55" s="66" cm="1">
        <f t="array" ref="W55">_xlfn.AGGREGATE(15,6,IWU[U-Wert]/((IWU[Bauteil]=clc_load!$A55)*(IWU[Baujahr]=clc_load!$M$4)*(IWU[Gebäudetyp]=clc_load!$M$3)),1)</f>
        <v>4.3</v>
      </c>
      <c r="X55" s="66" cm="1">
        <f t="array" ref="X55">_xlfn.AGGREGATE(15,6,IWU[U-Wert]/((IWU[Bauteil]=clc_load!$A55)*(IWU[Baujahr]=clc_load!$M$4)*(IWU[Gebäudetyp]=clc_load!$M$3)),1)</f>
        <v>4.3</v>
      </c>
      <c r="Y55" s="66" cm="1">
        <f t="array" ref="Y55">_xlfn.AGGREGATE(15,6,IWU[U-Wert]/((IWU[Bauteil]=clc_load!$A55)*(IWU[Baujahr]=clc_load!$M$4)*(IWU[Gebäudetyp]=clc_load!$M$3)),1)</f>
        <v>4.3</v>
      </c>
      <c r="Z55" s="66" cm="1">
        <f t="array" ref="Z55">_xlfn.AGGREGATE(15,6,IWU[U-Wert]/((IWU[Bauteil]=clc_load!$A55)*(IWU[Baujahr]=clc_load!$M$4)*(IWU[Gebäudetyp]=clc_load!$M$3)),1)</f>
        <v>4.3</v>
      </c>
      <c r="AA55" s="66" cm="1">
        <f t="array" ref="AA55">_xlfn.AGGREGATE(15,6,IWU[U-Wert]/((IWU[Bauteil]=clc_load!$A55)*(IWU[Baujahr]=clc_load!$M$4)*(IWU[Gebäudetyp]=clc_load!$M$3)),1)</f>
        <v>4.3</v>
      </c>
    </row>
    <row r="56" spans="1:27" ht="15.75" thickBot="1" x14ac:dyDescent="0.3">
      <c r="A56" t="s">
        <v>526</v>
      </c>
      <c r="B56" t="s">
        <v>723</v>
      </c>
      <c r="D56" t="s">
        <v>184</v>
      </c>
      <c r="E56" t="s">
        <v>401</v>
      </c>
      <c r="F56" t="s">
        <v>736</v>
      </c>
      <c r="G56" t="s">
        <v>680</v>
      </c>
      <c r="M56" s="302" cm="1">
        <f t="array" ref="M56">IF(IN_build!$S$8=0,0,_xlfn.AGGREGATE(15,6,IWU[U-Wert]/((IWU[Bauteil]=clc_load!$A56)*(clc_load!$M$3=IWU[Gebäudetyp])*(IWU[Baujahr]=IN_build!$S$8)),1))</f>
        <v>1.1000000000000001</v>
      </c>
      <c r="N56" s="66" cm="1">
        <f t="array" ref="N56">IF(IN_build!$S$8=0,0,_xlfn.AGGREGATE(15,6,IWU[U-Wert]/((IWU[Bauteil]=clc_load!$A56)*(clc_load!$M$3=IWU[Gebäudetyp])*(IWU[Baujahr]=IN_build!$S$8)),1))</f>
        <v>1.1000000000000001</v>
      </c>
      <c r="O56" s="66" cm="1">
        <f t="array" ref="O56">IF(IN_build!$S$8=0,0,_xlfn.AGGREGATE(15,6,IWU[U-Wert]/((IWU[Bauteil]=clc_load!$A56)*(clc_load!$M$3=IWU[Gebäudetyp])*(IWU[Baujahr]=IN_build!$S$8)),1))</f>
        <v>1.1000000000000001</v>
      </c>
      <c r="P56" s="66" cm="1">
        <f t="array" ref="P56">IF(IN_build!$S$8=0,0,_xlfn.AGGREGATE(15,6,IWU[U-Wert]/((IWU[Bauteil]=clc_load!$A56)*(clc_load!$M$3=IWU[Gebäudetyp])*(IWU[Baujahr]=IN_build!$S$8)),1))</f>
        <v>1.1000000000000001</v>
      </c>
      <c r="Q56" s="66" cm="1">
        <f t="array" ref="Q56">IF(IN_build!$S$8=0,0,_xlfn.AGGREGATE(15,6,IWU[U-Wert]/((IWU[Bauteil]=clc_load!$A56)*(clc_load!$M$3=IWU[Gebäudetyp])*(IWU[Baujahr]=IN_build!$S$8)),1))</f>
        <v>1.1000000000000001</v>
      </c>
      <c r="R56" s="66" cm="1">
        <f t="array" ref="R56">IF(IN_build!$S$8=0,0,_xlfn.AGGREGATE(15,6,IWU[U-Wert]/((IWU[Bauteil]=clc_load!$A56)*(clc_load!$M$3=IWU[Gebäudetyp])*(IWU[Baujahr]=IN_build!$S$8)),1))</f>
        <v>1.1000000000000001</v>
      </c>
      <c r="S56" s="66" cm="1">
        <f t="array" ref="S56">IF(IN_build!$S$8=0,0,_xlfn.AGGREGATE(15,6,IWU[U-Wert]/((IWU[Bauteil]=clc_load!$A56)*(clc_load!$M$3=IWU[Gebäudetyp])*(IWU[Baujahr]=IN_build!$S$8)),1))</f>
        <v>1.1000000000000001</v>
      </c>
      <c r="T56" s="66" cm="1">
        <f t="array" ref="T56">IF(IN_build!$S$8=0,0,_xlfn.AGGREGATE(15,6,IWU[U-Wert]/((IWU[Bauteil]=clc_load!$A56)*(clc_load!$M$3=IWU[Gebäudetyp])*(IWU[Baujahr]=IN_build!$S$8)),1))</f>
        <v>1.1000000000000001</v>
      </c>
      <c r="U56" s="66" cm="1">
        <f t="array" ref="U56">IF(IN_build!$S$8=0,0,_xlfn.AGGREGATE(15,6,IWU[U-Wert]/((IWU[Bauteil]=clc_load!$A56)*(clc_load!$M$3=IWU[Gebäudetyp])*(IWU[Baujahr]=IN_build!$S$8)),1))</f>
        <v>1.1000000000000001</v>
      </c>
      <c r="V56" s="66" cm="1">
        <f t="array" ref="V56">IF(IN_build!$S$8=0,0,_xlfn.AGGREGATE(15,6,IWU[U-Wert]/((IWU[Bauteil]=clc_load!$A56)*(clc_load!$M$3=IWU[Gebäudetyp])*(IWU[Baujahr]=IN_build!$S$8)),1))</f>
        <v>1.1000000000000001</v>
      </c>
      <c r="W56" s="66" cm="1">
        <f t="array" ref="W56">IF(IN_build!$S$8=0,0,_xlfn.AGGREGATE(15,6,IWU[U-Wert]/((IWU[Bauteil]=clc_load!$A56)*(clc_load!$M$3=IWU[Gebäudetyp])*(IWU[Baujahr]=IN_build!$S$8)),1))</f>
        <v>1.1000000000000001</v>
      </c>
      <c r="X56" s="66" cm="1">
        <f t="array" ref="X56">IF(IN_build!$S$8=0,0,_xlfn.AGGREGATE(15,6,IWU[U-Wert]/((IWU[Bauteil]=clc_load!$A56)*(clc_load!$M$3=IWU[Gebäudetyp])*(IWU[Baujahr]=IN_build!$S$8)),1))</f>
        <v>1.1000000000000001</v>
      </c>
      <c r="Y56" s="66" cm="1">
        <f t="array" ref="Y56">IF(IN_build!$S$8=0,0,_xlfn.AGGREGATE(15,6,IWU[U-Wert]/((IWU[Bauteil]=clc_load!$A56)*(clc_load!$M$3=IWU[Gebäudetyp])*(IWU[Baujahr]=IN_build!$S$8)),1))</f>
        <v>1.1000000000000001</v>
      </c>
      <c r="Z56" s="66" cm="1">
        <f t="array" ref="Z56">IF(IN_build!$S$8=0,0,_xlfn.AGGREGATE(15,6,IWU[U-Wert]/((IWU[Bauteil]=clc_load!$A56)*(clc_load!$M$3=IWU[Gebäudetyp])*(IWU[Baujahr]=IN_build!$S$8)),1))</f>
        <v>1.1000000000000001</v>
      </c>
      <c r="AA56" s="66" cm="1">
        <f t="array" ref="AA56">IF(IN_build!$S$8=0,0,_xlfn.AGGREGATE(15,6,IWU[U-Wert]/((IWU[Bauteil]=clc_load!$A56)*(clc_load!$M$3=IWU[Gebäudetyp])*(IWU[Baujahr]=IN_build!$S$8)),1))</f>
        <v>1.1000000000000001</v>
      </c>
    </row>
    <row r="57" spans="1:27" ht="15.75" thickBot="1" x14ac:dyDescent="0.3">
      <c r="A57" t="s">
        <v>526</v>
      </c>
      <c r="B57" t="s">
        <v>681</v>
      </c>
      <c r="D57" t="s">
        <v>184</v>
      </c>
      <c r="E57" t="s">
        <v>401</v>
      </c>
      <c r="F57" t="s">
        <v>737</v>
      </c>
      <c r="G57" t="s">
        <v>680</v>
      </c>
      <c r="M57" s="302">
        <f>IF(M$56&gt;0,M$56,MIN(M$56,M$55))</f>
        <v>1.1000000000000001</v>
      </c>
      <c r="N57" s="66">
        <f t="shared" ref="N57:AA57" si="3">IF(N$56&gt;0,N$56,MIN(N$56,N$55))</f>
        <v>1.1000000000000001</v>
      </c>
      <c r="O57" s="66">
        <f t="shared" si="3"/>
        <v>1.1000000000000001</v>
      </c>
      <c r="P57" s="66">
        <f t="shared" si="3"/>
        <v>1.1000000000000001</v>
      </c>
      <c r="Q57" s="66">
        <f t="shared" si="3"/>
        <v>1.1000000000000001</v>
      </c>
      <c r="R57" s="66">
        <f t="shared" si="3"/>
        <v>1.1000000000000001</v>
      </c>
      <c r="S57" s="66">
        <f t="shared" si="3"/>
        <v>1.1000000000000001</v>
      </c>
      <c r="T57" s="66">
        <f t="shared" si="3"/>
        <v>1.1000000000000001</v>
      </c>
      <c r="U57" s="66">
        <f t="shared" si="3"/>
        <v>1.1000000000000001</v>
      </c>
      <c r="V57" s="66">
        <f t="shared" si="3"/>
        <v>1.1000000000000001</v>
      </c>
      <c r="W57" s="66">
        <f t="shared" si="3"/>
        <v>1.1000000000000001</v>
      </c>
      <c r="X57" s="66">
        <f t="shared" si="3"/>
        <v>1.1000000000000001</v>
      </c>
      <c r="Y57" s="66">
        <f t="shared" si="3"/>
        <v>1.1000000000000001</v>
      </c>
      <c r="Z57" s="66">
        <f t="shared" si="3"/>
        <v>1.1000000000000001</v>
      </c>
      <c r="AA57" s="66">
        <f t="shared" si="3"/>
        <v>1.1000000000000001</v>
      </c>
    </row>
    <row r="58" spans="1:27" ht="15.75" thickBot="1" x14ac:dyDescent="0.3">
      <c r="A58" t="s">
        <v>526</v>
      </c>
      <c r="B58" t="s">
        <v>683</v>
      </c>
      <c r="D58" t="s">
        <v>184</v>
      </c>
      <c r="E58" t="s">
        <v>401</v>
      </c>
      <c r="F58" t="s">
        <v>738</v>
      </c>
      <c r="G58" t="s">
        <v>112</v>
      </c>
      <c r="M58" s="299">
        <f>IF(M$54=0,0,M$42/10000*(M$57+M$8)*(M$10-Normaußentemperatur_12831!$B$6))</f>
        <v>0</v>
      </c>
      <c r="N58" s="68">
        <f>IF(N$54=0,0,N$42/10000*(N$57+N$8)*(N$10-Normaußentemperatur_12831!$B$6))</f>
        <v>0</v>
      </c>
      <c r="O58" s="68">
        <f>IF(O$54=0,0,O$42/10000*(O$57+O$8)*(O$10-Normaußentemperatur_12831!$B$6))</f>
        <v>0</v>
      </c>
      <c r="P58" s="68">
        <f>IF(P$54=0,0,P$42/10000*(P$57+P$8)*(P$10-Normaußentemperatur_12831!$B$6))</f>
        <v>0</v>
      </c>
      <c r="Q58" s="68">
        <f>IF(Q$54=0,0,Q$42/10000*(Q$57+Q$8)*(Q$10-Normaußentemperatur_12831!$B$6))</f>
        <v>0</v>
      </c>
      <c r="R58" s="68">
        <f>IF(R$54=0,0,R$42/10000*(R$57+R$8)*(R$10-Normaußentemperatur_12831!$B$6))</f>
        <v>0</v>
      </c>
      <c r="S58" s="68">
        <f>IF(S$54=0,0,S$42/10000*(S$57+S$8)*(S$10-Normaußentemperatur_12831!$B$6))</f>
        <v>0</v>
      </c>
      <c r="T58" s="68">
        <f>IF(T$54=0,0,T$42/10000*(T$57+T$8)*(T$10-Normaußentemperatur_12831!$B$6))</f>
        <v>0</v>
      </c>
      <c r="U58" s="68">
        <f>IF(U$54=0,0,U$42/10000*(U$57+U$8)*(U$10-Normaußentemperatur_12831!$B$6))</f>
        <v>0</v>
      </c>
      <c r="V58" s="68">
        <f>IF(V$54=0,0,V$42/10000*(V$57+V$8)*(V$10-Normaußentemperatur_12831!$B$6))</f>
        <v>0</v>
      </c>
      <c r="W58" s="68">
        <f>IF(W$54=0,0,W$42/10000*(W$57+W$8)*(W$10-Normaußentemperatur_12831!$B$6))</f>
        <v>0</v>
      </c>
      <c r="X58" s="68">
        <f>IF(X$54=0,0,X$42/10000*(X$57+X$8)*(X$10-Normaußentemperatur_12831!$B$6))</f>
        <v>0</v>
      </c>
      <c r="Y58" s="68">
        <f>IF(Y$54=0,0,Y$42/10000*(Y$57+Y$8)*(Y$10-Normaußentemperatur_12831!$B$6))</f>
        <v>0</v>
      </c>
      <c r="Z58" s="68">
        <f>IF(Z$54=0,0,Z$42/10000*(Z$57+Z$8)*(Z$10-Normaußentemperatur_12831!$B$6))</f>
        <v>0</v>
      </c>
      <c r="AA58" s="68">
        <f>IF(AA$54=0,0,AA$42/10000*(AA$57+AA$8)*(AA$10-Normaußentemperatur_12831!$B$6))</f>
        <v>0</v>
      </c>
    </row>
    <row r="59" spans="1:27" ht="15.75" thickBot="1" x14ac:dyDescent="0.3">
      <c r="A59" t="s">
        <v>526</v>
      </c>
      <c r="B59" t="s">
        <v>673</v>
      </c>
      <c r="D59" t="s">
        <v>184</v>
      </c>
      <c r="E59" t="s">
        <v>401</v>
      </c>
      <c r="F59" t="s">
        <v>739</v>
      </c>
      <c r="G59" t="s">
        <v>111</v>
      </c>
      <c r="M59" s="303">
        <f>M$58/M$72</f>
        <v>0</v>
      </c>
      <c r="N59" s="137">
        <f>N$58/N$72</f>
        <v>0</v>
      </c>
      <c r="O59" s="137">
        <f>O$58/O$72</f>
        <v>0</v>
      </c>
      <c r="P59" s="137">
        <f>P$58/P$72</f>
        <v>0</v>
      </c>
      <c r="Q59" s="137">
        <f>Q$58/Q$72</f>
        <v>0</v>
      </c>
      <c r="R59" s="137">
        <f>R$58/R$72</f>
        <v>0</v>
      </c>
      <c r="S59" s="137">
        <f>S$58/S$72</f>
        <v>0</v>
      </c>
      <c r="T59" s="137">
        <f>T$58/T$72</f>
        <v>0</v>
      </c>
      <c r="U59" s="137">
        <f>U$58/U$72</f>
        <v>0</v>
      </c>
      <c r="V59" s="137">
        <f>V$58/V$72</f>
        <v>0</v>
      </c>
      <c r="W59" s="137">
        <f>W$58/W$72</f>
        <v>0</v>
      </c>
      <c r="X59" s="137">
        <f>X$58/X$72</f>
        <v>0</v>
      </c>
      <c r="Y59" s="137">
        <f>Y$58/Y$72</f>
        <v>0</v>
      </c>
      <c r="Z59" s="137">
        <f>Z$58/Z$72</f>
        <v>0</v>
      </c>
      <c r="AA59" s="137">
        <f>AA$58/AA$72</f>
        <v>0</v>
      </c>
    </row>
    <row r="60" spans="1:27" ht="15.75" customHeight="1" thickBot="1" x14ac:dyDescent="0.3">
      <c r="A60" t="s">
        <v>526</v>
      </c>
      <c r="B60" t="s">
        <v>718</v>
      </c>
      <c r="D60" t="s">
        <v>192</v>
      </c>
      <c r="E60" t="s">
        <v>399</v>
      </c>
      <c r="F60" t="s">
        <v>740</v>
      </c>
      <c r="G60" t="s">
        <v>720</v>
      </c>
      <c r="I60" s="204" t="s">
        <v>741</v>
      </c>
      <c r="M60" s="305">
        <f>IF(AND(IN_rooms!R$41="",IN_rooms!R$42=""),0,IN_rooms!R$41*IN_rooms!R$42*IN_rooms!R$44)</f>
        <v>0</v>
      </c>
      <c r="N60" s="70">
        <f>IF(AND(IN_rooms!S$41="",IN_rooms!S$42=""),0,IN_rooms!S$41*IN_rooms!S$42*IN_rooms!S$44)</f>
        <v>0</v>
      </c>
      <c r="O60" s="70">
        <f>IF(AND(IN_rooms!T$41="",IN_rooms!T$42=""),0,IN_rooms!T$41*IN_rooms!T$42*IN_rooms!T$44)</f>
        <v>0</v>
      </c>
      <c r="P60" s="70">
        <f>IF(AND(IN_rooms!U$41="",IN_rooms!U$42=""),0,IN_rooms!U$41*IN_rooms!U$42*IN_rooms!U$44)</f>
        <v>0</v>
      </c>
      <c r="Q60" s="70">
        <f>IF(AND(IN_rooms!V$41="",IN_rooms!V$42=""),0,IN_rooms!V$41*IN_rooms!V$42*IN_rooms!V$44)</f>
        <v>0</v>
      </c>
      <c r="R60" s="70">
        <f>IF(AND(IN_rooms!W$41="",IN_rooms!W$42=""),0,IN_rooms!W$41*IN_rooms!W$42*IN_rooms!W$44)</f>
        <v>0</v>
      </c>
      <c r="S60" s="70">
        <f>IF(AND(IN_rooms!X$41="",IN_rooms!X$42=""),0,IN_rooms!X$41*IN_rooms!X$42*IN_rooms!X$44)</f>
        <v>0</v>
      </c>
      <c r="T60" s="70">
        <f>IF(AND(IN_rooms!Y$41="",IN_rooms!Y$42=""),0,IN_rooms!Y$41*IN_rooms!Y$42*IN_rooms!Y$44)</f>
        <v>0</v>
      </c>
      <c r="U60" s="70">
        <f>IF(AND(IN_rooms!Z$41="",IN_rooms!Z$42=""),0,IN_rooms!Z$41*IN_rooms!Z$42*IN_rooms!Z$44)</f>
        <v>0</v>
      </c>
      <c r="V60" s="70">
        <f>IF(AND(IN_rooms!AA$41="",IN_rooms!AA$42=""),0,IN_rooms!AA$41*IN_rooms!AA$42*IN_rooms!AA$44)</f>
        <v>0</v>
      </c>
      <c r="W60" s="70">
        <f>IF(AND(IN_rooms!AB$41="",IN_rooms!AB$42=""),0,IN_rooms!AB$41*IN_rooms!AB$42*IN_rooms!AB$44)</f>
        <v>0</v>
      </c>
      <c r="X60" s="70">
        <f>IF(AND(IN_rooms!AC$41="",IN_rooms!AC$42=""),0,IN_rooms!AC$41*IN_rooms!AC$42*IN_rooms!AC$44)</f>
        <v>0</v>
      </c>
      <c r="Y60" s="70">
        <f>IF(AND(IN_rooms!AD$41="",IN_rooms!AD$42=""),0,IN_rooms!AD$41*IN_rooms!AD$42*IN_rooms!AD$44)</f>
        <v>0</v>
      </c>
      <c r="Z60" s="70">
        <f>IF(AND(IN_rooms!AE$41="",IN_rooms!AE$42=""),0,IN_rooms!AE$41*IN_rooms!AE$42*IN_rooms!AE$44)</f>
        <v>0</v>
      </c>
      <c r="AA60" s="70">
        <f>IF(AND(IN_rooms!AF$41="",IN_rooms!AF$42=""),0,IN_rooms!AF$41*IN_rooms!AF$42*IN_rooms!AF$44)</f>
        <v>0</v>
      </c>
    </row>
    <row r="61" spans="1:27" ht="15.75" thickBot="1" x14ac:dyDescent="0.3">
      <c r="A61" t="s">
        <v>526</v>
      </c>
      <c r="B61" t="s">
        <v>678</v>
      </c>
      <c r="D61" t="s">
        <v>192</v>
      </c>
      <c r="E61" t="s">
        <v>399</v>
      </c>
      <c r="F61" t="s">
        <v>742</v>
      </c>
      <c r="G61" t="s">
        <v>680</v>
      </c>
      <c r="M61" s="302" cm="1">
        <f t="array" ref="M61">_xlfn.AGGREGATE(15,6,IWU[U-Wert]/((IWU[Bauteil]=clc_load!$A61)*(IWU[Baujahr]=clc_load!$M$4)*(IWU[Gebäudetyp]=clc_load!$M$3)),1)</f>
        <v>4.3</v>
      </c>
      <c r="N61" s="66" cm="1">
        <f t="array" ref="N61">_xlfn.AGGREGATE(15,6,IWU[U-Wert]/((IWU[Bauteil]=clc_load!$A61)*(IWU[Baujahr]=clc_load!$M$4)*(IWU[Gebäudetyp]=clc_load!$M$3)),1)</f>
        <v>4.3</v>
      </c>
      <c r="O61" s="66" cm="1">
        <f t="array" ref="O61">_xlfn.AGGREGATE(15,6,IWU[U-Wert]/((IWU[Bauteil]=clc_load!$A61)*(IWU[Baujahr]=clc_load!$M$4)*(IWU[Gebäudetyp]=clc_load!$M$3)),1)</f>
        <v>4.3</v>
      </c>
      <c r="P61" s="66" cm="1">
        <f t="array" ref="P61">_xlfn.AGGREGATE(15,6,IWU[U-Wert]/((IWU[Bauteil]=clc_load!$A61)*(IWU[Baujahr]=clc_load!$M$4)*(IWU[Gebäudetyp]=clc_load!$M$3)),1)</f>
        <v>4.3</v>
      </c>
      <c r="Q61" s="66" cm="1">
        <f t="array" ref="Q61">_xlfn.AGGREGATE(15,6,IWU[U-Wert]/((IWU[Bauteil]=clc_load!$A61)*(IWU[Baujahr]=clc_load!$M$4)*(IWU[Gebäudetyp]=clc_load!$M$3)),1)</f>
        <v>4.3</v>
      </c>
      <c r="R61" s="66" cm="1">
        <f t="array" ref="R61">_xlfn.AGGREGATE(15,6,IWU[U-Wert]/((IWU[Bauteil]=clc_load!$A61)*(IWU[Baujahr]=clc_load!$M$4)*(IWU[Gebäudetyp]=clc_load!$M$3)),1)</f>
        <v>4.3</v>
      </c>
      <c r="S61" s="66" cm="1">
        <f t="array" ref="S61">_xlfn.AGGREGATE(15,6,IWU[U-Wert]/((IWU[Bauteil]=clc_load!$A61)*(IWU[Baujahr]=clc_load!$M$4)*(IWU[Gebäudetyp]=clc_load!$M$3)),1)</f>
        <v>4.3</v>
      </c>
      <c r="T61" s="66" cm="1">
        <f t="array" ref="T61">_xlfn.AGGREGATE(15,6,IWU[U-Wert]/((IWU[Bauteil]=clc_load!$A61)*(IWU[Baujahr]=clc_load!$M$4)*(IWU[Gebäudetyp]=clc_load!$M$3)),1)</f>
        <v>4.3</v>
      </c>
      <c r="U61" s="66" cm="1">
        <f t="array" ref="U61">_xlfn.AGGREGATE(15,6,IWU[U-Wert]/((IWU[Bauteil]=clc_load!$A61)*(IWU[Baujahr]=clc_load!$M$4)*(IWU[Gebäudetyp]=clc_load!$M$3)),1)</f>
        <v>4.3</v>
      </c>
      <c r="V61" s="66" cm="1">
        <f t="array" ref="V61">_xlfn.AGGREGATE(15,6,IWU[U-Wert]/((IWU[Bauteil]=clc_load!$A61)*(IWU[Baujahr]=clc_load!$M$4)*(IWU[Gebäudetyp]=clc_load!$M$3)),1)</f>
        <v>4.3</v>
      </c>
      <c r="W61" s="66" cm="1">
        <f t="array" ref="W61">_xlfn.AGGREGATE(15,6,IWU[U-Wert]/((IWU[Bauteil]=clc_load!$A61)*(IWU[Baujahr]=clc_load!$M$4)*(IWU[Gebäudetyp]=clc_load!$M$3)),1)</f>
        <v>4.3</v>
      </c>
      <c r="X61" s="66" cm="1">
        <f t="array" ref="X61">_xlfn.AGGREGATE(15,6,IWU[U-Wert]/((IWU[Bauteil]=clc_load!$A61)*(IWU[Baujahr]=clc_load!$M$4)*(IWU[Gebäudetyp]=clc_load!$M$3)),1)</f>
        <v>4.3</v>
      </c>
      <c r="Y61" s="66" cm="1">
        <f t="array" ref="Y61">_xlfn.AGGREGATE(15,6,IWU[U-Wert]/((IWU[Bauteil]=clc_load!$A61)*(IWU[Baujahr]=clc_load!$M$4)*(IWU[Gebäudetyp]=clc_load!$M$3)),1)</f>
        <v>4.3</v>
      </c>
      <c r="Z61" s="66" cm="1">
        <f t="array" ref="Z61">_xlfn.AGGREGATE(15,6,IWU[U-Wert]/((IWU[Bauteil]=clc_load!$A61)*(IWU[Baujahr]=clc_load!$M$4)*(IWU[Gebäudetyp]=clc_load!$M$3)),1)</f>
        <v>4.3</v>
      </c>
      <c r="AA61" s="66" cm="1">
        <f t="array" ref="AA61">_xlfn.AGGREGATE(15,6,IWU[U-Wert]/((IWU[Bauteil]=clc_load!$A61)*(IWU[Baujahr]=clc_load!$M$4)*(IWU[Gebäudetyp]=clc_load!$M$3)),1)</f>
        <v>4.3</v>
      </c>
    </row>
    <row r="62" spans="1:27" ht="15.75" thickBot="1" x14ac:dyDescent="0.3">
      <c r="A62" t="s">
        <v>526</v>
      </c>
      <c r="B62" t="s">
        <v>723</v>
      </c>
      <c r="D62" t="s">
        <v>192</v>
      </c>
      <c r="E62" t="s">
        <v>399</v>
      </c>
      <c r="F62" t="s">
        <v>743</v>
      </c>
      <c r="G62" t="s">
        <v>680</v>
      </c>
      <c r="M62" s="302" cm="1">
        <f t="array" ref="M62">IF(M$60=0,0,_xlfn.AGGREGATE(15,6,IWU[U-Wert]/((IWU[Bauteil]=clc_load!$A62)*(clc_load!$M$3=IWU[Gebäudetyp])*(IWU[Baujahr]=IN_build!$S$8)),1))</f>
        <v>0</v>
      </c>
      <c r="N62" s="66" cm="1">
        <f t="array" ref="N62">IF(N$60=0,0,_xlfn.AGGREGATE(15,6,IWU[U-Wert]/((IWU[Bauteil]=clc_load!$A62)*(clc_load!$M$3=IWU[Gebäudetyp])*(IWU[Baujahr]=IN_build!$S$8)),1))</f>
        <v>0</v>
      </c>
      <c r="O62" s="66" cm="1">
        <f t="array" ref="O62">IF(O$60=0,0,_xlfn.AGGREGATE(15,6,IWU[U-Wert]/((IWU[Bauteil]=clc_load!$A62)*(clc_load!$M$3=IWU[Gebäudetyp])*(IWU[Baujahr]=IN_build!$S$8)),1))</f>
        <v>0</v>
      </c>
      <c r="P62" s="66" cm="1">
        <f t="array" ref="P62">IF(P$60=0,0,_xlfn.AGGREGATE(15,6,IWU[U-Wert]/((IWU[Bauteil]=clc_load!$A62)*(clc_load!$M$3=IWU[Gebäudetyp])*(IWU[Baujahr]=IN_build!$S$8)),1))</f>
        <v>0</v>
      </c>
      <c r="Q62" s="66" cm="1">
        <f t="array" ref="Q62">IF(Q$60=0,0,_xlfn.AGGREGATE(15,6,IWU[U-Wert]/((IWU[Bauteil]=clc_load!$A62)*(clc_load!$M$3=IWU[Gebäudetyp])*(IWU[Baujahr]=IN_build!$S$8)),1))</f>
        <v>0</v>
      </c>
      <c r="R62" s="66" cm="1">
        <f t="array" ref="R62">IF(R$60=0,0,_xlfn.AGGREGATE(15,6,IWU[U-Wert]/((IWU[Bauteil]=clc_load!$A62)*(clc_load!$M$3=IWU[Gebäudetyp])*(IWU[Baujahr]=IN_build!$S$8)),1))</f>
        <v>0</v>
      </c>
      <c r="S62" s="66" cm="1">
        <f t="array" ref="S62">IF(S$60=0,0,_xlfn.AGGREGATE(15,6,IWU[U-Wert]/((IWU[Bauteil]=clc_load!$A62)*(clc_load!$M$3=IWU[Gebäudetyp])*(IWU[Baujahr]=IN_build!$S$8)),1))</f>
        <v>0</v>
      </c>
      <c r="T62" s="66" cm="1">
        <f t="array" ref="T62">IF(T$60=0,0,_xlfn.AGGREGATE(15,6,IWU[U-Wert]/((IWU[Bauteil]=clc_load!$A62)*(clc_load!$M$3=IWU[Gebäudetyp])*(IWU[Baujahr]=IN_build!$S$8)),1))</f>
        <v>0</v>
      </c>
      <c r="U62" s="66" cm="1">
        <f t="array" ref="U62">IF(U$60=0,0,_xlfn.AGGREGATE(15,6,IWU[U-Wert]/((IWU[Bauteil]=clc_load!$A62)*(clc_load!$M$3=IWU[Gebäudetyp])*(IWU[Baujahr]=IN_build!$S$8)),1))</f>
        <v>0</v>
      </c>
      <c r="V62" s="66" cm="1">
        <f t="array" ref="V62">IF(V$60=0,0,_xlfn.AGGREGATE(15,6,IWU[U-Wert]/((IWU[Bauteil]=clc_load!$A62)*(clc_load!$M$3=IWU[Gebäudetyp])*(IWU[Baujahr]=IN_build!$S$8)),1))</f>
        <v>0</v>
      </c>
      <c r="W62" s="66" cm="1">
        <f t="array" ref="W62">IF(W$60=0,0,_xlfn.AGGREGATE(15,6,IWU[U-Wert]/((IWU[Bauteil]=clc_load!$A62)*(clc_load!$M$3=IWU[Gebäudetyp])*(IWU[Baujahr]=IN_build!$S$8)),1))</f>
        <v>0</v>
      </c>
      <c r="X62" s="66" cm="1">
        <f t="array" ref="X62">IF(X$60=0,0,_xlfn.AGGREGATE(15,6,IWU[U-Wert]/((IWU[Bauteil]=clc_load!$A62)*(clc_load!$M$3=IWU[Gebäudetyp])*(IWU[Baujahr]=IN_build!$S$8)),1))</f>
        <v>0</v>
      </c>
      <c r="Y62" s="66" cm="1">
        <f t="array" ref="Y62">IF(Y$60=0,0,_xlfn.AGGREGATE(15,6,IWU[U-Wert]/((IWU[Bauteil]=clc_load!$A62)*(clc_load!$M$3=IWU[Gebäudetyp])*(IWU[Baujahr]=IN_build!$S$8)),1))</f>
        <v>0</v>
      </c>
      <c r="Z62" s="66" cm="1">
        <f t="array" ref="Z62">IF(Z$60=0,0,_xlfn.AGGREGATE(15,6,IWU[U-Wert]/((IWU[Bauteil]=clc_load!$A62)*(clc_load!$M$3=IWU[Gebäudetyp])*(IWU[Baujahr]=IN_build!$S$8)),1))</f>
        <v>0</v>
      </c>
      <c r="AA62" s="66" cm="1">
        <f t="array" ref="AA62">IF(AA$60=0,0,_xlfn.AGGREGATE(15,6,IWU[U-Wert]/((IWU[Bauteil]=clc_load!$A62)*(clc_load!$M$3=IWU[Gebäudetyp])*(IWU[Baujahr]=IN_build!$S$8)),1))</f>
        <v>0</v>
      </c>
    </row>
    <row r="63" spans="1:27" ht="15.75" thickBot="1" x14ac:dyDescent="0.3">
      <c r="A63" t="s">
        <v>526</v>
      </c>
      <c r="B63" t="s">
        <v>681</v>
      </c>
      <c r="D63" t="s">
        <v>192</v>
      </c>
      <c r="E63" t="s">
        <v>399</v>
      </c>
      <c r="F63" t="s">
        <v>744</v>
      </c>
      <c r="G63" t="s">
        <v>680</v>
      </c>
      <c r="M63" s="302">
        <f>IF(M$62&gt;0,M$62,MIN(M$62,M$61))</f>
        <v>0</v>
      </c>
      <c r="N63" s="66">
        <f t="shared" ref="N63:AA63" si="4">IF(N$62&gt;0,N$62,MIN(N$62,N$61))</f>
        <v>0</v>
      </c>
      <c r="O63" s="66">
        <f t="shared" si="4"/>
        <v>0</v>
      </c>
      <c r="P63" s="66">
        <f t="shared" si="4"/>
        <v>0</v>
      </c>
      <c r="Q63" s="66">
        <f t="shared" si="4"/>
        <v>0</v>
      </c>
      <c r="R63" s="66">
        <f t="shared" si="4"/>
        <v>0</v>
      </c>
      <c r="S63" s="66">
        <f t="shared" si="4"/>
        <v>0</v>
      </c>
      <c r="T63" s="66">
        <f t="shared" si="4"/>
        <v>0</v>
      </c>
      <c r="U63" s="66">
        <f t="shared" si="4"/>
        <v>0</v>
      </c>
      <c r="V63" s="66">
        <f t="shared" si="4"/>
        <v>0</v>
      </c>
      <c r="W63" s="66">
        <f t="shared" si="4"/>
        <v>0</v>
      </c>
      <c r="X63" s="66">
        <f t="shared" si="4"/>
        <v>0</v>
      </c>
      <c r="Y63" s="66">
        <f t="shared" si="4"/>
        <v>0</v>
      </c>
      <c r="Z63" s="66">
        <f t="shared" si="4"/>
        <v>0</v>
      </c>
      <c r="AA63" s="66">
        <f t="shared" si="4"/>
        <v>0</v>
      </c>
    </row>
    <row r="64" spans="1:27" ht="15.75" thickBot="1" x14ac:dyDescent="0.3">
      <c r="A64" t="s">
        <v>526</v>
      </c>
      <c r="B64" t="s">
        <v>683</v>
      </c>
      <c r="D64" t="s">
        <v>192</v>
      </c>
      <c r="E64" t="s">
        <v>399</v>
      </c>
      <c r="F64" t="s">
        <v>745</v>
      </c>
      <c r="G64" t="s">
        <v>112</v>
      </c>
      <c r="M64" s="299">
        <f>IF(M$60="entfällt",0,M$60/10000*(M$63+M$8)*(M$10-Normaußentemperatur_12831!$B$6))</f>
        <v>0</v>
      </c>
      <c r="N64" s="68">
        <f>IF(N$60="entfällt",0,N$60/10000*(N$63+N$8)*(N$10-Normaußentemperatur_12831!$B$6))</f>
        <v>0</v>
      </c>
      <c r="O64" s="68">
        <f>IF(O$60="entfällt",0,O$60/10000*(O$63+O$8)*(O$10-Normaußentemperatur_12831!$B$6))</f>
        <v>0</v>
      </c>
      <c r="P64" s="68">
        <f>IF(P$60="entfällt",0,P$60/10000*(P$63+P$8)*(P$10-Normaußentemperatur_12831!$B$6))</f>
        <v>0</v>
      </c>
      <c r="Q64" s="68">
        <f>IF(Q$60="entfällt",0,Q$60/10000*(Q$63+Q$8)*(Q$10-Normaußentemperatur_12831!$B$6))</f>
        <v>0</v>
      </c>
      <c r="R64" s="68">
        <f>IF(R$60="entfällt",0,R$60/10000*(R$63+R$8)*(R$10-Normaußentemperatur_12831!$B$6))</f>
        <v>0</v>
      </c>
      <c r="S64" s="68">
        <f>IF(S$60="entfällt",0,S$60/10000*(S$63+S$8)*(S$10-Normaußentemperatur_12831!$B$6))</f>
        <v>0</v>
      </c>
      <c r="T64" s="68">
        <f>IF(T$60="entfällt",0,T$60/10000*(T$63+T$8)*(T$10-Normaußentemperatur_12831!$B$6))</f>
        <v>0</v>
      </c>
      <c r="U64" s="68">
        <f>IF(U$60="entfällt",0,U$60/10000*(U$63+U$8)*(U$10-Normaußentemperatur_12831!$B$6))</f>
        <v>0</v>
      </c>
      <c r="V64" s="68">
        <f>IF(V$60="entfällt",0,V$60/10000*(V$63+V$8)*(V$10-Normaußentemperatur_12831!$B$6))</f>
        <v>0</v>
      </c>
      <c r="W64" s="68">
        <f>IF(W$60="entfällt",0,W$60/10000*(W$63+W$8)*(W$10-Normaußentemperatur_12831!$B$6))</f>
        <v>0</v>
      </c>
      <c r="X64" s="68">
        <f>IF(X$60="entfällt",0,X$60/10000*(X$63+X$8)*(X$10-Normaußentemperatur_12831!$B$6))</f>
        <v>0</v>
      </c>
      <c r="Y64" s="68">
        <f>IF(Y$60="entfällt",0,Y$60/10000*(Y$63+Y$8)*(Y$10-Normaußentemperatur_12831!$B$6))</f>
        <v>0</v>
      </c>
      <c r="Z64" s="68">
        <f>IF(Z$60="entfällt",0,Z$60/10000*(Z$63+Z$8)*(Z$10-Normaußentemperatur_12831!$B$6))</f>
        <v>0</v>
      </c>
      <c r="AA64" s="68">
        <f>IF(AA$60="entfällt",0,AA$60/10000*(AA$63+AA$8)*(AA$10-Normaußentemperatur_12831!$B$6))</f>
        <v>0</v>
      </c>
    </row>
    <row r="65" spans="1:27" ht="15.75" thickBot="1" x14ac:dyDescent="0.3">
      <c r="A65" t="s">
        <v>526</v>
      </c>
      <c r="B65" t="s">
        <v>673</v>
      </c>
      <c r="D65" t="s">
        <v>192</v>
      </c>
      <c r="E65" t="s">
        <v>399</v>
      </c>
      <c r="F65" t="s">
        <v>746</v>
      </c>
      <c r="G65" t="s">
        <v>111</v>
      </c>
      <c r="M65" s="303">
        <f>M$64/M$72</f>
        <v>0</v>
      </c>
      <c r="N65" s="137">
        <f>N$64/N$72</f>
        <v>0</v>
      </c>
      <c r="O65" s="137">
        <f>O$64/O$72</f>
        <v>0</v>
      </c>
      <c r="P65" s="137">
        <f>P$64/P$72</f>
        <v>0</v>
      </c>
      <c r="Q65" s="137">
        <f>Q$64/Q$72</f>
        <v>0</v>
      </c>
      <c r="R65" s="137">
        <f>R$64/R$72</f>
        <v>0</v>
      </c>
      <c r="S65" s="137">
        <f>S$64/S$72</f>
        <v>0</v>
      </c>
      <c r="T65" s="137">
        <f>T$64/T$72</f>
        <v>0</v>
      </c>
      <c r="U65" s="137">
        <f>U$64/U$72</f>
        <v>0</v>
      </c>
      <c r="V65" s="137">
        <f>V$64/V$72</f>
        <v>0</v>
      </c>
      <c r="W65" s="137">
        <f>W$64/W$72</f>
        <v>0</v>
      </c>
      <c r="X65" s="137">
        <f>X$64/X$72</f>
        <v>0</v>
      </c>
      <c r="Y65" s="137">
        <f>Y$64/Y$72</f>
        <v>0</v>
      </c>
      <c r="Z65" s="137">
        <f>Z$64/Z$72</f>
        <v>0</v>
      </c>
      <c r="AA65" s="137">
        <f>AA$64/AA$72</f>
        <v>0</v>
      </c>
    </row>
    <row r="66" spans="1:27" ht="15.75" thickBot="1" x14ac:dyDescent="0.3">
      <c r="A66" t="s">
        <v>526</v>
      </c>
      <c r="B66" t="s">
        <v>718</v>
      </c>
      <c r="D66" t="s">
        <v>192</v>
      </c>
      <c r="E66" t="s">
        <v>399</v>
      </c>
      <c r="F66" t="s">
        <v>747</v>
      </c>
      <c r="G66" t="s">
        <v>720</v>
      </c>
      <c r="M66" s="305">
        <f>IF(AND(IN_rooms!R$45="",IN_rooms!R$46=""),0,IN_rooms!R$45*IN_rooms!R$46*IN_rooms!R$48)</f>
        <v>0</v>
      </c>
      <c r="N66" s="70">
        <f>IF(AND(IN_rooms!S$45="",IN_rooms!S$46=""),0,IN_rooms!S$45*IN_rooms!S$46*IN_rooms!S$48)</f>
        <v>0</v>
      </c>
      <c r="O66" s="70">
        <f>IF(AND(IN_rooms!T$45="",IN_rooms!T$46=""),0,IN_rooms!T$45*IN_rooms!T$46*IN_rooms!T$48)</f>
        <v>0</v>
      </c>
      <c r="P66" s="70">
        <f>IF(AND(IN_rooms!U$45="",IN_rooms!U$46=""),0,IN_rooms!U$45*IN_rooms!U$46*IN_rooms!U$48)</f>
        <v>0</v>
      </c>
      <c r="Q66" s="70">
        <f>IF(AND(IN_rooms!V$45="",IN_rooms!V$46=""),0,IN_rooms!V$45*IN_rooms!V$46*IN_rooms!V$48)</f>
        <v>0</v>
      </c>
      <c r="R66" s="70">
        <f>IF(AND(IN_rooms!W$45="",IN_rooms!W$46=""),0,IN_rooms!W$45*IN_rooms!W$46*IN_rooms!W$48)</f>
        <v>0</v>
      </c>
      <c r="S66" s="70">
        <f>IF(AND(IN_rooms!X$45="",IN_rooms!X$46=""),0,IN_rooms!X$45*IN_rooms!X$46*IN_rooms!X$48)</f>
        <v>0</v>
      </c>
      <c r="T66" s="70">
        <f>IF(AND(IN_rooms!Y$45="",IN_rooms!Y$46=""),0,IN_rooms!Y$45*IN_rooms!Y$46*IN_rooms!Y$48)</f>
        <v>0</v>
      </c>
      <c r="U66" s="70">
        <f>IF(AND(IN_rooms!Z$45="",IN_rooms!Z$46=""),0,IN_rooms!Z$45*IN_rooms!Z$46*IN_rooms!Z$48)</f>
        <v>0</v>
      </c>
      <c r="V66" s="70">
        <f>IF(AND(IN_rooms!AA$45="",IN_rooms!AA$46=""),0,IN_rooms!AA$45*IN_rooms!AA$46*IN_rooms!AA$48)</f>
        <v>0</v>
      </c>
      <c r="W66" s="70">
        <f>IF(AND(IN_rooms!AB$45="",IN_rooms!AB$46=""),0,IN_rooms!AB$45*IN_rooms!AB$46*IN_rooms!AB$48)</f>
        <v>0</v>
      </c>
      <c r="X66" s="70">
        <f>IF(AND(IN_rooms!AC$45="",IN_rooms!AC$46=""),0,IN_rooms!AC$45*IN_rooms!AC$46*IN_rooms!AC$48)</f>
        <v>0</v>
      </c>
      <c r="Y66" s="70">
        <f>IF(AND(IN_rooms!AD$45="",IN_rooms!AD$46=""),0,IN_rooms!AD$45*IN_rooms!AD$46*IN_rooms!AD$48)</f>
        <v>0</v>
      </c>
      <c r="Z66" s="70">
        <f>IF(AND(IN_rooms!AE$45="",IN_rooms!AE$46=""),0,IN_rooms!AE$45*IN_rooms!AE$46*IN_rooms!AE$48)</f>
        <v>0</v>
      </c>
      <c r="AA66" s="70">
        <f>IF(AND(IN_rooms!AF$45="",IN_rooms!AF$46=""),0,IN_rooms!AF$45*IN_rooms!AF$46*IN_rooms!AF$48)</f>
        <v>0</v>
      </c>
    </row>
    <row r="67" spans="1:27" ht="15.75" thickBot="1" x14ac:dyDescent="0.3">
      <c r="A67" t="s">
        <v>526</v>
      </c>
      <c r="B67" t="s">
        <v>678</v>
      </c>
      <c r="D67" t="s">
        <v>192</v>
      </c>
      <c r="E67" t="s">
        <v>400</v>
      </c>
      <c r="F67" t="s">
        <v>748</v>
      </c>
      <c r="G67" t="s">
        <v>680</v>
      </c>
      <c r="M67" s="302" cm="1">
        <f t="array" ref="M67">_xlfn.AGGREGATE(15,6,IWU[U-Wert]/((IWU[Bauteil]=clc_load!$A67)*(IWU[Baujahr]=clc_load!$M$4)*(IWU[Gebäudetyp]=clc_load!$M$3)),1)</f>
        <v>4.3</v>
      </c>
      <c r="N67" s="66" cm="1">
        <f t="array" ref="N67">_xlfn.AGGREGATE(15,6,IWU[U-Wert]/((IWU[Bauteil]=clc_load!$A67)*(IWU[Baujahr]=clc_load!$M$4)*(IWU[Gebäudetyp]=clc_load!$M$3)),1)</f>
        <v>4.3</v>
      </c>
      <c r="O67" s="66" cm="1">
        <f t="array" ref="O67">_xlfn.AGGREGATE(15,6,IWU[U-Wert]/((IWU[Bauteil]=clc_load!$A67)*(IWU[Baujahr]=clc_load!$M$4)*(IWU[Gebäudetyp]=clc_load!$M$3)),1)</f>
        <v>4.3</v>
      </c>
      <c r="P67" s="66" cm="1">
        <f t="array" ref="P67">_xlfn.AGGREGATE(15,6,IWU[U-Wert]/((IWU[Bauteil]=clc_load!$A67)*(IWU[Baujahr]=clc_load!$M$4)*(IWU[Gebäudetyp]=clc_load!$M$3)),1)</f>
        <v>4.3</v>
      </c>
      <c r="Q67" s="66" cm="1">
        <f t="array" ref="Q67">_xlfn.AGGREGATE(15,6,IWU[U-Wert]/((IWU[Bauteil]=clc_load!$A67)*(IWU[Baujahr]=clc_load!$M$4)*(IWU[Gebäudetyp]=clc_load!$M$3)),1)</f>
        <v>4.3</v>
      </c>
      <c r="R67" s="66" cm="1">
        <f t="array" ref="R67">_xlfn.AGGREGATE(15,6,IWU[U-Wert]/((IWU[Bauteil]=clc_load!$A67)*(IWU[Baujahr]=clc_load!$M$4)*(IWU[Gebäudetyp]=clc_load!$M$3)),1)</f>
        <v>4.3</v>
      </c>
      <c r="S67" s="66" cm="1">
        <f t="array" ref="S67">_xlfn.AGGREGATE(15,6,IWU[U-Wert]/((IWU[Bauteil]=clc_load!$A67)*(IWU[Baujahr]=clc_load!$M$4)*(IWU[Gebäudetyp]=clc_load!$M$3)),1)</f>
        <v>4.3</v>
      </c>
      <c r="T67" s="66" cm="1">
        <f t="array" ref="T67">_xlfn.AGGREGATE(15,6,IWU[U-Wert]/((IWU[Bauteil]=clc_load!$A67)*(IWU[Baujahr]=clc_load!$M$4)*(IWU[Gebäudetyp]=clc_load!$M$3)),1)</f>
        <v>4.3</v>
      </c>
      <c r="U67" s="66" cm="1">
        <f t="array" ref="U67">_xlfn.AGGREGATE(15,6,IWU[U-Wert]/((IWU[Bauteil]=clc_load!$A67)*(IWU[Baujahr]=clc_load!$M$4)*(IWU[Gebäudetyp]=clc_load!$M$3)),1)</f>
        <v>4.3</v>
      </c>
      <c r="V67" s="66" cm="1">
        <f t="array" ref="V67">_xlfn.AGGREGATE(15,6,IWU[U-Wert]/((IWU[Bauteil]=clc_load!$A67)*(IWU[Baujahr]=clc_load!$M$4)*(IWU[Gebäudetyp]=clc_load!$M$3)),1)</f>
        <v>4.3</v>
      </c>
      <c r="W67" s="66" cm="1">
        <f t="array" ref="W67">_xlfn.AGGREGATE(15,6,IWU[U-Wert]/((IWU[Bauteil]=clc_load!$A67)*(IWU[Baujahr]=clc_load!$M$4)*(IWU[Gebäudetyp]=clc_load!$M$3)),1)</f>
        <v>4.3</v>
      </c>
      <c r="X67" s="66" cm="1">
        <f t="array" ref="X67">_xlfn.AGGREGATE(15,6,IWU[U-Wert]/((IWU[Bauteil]=clc_load!$A67)*(IWU[Baujahr]=clc_load!$M$4)*(IWU[Gebäudetyp]=clc_load!$M$3)),1)</f>
        <v>4.3</v>
      </c>
      <c r="Y67" s="66" cm="1">
        <f t="array" ref="Y67">_xlfn.AGGREGATE(15,6,IWU[U-Wert]/((IWU[Bauteil]=clc_load!$A67)*(IWU[Baujahr]=clc_load!$M$4)*(IWU[Gebäudetyp]=clc_load!$M$3)),1)</f>
        <v>4.3</v>
      </c>
      <c r="Z67" s="66" cm="1">
        <f t="array" ref="Z67">_xlfn.AGGREGATE(15,6,IWU[U-Wert]/((IWU[Bauteil]=clc_load!$A67)*(IWU[Baujahr]=clc_load!$M$4)*(IWU[Gebäudetyp]=clc_load!$M$3)),1)</f>
        <v>4.3</v>
      </c>
      <c r="AA67" s="66" cm="1">
        <f t="array" ref="AA67">_xlfn.AGGREGATE(15,6,IWU[U-Wert]/((IWU[Bauteil]=clc_load!$A67)*(IWU[Baujahr]=clc_load!$M$4)*(IWU[Gebäudetyp]=clc_load!$M$3)),1)</f>
        <v>4.3</v>
      </c>
    </row>
    <row r="68" spans="1:27" ht="15.75" thickBot="1" x14ac:dyDescent="0.3">
      <c r="A68" t="s">
        <v>526</v>
      </c>
      <c r="B68" t="s">
        <v>723</v>
      </c>
      <c r="D68" t="s">
        <v>192</v>
      </c>
      <c r="E68" t="s">
        <v>400</v>
      </c>
      <c r="F68" t="s">
        <v>749</v>
      </c>
      <c r="G68" t="s">
        <v>680</v>
      </c>
      <c r="M68" s="302" cm="1">
        <f t="array" ref="M68">IF(M$66=0,0,_xlfn.AGGREGATE(15,6,IWU[U-Wert]/((IWU[Bauteil]=clc_load!$A68)*(clc_load!$M$3=IWU[Gebäudetyp])*(IWU[Baujahr]=IN_build!$S$8)),1))</f>
        <v>0</v>
      </c>
      <c r="N68" s="66" cm="1">
        <f t="array" ref="N68">IF(N$66=0,0,_xlfn.AGGREGATE(15,6,IWU[U-Wert]/((IWU[Bauteil]=clc_load!$A68)*(clc_load!$M$3=IWU[Gebäudetyp])*(IWU[Baujahr]=IN_build!$S$8)),1))</f>
        <v>0</v>
      </c>
      <c r="O68" s="66" cm="1">
        <f t="array" ref="O68">IF(O$66=0,0,_xlfn.AGGREGATE(15,6,IWU[U-Wert]/((IWU[Bauteil]=clc_load!$A68)*(clc_load!$M$3=IWU[Gebäudetyp])*(IWU[Baujahr]=IN_build!$S$8)),1))</f>
        <v>0</v>
      </c>
      <c r="P68" s="66" cm="1">
        <f t="array" ref="P68">IF(P$66=0,0,_xlfn.AGGREGATE(15,6,IWU[U-Wert]/((IWU[Bauteil]=clc_load!$A68)*(clc_load!$M$3=IWU[Gebäudetyp])*(IWU[Baujahr]=IN_build!$S$8)),1))</f>
        <v>0</v>
      </c>
      <c r="Q68" s="66" cm="1">
        <f t="array" ref="Q68">IF(Q$66=0,0,_xlfn.AGGREGATE(15,6,IWU[U-Wert]/((IWU[Bauteil]=clc_load!$A68)*(clc_load!$M$3=IWU[Gebäudetyp])*(IWU[Baujahr]=IN_build!$S$8)),1))</f>
        <v>0</v>
      </c>
      <c r="R68" s="66" cm="1">
        <f t="array" ref="R68">IF(R$66=0,0,_xlfn.AGGREGATE(15,6,IWU[U-Wert]/((IWU[Bauteil]=clc_load!$A68)*(clc_load!$M$3=IWU[Gebäudetyp])*(IWU[Baujahr]=IN_build!$S$8)),1))</f>
        <v>0</v>
      </c>
      <c r="S68" s="66" cm="1">
        <f t="array" ref="S68">IF(S$66=0,0,_xlfn.AGGREGATE(15,6,IWU[U-Wert]/((IWU[Bauteil]=clc_load!$A68)*(clc_load!$M$3=IWU[Gebäudetyp])*(IWU[Baujahr]=IN_build!$S$8)),1))</f>
        <v>0</v>
      </c>
      <c r="T68" s="66" cm="1">
        <f t="array" ref="T68">IF(T$66=0,0,_xlfn.AGGREGATE(15,6,IWU[U-Wert]/((IWU[Bauteil]=clc_load!$A68)*(clc_load!$M$3=IWU[Gebäudetyp])*(IWU[Baujahr]=IN_build!$S$8)),1))</f>
        <v>0</v>
      </c>
      <c r="U68" s="66" cm="1">
        <f t="array" ref="U68">IF(U$66=0,0,_xlfn.AGGREGATE(15,6,IWU[U-Wert]/((IWU[Bauteil]=clc_load!$A68)*(clc_load!$M$3=IWU[Gebäudetyp])*(IWU[Baujahr]=IN_build!$S$8)),1))</f>
        <v>0</v>
      </c>
      <c r="V68" s="66" cm="1">
        <f t="array" ref="V68">IF(V$66=0,0,_xlfn.AGGREGATE(15,6,IWU[U-Wert]/((IWU[Bauteil]=clc_load!$A68)*(clc_load!$M$3=IWU[Gebäudetyp])*(IWU[Baujahr]=IN_build!$S$8)),1))</f>
        <v>0</v>
      </c>
      <c r="W68" s="66" cm="1">
        <f t="array" ref="W68">IF(W$66=0,0,_xlfn.AGGREGATE(15,6,IWU[U-Wert]/((IWU[Bauteil]=clc_load!$A68)*(clc_load!$M$3=IWU[Gebäudetyp])*(IWU[Baujahr]=IN_build!$S$8)),1))</f>
        <v>0</v>
      </c>
      <c r="X68" s="66" cm="1">
        <f t="array" ref="X68">IF(X$66=0,0,_xlfn.AGGREGATE(15,6,IWU[U-Wert]/((IWU[Bauteil]=clc_load!$A68)*(clc_load!$M$3=IWU[Gebäudetyp])*(IWU[Baujahr]=IN_build!$S$8)),1))</f>
        <v>0</v>
      </c>
      <c r="Y68" s="66" cm="1">
        <f t="array" ref="Y68">IF(Y$66=0,0,_xlfn.AGGREGATE(15,6,IWU[U-Wert]/((IWU[Bauteil]=clc_load!$A68)*(clc_load!$M$3=IWU[Gebäudetyp])*(IWU[Baujahr]=IN_build!$S$8)),1))</f>
        <v>0</v>
      </c>
      <c r="Z68" s="66" cm="1">
        <f t="array" ref="Z68">IF(Z$66=0,0,_xlfn.AGGREGATE(15,6,IWU[U-Wert]/((IWU[Bauteil]=clc_load!$A68)*(clc_load!$M$3=IWU[Gebäudetyp])*(IWU[Baujahr]=IN_build!$S$8)),1))</f>
        <v>0</v>
      </c>
      <c r="AA68" s="66" cm="1">
        <f t="array" ref="AA68">IF(AA$66=0,0,_xlfn.AGGREGATE(15,6,IWU[U-Wert]/((IWU[Bauteil]=clc_load!$A68)*(clc_load!$M$3=IWU[Gebäudetyp])*(IWU[Baujahr]=IN_build!$S$8)),1))</f>
        <v>0</v>
      </c>
    </row>
    <row r="69" spans="1:27" ht="15.75" thickBot="1" x14ac:dyDescent="0.3">
      <c r="A69" t="s">
        <v>526</v>
      </c>
      <c r="B69" t="s">
        <v>681</v>
      </c>
      <c r="D69" t="s">
        <v>192</v>
      </c>
      <c r="E69" t="s">
        <v>400</v>
      </c>
      <c r="F69" t="s">
        <v>750</v>
      </c>
      <c r="G69" t="s">
        <v>680</v>
      </c>
      <c r="M69" s="302">
        <f>IF(M$68&gt;0,M$68,MIN(M$68,M$67))</f>
        <v>0</v>
      </c>
      <c r="N69" s="66">
        <f t="shared" ref="N69:AA69" si="5">IF(N$68&gt;0,N$68,MIN(N$68,N$67))</f>
        <v>0</v>
      </c>
      <c r="O69" s="66">
        <f t="shared" si="5"/>
        <v>0</v>
      </c>
      <c r="P69" s="66">
        <f t="shared" si="5"/>
        <v>0</v>
      </c>
      <c r="Q69" s="66">
        <f t="shared" si="5"/>
        <v>0</v>
      </c>
      <c r="R69" s="66">
        <f t="shared" si="5"/>
        <v>0</v>
      </c>
      <c r="S69" s="66">
        <f t="shared" si="5"/>
        <v>0</v>
      </c>
      <c r="T69" s="66">
        <f t="shared" si="5"/>
        <v>0</v>
      </c>
      <c r="U69" s="66">
        <f t="shared" si="5"/>
        <v>0</v>
      </c>
      <c r="V69" s="66">
        <f t="shared" si="5"/>
        <v>0</v>
      </c>
      <c r="W69" s="66">
        <f t="shared" si="5"/>
        <v>0</v>
      </c>
      <c r="X69" s="66">
        <f t="shared" si="5"/>
        <v>0</v>
      </c>
      <c r="Y69" s="66">
        <f t="shared" si="5"/>
        <v>0</v>
      </c>
      <c r="Z69" s="66">
        <f t="shared" si="5"/>
        <v>0</v>
      </c>
      <c r="AA69" s="66">
        <f t="shared" si="5"/>
        <v>0</v>
      </c>
    </row>
    <row r="70" spans="1:27" ht="15.75" thickBot="1" x14ac:dyDescent="0.3">
      <c r="A70" t="s">
        <v>526</v>
      </c>
      <c r="B70" t="s">
        <v>683</v>
      </c>
      <c r="D70" t="s">
        <v>192</v>
      </c>
      <c r="E70" t="s">
        <v>400</v>
      </c>
      <c r="F70" t="s">
        <v>751</v>
      </c>
      <c r="G70" t="s">
        <v>112</v>
      </c>
      <c r="M70" s="299">
        <f>IF(M$66="entfällt",0,M$66/10000*(M$69+M$8)*(M$10-Normaußentemperatur_12831!$B$6))</f>
        <v>0</v>
      </c>
      <c r="N70" s="68">
        <f>IF(N$66="entfällt",0,N$66/10000*(N$69+N$8)*(N$10-Normaußentemperatur_12831!$B$6))</f>
        <v>0</v>
      </c>
      <c r="O70" s="68">
        <f>IF(O$66="entfällt",0,O$66/10000*(O$69+O$8)*(O$10-Normaußentemperatur_12831!$B$6))</f>
        <v>0</v>
      </c>
      <c r="P70" s="68">
        <f>IF(P$66="entfällt",0,P$66/10000*(P$69+P$8)*(P$10-Normaußentemperatur_12831!$B$6))</f>
        <v>0</v>
      </c>
      <c r="Q70" s="68">
        <f>IF(Q$66="entfällt",0,Q$66/10000*(Q$69+Q$8)*(Q$10-Normaußentemperatur_12831!$B$6))</f>
        <v>0</v>
      </c>
      <c r="R70" s="68">
        <f>IF(R$66="entfällt",0,R$66/10000*(R$69+R$8)*(R$10-Normaußentemperatur_12831!$B$6))</f>
        <v>0</v>
      </c>
      <c r="S70" s="68">
        <f>IF(S$66="entfällt",0,S$66/10000*(S$69+S$8)*(S$10-Normaußentemperatur_12831!$B$6))</f>
        <v>0</v>
      </c>
      <c r="T70" s="68">
        <f>IF(T$66="entfällt",0,T$66/10000*(T$69+T$8)*(T$10-Normaußentemperatur_12831!$B$6))</f>
        <v>0</v>
      </c>
      <c r="U70" s="68">
        <f>IF(U$66="entfällt",0,U$66/10000*(U$69+U$8)*(U$10-Normaußentemperatur_12831!$B$6))</f>
        <v>0</v>
      </c>
      <c r="V70" s="68">
        <f>IF(V$66="entfällt",0,V$66/10000*(V$69+V$8)*(V$10-Normaußentemperatur_12831!$B$6))</f>
        <v>0</v>
      </c>
      <c r="W70" s="68">
        <f>IF(W$66="entfällt",0,W$66/10000*(W$69+W$8)*(W$10-Normaußentemperatur_12831!$B$6))</f>
        <v>0</v>
      </c>
      <c r="X70" s="68">
        <f>IF(X$66="entfällt",0,X$66/10000*(X$69+X$8)*(X$10-Normaußentemperatur_12831!$B$6))</f>
        <v>0</v>
      </c>
      <c r="Y70" s="68">
        <f>IF(Y$66="entfällt",0,Y$66/10000*(Y$69+Y$8)*(Y$10-Normaußentemperatur_12831!$B$6))</f>
        <v>0</v>
      </c>
      <c r="Z70" s="68">
        <f>IF(Z$66="entfällt",0,Z$66/10000*(Z$69+Z$8)*(Z$10-Normaußentemperatur_12831!$B$6))</f>
        <v>0</v>
      </c>
      <c r="AA70" s="68">
        <f>IF(AA$66="entfällt",0,AA$66/10000*(AA$69+AA$8)*(AA$10-Normaußentemperatur_12831!$B$6))</f>
        <v>0</v>
      </c>
    </row>
    <row r="71" spans="1:27" ht="15.75" thickBot="1" x14ac:dyDescent="0.3">
      <c r="A71" t="s">
        <v>526</v>
      </c>
      <c r="B71" t="s">
        <v>673</v>
      </c>
      <c r="D71" t="s">
        <v>192</v>
      </c>
      <c r="E71" t="s">
        <v>400</v>
      </c>
      <c r="F71" t="s">
        <v>752</v>
      </c>
      <c r="G71" t="s">
        <v>111</v>
      </c>
      <c r="M71" s="303">
        <f>M70/M$72</f>
        <v>0</v>
      </c>
      <c r="N71" s="137">
        <f>N70/N$72</f>
        <v>0</v>
      </c>
      <c r="O71" s="137">
        <f>O70/O$72</f>
        <v>0</v>
      </c>
      <c r="P71" s="137">
        <f>P70/P$72</f>
        <v>0</v>
      </c>
      <c r="Q71" s="137">
        <f>Q70/Q$72</f>
        <v>0</v>
      </c>
      <c r="R71" s="137">
        <f>R70/R$72</f>
        <v>0</v>
      </c>
      <c r="S71" s="137">
        <f>S70/S$72</f>
        <v>0</v>
      </c>
      <c r="T71" s="137">
        <f>T70/T$72</f>
        <v>0</v>
      </c>
      <c r="U71" s="137">
        <f>U70/U$72</f>
        <v>0</v>
      </c>
      <c r="V71" s="137">
        <f>V70/V$72</f>
        <v>0</v>
      </c>
      <c r="W71" s="137">
        <f>W70/W$72</f>
        <v>0</v>
      </c>
      <c r="X71" s="137">
        <f>X70/X$72</f>
        <v>0</v>
      </c>
      <c r="Y71" s="137">
        <f>Y70/Y$72</f>
        <v>0</v>
      </c>
      <c r="Z71" s="137">
        <f>Z70/Z$72</f>
        <v>0</v>
      </c>
      <c r="AA71" s="137">
        <f>AA70/AA$72</f>
        <v>0</v>
      </c>
    </row>
    <row r="72" spans="1:27" ht="15.75" thickBot="1" x14ac:dyDescent="0.3">
      <c r="A72" t="s">
        <v>753</v>
      </c>
      <c r="F72" t="s">
        <v>754</v>
      </c>
      <c r="M72" s="306">
        <f>SUMIF($B$3:$B$71,$B$17,M3:M71)+M12</f>
        <v>819.35420937513652</v>
      </c>
      <c r="N72" s="69">
        <f>SUMIF($B$3:$B$71,$B$17,N3:N71)+N12</f>
        <v>829.57500000000005</v>
      </c>
      <c r="O72" s="69">
        <f>SUMIF($B$3:$B$71,$B$17,O3:O71)+O12</f>
        <v>855.97500000000014</v>
      </c>
      <c r="P72" s="69">
        <f>SUMIF($B$3:$B$71,$B$17,P3:P71)+P12</f>
        <v>882.375</v>
      </c>
      <c r="Q72" s="69">
        <f>SUMIF($B$3:$B$71,$B$17,Q3:Q71)+Q12</f>
        <v>908.77500000000009</v>
      </c>
      <c r="R72" s="69">
        <f>SUMIF($B$3:$B$71,$B$17,R3:R71)+R12</f>
        <v>935.17499999999995</v>
      </c>
      <c r="S72" s="69">
        <f>SUMIF($B$3:$B$71,$B$17,S3:S71)+S12</f>
        <v>961.57500000000005</v>
      </c>
      <c r="T72" s="69">
        <f>SUMIF($B$3:$B$71,$B$17,T3:T71)+T12</f>
        <v>987.97500000000014</v>
      </c>
      <c r="U72" s="69">
        <f>SUMIF($B$3:$B$71,$B$17,U3:U71)+U12</f>
        <v>1014.375</v>
      </c>
      <c r="V72" s="69">
        <f>SUMIF($B$3:$B$71,$B$17,V3:V71)+V12</f>
        <v>1040.7750000000001</v>
      </c>
      <c r="W72" s="69">
        <f>SUMIF($B$3:$B$71,$B$17,W3:W71)+W12</f>
        <v>1067.175</v>
      </c>
      <c r="X72" s="69">
        <f>SUMIF($B$3:$B$71,$B$17,X3:X71)+X12</f>
        <v>1093.575</v>
      </c>
      <c r="Y72" s="69">
        <f>SUMIF($B$3:$B$71,$B$17,Y3:Y71)+Y12</f>
        <v>1119.9750000000001</v>
      </c>
      <c r="Z72" s="69">
        <f>SUMIF($B$3:$B$71,$B$17,Z3:Z71)+Z12</f>
        <v>1146.375</v>
      </c>
      <c r="AA72" s="69">
        <f>SUMIF($B$3:$B$71,$B$17,AA3:AA71)+AA12</f>
        <v>1172.7750000000001</v>
      </c>
    </row>
    <row r="73" spans="1:27" ht="15.75" thickBot="1" x14ac:dyDescent="0.3">
      <c r="A73" t="s">
        <v>755</v>
      </c>
      <c r="F73" t="s">
        <v>756</v>
      </c>
      <c r="M73" s="306">
        <f>M$72/IN_rooms!R$4</f>
        <v>40.967710468756827</v>
      </c>
      <c r="N73" s="69">
        <f>N$72/IN_rooms!S$4</f>
        <v>39.503571428571433</v>
      </c>
      <c r="O73" s="69">
        <f>O$72/IN_rooms!T$4</f>
        <v>38.907954545454551</v>
      </c>
      <c r="P73" s="69">
        <f>P$72/IN_rooms!U$4</f>
        <v>38.364130434782609</v>
      </c>
      <c r="Q73" s="69">
        <f>Q$72/IN_rooms!V$4</f>
        <v>37.865625000000001</v>
      </c>
      <c r="R73" s="69">
        <f>R$72/IN_rooms!W$4</f>
        <v>37.406999999999996</v>
      </c>
      <c r="S73" s="69">
        <f>S$72/IN_rooms!X$4</f>
        <v>36.98365384615385</v>
      </c>
      <c r="T73" s="69">
        <f>T$72/IN_rooms!Y$4</f>
        <v>36.591666666666669</v>
      </c>
      <c r="U73" s="69">
        <f>U$72/IN_rooms!Z$4</f>
        <v>36.227678571428569</v>
      </c>
      <c r="V73" s="69">
        <f>V$72/IN_rooms!AA$4</f>
        <v>35.888793103448279</v>
      </c>
      <c r="W73" s="69">
        <f>W$72/IN_rooms!AB$4</f>
        <v>35.572499999999998</v>
      </c>
      <c r="X73" s="69">
        <f>X$72/IN_rooms!AC$4</f>
        <v>35.276612903225811</v>
      </c>
      <c r="Y73" s="69">
        <f>Y$72/IN_rooms!AD$4</f>
        <v>34.999218750000004</v>
      </c>
      <c r="Z73" s="69">
        <f>Z$72/IN_rooms!AE$4</f>
        <v>34.738636363636367</v>
      </c>
      <c r="AA73" s="69">
        <f>AA$72/IN_rooms!AF$4</f>
        <v>34.493382352941182</v>
      </c>
    </row>
    <row r="74" spans="1:27" ht="15.75" thickBot="1" x14ac:dyDescent="0.3">
      <c r="A74" t="s">
        <v>757</v>
      </c>
      <c r="F74" t="s">
        <v>758</v>
      </c>
      <c r="M74" s="306" cm="1">
        <f t="array" ref="M74">_xlfn.IFS(M$73&lt;Daten!$E$112,clc_load!M$72*(1-Daten!$F$112),AND(clc_load!M$73&gt;=Daten!$E$112,clc_load!M$73&lt;Daten!$E$113),clc_load!M$72*(1-Daten!$F$113),AND(clc_load!M$73&gt;=Daten!$E$113,clc_load!M$73&lt;Daten!$E$114),clc_load!M$72*(1-Daten!$F$114),M$73&gt;=Daten!$E$114,clc_load!M$72)</f>
        <v>573.54794656259548</v>
      </c>
      <c r="N74" s="69" cm="1">
        <f t="array" ref="N74">_xlfn.IFS(N$73&lt;Daten!$E$112,clc_load!N$72*(1-Daten!$F$112),AND(clc_load!N$73&gt;=Daten!$E$112,clc_load!N$73&lt;Daten!$E$113),clc_load!N$72*(1-Daten!$F$113),AND(clc_load!N$73&gt;=Daten!$E$113,clc_load!N$73&lt;Daten!$E$114),clc_load!N$72*(1-Daten!$F$114),N$73&gt;=Daten!$E$114,clc_load!N$72)</f>
        <v>580.70249999999999</v>
      </c>
      <c r="O74" s="69" cm="1">
        <f t="array" ref="O74">_xlfn.IFS(O$73&lt;Daten!$E$112,clc_load!O$72*(1-Daten!$F$112),AND(clc_load!O$73&gt;=Daten!$E$112,clc_load!O$73&lt;Daten!$E$113),clc_load!O$72*(1-Daten!$F$113),AND(clc_load!O$73&gt;=Daten!$E$113,clc_load!O$73&lt;Daten!$E$114),clc_load!O$72*(1-Daten!$F$114),O$73&gt;=Daten!$E$114,clc_load!O$72)</f>
        <v>599.1825</v>
      </c>
      <c r="P74" s="69" cm="1">
        <f t="array" ref="P74">_xlfn.IFS(P$73&lt;Daten!$E$112,clc_load!P$72*(1-Daten!$F$112),AND(clc_load!P$73&gt;=Daten!$E$112,clc_load!P$73&lt;Daten!$E$113),clc_load!P$72*(1-Daten!$F$113),AND(clc_load!P$73&gt;=Daten!$E$113,clc_load!P$73&lt;Daten!$E$114),clc_load!P$72*(1-Daten!$F$114),P$73&gt;=Daten!$E$114,clc_load!P$72)</f>
        <v>617.66249999999991</v>
      </c>
      <c r="Q74" s="69" cm="1">
        <f t="array" ref="Q74">_xlfn.IFS(Q$73&lt;Daten!$E$112,clc_load!Q$72*(1-Daten!$F$112),AND(clc_load!Q$73&gt;=Daten!$E$112,clc_load!Q$73&lt;Daten!$E$113),clc_load!Q$72*(1-Daten!$F$113),AND(clc_load!Q$73&gt;=Daten!$E$113,clc_load!Q$73&lt;Daten!$E$114),clc_load!Q$72*(1-Daten!$F$114),Q$73&gt;=Daten!$E$114,clc_load!Q$72)</f>
        <v>636.14250000000004</v>
      </c>
      <c r="R74" s="69" cm="1">
        <f t="array" ref="R74">_xlfn.IFS(R$73&lt;Daten!$E$112,clc_load!R$72*(1-Daten!$F$112),AND(clc_load!R$73&gt;=Daten!$E$112,clc_load!R$73&lt;Daten!$E$113),clc_load!R$72*(1-Daten!$F$113),AND(clc_load!R$73&gt;=Daten!$E$113,clc_load!R$73&lt;Daten!$E$114),clc_load!R$72*(1-Daten!$F$114),R$73&gt;=Daten!$E$114,clc_load!R$72)</f>
        <v>654.62249999999995</v>
      </c>
      <c r="S74" s="69" cm="1">
        <f t="array" ref="S74">_xlfn.IFS(S$73&lt;Daten!$E$112,clc_load!S$72*(1-Daten!$F$112),AND(clc_load!S$73&gt;=Daten!$E$112,clc_load!S$73&lt;Daten!$E$113),clc_load!S$72*(1-Daten!$F$113),AND(clc_load!S$73&gt;=Daten!$E$113,clc_load!S$73&lt;Daten!$E$114),clc_load!S$72*(1-Daten!$F$114),S$73&gt;=Daten!$E$114,clc_load!S$72)</f>
        <v>673.10249999999996</v>
      </c>
      <c r="T74" s="69" cm="1">
        <f t="array" ref="T74">_xlfn.IFS(T$73&lt;Daten!$E$112,clc_load!T$72*(1-Daten!$F$112),AND(clc_load!T$73&gt;=Daten!$E$112,clc_load!T$73&lt;Daten!$E$113),clc_load!T$72*(1-Daten!$F$113),AND(clc_load!T$73&gt;=Daten!$E$113,clc_load!T$73&lt;Daten!$E$114),clc_load!T$72*(1-Daten!$F$114),T$73&gt;=Daten!$E$114,clc_load!T$72)</f>
        <v>691.5825000000001</v>
      </c>
      <c r="U74" s="69" cm="1">
        <f t="array" ref="U74">_xlfn.IFS(U$73&lt;Daten!$E$112,clc_load!U$72*(1-Daten!$F$112),AND(clc_load!U$73&gt;=Daten!$E$112,clc_load!U$73&lt;Daten!$E$113),clc_load!U$72*(1-Daten!$F$113),AND(clc_load!U$73&gt;=Daten!$E$113,clc_load!U$73&lt;Daten!$E$114),clc_load!U$72*(1-Daten!$F$114),U$73&gt;=Daten!$E$114,clc_load!U$72)</f>
        <v>710.0625</v>
      </c>
      <c r="V74" s="69" cm="1">
        <f t="array" ref="V74">_xlfn.IFS(V$73&lt;Daten!$E$112,clc_load!V$72*(1-Daten!$F$112),AND(clc_load!V$73&gt;=Daten!$E$112,clc_load!V$73&lt;Daten!$E$113),clc_load!V$72*(1-Daten!$F$113),AND(clc_load!V$73&gt;=Daten!$E$113,clc_load!V$73&lt;Daten!$E$114),clc_load!V$72*(1-Daten!$F$114),V$73&gt;=Daten!$E$114,clc_load!V$72)</f>
        <v>728.54250000000002</v>
      </c>
      <c r="W74" s="69" cm="1">
        <f t="array" ref="W74">_xlfn.IFS(W$73&lt;Daten!$E$112,clc_load!W$72*(1-Daten!$F$112),AND(clc_load!W$73&gt;=Daten!$E$112,clc_load!W$73&lt;Daten!$E$113),clc_load!W$72*(1-Daten!$F$113),AND(clc_load!W$73&gt;=Daten!$E$113,clc_load!W$73&lt;Daten!$E$114),clc_load!W$72*(1-Daten!$F$114),W$73&gt;=Daten!$E$114,clc_load!W$72)</f>
        <v>747.02249999999992</v>
      </c>
      <c r="X74" s="69" cm="1">
        <f t="array" ref="X74">_xlfn.IFS(X$73&lt;Daten!$E$112,clc_load!X$72*(1-Daten!$F$112),AND(clc_load!X$73&gt;=Daten!$E$112,clc_load!X$73&lt;Daten!$E$113),clc_load!X$72*(1-Daten!$F$113),AND(clc_load!X$73&gt;=Daten!$E$113,clc_load!X$73&lt;Daten!$E$114),clc_load!X$72*(1-Daten!$F$114),X$73&gt;=Daten!$E$114,clc_load!X$72)</f>
        <v>765.50249999999994</v>
      </c>
      <c r="Y74" s="69" cm="1">
        <f t="array" ref="Y74">_xlfn.IFS(Y$73&lt;Daten!$E$112,clc_load!Y$72*(1-Daten!$F$112),AND(clc_load!Y$73&gt;=Daten!$E$112,clc_load!Y$73&lt;Daten!$E$113),clc_load!Y$72*(1-Daten!$F$113),AND(clc_load!Y$73&gt;=Daten!$E$113,clc_load!Y$73&lt;Daten!$E$114),clc_load!Y$72*(1-Daten!$F$114),Y$73&gt;=Daten!$E$114,clc_load!Y$72)</f>
        <v>783.98250000000007</v>
      </c>
      <c r="Z74" s="69" cm="1">
        <f t="array" ref="Z74">_xlfn.IFS(Z$73&lt;Daten!$E$112,clc_load!Z$72*(1-Daten!$F$112),AND(clc_load!Z$73&gt;=Daten!$E$112,clc_load!Z$73&lt;Daten!$E$113),clc_load!Z$72*(1-Daten!$F$113),AND(clc_load!Z$73&gt;=Daten!$E$113,clc_load!Z$73&lt;Daten!$E$114),clc_load!Z$72*(1-Daten!$F$114),Z$73&gt;=Daten!$E$114,clc_load!Z$72)</f>
        <v>802.46249999999998</v>
      </c>
      <c r="AA74" s="69" cm="1">
        <f t="array" ref="AA74">_xlfn.IFS(AA$73&lt;Daten!$E$112,clc_load!AA$72*(1-Daten!$F$112),AND(clc_load!AA$73&gt;=Daten!$E$112,clc_load!AA$73&lt;Daten!$E$113),clc_load!AA$72*(1-Daten!$F$113),AND(clc_load!AA$73&gt;=Daten!$E$113,clc_load!AA$73&lt;Daten!$E$114),clc_load!AA$72*(1-Daten!$F$114),AA$73&gt;=Daten!$E$114,clc_load!AA$72)</f>
        <v>820.9425</v>
      </c>
    </row>
    <row r="75" spans="1:27" ht="15.75" thickBot="1" x14ac:dyDescent="0.3">
      <c r="A75" t="s">
        <v>759</v>
      </c>
      <c r="F75" t="s">
        <v>760</v>
      </c>
      <c r="M75" s="306">
        <f>M$74/IN_rooms!R$4</f>
        <v>28.677397328129775</v>
      </c>
      <c r="N75" s="69">
        <f>N$74/IN_rooms!S$4</f>
        <v>27.6525</v>
      </c>
      <c r="O75" s="69">
        <f>O$74/IN_rooms!T$4</f>
        <v>27.235568181818181</v>
      </c>
      <c r="P75" s="69">
        <f>P$74/IN_rooms!U$4</f>
        <v>26.854891304347824</v>
      </c>
      <c r="Q75" s="69">
        <f>Q$74/IN_rooms!V$4</f>
        <v>26.505937500000002</v>
      </c>
      <c r="R75" s="69">
        <f>R$74/IN_rooms!W$4</f>
        <v>26.184899999999999</v>
      </c>
      <c r="S75" s="69">
        <f>S$74/IN_rooms!X$4</f>
        <v>25.888557692307693</v>
      </c>
      <c r="T75" s="69">
        <f>T$74/IN_rooms!Y$4</f>
        <v>25.614166666666669</v>
      </c>
      <c r="U75" s="69">
        <f>U$74/IN_rooms!Z$4</f>
        <v>25.359375</v>
      </c>
      <c r="V75" s="69">
        <f>V$74/IN_rooms!AA$4</f>
        <v>25.122155172413795</v>
      </c>
      <c r="W75" s="69">
        <f>W$74/IN_rooms!AB$4</f>
        <v>24.900749999999999</v>
      </c>
      <c r="X75" s="69">
        <f>X$74/IN_rooms!AC$4</f>
        <v>24.693629032258062</v>
      </c>
      <c r="Y75" s="69">
        <f>Y$74/IN_rooms!AD$4</f>
        <v>24.499453125000002</v>
      </c>
      <c r="Z75" s="69">
        <f>Z$74/IN_rooms!AE$4</f>
        <v>24.317045454545454</v>
      </c>
      <c r="AA75" s="69">
        <f>AA$74/IN_rooms!AF$4</f>
        <v>24.145367647058823</v>
      </c>
    </row>
    <row r="76" spans="1:27" ht="15.75" thickBot="1" x14ac:dyDescent="0.3">
      <c r="A76" t="s">
        <v>761</v>
      </c>
      <c r="F76" t="s">
        <v>762</v>
      </c>
      <c r="M76" s="307">
        <f>SUMIF($B$3:$B$71,$B$18,M$3:M$71)</f>
        <v>1</v>
      </c>
      <c r="N76" s="202">
        <f>SUMIF($B$3:$B$71,$B$18,N$3:N$71)</f>
        <v>1</v>
      </c>
      <c r="O76" s="202">
        <f>SUMIF($B$3:$B$71,$B$18,O$3:O$71)</f>
        <v>1</v>
      </c>
      <c r="P76" s="202">
        <f>SUMIF($B$3:$B$71,$B$18,P$3:P$71)</f>
        <v>1</v>
      </c>
      <c r="Q76" s="202">
        <f>SUMIF($B$3:$B$71,$B$18,Q$3:Q$71)</f>
        <v>1</v>
      </c>
      <c r="R76" s="202">
        <f>SUMIF($B$3:$B$71,$B$18,R$3:R$71)</f>
        <v>1</v>
      </c>
      <c r="S76" s="202">
        <f>SUMIF($B$3:$B$71,$B$18,S$3:S$71)</f>
        <v>1</v>
      </c>
      <c r="T76" s="202">
        <f>SUMIF($B$3:$B$71,$B$18,T$3:T$71)</f>
        <v>0.99999999999999989</v>
      </c>
      <c r="U76" s="202">
        <f>SUMIF($B$3:$B$71,$B$18,U$3:U$71)</f>
        <v>1</v>
      </c>
      <c r="V76" s="202">
        <f>SUMIF($B$3:$B$71,$B$18,V$3:V$71)</f>
        <v>1</v>
      </c>
      <c r="W76" s="202">
        <f>SUMIF($B$3:$B$71,$B$18,W$3:W$71)</f>
        <v>1</v>
      </c>
      <c r="X76" s="202">
        <f>SUMIF($B$3:$B$71,$B$18,X$3:X$71)</f>
        <v>1</v>
      </c>
      <c r="Y76" s="202">
        <f>SUMIF($B$3:$B$71,$B$18,Y$3:Y$71)</f>
        <v>1</v>
      </c>
      <c r="Z76" s="202">
        <f>SUMIF($B$3:$B$71,$B$18,Z$3:Z$71)</f>
        <v>1</v>
      </c>
      <c r="AA76" s="202">
        <f>SUMIF($B$3:$B$71,$B$18,AA$3:AA$71)</f>
        <v>1</v>
      </c>
    </row>
  </sheetData>
  <autoFilter ref="A1:U76" xr:uid="{EB4FAE0D-41F1-417C-913C-795186D59B2F}"/>
  <phoneticPr fontId="25" type="noConversion"/>
  <conditionalFormatting sqref="E60:E71 F31:F35 F26:F29 F19:F22 B1:B31 A1:A41 C1:C41 A42:C1048576 F14:F17">
    <cfRule type="expression" dxfId="49" priority="3">
      <formula>C1="x"</formula>
    </cfRule>
  </conditionalFormatting>
  <conditionalFormatting sqref="G31 E42:E59 G47">
    <cfRule type="expression" dxfId="48" priority="16">
      <formula>G31="x"</formula>
    </cfRule>
  </conditionalFormatting>
  <conditionalFormatting sqref="B37:B38">
    <cfRule type="expression" dxfId="47" priority="33">
      <formula>D32="x"</formula>
    </cfRule>
  </conditionalFormatting>
  <conditionalFormatting sqref="B39 K4:K8 B32:B36">
    <cfRule type="expression" dxfId="46" priority="1">
      <formula>#REF!="x"</formula>
    </cfRule>
  </conditionalFormatting>
  <conditionalFormatting sqref="F40">
    <cfRule type="expression" dxfId="45" priority="13">
      <formula>H40="x"</formula>
    </cfRule>
  </conditionalFormatting>
  <conditionalFormatting sqref="F42:F46">
    <cfRule type="expression" dxfId="44" priority="12">
      <formula>H42="x"</formula>
    </cfRule>
  </conditionalFormatting>
  <conditionalFormatting sqref="F48:F52">
    <cfRule type="expression" dxfId="43" priority="10">
      <formula>H48="x"</formula>
    </cfRule>
  </conditionalFormatting>
  <conditionalFormatting sqref="F54:F58">
    <cfRule type="expression" dxfId="42" priority="8">
      <formula>H54="x"</formula>
    </cfRule>
  </conditionalFormatting>
  <conditionalFormatting sqref="F60:F64 F66:F70">
    <cfRule type="expression" dxfId="41" priority="6">
      <formula>H60="x"</formula>
    </cfRule>
  </conditionalFormatting>
  <conditionalFormatting sqref="F72:F76">
    <cfRule type="expression" dxfId="40" priority="2">
      <formula>H72="x"</formula>
    </cfRule>
  </conditionalFormatting>
  <conditionalFormatting sqref="F37:G39">
    <cfRule type="expression" dxfId="39" priority="14">
      <formula>H37="x"</formula>
    </cfRule>
  </conditionalFormatting>
  <conditionalFormatting sqref="G40:G41">
    <cfRule type="expression" dxfId="38" priority="15">
      <formula>I40="x"</formula>
    </cfRule>
  </conditionalFormatting>
  <conditionalFormatting sqref="G53">
    <cfRule type="expression" dxfId="37" priority="11">
      <formula>I53="x"</formula>
    </cfRule>
  </conditionalFormatting>
  <conditionalFormatting sqref="G59">
    <cfRule type="expression" dxfId="36" priority="9">
      <formula>I59="x"</formula>
    </cfRule>
  </conditionalFormatting>
  <conditionalFormatting sqref="G65 G71">
    <cfRule type="expression" dxfId="35" priority="5">
      <formula>I65="x"</formula>
    </cfRule>
  </conditionalFormatting>
  <conditionalFormatting sqref="B40:B41">
    <cfRule type="expression" dxfId="34" priority="50">
      <formula>D35="x"</formula>
    </cfRule>
  </conditionalFormatting>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C13C-D85B-4E7C-8518-90573A3F2FC3}">
  <sheetPr>
    <tabColor theme="8"/>
  </sheetPr>
  <dimension ref="A1:X217"/>
  <sheetViews>
    <sheetView topLeftCell="A165" zoomScale="78" zoomScaleNormal="55" workbookViewId="0">
      <selection activeCell="J214" sqref="J214"/>
    </sheetView>
  </sheetViews>
  <sheetFormatPr baseColWidth="10" defaultColWidth="11.42578125" defaultRowHeight="15" x14ac:dyDescent="0.25"/>
  <cols>
    <col min="2" max="2" width="61.7109375" customWidth="1"/>
    <col min="5" max="5" width="28.42578125" bestFit="1" customWidth="1"/>
    <col min="8" max="8" width="27.42578125" customWidth="1"/>
    <col min="9" max="9" width="3.85546875" customWidth="1"/>
    <col min="10" max="10" width="51" bestFit="1" customWidth="1"/>
  </cols>
  <sheetData>
    <row r="1" spans="1:24" ht="15.75" thickBot="1" x14ac:dyDescent="0.3">
      <c r="A1" s="197" t="s">
        <v>553</v>
      </c>
      <c r="B1" s="197" t="s">
        <v>0</v>
      </c>
      <c r="C1" s="197" t="s">
        <v>286</v>
      </c>
      <c r="D1" s="197" t="s">
        <v>287</v>
      </c>
      <c r="E1" s="197" t="s">
        <v>504</v>
      </c>
      <c r="F1" s="197" t="s">
        <v>2</v>
      </c>
      <c r="G1" s="197" t="s">
        <v>652</v>
      </c>
      <c r="H1" s="197" t="s">
        <v>653</v>
      </c>
      <c r="I1" s="197" t="s">
        <v>331</v>
      </c>
      <c r="J1" s="197" t="s">
        <v>554</v>
      </c>
      <c r="K1" t="str">
        <f>"Raum"&amp;" "&amp;K$10</f>
        <v>Raum 2</v>
      </c>
      <c r="L1" t="str">
        <f t="shared" ref="L1:X1" si="0">"Raum"&amp;" "&amp;L$10</f>
        <v>Raum 3</v>
      </c>
      <c r="M1" t="str">
        <f t="shared" si="0"/>
        <v>Raum 4</v>
      </c>
      <c r="N1" t="str">
        <f t="shared" si="0"/>
        <v>Raum 5</v>
      </c>
      <c r="O1" t="str">
        <f t="shared" si="0"/>
        <v>Raum 6</v>
      </c>
      <c r="P1" t="str">
        <f t="shared" si="0"/>
        <v>Raum 7</v>
      </c>
      <c r="Q1" t="str">
        <f t="shared" si="0"/>
        <v>Raum 8</v>
      </c>
      <c r="R1" t="str">
        <f t="shared" si="0"/>
        <v>Raum 9</v>
      </c>
      <c r="S1" t="str">
        <f t="shared" si="0"/>
        <v>Raum 10</v>
      </c>
      <c r="T1" t="str">
        <f t="shared" si="0"/>
        <v>Raum 11</v>
      </c>
      <c r="U1" t="str">
        <f t="shared" si="0"/>
        <v>Raum 12</v>
      </c>
      <c r="V1" t="str">
        <f t="shared" si="0"/>
        <v>Raum 13</v>
      </c>
      <c r="W1" t="str">
        <f t="shared" si="0"/>
        <v>Raum 14</v>
      </c>
      <c r="X1" t="str">
        <f t="shared" si="0"/>
        <v>Raum 15</v>
      </c>
    </row>
    <row r="2" spans="1:24" x14ac:dyDescent="0.25">
      <c r="A2" t="s">
        <v>558</v>
      </c>
      <c r="B2" s="244" t="s">
        <v>763</v>
      </c>
      <c r="C2" s="244" t="s">
        <v>764</v>
      </c>
      <c r="D2" s="244"/>
      <c r="E2" s="244" t="s">
        <v>765</v>
      </c>
      <c r="F2" s="244"/>
      <c r="G2" s="244"/>
      <c r="H2" s="244"/>
      <c r="I2" s="244"/>
      <c r="J2" s="244"/>
    </row>
    <row r="3" spans="1:24" x14ac:dyDescent="0.25">
      <c r="A3" t="s">
        <v>558</v>
      </c>
      <c r="B3" s="244"/>
      <c r="C3" s="244"/>
      <c r="D3" s="244"/>
      <c r="E3" s="244" t="s">
        <v>766</v>
      </c>
      <c r="F3" s="244"/>
      <c r="G3" s="244"/>
      <c r="H3" s="244"/>
      <c r="I3" s="244"/>
      <c r="J3" s="244">
        <v>55</v>
      </c>
    </row>
    <row r="4" spans="1:24" x14ac:dyDescent="0.25">
      <c r="A4" t="s">
        <v>558</v>
      </c>
      <c r="B4" s="244"/>
      <c r="C4" s="244"/>
      <c r="D4" s="244"/>
      <c r="E4" s="244" t="s">
        <v>767</v>
      </c>
      <c r="F4" s="244"/>
      <c r="G4" s="244"/>
      <c r="H4" s="244"/>
      <c r="I4" s="244"/>
      <c r="J4" s="244">
        <v>45</v>
      </c>
    </row>
    <row r="5" spans="1:24" x14ac:dyDescent="0.25">
      <c r="A5" t="s">
        <v>558</v>
      </c>
      <c r="B5" s="244"/>
      <c r="C5" s="244"/>
      <c r="D5" s="244"/>
      <c r="E5" s="244" t="s">
        <v>768</v>
      </c>
      <c r="F5" s="244"/>
      <c r="G5" s="244"/>
      <c r="H5" s="244"/>
      <c r="I5" s="244"/>
      <c r="J5" s="244"/>
    </row>
    <row r="6" spans="1:24" x14ac:dyDescent="0.25">
      <c r="A6" t="s">
        <v>558</v>
      </c>
      <c r="B6" s="244" t="s">
        <v>769</v>
      </c>
      <c r="C6" s="244"/>
      <c r="D6" s="244"/>
      <c r="E6" s="244" t="s">
        <v>770</v>
      </c>
      <c r="F6" s="244"/>
      <c r="G6" s="244"/>
      <c r="H6" s="244"/>
      <c r="I6" s="244"/>
      <c r="J6" s="244">
        <v>20</v>
      </c>
      <c r="K6">
        <v>20</v>
      </c>
      <c r="L6">
        <v>20</v>
      </c>
      <c r="M6">
        <v>20</v>
      </c>
    </row>
    <row r="7" spans="1:24" x14ac:dyDescent="0.25">
      <c r="A7" t="s">
        <v>558</v>
      </c>
      <c r="B7" s="244" t="s">
        <v>769</v>
      </c>
      <c r="C7" s="244"/>
      <c r="D7" s="244"/>
      <c r="E7" s="244" t="s">
        <v>771</v>
      </c>
      <c r="F7" s="244"/>
      <c r="G7" s="244"/>
      <c r="H7" s="244"/>
      <c r="I7" s="244"/>
      <c r="J7" s="244">
        <v>75</v>
      </c>
    </row>
    <row r="8" spans="1:24" x14ac:dyDescent="0.25">
      <c r="A8" t="s">
        <v>558</v>
      </c>
      <c r="B8" s="244" t="s">
        <v>769</v>
      </c>
      <c r="C8" s="244"/>
      <c r="D8" s="244"/>
      <c r="E8" s="244" t="s">
        <v>772</v>
      </c>
      <c r="F8" s="244"/>
      <c r="G8" s="244"/>
      <c r="H8" s="244"/>
      <c r="I8" s="244"/>
      <c r="J8" s="244">
        <v>65</v>
      </c>
    </row>
    <row r="9" spans="1:24" x14ac:dyDescent="0.25">
      <c r="A9" t="s">
        <v>558</v>
      </c>
      <c r="B9" s="244" t="s">
        <v>773</v>
      </c>
      <c r="C9" s="244"/>
      <c r="D9" s="244"/>
      <c r="E9" s="244" t="s">
        <v>774</v>
      </c>
      <c r="F9" s="244"/>
      <c r="G9" s="244"/>
      <c r="H9" s="244"/>
      <c r="I9" s="244"/>
      <c r="J9" s="244"/>
    </row>
    <row r="10" spans="1:24" ht="15.75" thickBot="1" x14ac:dyDescent="0.3">
      <c r="C10" t="s">
        <v>374</v>
      </c>
      <c r="E10" t="s">
        <v>438</v>
      </c>
      <c r="J10">
        <f>IN_rooms!R2</f>
        <v>1</v>
      </c>
      <c r="K10">
        <f>IN_rooms!S2</f>
        <v>2</v>
      </c>
      <c r="L10">
        <f>IN_rooms!T2</f>
        <v>3</v>
      </c>
      <c r="M10">
        <f>IN_rooms!U2</f>
        <v>4</v>
      </c>
      <c r="N10">
        <f>IN_rooms!V2</f>
        <v>5</v>
      </c>
      <c r="O10">
        <f>IN_rooms!W2</f>
        <v>6</v>
      </c>
      <c r="P10">
        <f>IN_rooms!X2</f>
        <v>7</v>
      </c>
      <c r="Q10">
        <f>IN_rooms!Y2</f>
        <v>8</v>
      </c>
      <c r="R10">
        <f>IN_rooms!Z2</f>
        <v>9</v>
      </c>
      <c r="S10">
        <f>IN_rooms!AA2</f>
        <v>10</v>
      </c>
      <c r="T10">
        <f>IN_rooms!AB2</f>
        <v>11</v>
      </c>
      <c r="U10">
        <f>IN_rooms!AC2</f>
        <v>12</v>
      </c>
      <c r="V10">
        <f>IN_rooms!AD2</f>
        <v>13</v>
      </c>
      <c r="W10">
        <f>IN_rooms!AE2</f>
        <v>14</v>
      </c>
      <c r="X10">
        <f>IN_rooms!AF2</f>
        <v>15</v>
      </c>
    </row>
    <row r="11" spans="1:24" ht="15.75" thickBot="1" x14ac:dyDescent="0.3">
      <c r="B11" s="65" t="s">
        <v>387</v>
      </c>
      <c r="C11" s="65" t="s">
        <v>612</v>
      </c>
      <c r="D11" s="65" t="s">
        <v>209</v>
      </c>
      <c r="E11" s="65" t="s">
        <v>775</v>
      </c>
      <c r="F11" s="65"/>
      <c r="J11" s="21" t="str">
        <f>IF(OR(IN_rooms!R$49="Flachheizkoerper_glatt",IN_rooms!R$49="Flachheizkoerper_senkrecht_profiliert"),IN_rooms!R$49,"")</f>
        <v/>
      </c>
      <c r="K11" s="21" t="str">
        <f>IF(OR(IN_rooms!S$49="Flachheizkoerper_glatt",IN_rooms!S$49="Flachheizkoerper_senkrecht_profiliert"),IN_rooms!S$49,"")</f>
        <v/>
      </c>
      <c r="L11" s="21" t="str">
        <f>IF(OR(IN_rooms!T$49="Flachheizkoerper_glatt",IN_rooms!T$49="Flachheizkoerper_senkrecht_profiliert"),IN_rooms!T$49,"")</f>
        <v/>
      </c>
      <c r="M11" s="21" t="str">
        <f>IF(OR(IN_rooms!U$49="Flachheizkoerper_glatt",IN_rooms!U$49="Flachheizkoerper_senkrecht_profiliert"),IN_rooms!U$49,"")</f>
        <v/>
      </c>
      <c r="N11" s="21" t="str">
        <f>IF(OR(IN_rooms!V$49="Flachheizkoerper_glatt",IN_rooms!V$49="Flachheizkoerper_senkrecht_profiliert"),IN_rooms!V$49,"")</f>
        <v/>
      </c>
      <c r="O11" s="21" t="str">
        <f>IF(OR(IN_rooms!W$49="Flachheizkoerper_glatt",IN_rooms!W$49="Flachheizkoerper_senkrecht_profiliert"),IN_rooms!W$49,"")</f>
        <v/>
      </c>
      <c r="P11" s="21" t="str">
        <f>IF(OR(IN_rooms!X$49="Flachheizkoerper_glatt",IN_rooms!X$49="Flachheizkoerper_senkrecht_profiliert"),IN_rooms!X$49,"")</f>
        <v/>
      </c>
      <c r="Q11" s="21" t="str">
        <f>IF(OR(IN_rooms!Y$49="Flachheizkoerper_glatt",IN_rooms!Y$49="Flachheizkoerper_senkrecht_profiliert"),IN_rooms!Y$49,"")</f>
        <v/>
      </c>
      <c r="R11" s="21" t="str">
        <f>IF(OR(IN_rooms!Z$49="Flachheizkoerper_glatt",IN_rooms!Z$49="Flachheizkoerper_senkrecht_profiliert"),IN_rooms!Z$49,"")</f>
        <v/>
      </c>
      <c r="S11" s="21" t="str">
        <f>IF(OR(IN_rooms!AA$49="Flachheizkoerper_glatt",IN_rooms!AA$49="Flachheizkoerper_senkrecht_profiliert"),IN_rooms!AA$49,"")</f>
        <v/>
      </c>
      <c r="T11" s="21" t="str">
        <f>IF(OR(IN_rooms!AB$49="Flachheizkoerper_glatt",IN_rooms!AB$49="Flachheizkoerper_senkrecht_profiliert"),IN_rooms!AB$49,"")</f>
        <v/>
      </c>
      <c r="U11" s="21" t="str">
        <f>IF(OR(IN_rooms!AC$49="Flachheizkoerper_glatt",IN_rooms!AC$49="Flachheizkoerper_senkrecht_profiliert"),IN_rooms!AC$49,"")</f>
        <v/>
      </c>
      <c r="V11" s="21" t="str">
        <f>IF(OR(IN_rooms!AD$49="Flachheizkoerper_glatt",IN_rooms!AD$49="Flachheizkoerper_senkrecht_profiliert"),IN_rooms!AD$49,"")</f>
        <v/>
      </c>
      <c r="W11" s="21" t="str">
        <f>IF(OR(IN_rooms!AE$49="Flachheizkoerper_glatt",IN_rooms!AE$49="Flachheizkoerper_senkrecht_profiliert"),IN_rooms!AE$49,"")</f>
        <v/>
      </c>
      <c r="X11" s="21" t="str">
        <f>IF(OR(IN_rooms!AF$49="Flachheizkoerper_glatt",IN_rooms!AF$49="Flachheizkoerper_senkrecht_profiliert"),IN_rooms!AF$49,"")</f>
        <v/>
      </c>
    </row>
    <row r="12" spans="1:24" ht="15.75" thickBot="1" x14ac:dyDescent="0.3">
      <c r="B12" s="65" t="s">
        <v>776</v>
      </c>
      <c r="C12" s="65" t="s">
        <v>612</v>
      </c>
      <c r="D12" s="65" t="s">
        <v>209</v>
      </c>
      <c r="E12" s="65" t="s">
        <v>777</v>
      </c>
      <c r="F12" s="65"/>
      <c r="J12" s="21">
        <f>IN_rooms!R$50</f>
        <v>0</v>
      </c>
      <c r="K12" s="21">
        <f>IN_rooms!S$50</f>
        <v>0</v>
      </c>
      <c r="L12" s="21">
        <f>IN_rooms!T$50</f>
        <v>0</v>
      </c>
      <c r="M12" s="21">
        <f>IN_rooms!U$50</f>
        <v>0</v>
      </c>
      <c r="N12" s="21">
        <f>IN_rooms!V$50</f>
        <v>0</v>
      </c>
      <c r="O12" s="21">
        <f>IN_rooms!W$50</f>
        <v>0</v>
      </c>
      <c r="P12" s="21">
        <f>IN_rooms!X$50</f>
        <v>0</v>
      </c>
      <c r="Q12" s="21">
        <f>IN_rooms!Y$50</f>
        <v>0</v>
      </c>
      <c r="R12" s="21">
        <f>IN_rooms!Z$50</f>
        <v>0</v>
      </c>
      <c r="S12" s="21">
        <f>IN_rooms!AA$50</f>
        <v>0</v>
      </c>
      <c r="T12" s="21">
        <f>IN_rooms!AB$50</f>
        <v>0</v>
      </c>
      <c r="U12" s="21">
        <f>IN_rooms!AC$50</f>
        <v>0</v>
      </c>
      <c r="V12" s="21">
        <f>IN_rooms!AD$50</f>
        <v>0</v>
      </c>
      <c r="W12" s="21">
        <f>IN_rooms!AE$50</f>
        <v>0</v>
      </c>
      <c r="X12" s="21">
        <f>IN_rooms!AF$50</f>
        <v>0</v>
      </c>
    </row>
    <row r="13" spans="1:24" ht="15.75" thickBot="1" x14ac:dyDescent="0.3">
      <c r="B13" s="65" t="s">
        <v>382</v>
      </c>
      <c r="C13" s="65" t="s">
        <v>612</v>
      </c>
      <c r="D13" s="65" t="s">
        <v>209</v>
      </c>
      <c r="E13" s="65" t="s">
        <v>778</v>
      </c>
      <c r="F13" s="65" t="s">
        <v>431</v>
      </c>
      <c r="J13" s="21">
        <f>IN_rooms!R$51</f>
        <v>0</v>
      </c>
      <c r="K13" s="21">
        <f>IN_rooms!S$51</f>
        <v>0</v>
      </c>
      <c r="L13" s="21">
        <f>IN_rooms!T$51</f>
        <v>0</v>
      </c>
      <c r="M13" s="21">
        <f>IN_rooms!U$51</f>
        <v>0</v>
      </c>
      <c r="N13" s="21">
        <f>IN_rooms!V$51</f>
        <v>0</v>
      </c>
      <c r="O13" s="21">
        <f>IN_rooms!W$51</f>
        <v>0</v>
      </c>
      <c r="P13" s="21">
        <f>IN_rooms!X$51</f>
        <v>0</v>
      </c>
      <c r="Q13" s="21">
        <f>IN_rooms!Y$51</f>
        <v>0</v>
      </c>
      <c r="R13" s="21">
        <f>IN_rooms!Z$51</f>
        <v>0</v>
      </c>
      <c r="S13" s="21">
        <f>IN_rooms!AA$51</f>
        <v>0</v>
      </c>
      <c r="T13" s="21">
        <f>IN_rooms!AB$51</f>
        <v>0</v>
      </c>
      <c r="U13" s="21">
        <f>IN_rooms!AC$51</f>
        <v>0</v>
      </c>
      <c r="V13" s="21">
        <f>IN_rooms!AD$51</f>
        <v>0</v>
      </c>
      <c r="W13" s="21">
        <f>IN_rooms!AE$51</f>
        <v>0</v>
      </c>
      <c r="X13" s="21">
        <f>IN_rooms!AF$51</f>
        <v>0</v>
      </c>
    </row>
    <row r="14" spans="1:24" ht="15.75" thickBot="1" x14ac:dyDescent="0.3">
      <c r="B14" s="65" t="s">
        <v>236</v>
      </c>
      <c r="C14" s="65" t="s">
        <v>612</v>
      </c>
      <c r="D14" s="65" t="s">
        <v>209</v>
      </c>
      <c r="E14" s="65" t="s">
        <v>779</v>
      </c>
      <c r="F14" s="65" t="s">
        <v>431</v>
      </c>
      <c r="J14" s="21">
        <f>IN_rooms!R$52</f>
        <v>0</v>
      </c>
      <c r="K14" s="21">
        <f>IN_rooms!S$52</f>
        <v>0</v>
      </c>
      <c r="L14" s="21">
        <f>IN_rooms!T$52</f>
        <v>0</v>
      </c>
      <c r="M14" s="21">
        <f>IN_rooms!U$52</f>
        <v>0</v>
      </c>
      <c r="N14" s="21">
        <f>IN_rooms!V$52</f>
        <v>0</v>
      </c>
      <c r="O14" s="21">
        <f>IN_rooms!W$52</f>
        <v>0</v>
      </c>
      <c r="P14" s="21">
        <f>IN_rooms!X$52</f>
        <v>0</v>
      </c>
      <c r="Q14" s="21">
        <f>IN_rooms!Y$52</f>
        <v>0</v>
      </c>
      <c r="R14" s="21">
        <f>IN_rooms!Z$52</f>
        <v>0</v>
      </c>
      <c r="S14" s="21">
        <f>IN_rooms!AA$52</f>
        <v>0</v>
      </c>
      <c r="T14" s="21">
        <f>IN_rooms!AB$52</f>
        <v>0</v>
      </c>
      <c r="U14" s="21">
        <f>IN_rooms!AC$52</f>
        <v>0</v>
      </c>
      <c r="V14" s="21">
        <f>IN_rooms!AD$52</f>
        <v>0</v>
      </c>
      <c r="W14" s="21">
        <f>IN_rooms!AE$52</f>
        <v>0</v>
      </c>
      <c r="X14" s="21">
        <f>IN_rooms!AF$52</f>
        <v>0</v>
      </c>
    </row>
    <row r="15" spans="1:24" ht="15.75" thickBot="1" x14ac:dyDescent="0.3">
      <c r="B15" s="65" t="s">
        <v>390</v>
      </c>
      <c r="C15" s="65" t="s">
        <v>612</v>
      </c>
      <c r="D15" s="65" t="s">
        <v>209</v>
      </c>
      <c r="E15" s="65" t="s">
        <v>780</v>
      </c>
      <c r="F15" s="65" t="s">
        <v>431</v>
      </c>
      <c r="J15" s="21">
        <f>IN_rooms!R$53</f>
        <v>0</v>
      </c>
      <c r="K15" s="21">
        <f>IN_rooms!S$53</f>
        <v>0</v>
      </c>
      <c r="L15" s="21">
        <f>IN_rooms!T$53</f>
        <v>0</v>
      </c>
      <c r="M15" s="21">
        <f>IN_rooms!U$53</f>
        <v>0</v>
      </c>
      <c r="N15" s="21">
        <f>IN_rooms!V$53</f>
        <v>0</v>
      </c>
      <c r="O15" s="21">
        <f>IN_rooms!W$53</f>
        <v>0</v>
      </c>
      <c r="P15" s="21">
        <f>IN_rooms!X$53</f>
        <v>0</v>
      </c>
      <c r="Q15" s="21">
        <f>IN_rooms!Y$53</f>
        <v>0</v>
      </c>
      <c r="R15" s="21">
        <f>IN_rooms!Z$53</f>
        <v>0</v>
      </c>
      <c r="S15" s="21">
        <f>IN_rooms!AA$53</f>
        <v>0</v>
      </c>
      <c r="T15" s="21">
        <f>IN_rooms!AB$53</f>
        <v>0</v>
      </c>
      <c r="U15" s="21">
        <f>IN_rooms!AC$53</f>
        <v>0</v>
      </c>
      <c r="V15" s="21">
        <f>IN_rooms!AD$53</f>
        <v>0</v>
      </c>
      <c r="W15" s="21">
        <f>IN_rooms!AE$53</f>
        <v>0</v>
      </c>
      <c r="X15" s="21">
        <f>IN_rooms!AF$53</f>
        <v>0</v>
      </c>
    </row>
    <row r="16" spans="1:24" ht="15.75" thickBot="1" x14ac:dyDescent="0.3">
      <c r="B16" s="65" t="s">
        <v>781</v>
      </c>
      <c r="C16" s="65" t="s">
        <v>612</v>
      </c>
      <c r="D16" s="65" t="s">
        <v>209</v>
      </c>
      <c r="E16" s="65" t="s">
        <v>782</v>
      </c>
      <c r="F16" s="65"/>
      <c r="J16" s="21">
        <f ca="1">SUMIFS(
  INDIRECT("tabelle1[Heizkörperexponent n ]"),
  INDIRECT("tabelle1[Heizkörper_Typ]"), clc_power!J$11,
  INDIRECT("tabelle1[Heizkörper_Subtyp]"), clc_power!J$12,
  INDIRECT("tabelle1[Höhe H in mm]"), clc_power!J$13,
  INDIRECT("tabelle1[Bautiefe T in mm]"), clc_power!J$15
)</f>
        <v>0</v>
      </c>
      <c r="K16" s="21">
        <f ca="1">SUMIFS(
  INDIRECT("tabelle1[Heizkörperexponent n ]"),
  INDIRECT("tabelle1[Heizkörper_Typ]"), clc_power!K$11,
  INDIRECT("tabelle1[Heizkörper_Subtyp]"), clc_power!K$12,
  INDIRECT("tabelle1[Höhe H in mm]"), clc_power!K$13,
  INDIRECT("tabelle1[Bautiefe T in mm]"), clc_power!K$15
)</f>
        <v>0</v>
      </c>
      <c r="L16" s="21">
        <f ca="1">SUMIFS(
  INDIRECT("tabelle1[Heizkörperexponent n ]"),
  INDIRECT("tabelle1[Heizkörper_Typ]"), clc_power!L$11,
  INDIRECT("tabelle1[Heizkörper_Subtyp]"), clc_power!L$12,
  INDIRECT("tabelle1[Höhe H in mm]"), clc_power!L$13,
  INDIRECT("tabelle1[Bautiefe T in mm]"), clc_power!L$15
)</f>
        <v>0</v>
      </c>
      <c r="M16" s="21">
        <f ca="1">SUMIFS(
  INDIRECT("tabelle1[Heizkörperexponent n ]"),
  INDIRECT("tabelle1[Heizkörper_Typ]"), clc_power!M$11,
  INDIRECT("tabelle1[Heizkörper_Subtyp]"), clc_power!M$12,
  INDIRECT("tabelle1[Höhe H in mm]"), clc_power!M$13,
  INDIRECT("tabelle1[Bautiefe T in mm]"), clc_power!M$15
)</f>
        <v>0</v>
      </c>
      <c r="N16" s="21">
        <f ca="1">SUMIFS(
  INDIRECT("tabelle1[Heizkörperexponent n ]"),
  INDIRECT("tabelle1[Heizkörper_Typ]"), clc_power!N$11,
  INDIRECT("tabelle1[Heizkörper_Subtyp]"), clc_power!N$12,
  INDIRECT("tabelle1[Höhe H in mm]"), clc_power!N$13,
  INDIRECT("tabelle1[Bautiefe T in mm]"), clc_power!N$15
)</f>
        <v>0</v>
      </c>
      <c r="O16" s="21">
        <f ca="1">SUMIFS(
  INDIRECT("tabelle1[Heizkörperexponent n ]"),
  INDIRECT("tabelle1[Heizkörper_Typ]"), clc_power!O$11,
  INDIRECT("tabelle1[Heizkörper_Subtyp]"), clc_power!O$12,
  INDIRECT("tabelle1[Höhe H in mm]"), clc_power!O$13,
  INDIRECT("tabelle1[Bautiefe T in mm]"), clc_power!O$15
)</f>
        <v>0</v>
      </c>
      <c r="P16" s="21">
        <f ca="1">SUMIFS(
  INDIRECT("tabelle1[Heizkörperexponent n ]"),
  INDIRECT("tabelle1[Heizkörper_Typ]"), clc_power!P$11,
  INDIRECT("tabelle1[Heizkörper_Subtyp]"), clc_power!P$12,
  INDIRECT("tabelle1[Höhe H in mm]"), clc_power!P$13,
  INDIRECT("tabelle1[Bautiefe T in mm]"), clc_power!P$15
)</f>
        <v>0</v>
      </c>
      <c r="Q16" s="21">
        <f ca="1">SUMIFS(
  INDIRECT("tabelle1[Heizkörperexponent n ]"),
  INDIRECT("tabelle1[Heizkörper_Typ]"), clc_power!Q$11,
  INDIRECT("tabelle1[Heizkörper_Subtyp]"), clc_power!Q$12,
  INDIRECT("tabelle1[Höhe H in mm]"), clc_power!Q$13,
  INDIRECT("tabelle1[Bautiefe T in mm]"), clc_power!Q$15
)</f>
        <v>0</v>
      </c>
      <c r="R16" s="21">
        <f ca="1">SUMIFS(
  INDIRECT("tabelle1[Heizkörperexponent n ]"),
  INDIRECT("tabelle1[Heizkörper_Typ]"), clc_power!R$11,
  INDIRECT("tabelle1[Heizkörper_Subtyp]"), clc_power!R$12,
  INDIRECT("tabelle1[Höhe H in mm]"), clc_power!R$13,
  INDIRECT("tabelle1[Bautiefe T in mm]"), clc_power!R$15
)</f>
        <v>0</v>
      </c>
      <c r="S16" s="21">
        <f ca="1">SUMIFS(
  INDIRECT("tabelle1[Heizkörperexponent n ]"),
  INDIRECT("tabelle1[Heizkörper_Typ]"), clc_power!S$11,
  INDIRECT("tabelle1[Heizkörper_Subtyp]"), clc_power!S$12,
  INDIRECT("tabelle1[Höhe H in mm]"), clc_power!S$13,
  INDIRECT("tabelle1[Bautiefe T in mm]"), clc_power!S$15
)</f>
        <v>0</v>
      </c>
      <c r="T16" s="21">
        <f ca="1">SUMIFS(
  INDIRECT("tabelle1[Heizkörperexponent n ]"),
  INDIRECT("tabelle1[Heizkörper_Typ]"), clc_power!T$11,
  INDIRECT("tabelle1[Heizkörper_Subtyp]"), clc_power!T$12,
  INDIRECT("tabelle1[Höhe H in mm]"), clc_power!T$13,
  INDIRECT("tabelle1[Bautiefe T in mm]"), clc_power!T$15
)</f>
        <v>0</v>
      </c>
      <c r="U16" s="21">
        <f ca="1">SUMIFS(
  INDIRECT("tabelle1[Heizkörperexponent n ]"),
  INDIRECT("tabelle1[Heizkörper_Typ]"), clc_power!U$11,
  INDIRECT("tabelle1[Heizkörper_Subtyp]"), clc_power!U$12,
  INDIRECT("tabelle1[Höhe H in mm]"), clc_power!U$13,
  INDIRECT("tabelle1[Bautiefe T in mm]"), clc_power!U$15
)</f>
        <v>0</v>
      </c>
      <c r="V16" s="21">
        <f ca="1">SUMIFS(
  INDIRECT("tabelle1[Heizkörperexponent n ]"),
  INDIRECT("tabelle1[Heizkörper_Typ]"), clc_power!V$11,
  INDIRECT("tabelle1[Heizkörper_Subtyp]"), clc_power!V$12,
  INDIRECT("tabelle1[Höhe H in mm]"), clc_power!V$13,
  INDIRECT("tabelle1[Bautiefe T in mm]"), clc_power!V$15
)</f>
        <v>0</v>
      </c>
      <c r="W16" s="21">
        <f ca="1">SUMIFS(
  INDIRECT("tabelle1[Heizkörperexponent n ]"),
  INDIRECT("tabelle1[Heizkörper_Typ]"), clc_power!W$11,
  INDIRECT("tabelle1[Heizkörper_Subtyp]"), clc_power!W$12,
  INDIRECT("tabelle1[Höhe H in mm]"), clc_power!W$13,
  INDIRECT("tabelle1[Bautiefe T in mm]"), clc_power!W$15
)</f>
        <v>0</v>
      </c>
      <c r="X16" s="21">
        <f ca="1">SUMIFS(
  INDIRECT("tabelle1[Heizkörperexponent n ]"),
  INDIRECT("tabelle1[Heizkörper_Typ]"), clc_power!X$11,
  INDIRECT("tabelle1[Heizkörper_Subtyp]"), clc_power!X$12,
  INDIRECT("tabelle1[Höhe H in mm]"), clc_power!X$13,
  INDIRECT("tabelle1[Bautiefe T in mm]"), clc_power!X$15
)</f>
        <v>0</v>
      </c>
    </row>
    <row r="17" spans="2:24" ht="18.75" customHeight="1" thickBot="1" x14ac:dyDescent="0.3">
      <c r="B17" s="65" t="s">
        <v>783</v>
      </c>
      <c r="C17" s="65" t="s">
        <v>612</v>
      </c>
      <c r="D17" s="65" t="s">
        <v>209</v>
      </c>
      <c r="E17" s="65" t="s">
        <v>784</v>
      </c>
      <c r="F17" s="65" t="s">
        <v>112</v>
      </c>
      <c r="J17" s="21">
        <f ca="1">_xlfn.LET(
  _xlpm.leistung, IN_rooms!R$55 * SUMIFS(
    INDIRECT("tabelle1[Wärmeleistung (75/65/20)  in W/m]"),
    INDIRECT("tabelle1[Heizkörper_Typ]"), clc_power!J$11,
    INDIRECT("tabelle1[Heizkörper_Subtyp]"), clc_power!J$12,
    INDIRECT("tabelle1[Höhe H in mm]"), clc_power!J$13,
    INDIRECT("tabelle1[Bautiefe T in mm]"), clc_power!J$15  ) * J$14 / 1000,
  IF(_xlpm.leistung &gt; 0, _xlpm.leistung, 0)
)</f>
        <v>0</v>
      </c>
      <c r="K17" s="21">
        <f ca="1">_xlfn.LET(
  _xlpm.leistung, IN_rooms!S$55 * SUMIFS(
    INDIRECT("tabelle1[Wärmeleistung (75/65/20)  in W/m]"),
    INDIRECT("tabelle1[Heizkörper_Typ]"), clc_power!K$11,
    INDIRECT("tabelle1[Heizkörper_Subtyp]"), clc_power!K$12,
    INDIRECT("tabelle1[Höhe H in mm]"), clc_power!K$13,
    INDIRECT("tabelle1[Bautiefe T in mm]"), clc_power!K$15  ) * K$14 / 1000,
  IF(_xlpm.leistung &gt; 0, _xlpm.leistung, 0)
)</f>
        <v>0</v>
      </c>
      <c r="L17" s="21">
        <f ca="1">_xlfn.LET(
  _xlpm.leistung, IN_rooms!T$55 * SUMIFS(
    INDIRECT("tabelle1[Wärmeleistung (75/65/20)  in W/m]"),
    INDIRECT("tabelle1[Heizkörper_Typ]"), clc_power!L$11,
    INDIRECT("tabelle1[Heizkörper_Subtyp]"), clc_power!L$12,
    INDIRECT("tabelle1[Höhe H in mm]"), clc_power!L$13,
    INDIRECT("tabelle1[Bautiefe T in mm]"), clc_power!L$15  ) * L$14 / 1000,
  IF(_xlpm.leistung &gt; 0, _xlpm.leistung, 0)
)</f>
        <v>0</v>
      </c>
      <c r="M17" s="21">
        <f ca="1">_xlfn.LET(
  _xlpm.leistung, IN_rooms!U$55 * SUMIFS(
    INDIRECT("tabelle1[Wärmeleistung (75/65/20)  in W/m]"),
    INDIRECT("tabelle1[Heizkörper_Typ]"), clc_power!M$11,
    INDIRECT("tabelle1[Heizkörper_Subtyp]"), clc_power!M$12,
    INDIRECT("tabelle1[Höhe H in mm]"), clc_power!M$13,
    INDIRECT("tabelle1[Bautiefe T in mm]"), clc_power!M$15  ) * M$14 / 1000,
  IF(_xlpm.leistung &gt; 0, _xlpm.leistung, 0)
)</f>
        <v>0</v>
      </c>
      <c r="N17" s="21">
        <f ca="1">_xlfn.LET(
  _xlpm.leistung, IN_rooms!V$55 * SUMIFS(
    INDIRECT("tabelle1[Wärmeleistung (75/65/20)  in W/m]"),
    INDIRECT("tabelle1[Heizkörper_Typ]"), clc_power!N$11,
    INDIRECT("tabelle1[Heizkörper_Subtyp]"), clc_power!N$12,
    INDIRECT("tabelle1[Höhe H in mm]"), clc_power!N$13,
    INDIRECT("tabelle1[Bautiefe T in mm]"), clc_power!N$15  ) * N$14 / 1000,
  IF(_xlpm.leistung &gt; 0, _xlpm.leistung, 0)
)</f>
        <v>0</v>
      </c>
      <c r="O17" s="21">
        <f ca="1">_xlfn.LET(
  _xlpm.leistung, IN_rooms!W$55 * SUMIFS(
    INDIRECT("tabelle1[Wärmeleistung (75/65/20)  in W/m]"),
    INDIRECT("tabelle1[Heizkörper_Typ]"), clc_power!O$11,
    INDIRECT("tabelle1[Heizkörper_Subtyp]"), clc_power!O$12,
    INDIRECT("tabelle1[Höhe H in mm]"), clc_power!O$13,
    INDIRECT("tabelle1[Bautiefe T in mm]"), clc_power!O$15  ) * O$14 / 1000,
  IF(_xlpm.leistung &gt; 0, _xlpm.leistung, 0)
)</f>
        <v>0</v>
      </c>
      <c r="P17" s="21">
        <f ca="1">_xlfn.LET(
  _xlpm.leistung, IN_rooms!X$55 * SUMIFS(
    INDIRECT("tabelle1[Wärmeleistung (75/65/20)  in W/m]"),
    INDIRECT("tabelle1[Heizkörper_Typ]"), clc_power!P$11,
    INDIRECT("tabelle1[Heizkörper_Subtyp]"), clc_power!P$12,
    INDIRECT("tabelle1[Höhe H in mm]"), clc_power!P$13,
    INDIRECT("tabelle1[Bautiefe T in mm]"), clc_power!P$15  ) * P$14 / 1000,
  IF(_xlpm.leistung &gt; 0, _xlpm.leistung, 0)
)</f>
        <v>0</v>
      </c>
      <c r="Q17" s="21">
        <f ca="1">_xlfn.LET(
  _xlpm.leistung, IN_rooms!Y$55 * SUMIFS(
    INDIRECT("tabelle1[Wärmeleistung (75/65/20)  in W/m]"),
    INDIRECT("tabelle1[Heizkörper_Typ]"), clc_power!Q$11,
    INDIRECT("tabelle1[Heizkörper_Subtyp]"), clc_power!Q$12,
    INDIRECT("tabelle1[Höhe H in mm]"), clc_power!Q$13,
    INDIRECT("tabelle1[Bautiefe T in mm]"), clc_power!Q$15  ) * Q$14 / 1000,
  IF(_xlpm.leistung &gt; 0, _xlpm.leistung, 0)
)</f>
        <v>0</v>
      </c>
      <c r="R17" s="21">
        <f ca="1">_xlfn.LET(
  _xlpm.leistung, IN_rooms!Z$55 * SUMIFS(
    INDIRECT("tabelle1[Wärmeleistung (75/65/20)  in W/m]"),
    INDIRECT("tabelle1[Heizkörper_Typ]"), clc_power!R$11,
    INDIRECT("tabelle1[Heizkörper_Subtyp]"), clc_power!R$12,
    INDIRECT("tabelle1[Höhe H in mm]"), clc_power!R$13,
    INDIRECT("tabelle1[Bautiefe T in mm]"), clc_power!R$15  ) * R$14 / 1000,
  IF(_xlpm.leistung &gt; 0, _xlpm.leistung, 0)
)</f>
        <v>0</v>
      </c>
      <c r="S17" s="21">
        <f ca="1">_xlfn.LET(
  _xlpm.leistung, IN_rooms!AA$55 * SUMIFS(
    INDIRECT("tabelle1[Wärmeleistung (75/65/20)  in W/m]"),
    INDIRECT("tabelle1[Heizkörper_Typ]"), clc_power!S$11,
    INDIRECT("tabelle1[Heizkörper_Subtyp]"), clc_power!S$12,
    INDIRECT("tabelle1[Höhe H in mm]"), clc_power!S$13,
    INDIRECT("tabelle1[Bautiefe T in mm]"), clc_power!S$15  ) * S$14 / 1000,
  IF(_xlpm.leistung &gt; 0, _xlpm.leistung, 0)
)</f>
        <v>0</v>
      </c>
      <c r="T17" s="21">
        <f ca="1">_xlfn.LET(
  _xlpm.leistung, IN_rooms!AB$55 * SUMIFS(
    INDIRECT("tabelle1[Wärmeleistung (75/65/20)  in W/m]"),
    INDIRECT("tabelle1[Heizkörper_Typ]"), clc_power!T$11,
    INDIRECT("tabelle1[Heizkörper_Subtyp]"), clc_power!T$12,
    INDIRECT("tabelle1[Höhe H in mm]"), clc_power!T$13,
    INDIRECT("tabelle1[Bautiefe T in mm]"), clc_power!T$15  ) * T$14 / 1000,
  IF(_xlpm.leistung &gt; 0, _xlpm.leistung, 0)
)</f>
        <v>0</v>
      </c>
      <c r="U17" s="21">
        <f ca="1">_xlfn.LET(
  _xlpm.leistung, IN_rooms!AC$55 * SUMIFS(
    INDIRECT("tabelle1[Wärmeleistung (75/65/20)  in W/m]"),
    INDIRECT("tabelle1[Heizkörper_Typ]"), clc_power!U$11,
    INDIRECT("tabelle1[Heizkörper_Subtyp]"), clc_power!U$12,
    INDIRECT("tabelle1[Höhe H in mm]"), clc_power!U$13,
    INDIRECT("tabelle1[Bautiefe T in mm]"), clc_power!U$15  ) * U$14 / 1000,
  IF(_xlpm.leistung &gt; 0, _xlpm.leistung, 0)
)</f>
        <v>0</v>
      </c>
      <c r="V17" s="21">
        <f ca="1">_xlfn.LET(
  _xlpm.leistung, IN_rooms!AD$55 * SUMIFS(
    INDIRECT("tabelle1[Wärmeleistung (75/65/20)  in W/m]"),
    INDIRECT("tabelle1[Heizkörper_Typ]"), clc_power!V$11,
    INDIRECT("tabelle1[Heizkörper_Subtyp]"), clc_power!V$12,
    INDIRECT("tabelle1[Höhe H in mm]"), clc_power!V$13,
    INDIRECT("tabelle1[Bautiefe T in mm]"), clc_power!V$15  ) * V$14 / 1000,
  IF(_xlpm.leistung &gt; 0, _xlpm.leistung, 0)
)</f>
        <v>0</v>
      </c>
      <c r="W17" s="21">
        <f ca="1">_xlfn.LET(
  _xlpm.leistung, IN_rooms!AE$55 * SUMIFS(
    INDIRECT("tabelle1[Wärmeleistung (75/65/20)  in W/m]"),
    INDIRECT("tabelle1[Heizkörper_Typ]"), clc_power!W$11,
    INDIRECT("tabelle1[Heizkörper_Subtyp]"), clc_power!W$12,
    INDIRECT("tabelle1[Höhe H in mm]"), clc_power!W$13,
    INDIRECT("tabelle1[Bautiefe T in mm]"), clc_power!W$15  ) * W$14 / 1000,
  IF(_xlpm.leistung &gt; 0, _xlpm.leistung, 0)
)</f>
        <v>0</v>
      </c>
      <c r="X17" s="21">
        <f ca="1">_xlfn.LET(
  _xlpm.leistung, IN_rooms!AF$55 * SUMIFS(
    INDIRECT("tabelle1[Wärmeleistung (75/65/20)  in W/m]"),
    INDIRECT("tabelle1[Heizkörper_Typ]"), clc_power!X$11,
    INDIRECT("tabelle1[Heizkörper_Subtyp]"), clc_power!X$12,
    INDIRECT("tabelle1[Höhe H in mm]"), clc_power!X$13,
    INDIRECT("tabelle1[Bautiefe T in mm]"), clc_power!X$15  ) * X$14 / 1000,
  IF(_xlpm.leistung &gt; 0, _xlpm.leistung, 0)
)</f>
        <v>0</v>
      </c>
    </row>
    <row r="18" spans="2:24" ht="18.75" customHeight="1" thickBot="1" x14ac:dyDescent="0.3">
      <c r="B18" s="65" t="s">
        <v>785</v>
      </c>
      <c r="C18" s="65" t="s">
        <v>612</v>
      </c>
      <c r="D18" s="65" t="s">
        <v>209</v>
      </c>
      <c r="E18" s="65" t="s">
        <v>786</v>
      </c>
      <c r="F18" s="65" t="s">
        <v>107</v>
      </c>
      <c r="J18" s="21">
        <f>TVL_Ziel</f>
        <v>55</v>
      </c>
      <c r="K18" s="21">
        <f t="shared" ref="K18:X18" si="1">TVL_Ziel</f>
        <v>55</v>
      </c>
      <c r="L18" s="21">
        <f t="shared" si="1"/>
        <v>55</v>
      </c>
      <c r="M18" s="21">
        <f t="shared" si="1"/>
        <v>55</v>
      </c>
      <c r="N18" s="21">
        <f t="shared" si="1"/>
        <v>55</v>
      </c>
      <c r="O18" s="21">
        <f t="shared" si="1"/>
        <v>55</v>
      </c>
      <c r="P18" s="21">
        <f t="shared" si="1"/>
        <v>55</v>
      </c>
      <c r="Q18" s="21">
        <f t="shared" si="1"/>
        <v>55</v>
      </c>
      <c r="R18" s="21">
        <f t="shared" si="1"/>
        <v>55</v>
      </c>
      <c r="S18" s="21">
        <f t="shared" si="1"/>
        <v>55</v>
      </c>
      <c r="T18" s="21">
        <f t="shared" si="1"/>
        <v>55</v>
      </c>
      <c r="U18" s="21">
        <f t="shared" si="1"/>
        <v>55</v>
      </c>
      <c r="V18" s="21">
        <f t="shared" si="1"/>
        <v>55</v>
      </c>
      <c r="W18" s="21">
        <f t="shared" si="1"/>
        <v>55</v>
      </c>
      <c r="X18" s="21">
        <f t="shared" si="1"/>
        <v>55</v>
      </c>
    </row>
    <row r="19" spans="2:24" ht="18.75" customHeight="1" thickBot="1" x14ac:dyDescent="0.3">
      <c r="B19" s="65" t="s">
        <v>787</v>
      </c>
      <c r="C19" s="65" t="s">
        <v>612</v>
      </c>
      <c r="D19" s="65" t="s">
        <v>209</v>
      </c>
      <c r="E19" s="65" t="s">
        <v>788</v>
      </c>
      <c r="F19" s="65" t="s">
        <v>107</v>
      </c>
      <c r="J19" s="21">
        <f>TRL_Ziel</f>
        <v>45</v>
      </c>
      <c r="K19" s="21">
        <f t="shared" ref="K19:X19" si="2">TRL_Ziel</f>
        <v>45</v>
      </c>
      <c r="L19" s="21">
        <f t="shared" si="2"/>
        <v>45</v>
      </c>
      <c r="M19" s="21">
        <f t="shared" si="2"/>
        <v>45</v>
      </c>
      <c r="N19" s="21">
        <f t="shared" si="2"/>
        <v>45</v>
      </c>
      <c r="O19" s="21">
        <f t="shared" si="2"/>
        <v>45</v>
      </c>
      <c r="P19" s="21">
        <f t="shared" si="2"/>
        <v>45</v>
      </c>
      <c r="Q19" s="21">
        <f t="shared" si="2"/>
        <v>45</v>
      </c>
      <c r="R19" s="21">
        <f t="shared" si="2"/>
        <v>45</v>
      </c>
      <c r="S19" s="21">
        <f t="shared" si="2"/>
        <v>45</v>
      </c>
      <c r="T19" s="21">
        <f t="shared" si="2"/>
        <v>45</v>
      </c>
      <c r="U19" s="21">
        <f t="shared" si="2"/>
        <v>45</v>
      </c>
      <c r="V19" s="21">
        <f t="shared" si="2"/>
        <v>45</v>
      </c>
      <c r="W19" s="21">
        <f t="shared" si="2"/>
        <v>45</v>
      </c>
      <c r="X19" s="21">
        <f t="shared" si="2"/>
        <v>45</v>
      </c>
    </row>
    <row r="20" spans="2:24" ht="18.75" customHeight="1" thickBot="1" x14ac:dyDescent="0.3">
      <c r="B20" s="65" t="s">
        <v>789</v>
      </c>
      <c r="C20" s="65" t="s">
        <v>612</v>
      </c>
      <c r="D20" s="65" t="s">
        <v>209</v>
      </c>
      <c r="E20" s="65" t="s">
        <v>790</v>
      </c>
      <c r="F20" s="65" t="s">
        <v>791</v>
      </c>
      <c r="J20" s="79">
        <f>(J$18-J$19)/(LN((J$18-clc_load!M$10)/(clc_power!J$19-clc_load!M$10)))</f>
        <v>29.720134119884619</v>
      </c>
      <c r="K20" s="79">
        <f>(K$18-K$19)/(LN((K$18-clc_load!N$10)/(clc_power!K$19-clc_load!N$10)))</f>
        <v>29.720134119884619</v>
      </c>
      <c r="L20" s="79">
        <f>(L$18-L$19)/(LN((L$18-clc_load!O$10)/(clc_power!L$19-clc_load!O$10)))</f>
        <v>29.720134119884619</v>
      </c>
      <c r="M20" s="79">
        <f>(M$18-M$19)/(LN((M$18-clc_load!P$10)/(clc_power!M$19-clc_load!P$10)))</f>
        <v>29.720134119884619</v>
      </c>
      <c r="N20" s="79">
        <f>(N$18-N$19)/(LN((N$18-clc_load!Q$10)/(clc_power!N$19-clc_load!Q$10)))</f>
        <v>29.720134119884619</v>
      </c>
      <c r="O20" s="79">
        <f>(O$18-O$19)/(LN((O$18-clc_load!R$10)/(clc_power!O$19-clc_load!R$10)))</f>
        <v>29.720134119884619</v>
      </c>
      <c r="P20" s="79">
        <f>(P$18-P$19)/(LN((P$18-clc_load!S$10)/(clc_power!P$19-clc_load!S$10)))</f>
        <v>29.720134119884619</v>
      </c>
      <c r="Q20" s="79">
        <f>(Q$18-Q$19)/(LN((Q$18-clc_load!T$10)/(clc_power!Q$19-clc_load!T$10)))</f>
        <v>29.720134119884619</v>
      </c>
      <c r="R20" s="79">
        <f>(R$18-R$19)/(LN((R$18-clc_load!U$10)/(clc_power!R$19-clc_load!U$10)))</f>
        <v>29.720134119884619</v>
      </c>
      <c r="S20" s="79">
        <f>(S$18-S$19)/(LN((S$18-clc_load!V$10)/(clc_power!S$19-clc_load!V$10)))</f>
        <v>29.720134119884619</v>
      </c>
      <c r="T20" s="79">
        <f>(T$18-T$19)/(LN((T$18-clc_load!W$10)/(clc_power!T$19-clc_load!W$10)))</f>
        <v>29.720134119884619</v>
      </c>
      <c r="U20" s="79">
        <f>(U$18-U$19)/(LN((U$18-clc_load!X$10)/(clc_power!U$19-clc_load!X$10)))</f>
        <v>29.720134119884619</v>
      </c>
      <c r="V20" s="79">
        <f>(V$18-V$19)/(LN((V$18-clc_load!Y$10)/(clc_power!V$19-clc_load!Y$10)))</f>
        <v>29.720134119884619</v>
      </c>
      <c r="W20" s="79">
        <f>(W$18-W$19)/(LN((W$18-clc_load!Z$10)/(clc_power!W$19-clc_load!Z$10)))</f>
        <v>29.720134119884619</v>
      </c>
      <c r="X20" s="79">
        <f>(X$18-X$19)/(LN((X$18-clc_load!AA$10)/(clc_power!X$19-clc_load!AA$10)))</f>
        <v>29.720134119884619</v>
      </c>
    </row>
    <row r="21" spans="2:24" ht="18.75" customHeight="1" thickBot="1" x14ac:dyDescent="0.3">
      <c r="B21" s="65" t="s">
        <v>792</v>
      </c>
      <c r="C21" s="65" t="s">
        <v>612</v>
      </c>
      <c r="D21" s="65" t="s">
        <v>209</v>
      </c>
      <c r="E21" s="65" t="s">
        <v>793</v>
      </c>
      <c r="F21" s="65" t="s">
        <v>112</v>
      </c>
      <c r="J21" s="21">
        <f t="shared" ref="J21:X21" ca="1" si="3">IF(J$17*((J$20/Log_ÜT_Norm)^J$16)&gt;0,J$17*((J$20/Log_ÜT_Norm)^J$16),0)</f>
        <v>0</v>
      </c>
      <c r="K21" s="21">
        <f t="shared" ca="1" si="3"/>
        <v>0</v>
      </c>
      <c r="L21" s="21">
        <f t="shared" ca="1" si="3"/>
        <v>0</v>
      </c>
      <c r="M21" s="21">
        <f t="shared" ca="1" si="3"/>
        <v>0</v>
      </c>
      <c r="N21" s="21">
        <f t="shared" ca="1" si="3"/>
        <v>0</v>
      </c>
      <c r="O21" s="21">
        <f t="shared" ca="1" si="3"/>
        <v>0</v>
      </c>
      <c r="P21" s="21">
        <f t="shared" ca="1" si="3"/>
        <v>0</v>
      </c>
      <c r="Q21" s="21">
        <f t="shared" ca="1" si="3"/>
        <v>0</v>
      </c>
      <c r="R21" s="21">
        <f t="shared" ca="1" si="3"/>
        <v>0</v>
      </c>
      <c r="S21" s="21">
        <f t="shared" ca="1" si="3"/>
        <v>0</v>
      </c>
      <c r="T21" s="21">
        <f t="shared" ca="1" si="3"/>
        <v>0</v>
      </c>
      <c r="U21" s="21">
        <f t="shared" ca="1" si="3"/>
        <v>0</v>
      </c>
      <c r="V21" s="21">
        <f t="shared" ca="1" si="3"/>
        <v>0</v>
      </c>
      <c r="W21" s="21">
        <f t="shared" ca="1" si="3"/>
        <v>0</v>
      </c>
      <c r="X21" s="21">
        <f t="shared" ca="1" si="3"/>
        <v>0</v>
      </c>
    </row>
    <row r="22" spans="2:24" ht="18.75" customHeight="1" thickBot="1" x14ac:dyDescent="0.3">
      <c r="B22" s="242" t="s">
        <v>794</v>
      </c>
      <c r="C22" s="242" t="s">
        <v>612</v>
      </c>
      <c r="D22" s="242" t="s">
        <v>795</v>
      </c>
      <c r="E22" s="242" t="s">
        <v>796</v>
      </c>
      <c r="F22" s="242" t="s">
        <v>112</v>
      </c>
      <c r="J22" s="79">
        <f ca="1">_xlfn.LET(
    _xlpm.leistung, IN_rooms!R$55 * SUMIFS(
        INDIRECT("tabelle1[Wärmeleistung (75/65/20)  in W/m]"),
        INDIRECT("tabelle1[Heizkörper_Typ]"), "Flachheizkoerper_senkrecht_profiliert",
        INDIRECT("tabelle1[Heizkörper_Subtyp]"), "Typ_33",
        INDIRECT("tabelle1[Höhe H in mm]"), J$13,
        INDIRECT("tabelle1[Bautiefe T in mm]"), 155
    ) * J$14 / 1000 * ((J$20 / Log_ÜT_Norm) ^ SUMIFS(
        INDIRECT("tabelle1[Heizkörperexponent n ]"),
        INDIRECT("tabelle1[Heizkörper_Typ]"), "Flachheizkoerper_senkrecht_profiliert",
        INDIRECT("tabelle1[Heizkörper_Subtyp]"), "Typ_33",
        INDIRECT("tabelle1[Höhe H in mm]"), J$13,
        INDIRECT("tabelle1[Bautiefe T in mm]"), 155
    )),
    IF(_xlpm.leistung &gt; 0, _xlpm.leistung, 0)
)</f>
        <v>0</v>
      </c>
      <c r="K22" s="79">
        <f ca="1">_xlfn.LET(
    _xlpm.leistung, IN_rooms!S$55 * SUMIFS(
        INDIRECT("tabelle1[Wärmeleistung (75/65/20)  in W/m]"),
        INDIRECT("tabelle1[Heizkörper_Typ]"), "Flachheizkoerper_senkrecht_profiliert",
        INDIRECT("tabelle1[Heizkörper_Subtyp]"), "Typ_33",
        INDIRECT("tabelle1[Höhe H in mm]"), K$13,
        INDIRECT("tabelle1[Bautiefe T in mm]"), 155
    ) * K$14 / 1000 * ((K$20 / Log_ÜT_Norm) ^ SUMIFS(
        INDIRECT("tabelle1[Heizkörperexponent n ]"),
        INDIRECT("tabelle1[Heizkörper_Typ]"), "Flachheizkoerper_senkrecht_profiliert",
        INDIRECT("tabelle1[Heizkörper_Subtyp]"), "Typ_33",
        INDIRECT("tabelle1[Höhe H in mm]"), K$13,
        INDIRECT("tabelle1[Bautiefe T in mm]"), 155
    )),
    IF(_xlpm.leistung &gt; 0, _xlpm.leistung, 0)
)</f>
        <v>0</v>
      </c>
      <c r="L22" s="79">
        <f ca="1">_xlfn.LET(
    _xlpm.leistung, IN_rooms!T$55 * SUMIFS(
        INDIRECT("tabelle1[Wärmeleistung (75/65/20)  in W/m]"),
        INDIRECT("tabelle1[Heizkörper_Typ]"), "Flachheizkoerper_senkrecht_profiliert",
        INDIRECT("tabelle1[Heizkörper_Subtyp]"), "Typ_33",
        INDIRECT("tabelle1[Höhe H in mm]"), L$13,
        INDIRECT("tabelle1[Bautiefe T in mm]"), 155
    ) * L$14 / 1000 * ((L$20 / Log_ÜT_Norm) ^ SUMIFS(
        INDIRECT("tabelle1[Heizkörperexponent n ]"),
        INDIRECT("tabelle1[Heizkörper_Typ]"), "Flachheizkoerper_senkrecht_profiliert",
        INDIRECT("tabelle1[Heizkörper_Subtyp]"), "Typ_33",
        INDIRECT("tabelle1[Höhe H in mm]"), L$13,
        INDIRECT("tabelle1[Bautiefe T in mm]"), 155
    )),
    IF(_xlpm.leistung &gt; 0, _xlpm.leistung, 0)
)</f>
        <v>0</v>
      </c>
      <c r="M22" s="79">
        <f ca="1">_xlfn.LET(
    _xlpm.leistung, IN_rooms!U$55 * SUMIFS(
        INDIRECT("tabelle1[Wärmeleistung (75/65/20)  in W/m]"),
        INDIRECT("tabelle1[Heizkörper_Typ]"), "Flachheizkoerper_senkrecht_profiliert",
        INDIRECT("tabelle1[Heizkörper_Subtyp]"), "Typ_33",
        INDIRECT("tabelle1[Höhe H in mm]"), M$13,
        INDIRECT("tabelle1[Bautiefe T in mm]"), 155
    ) * M$14 / 1000 * ((M$20 / Log_ÜT_Norm) ^ SUMIFS(
        INDIRECT("tabelle1[Heizkörperexponent n ]"),
        INDIRECT("tabelle1[Heizkörper_Typ]"), "Flachheizkoerper_senkrecht_profiliert",
        INDIRECT("tabelle1[Heizkörper_Subtyp]"), "Typ_33",
        INDIRECT("tabelle1[Höhe H in mm]"), M$13,
        INDIRECT("tabelle1[Bautiefe T in mm]"), 155
    )),
    IF(_xlpm.leistung &gt; 0, _xlpm.leistung, 0)
)</f>
        <v>0</v>
      </c>
      <c r="N22" s="79">
        <f ca="1">_xlfn.LET(
    _xlpm.leistung, IN_rooms!V$55 * SUMIFS(
        INDIRECT("tabelle1[Wärmeleistung (75/65/20)  in W/m]"),
        INDIRECT("tabelle1[Heizkörper_Typ]"), "Flachheizkoerper_senkrecht_profiliert",
        INDIRECT("tabelle1[Heizkörper_Subtyp]"), "Typ_33",
        INDIRECT("tabelle1[Höhe H in mm]"), N$13,
        INDIRECT("tabelle1[Bautiefe T in mm]"), 155
    ) * N$14 / 1000 * ((N$20 / Log_ÜT_Norm) ^ SUMIFS(
        INDIRECT("tabelle1[Heizkörperexponent n ]"),
        INDIRECT("tabelle1[Heizkörper_Typ]"), "Flachheizkoerper_senkrecht_profiliert",
        INDIRECT("tabelle1[Heizkörper_Subtyp]"), "Typ_33",
        INDIRECT("tabelle1[Höhe H in mm]"), N$13,
        INDIRECT("tabelle1[Bautiefe T in mm]"), 155
    )),
    IF(_xlpm.leistung &gt; 0, _xlpm.leistung, 0)
)</f>
        <v>0</v>
      </c>
      <c r="O22" s="79">
        <f ca="1">_xlfn.LET(
    _xlpm.leistung, IN_rooms!W$55 * SUMIFS(
        INDIRECT("tabelle1[Wärmeleistung (75/65/20)  in W/m]"),
        INDIRECT("tabelle1[Heizkörper_Typ]"), "Flachheizkoerper_senkrecht_profiliert",
        INDIRECT("tabelle1[Heizkörper_Subtyp]"), "Typ_33",
        INDIRECT("tabelle1[Höhe H in mm]"), O$13,
        INDIRECT("tabelle1[Bautiefe T in mm]"), 155
    ) * O$14 / 1000 * ((O$20 / Log_ÜT_Norm) ^ SUMIFS(
        INDIRECT("tabelle1[Heizkörperexponent n ]"),
        INDIRECT("tabelle1[Heizkörper_Typ]"), "Flachheizkoerper_senkrecht_profiliert",
        INDIRECT("tabelle1[Heizkörper_Subtyp]"), "Typ_33",
        INDIRECT("tabelle1[Höhe H in mm]"), O$13,
        INDIRECT("tabelle1[Bautiefe T in mm]"), 155
    )),
    IF(_xlpm.leistung &gt; 0, _xlpm.leistung, 0)
)</f>
        <v>0</v>
      </c>
      <c r="P22" s="79">
        <f ca="1">_xlfn.LET(
    _xlpm.leistung, IN_rooms!X$55 * SUMIFS(
        INDIRECT("tabelle1[Wärmeleistung (75/65/20)  in W/m]"),
        INDIRECT("tabelle1[Heizkörper_Typ]"), "Flachheizkoerper_senkrecht_profiliert",
        INDIRECT("tabelle1[Heizkörper_Subtyp]"), "Typ_33",
        INDIRECT("tabelle1[Höhe H in mm]"), P$13,
        INDIRECT("tabelle1[Bautiefe T in mm]"), 155
    ) * P$14 / 1000 * ((P$20 / Log_ÜT_Norm) ^ SUMIFS(
        INDIRECT("tabelle1[Heizkörperexponent n ]"),
        INDIRECT("tabelle1[Heizkörper_Typ]"), "Flachheizkoerper_senkrecht_profiliert",
        INDIRECT("tabelle1[Heizkörper_Subtyp]"), "Typ_33",
        INDIRECT("tabelle1[Höhe H in mm]"), P$13,
        INDIRECT("tabelle1[Bautiefe T in mm]"), 155
    )),
    IF(_xlpm.leistung &gt; 0, _xlpm.leistung, 0)
)</f>
        <v>0</v>
      </c>
      <c r="Q22" s="79">
        <f ca="1">_xlfn.LET(
    _xlpm.leistung, IN_rooms!Y$55 * SUMIFS(
        INDIRECT("tabelle1[Wärmeleistung (75/65/20)  in W/m]"),
        INDIRECT("tabelle1[Heizkörper_Typ]"), "Flachheizkoerper_senkrecht_profiliert",
        INDIRECT("tabelle1[Heizkörper_Subtyp]"), "Typ_33",
        INDIRECT("tabelle1[Höhe H in mm]"), Q$13,
        INDIRECT("tabelle1[Bautiefe T in mm]"), 155
    ) * Q$14 / 1000 * ((Q$20 / Log_ÜT_Norm) ^ SUMIFS(
        INDIRECT("tabelle1[Heizkörperexponent n ]"),
        INDIRECT("tabelle1[Heizkörper_Typ]"), "Flachheizkoerper_senkrecht_profiliert",
        INDIRECT("tabelle1[Heizkörper_Subtyp]"), "Typ_33",
        INDIRECT("tabelle1[Höhe H in mm]"), Q$13,
        INDIRECT("tabelle1[Bautiefe T in mm]"), 155
    )),
    IF(_xlpm.leistung &gt; 0, _xlpm.leistung, 0)
)</f>
        <v>0</v>
      </c>
      <c r="R22" s="79">
        <f ca="1">_xlfn.LET(
    _xlpm.leistung, IN_rooms!Z$55 * SUMIFS(
        INDIRECT("tabelle1[Wärmeleistung (75/65/20)  in W/m]"),
        INDIRECT("tabelle1[Heizkörper_Typ]"), "Flachheizkoerper_senkrecht_profiliert",
        INDIRECT("tabelle1[Heizkörper_Subtyp]"), "Typ_33",
        INDIRECT("tabelle1[Höhe H in mm]"), R$13,
        INDIRECT("tabelle1[Bautiefe T in mm]"), 155
    ) * R$14 / 1000 * ((R$20 / Log_ÜT_Norm) ^ SUMIFS(
        INDIRECT("tabelle1[Heizkörperexponent n ]"),
        INDIRECT("tabelle1[Heizkörper_Typ]"), "Flachheizkoerper_senkrecht_profiliert",
        INDIRECT("tabelle1[Heizkörper_Subtyp]"), "Typ_33",
        INDIRECT("tabelle1[Höhe H in mm]"), R$13,
        INDIRECT("tabelle1[Bautiefe T in mm]"), 155
    )),
    IF(_xlpm.leistung &gt; 0, _xlpm.leistung, 0)
)</f>
        <v>0</v>
      </c>
      <c r="S22" s="79">
        <f ca="1">_xlfn.LET(
    _xlpm.leistung, IN_rooms!AA$55 * SUMIFS(
        INDIRECT("tabelle1[Wärmeleistung (75/65/20)  in W/m]"),
        INDIRECT("tabelle1[Heizkörper_Typ]"), "Flachheizkoerper_senkrecht_profiliert",
        INDIRECT("tabelle1[Heizkörper_Subtyp]"), "Typ_33",
        INDIRECT("tabelle1[Höhe H in mm]"), S$13,
        INDIRECT("tabelle1[Bautiefe T in mm]"), 155
    ) * S$14 / 1000 * ((S$20 / Log_ÜT_Norm) ^ SUMIFS(
        INDIRECT("tabelle1[Heizkörperexponent n ]"),
        INDIRECT("tabelle1[Heizkörper_Typ]"), "Flachheizkoerper_senkrecht_profiliert",
        INDIRECT("tabelle1[Heizkörper_Subtyp]"), "Typ_33",
        INDIRECT("tabelle1[Höhe H in mm]"), S$13,
        INDIRECT("tabelle1[Bautiefe T in mm]"), 155
    )),
    IF(_xlpm.leistung &gt; 0, _xlpm.leistung, 0)
)</f>
        <v>0</v>
      </c>
      <c r="T22" s="79">
        <f ca="1">_xlfn.LET(
    _xlpm.leistung, IN_rooms!AB$55 * SUMIFS(
        INDIRECT("tabelle1[Wärmeleistung (75/65/20)  in W/m]"),
        INDIRECT("tabelle1[Heizkörper_Typ]"), "Flachheizkoerper_senkrecht_profiliert",
        INDIRECT("tabelle1[Heizkörper_Subtyp]"), "Typ_33",
        INDIRECT("tabelle1[Höhe H in mm]"), T$13,
        INDIRECT("tabelle1[Bautiefe T in mm]"), 155
    ) * T$14 / 1000 * ((T$20 / Log_ÜT_Norm) ^ SUMIFS(
        INDIRECT("tabelle1[Heizkörperexponent n ]"),
        INDIRECT("tabelle1[Heizkörper_Typ]"), "Flachheizkoerper_senkrecht_profiliert",
        INDIRECT("tabelle1[Heizkörper_Subtyp]"), "Typ_33",
        INDIRECT("tabelle1[Höhe H in mm]"), T$13,
        INDIRECT("tabelle1[Bautiefe T in mm]"), 155
    )),
    IF(_xlpm.leistung &gt; 0, _xlpm.leistung, 0)
)</f>
        <v>0</v>
      </c>
      <c r="U22" s="79">
        <f ca="1">_xlfn.LET(
    _xlpm.leistung, IN_rooms!AC$55 * SUMIFS(
        INDIRECT("tabelle1[Wärmeleistung (75/65/20)  in W/m]"),
        INDIRECT("tabelle1[Heizkörper_Typ]"), "Flachheizkoerper_senkrecht_profiliert",
        INDIRECT("tabelle1[Heizkörper_Subtyp]"), "Typ_33",
        INDIRECT("tabelle1[Höhe H in mm]"), U$13,
        INDIRECT("tabelle1[Bautiefe T in mm]"), 155
    ) * U$14 / 1000 * ((U$20 / Log_ÜT_Norm) ^ SUMIFS(
        INDIRECT("tabelle1[Heizkörperexponent n ]"),
        INDIRECT("tabelle1[Heizkörper_Typ]"), "Flachheizkoerper_senkrecht_profiliert",
        INDIRECT("tabelle1[Heizkörper_Subtyp]"), "Typ_33",
        INDIRECT("tabelle1[Höhe H in mm]"), U$13,
        INDIRECT("tabelle1[Bautiefe T in mm]"), 155
    )),
    IF(_xlpm.leistung &gt; 0, _xlpm.leistung, 0)
)</f>
        <v>0</v>
      </c>
      <c r="V22" s="79">
        <f ca="1">_xlfn.LET(
    _xlpm.leistung, IN_rooms!AD$55 * SUMIFS(
        INDIRECT("tabelle1[Wärmeleistung (75/65/20)  in W/m]"),
        INDIRECT("tabelle1[Heizkörper_Typ]"), "Flachheizkoerper_senkrecht_profiliert",
        INDIRECT("tabelle1[Heizkörper_Subtyp]"), "Typ_33",
        INDIRECT("tabelle1[Höhe H in mm]"), V$13,
        INDIRECT("tabelle1[Bautiefe T in mm]"), 155
    ) * V$14 / 1000 * ((V$20 / Log_ÜT_Norm) ^ SUMIFS(
        INDIRECT("tabelle1[Heizkörperexponent n ]"),
        INDIRECT("tabelle1[Heizkörper_Typ]"), "Flachheizkoerper_senkrecht_profiliert",
        INDIRECT("tabelle1[Heizkörper_Subtyp]"), "Typ_33",
        INDIRECT("tabelle1[Höhe H in mm]"), V$13,
        INDIRECT("tabelle1[Bautiefe T in mm]"), 155
    )),
    IF(_xlpm.leistung &gt; 0, _xlpm.leistung, 0)
)</f>
        <v>0</v>
      </c>
      <c r="W22" s="79">
        <f ca="1">_xlfn.LET(
    _xlpm.leistung, IN_rooms!AE$55 * SUMIFS(
        INDIRECT("tabelle1[Wärmeleistung (75/65/20)  in W/m]"),
        INDIRECT("tabelle1[Heizkörper_Typ]"), "Flachheizkoerper_senkrecht_profiliert",
        INDIRECT("tabelle1[Heizkörper_Subtyp]"), "Typ_33",
        INDIRECT("tabelle1[Höhe H in mm]"), W$13,
        INDIRECT("tabelle1[Bautiefe T in mm]"), 155
    ) * W$14 / 1000 * ((W$20 / Log_ÜT_Norm) ^ SUMIFS(
        INDIRECT("tabelle1[Heizkörperexponent n ]"),
        INDIRECT("tabelle1[Heizkörper_Typ]"), "Flachheizkoerper_senkrecht_profiliert",
        INDIRECT("tabelle1[Heizkörper_Subtyp]"), "Typ_33",
        INDIRECT("tabelle1[Höhe H in mm]"), W$13,
        INDIRECT("tabelle1[Bautiefe T in mm]"), 155
    )),
    IF(_xlpm.leistung &gt; 0, _xlpm.leistung, 0)
)</f>
        <v>0</v>
      </c>
      <c r="X22" s="79">
        <f ca="1">_xlfn.LET(
    _xlpm.leistung, IN_rooms!AF$55 * SUMIFS(
        INDIRECT("tabelle1[Wärmeleistung (75/65/20)  in W/m]"),
        INDIRECT("tabelle1[Heizkörper_Typ]"), "Flachheizkoerper_senkrecht_profiliert",
        INDIRECT("tabelle1[Heizkörper_Subtyp]"), "Typ_33",
        INDIRECT("tabelle1[Höhe H in mm]"), X$13,
        INDIRECT("tabelle1[Bautiefe T in mm]"), 155
    ) * X$14 / 1000 * ((X$20 / Log_ÜT_Norm) ^ SUMIFS(
        INDIRECT("tabelle1[Heizkörperexponent n ]"),
        INDIRECT("tabelle1[Heizkörper_Typ]"), "Flachheizkoerper_senkrecht_profiliert",
        INDIRECT("tabelle1[Heizkörper_Subtyp]"), "Typ_33",
        INDIRECT("tabelle1[Höhe H in mm]"), X$13,
        INDIRECT("tabelle1[Bautiefe T in mm]"), 155
    )),
    IF(_xlpm.leistung &gt; 0, _xlpm.leistung, 0)
)</f>
        <v>0</v>
      </c>
    </row>
    <row r="23" spans="2:24" ht="15.75" customHeight="1" thickBot="1" x14ac:dyDescent="0.3">
      <c r="B23" s="198" t="s">
        <v>387</v>
      </c>
      <c r="C23" s="198" t="s">
        <v>612</v>
      </c>
      <c r="D23" s="198" t="s">
        <v>211</v>
      </c>
      <c r="E23" s="198" t="s">
        <v>797</v>
      </c>
      <c r="F23" s="198"/>
      <c r="J23" s="21" t="str">
        <f>IF(IN_rooms!R$49="Gliederheizkörper",IN_rooms!R$49,"")</f>
        <v/>
      </c>
      <c r="K23" s="21" t="str">
        <f>IF(IN_rooms!S$49="Gliederheizkörper",IN_rooms!S$49,"")</f>
        <v/>
      </c>
      <c r="L23" s="21" t="str">
        <f>IF(IN_rooms!T$49="Gliederheizkörper",IN_rooms!T$49,"")</f>
        <v/>
      </c>
      <c r="M23" s="21" t="str">
        <f>IF(IN_rooms!U$49="Gliederheizkörper",IN_rooms!U$49,"")</f>
        <v/>
      </c>
      <c r="N23" s="21" t="str">
        <f>IF(IN_rooms!V$49="Gliederheizkörper",IN_rooms!V$49,"")</f>
        <v/>
      </c>
      <c r="O23" s="21" t="str">
        <f>IF(IN_rooms!W$49="Gliederheizkörper",IN_rooms!W$49,"")</f>
        <v/>
      </c>
      <c r="P23" s="21" t="str">
        <f>IF(IN_rooms!X$49="Gliederheizkörper",IN_rooms!X$49,"")</f>
        <v/>
      </c>
      <c r="Q23" s="21" t="str">
        <f>IF(IN_rooms!Y$49="Gliederheizkörper",IN_rooms!Y$49,"")</f>
        <v/>
      </c>
      <c r="R23" s="21" t="str">
        <f>IF(IN_rooms!Z$49="Gliederheizkörper",IN_rooms!Z$49,"")</f>
        <v/>
      </c>
      <c r="S23" s="21" t="str">
        <f>IF(IN_rooms!AA$49="Gliederheizkörper",IN_rooms!AA$49,"")</f>
        <v/>
      </c>
      <c r="T23" s="21" t="str">
        <f>IF(IN_rooms!AB$49="Gliederheizkörper",IN_rooms!AB$49,"")</f>
        <v/>
      </c>
      <c r="U23" s="21" t="str">
        <f>IF(IN_rooms!AC$49="Gliederheizkörper",IN_rooms!AC$49,"")</f>
        <v/>
      </c>
      <c r="V23" s="21" t="str">
        <f>IF(IN_rooms!AD$49="Gliederheizkörper",IN_rooms!AD$49,"")</f>
        <v/>
      </c>
      <c r="W23" s="21" t="str">
        <f>IF(IN_rooms!AE$49="Gliederheizkörper",IN_rooms!AE$49,"")</f>
        <v/>
      </c>
      <c r="X23" s="21" t="str">
        <f>IF(IN_rooms!AF$49="Gliederheizkörper",IN_rooms!AF$49,"")</f>
        <v/>
      </c>
    </row>
    <row r="24" spans="2:24" ht="15.75" thickBot="1" x14ac:dyDescent="0.3">
      <c r="B24" s="198" t="s">
        <v>776</v>
      </c>
      <c r="C24" s="198" t="s">
        <v>612</v>
      </c>
      <c r="D24" s="198" t="s">
        <v>211</v>
      </c>
      <c r="E24" s="198" t="s">
        <v>798</v>
      </c>
      <c r="F24" s="198"/>
      <c r="J24" s="21">
        <f>IN_rooms!R$50</f>
        <v>0</v>
      </c>
      <c r="K24" s="21">
        <f>IN_rooms!S$50</f>
        <v>0</v>
      </c>
      <c r="L24" s="21">
        <f>IN_rooms!T$50</f>
        <v>0</v>
      </c>
      <c r="M24" s="21">
        <f>IN_rooms!U$50</f>
        <v>0</v>
      </c>
      <c r="N24" s="21">
        <f>IN_rooms!V$50</f>
        <v>0</v>
      </c>
      <c r="O24" s="21">
        <f>IN_rooms!W$50</f>
        <v>0</v>
      </c>
      <c r="P24" s="21">
        <f>IN_rooms!X$50</f>
        <v>0</v>
      </c>
      <c r="Q24" s="21">
        <f>IN_rooms!Y$50</f>
        <v>0</v>
      </c>
      <c r="R24" s="21">
        <f>IN_rooms!Z$50</f>
        <v>0</v>
      </c>
      <c r="S24" s="21">
        <f>IN_rooms!AA$50</f>
        <v>0</v>
      </c>
      <c r="T24" s="21">
        <f>IN_rooms!AB$50</f>
        <v>0</v>
      </c>
      <c r="U24" s="21">
        <f>IN_rooms!AC$50</f>
        <v>0</v>
      </c>
      <c r="V24" s="21">
        <f>IN_rooms!AD$50</f>
        <v>0</v>
      </c>
      <c r="W24" s="21">
        <f>IN_rooms!AE$50</f>
        <v>0</v>
      </c>
      <c r="X24" s="21">
        <f>IN_rooms!AF$50</f>
        <v>0</v>
      </c>
    </row>
    <row r="25" spans="2:24" ht="15.75" thickBot="1" x14ac:dyDescent="0.3">
      <c r="B25" s="198" t="s">
        <v>382</v>
      </c>
      <c r="C25" s="198" t="s">
        <v>612</v>
      </c>
      <c r="D25" s="198" t="s">
        <v>211</v>
      </c>
      <c r="E25" s="198" t="s">
        <v>799</v>
      </c>
      <c r="F25" s="198" t="s">
        <v>431</v>
      </c>
      <c r="J25" s="21">
        <f>IN_rooms!R$51</f>
        <v>0</v>
      </c>
      <c r="K25" s="21">
        <f>IN_rooms!S$51</f>
        <v>0</v>
      </c>
      <c r="L25" s="21">
        <f>IN_rooms!T$51</f>
        <v>0</v>
      </c>
      <c r="M25" s="21">
        <f>IN_rooms!U$51</f>
        <v>0</v>
      </c>
      <c r="N25" s="21">
        <f>IN_rooms!V$51</f>
        <v>0</v>
      </c>
      <c r="O25" s="21">
        <f>IN_rooms!W$51</f>
        <v>0</v>
      </c>
      <c r="P25" s="21">
        <f>IN_rooms!X$51</f>
        <v>0</v>
      </c>
      <c r="Q25" s="21">
        <f>IN_rooms!Y$51</f>
        <v>0</v>
      </c>
      <c r="R25" s="21">
        <f>IN_rooms!Z$51</f>
        <v>0</v>
      </c>
      <c r="S25" s="21">
        <f>IN_rooms!AA$51</f>
        <v>0</v>
      </c>
      <c r="T25" s="21">
        <f>IN_rooms!AB$51</f>
        <v>0</v>
      </c>
      <c r="U25" s="21">
        <f>IN_rooms!AC$51</f>
        <v>0</v>
      </c>
      <c r="V25" s="21">
        <f>IN_rooms!AD$51</f>
        <v>0</v>
      </c>
      <c r="W25" s="21">
        <f>IN_rooms!AE$51</f>
        <v>0</v>
      </c>
      <c r="X25" s="21">
        <f>IN_rooms!AF$51</f>
        <v>0</v>
      </c>
    </row>
    <row r="26" spans="2:24" ht="15.75" thickBot="1" x14ac:dyDescent="0.3">
      <c r="B26" s="198" t="s">
        <v>390</v>
      </c>
      <c r="C26" s="198" t="s">
        <v>612</v>
      </c>
      <c r="D26" s="198" t="s">
        <v>211</v>
      </c>
      <c r="E26" s="198" t="s">
        <v>800</v>
      </c>
      <c r="F26" s="198" t="s">
        <v>431</v>
      </c>
      <c r="J26" s="21">
        <f>IN_rooms!R$53</f>
        <v>0</v>
      </c>
      <c r="K26" s="21">
        <f>IN_rooms!S$53</f>
        <v>0</v>
      </c>
      <c r="L26" s="21">
        <f>IN_rooms!T$53</f>
        <v>0</v>
      </c>
      <c r="M26" s="21">
        <f>IN_rooms!U$53</f>
        <v>0</v>
      </c>
      <c r="N26" s="21">
        <f>IN_rooms!V$53</f>
        <v>0</v>
      </c>
      <c r="O26" s="21">
        <f>IN_rooms!W$53</f>
        <v>0</v>
      </c>
      <c r="P26" s="21">
        <f>IN_rooms!X$53</f>
        <v>0</v>
      </c>
      <c r="Q26" s="21">
        <f>IN_rooms!Y$53</f>
        <v>0</v>
      </c>
      <c r="R26" s="21">
        <f>IN_rooms!Z$53</f>
        <v>0</v>
      </c>
      <c r="S26" s="21">
        <f>IN_rooms!AA$53</f>
        <v>0</v>
      </c>
      <c r="T26" s="21">
        <f>IN_rooms!AB$53</f>
        <v>0</v>
      </c>
      <c r="U26" s="21">
        <f>IN_rooms!AC$53</f>
        <v>0</v>
      </c>
      <c r="V26" s="21">
        <f>IN_rooms!AD$53</f>
        <v>0</v>
      </c>
      <c r="W26" s="21">
        <f>IN_rooms!AE$53</f>
        <v>0</v>
      </c>
      <c r="X26" s="21">
        <f>IN_rooms!AF$53</f>
        <v>0</v>
      </c>
    </row>
    <row r="27" spans="2:24" ht="15.75" thickBot="1" x14ac:dyDescent="0.3">
      <c r="B27" s="198" t="s">
        <v>391</v>
      </c>
      <c r="C27" s="198" t="s">
        <v>612</v>
      </c>
      <c r="D27" s="198" t="s">
        <v>211</v>
      </c>
      <c r="E27" s="198" t="s">
        <v>801</v>
      </c>
      <c r="F27" s="198" t="s">
        <v>802</v>
      </c>
      <c r="J27" s="21">
        <f>IN_rooms!R$54</f>
        <v>0</v>
      </c>
      <c r="K27" s="21">
        <f>IN_rooms!S$54</f>
        <v>0</v>
      </c>
      <c r="L27" s="21">
        <f>IN_rooms!T$54</f>
        <v>0</v>
      </c>
      <c r="M27" s="21">
        <f>IN_rooms!U$54</f>
        <v>0</v>
      </c>
      <c r="N27" s="21">
        <f>IN_rooms!V$54</f>
        <v>0</v>
      </c>
      <c r="O27" s="21">
        <f>IN_rooms!W$54</f>
        <v>0</v>
      </c>
      <c r="P27" s="21">
        <f>IN_rooms!X$54</f>
        <v>0</v>
      </c>
      <c r="Q27" s="21">
        <f>IN_rooms!Y$54</f>
        <v>0</v>
      </c>
      <c r="R27" s="21">
        <f>IN_rooms!Z$54</f>
        <v>0</v>
      </c>
      <c r="S27" s="21">
        <f>IN_rooms!AA$54</f>
        <v>0</v>
      </c>
      <c r="T27" s="21">
        <f>IN_rooms!AB$54</f>
        <v>0</v>
      </c>
      <c r="U27" s="21">
        <f>IN_rooms!AC$54</f>
        <v>0</v>
      </c>
      <c r="V27" s="21">
        <f>IN_rooms!AD$54</f>
        <v>0</v>
      </c>
      <c r="W27" s="21">
        <f>IN_rooms!AE$54</f>
        <v>0</v>
      </c>
      <c r="X27" s="21">
        <f>IN_rooms!AF$54</f>
        <v>0</v>
      </c>
    </row>
    <row r="28" spans="2:24" ht="15.75" thickBot="1" x14ac:dyDescent="0.3">
      <c r="B28" s="198" t="s">
        <v>781</v>
      </c>
      <c r="C28" s="198" t="s">
        <v>612</v>
      </c>
      <c r="D28" s="198" t="s">
        <v>211</v>
      </c>
      <c r="E28" s="198" t="s">
        <v>625</v>
      </c>
      <c r="F28" s="198"/>
      <c r="J28" s="21">
        <f>1.3</f>
        <v>1.3</v>
      </c>
      <c r="K28" s="21">
        <f t="shared" ref="K28:X28" si="4">1.3</f>
        <v>1.3</v>
      </c>
      <c r="L28" s="21">
        <f t="shared" si="4"/>
        <v>1.3</v>
      </c>
      <c r="M28" s="21">
        <f t="shared" si="4"/>
        <v>1.3</v>
      </c>
      <c r="N28" s="21">
        <f t="shared" si="4"/>
        <v>1.3</v>
      </c>
      <c r="O28" s="21">
        <f t="shared" si="4"/>
        <v>1.3</v>
      </c>
      <c r="P28" s="21">
        <f t="shared" si="4"/>
        <v>1.3</v>
      </c>
      <c r="Q28" s="21">
        <f t="shared" si="4"/>
        <v>1.3</v>
      </c>
      <c r="R28" s="21">
        <f t="shared" si="4"/>
        <v>1.3</v>
      </c>
      <c r="S28" s="21">
        <f t="shared" si="4"/>
        <v>1.3</v>
      </c>
      <c r="T28" s="21">
        <f t="shared" si="4"/>
        <v>1.3</v>
      </c>
      <c r="U28" s="21">
        <f t="shared" si="4"/>
        <v>1.3</v>
      </c>
      <c r="V28" s="21">
        <f t="shared" si="4"/>
        <v>1.3</v>
      </c>
      <c r="W28" s="21">
        <f t="shared" si="4"/>
        <v>1.3</v>
      </c>
      <c r="X28" s="21">
        <f t="shared" si="4"/>
        <v>1.3</v>
      </c>
    </row>
    <row r="29" spans="2:24" ht="15.75" thickBot="1" x14ac:dyDescent="0.3">
      <c r="B29" s="198" t="s">
        <v>783</v>
      </c>
      <c r="C29" s="198" t="s">
        <v>612</v>
      </c>
      <c r="D29" s="198" t="s">
        <v>211</v>
      </c>
      <c r="E29" s="198" t="s">
        <v>803</v>
      </c>
      <c r="F29" s="198" t="s">
        <v>112</v>
      </c>
      <c r="J29" s="21">
        <f ca="1">_xlfn.LET(
    _xlpm.wärmeleistung, SUMIFS(
        INDIRECT("tabelle1[Wärmeleistung (75/65/20)  in W/Glied]"),
        INDIRECT("tabelle1[Heizkörper_Typ]"), clc_power!J$23,
        INDIRECT("tabelle1[Heizkörper_Subtyp]"), clc_power!J$24,
        INDIRECT("tabelle1[Höhe H in mm]"), clc_power!J$25,
        INDIRECT("tabelle1[Bautiefe T in mm]"), clc_power!J$26
    ),
    _xlpm.leistung, IN_rooms!R$55 * _xlpm.wärmeleistung * J$27,
    IF(_xlpm.leistung &gt; 0, _xlpm.leistung, 0)
)</f>
        <v>0</v>
      </c>
      <c r="K29" s="21">
        <f ca="1">_xlfn.LET(
    _xlpm.wärmeleistung, SUMIFS(
        INDIRECT("tabelle1[Wärmeleistung (75/65/20)  in W/Glied]"),
        INDIRECT("tabelle1[Heizkörper_Typ]"), clc_power!K$23,
        INDIRECT("tabelle1[Heizkörper_Subtyp]"), clc_power!K$24,
        INDIRECT("tabelle1[Höhe H in mm]"), clc_power!K$25,
        INDIRECT("tabelle1[Bautiefe T in mm]"), clc_power!K$26
    ),
    _xlpm.leistung, IN_rooms!S$55 * _xlpm.wärmeleistung * K$27,
    IF(_xlpm.leistung &gt; 0, _xlpm.leistung, 0)
)</f>
        <v>0</v>
      </c>
      <c r="L29" s="21">
        <f ca="1">_xlfn.LET(
    _xlpm.wärmeleistung, SUMIFS(
        INDIRECT("tabelle1[Wärmeleistung (75/65/20)  in W/Glied]"),
        INDIRECT("tabelle1[Heizkörper_Typ]"), clc_power!L$23,
        INDIRECT("tabelle1[Heizkörper_Subtyp]"), clc_power!L$24,
        INDIRECT("tabelle1[Höhe H in mm]"), clc_power!L$25,
        INDIRECT("tabelle1[Bautiefe T in mm]"), clc_power!L$26
    ),
    _xlpm.leistung, IN_rooms!T$55 * _xlpm.wärmeleistung * L$27,
    IF(_xlpm.leistung &gt; 0, _xlpm.leistung, 0)
)</f>
        <v>0</v>
      </c>
      <c r="M29" s="21">
        <f ca="1">_xlfn.LET(
    _xlpm.wärmeleistung, SUMIFS(
        INDIRECT("tabelle1[Wärmeleistung (75/65/20)  in W/Glied]"),
        INDIRECT("tabelle1[Heizkörper_Typ]"), clc_power!M$23,
        INDIRECT("tabelle1[Heizkörper_Subtyp]"), clc_power!M$24,
        INDIRECT("tabelle1[Höhe H in mm]"), clc_power!M$25,
        INDIRECT("tabelle1[Bautiefe T in mm]"), clc_power!M$26
    ),
    _xlpm.leistung, IN_rooms!U$55 * _xlpm.wärmeleistung * M$27,
    IF(_xlpm.leistung &gt; 0, _xlpm.leistung, 0)
)</f>
        <v>0</v>
      </c>
      <c r="N29" s="21">
        <f ca="1">_xlfn.LET(
    _xlpm.wärmeleistung, SUMIFS(
        INDIRECT("tabelle1[Wärmeleistung (75/65/20)  in W/Glied]"),
        INDIRECT("tabelle1[Heizkörper_Typ]"), clc_power!N$23,
        INDIRECT("tabelle1[Heizkörper_Subtyp]"), clc_power!N$24,
        INDIRECT("tabelle1[Höhe H in mm]"), clc_power!N$25,
        INDIRECT("tabelle1[Bautiefe T in mm]"), clc_power!N$26
    ),
    _xlpm.leistung, IN_rooms!V$55 * _xlpm.wärmeleistung * N$27,
    IF(_xlpm.leistung &gt; 0, _xlpm.leistung, 0)
)</f>
        <v>0</v>
      </c>
      <c r="O29" s="21">
        <f ca="1">_xlfn.LET(
    _xlpm.wärmeleistung, SUMIFS(
        INDIRECT("tabelle1[Wärmeleistung (75/65/20)  in W/Glied]"),
        INDIRECT("tabelle1[Heizkörper_Typ]"), clc_power!O$23,
        INDIRECT("tabelle1[Heizkörper_Subtyp]"), clc_power!O$24,
        INDIRECT("tabelle1[Höhe H in mm]"), clc_power!O$25,
        INDIRECT("tabelle1[Bautiefe T in mm]"), clc_power!O$26
    ),
    _xlpm.leistung, IN_rooms!W$55 * _xlpm.wärmeleistung * O$27,
    IF(_xlpm.leistung &gt; 0, _xlpm.leistung, 0)
)</f>
        <v>0</v>
      </c>
      <c r="P29" s="21">
        <f ca="1">_xlfn.LET(
    _xlpm.wärmeleistung, SUMIFS(
        INDIRECT("tabelle1[Wärmeleistung (75/65/20)  in W/Glied]"),
        INDIRECT("tabelle1[Heizkörper_Typ]"), clc_power!P$23,
        INDIRECT("tabelle1[Heizkörper_Subtyp]"), clc_power!P$24,
        INDIRECT("tabelle1[Höhe H in mm]"), clc_power!P$25,
        INDIRECT("tabelle1[Bautiefe T in mm]"), clc_power!P$26
    ),
    _xlpm.leistung, IN_rooms!X$55 * _xlpm.wärmeleistung * P$27,
    IF(_xlpm.leistung &gt; 0, _xlpm.leistung, 0)
)</f>
        <v>0</v>
      </c>
      <c r="Q29" s="21">
        <f ca="1">_xlfn.LET(
    _xlpm.wärmeleistung, SUMIFS(
        INDIRECT("tabelle1[Wärmeleistung (75/65/20)  in W/Glied]"),
        INDIRECT("tabelle1[Heizkörper_Typ]"), clc_power!Q$23,
        INDIRECT("tabelle1[Heizkörper_Subtyp]"), clc_power!Q$24,
        INDIRECT("tabelle1[Höhe H in mm]"), clc_power!Q$25,
        INDIRECT("tabelle1[Bautiefe T in mm]"), clc_power!Q$26
    ),
    _xlpm.leistung, IN_rooms!Y$55 * _xlpm.wärmeleistung * Q$27,
    IF(_xlpm.leistung &gt; 0, _xlpm.leistung, 0)
)</f>
        <v>0</v>
      </c>
      <c r="R29" s="21">
        <f ca="1">_xlfn.LET(
    _xlpm.wärmeleistung, SUMIFS(
        INDIRECT("tabelle1[Wärmeleistung (75/65/20)  in W/Glied]"),
        INDIRECT("tabelle1[Heizkörper_Typ]"), clc_power!R$23,
        INDIRECT("tabelle1[Heizkörper_Subtyp]"), clc_power!R$24,
        INDIRECT("tabelle1[Höhe H in mm]"), clc_power!R$25,
        INDIRECT("tabelle1[Bautiefe T in mm]"), clc_power!R$26
    ),
    _xlpm.leistung, IN_rooms!Z$55 * _xlpm.wärmeleistung * R$27,
    IF(_xlpm.leistung &gt; 0, _xlpm.leistung, 0)
)</f>
        <v>0</v>
      </c>
      <c r="S29" s="21">
        <f ca="1">_xlfn.LET(
    _xlpm.wärmeleistung, SUMIFS(
        INDIRECT("tabelle1[Wärmeleistung (75/65/20)  in W/Glied]"),
        INDIRECT("tabelle1[Heizkörper_Typ]"), clc_power!S$23,
        INDIRECT("tabelle1[Heizkörper_Subtyp]"), clc_power!S$24,
        INDIRECT("tabelle1[Höhe H in mm]"), clc_power!S$25,
        INDIRECT("tabelle1[Bautiefe T in mm]"), clc_power!S$26
    ),
    _xlpm.leistung, IN_rooms!AA$55 * _xlpm.wärmeleistung * S$27,
    IF(_xlpm.leistung &gt; 0, _xlpm.leistung, 0)
)</f>
        <v>0</v>
      </c>
      <c r="T29" s="21">
        <f ca="1">_xlfn.LET(
    _xlpm.wärmeleistung, SUMIFS(
        INDIRECT("tabelle1[Wärmeleistung (75/65/20)  in W/Glied]"),
        INDIRECT("tabelle1[Heizkörper_Typ]"), clc_power!T$23,
        INDIRECT("tabelle1[Heizkörper_Subtyp]"), clc_power!T$24,
        INDIRECT("tabelle1[Höhe H in mm]"), clc_power!T$25,
        INDIRECT("tabelle1[Bautiefe T in mm]"), clc_power!T$26
    ),
    _xlpm.leistung, IN_rooms!AB$55 * _xlpm.wärmeleistung * T$27,
    IF(_xlpm.leistung &gt; 0, _xlpm.leistung, 0)
)</f>
        <v>0</v>
      </c>
      <c r="U29" s="21">
        <f ca="1">_xlfn.LET(
    _xlpm.wärmeleistung, SUMIFS(
        INDIRECT("tabelle1[Wärmeleistung (75/65/20)  in W/Glied]"),
        INDIRECT("tabelle1[Heizkörper_Typ]"), clc_power!U$23,
        INDIRECT("tabelle1[Heizkörper_Subtyp]"), clc_power!U$24,
        INDIRECT("tabelle1[Höhe H in mm]"), clc_power!U$25,
        INDIRECT("tabelle1[Bautiefe T in mm]"), clc_power!U$26
    ),
    _xlpm.leistung, IN_rooms!AC$55 * _xlpm.wärmeleistung * U$27,
    IF(_xlpm.leistung &gt; 0, _xlpm.leistung, 0)
)</f>
        <v>0</v>
      </c>
      <c r="V29" s="21">
        <f ca="1">_xlfn.LET(
    _xlpm.wärmeleistung, SUMIFS(
        INDIRECT("tabelle1[Wärmeleistung (75/65/20)  in W/Glied]"),
        INDIRECT("tabelle1[Heizkörper_Typ]"), clc_power!V$23,
        INDIRECT("tabelle1[Heizkörper_Subtyp]"), clc_power!V$24,
        INDIRECT("tabelle1[Höhe H in mm]"), clc_power!V$25,
        INDIRECT("tabelle1[Bautiefe T in mm]"), clc_power!V$26
    ),
    _xlpm.leistung, IN_rooms!AD$55 * _xlpm.wärmeleistung * V$27,
    IF(_xlpm.leistung &gt; 0, _xlpm.leistung, 0)
)</f>
        <v>0</v>
      </c>
      <c r="W29" s="21">
        <f ca="1">_xlfn.LET(
    _xlpm.wärmeleistung, SUMIFS(
        INDIRECT("tabelle1[Wärmeleistung (75/65/20)  in W/Glied]"),
        INDIRECT("tabelle1[Heizkörper_Typ]"), clc_power!W$23,
        INDIRECT("tabelle1[Heizkörper_Subtyp]"), clc_power!W$24,
        INDIRECT("tabelle1[Höhe H in mm]"), clc_power!W$25,
        INDIRECT("tabelle1[Bautiefe T in mm]"), clc_power!W$26
    ),
    _xlpm.leistung, IN_rooms!AE$55 * _xlpm.wärmeleistung * W$27,
    IF(_xlpm.leistung &gt; 0, _xlpm.leistung, 0)
)</f>
        <v>0</v>
      </c>
      <c r="X29" s="21">
        <f ca="1">_xlfn.LET(
    _xlpm.wärmeleistung, SUMIFS(
        INDIRECT("tabelle1[Wärmeleistung (75/65/20)  in W/Glied]"),
        INDIRECT("tabelle1[Heizkörper_Typ]"), clc_power!X$23,
        INDIRECT("tabelle1[Heizkörper_Subtyp]"), clc_power!X$24,
        INDIRECT("tabelle1[Höhe H in mm]"), clc_power!X$25,
        INDIRECT("tabelle1[Bautiefe T in mm]"), clc_power!X$26
    ),
    _xlpm.leistung, IN_rooms!AF$55 * _xlpm.wärmeleistung * X$27,
    IF(_xlpm.leistung &gt; 0, _xlpm.leistung, 0)
)</f>
        <v>0</v>
      </c>
    </row>
    <row r="30" spans="2:24" ht="15.75" thickBot="1" x14ac:dyDescent="0.3">
      <c r="B30" s="198" t="s">
        <v>785</v>
      </c>
      <c r="C30" s="198" t="s">
        <v>612</v>
      </c>
      <c r="D30" s="198" t="s">
        <v>211</v>
      </c>
      <c r="E30" s="198" t="s">
        <v>804</v>
      </c>
      <c r="F30" s="198" t="s">
        <v>107</v>
      </c>
      <c r="J30" s="21">
        <f>TVL_Ziel</f>
        <v>55</v>
      </c>
      <c r="K30" s="21">
        <f t="shared" ref="K30:X30" si="5">TVL_Ziel</f>
        <v>55</v>
      </c>
      <c r="L30" s="21">
        <f t="shared" si="5"/>
        <v>55</v>
      </c>
      <c r="M30" s="21">
        <f t="shared" si="5"/>
        <v>55</v>
      </c>
      <c r="N30" s="21">
        <f t="shared" si="5"/>
        <v>55</v>
      </c>
      <c r="O30" s="21">
        <f t="shared" si="5"/>
        <v>55</v>
      </c>
      <c r="P30" s="21">
        <f t="shared" si="5"/>
        <v>55</v>
      </c>
      <c r="Q30" s="21">
        <f t="shared" si="5"/>
        <v>55</v>
      </c>
      <c r="R30" s="21">
        <f t="shared" si="5"/>
        <v>55</v>
      </c>
      <c r="S30" s="21">
        <f t="shared" si="5"/>
        <v>55</v>
      </c>
      <c r="T30" s="21">
        <f t="shared" si="5"/>
        <v>55</v>
      </c>
      <c r="U30" s="21">
        <f t="shared" si="5"/>
        <v>55</v>
      </c>
      <c r="V30" s="21">
        <f t="shared" si="5"/>
        <v>55</v>
      </c>
      <c r="W30" s="21">
        <f t="shared" si="5"/>
        <v>55</v>
      </c>
      <c r="X30" s="21">
        <f t="shared" si="5"/>
        <v>55</v>
      </c>
    </row>
    <row r="31" spans="2:24" ht="15.75" thickBot="1" x14ac:dyDescent="0.3">
      <c r="B31" s="198" t="s">
        <v>787</v>
      </c>
      <c r="C31" s="198" t="s">
        <v>612</v>
      </c>
      <c r="D31" s="198" t="s">
        <v>211</v>
      </c>
      <c r="E31" s="198" t="s">
        <v>805</v>
      </c>
      <c r="F31" s="198" t="s">
        <v>107</v>
      </c>
      <c r="J31" s="21">
        <f>TRL_Ziel</f>
        <v>45</v>
      </c>
      <c r="K31" s="21">
        <f t="shared" ref="K31:X31" si="6">TRL_Ziel</f>
        <v>45</v>
      </c>
      <c r="L31" s="21">
        <f t="shared" si="6"/>
        <v>45</v>
      </c>
      <c r="M31" s="21">
        <f t="shared" si="6"/>
        <v>45</v>
      </c>
      <c r="N31" s="21">
        <f t="shared" si="6"/>
        <v>45</v>
      </c>
      <c r="O31" s="21">
        <f t="shared" si="6"/>
        <v>45</v>
      </c>
      <c r="P31" s="21">
        <f t="shared" si="6"/>
        <v>45</v>
      </c>
      <c r="Q31" s="21">
        <f t="shared" si="6"/>
        <v>45</v>
      </c>
      <c r="R31" s="21">
        <f t="shared" si="6"/>
        <v>45</v>
      </c>
      <c r="S31" s="21">
        <f t="shared" si="6"/>
        <v>45</v>
      </c>
      <c r="T31" s="21">
        <f t="shared" si="6"/>
        <v>45</v>
      </c>
      <c r="U31" s="21">
        <f t="shared" si="6"/>
        <v>45</v>
      </c>
      <c r="V31" s="21">
        <f t="shared" si="6"/>
        <v>45</v>
      </c>
      <c r="W31" s="21">
        <f t="shared" si="6"/>
        <v>45</v>
      </c>
      <c r="X31" s="21">
        <f t="shared" si="6"/>
        <v>45</v>
      </c>
    </row>
    <row r="32" spans="2:24" ht="15.75" thickBot="1" x14ac:dyDescent="0.3">
      <c r="B32" s="198" t="s">
        <v>789</v>
      </c>
      <c r="C32" s="198" t="s">
        <v>612</v>
      </c>
      <c r="D32" s="198" t="s">
        <v>211</v>
      </c>
      <c r="E32" s="198" t="s">
        <v>806</v>
      </c>
      <c r="F32" s="198" t="s">
        <v>791</v>
      </c>
      <c r="J32" s="79">
        <f>(J$30-J$31)/(LN((J$30-clc_load!M$10)/(clc_power!J$31-clc_load!M$10)))</f>
        <v>29.720134119884619</v>
      </c>
      <c r="K32" s="79">
        <f>(K$30-K$31)/(LN((K$30-clc_load!N$10)/(clc_power!K$31-clc_load!N$10)))</f>
        <v>29.720134119884619</v>
      </c>
      <c r="L32" s="79">
        <f>(L$30-L$31)/(LN((L$30-clc_load!O$10)/(clc_power!L$31-clc_load!O$10)))</f>
        <v>29.720134119884619</v>
      </c>
      <c r="M32" s="79">
        <f>(M$30-M$31)/(LN((M$30-clc_load!P$10)/(clc_power!M$31-clc_load!P$10)))</f>
        <v>29.720134119884619</v>
      </c>
      <c r="N32" s="79">
        <f>(N$30-N$31)/(LN((N$30-clc_load!Q$10)/(clc_power!N$31-clc_load!Q$10)))</f>
        <v>29.720134119884619</v>
      </c>
      <c r="O32" s="79">
        <f>(O$30-O$31)/(LN((O$30-clc_load!R$10)/(clc_power!O$31-clc_load!R$10)))</f>
        <v>29.720134119884619</v>
      </c>
      <c r="P32" s="79">
        <f>(P$30-P$31)/(LN((P$30-clc_load!S$10)/(clc_power!P$31-clc_load!S$10)))</f>
        <v>29.720134119884619</v>
      </c>
      <c r="Q32" s="79">
        <f>(Q$30-Q$31)/(LN((Q$30-clc_load!T$10)/(clc_power!Q$31-clc_load!T$10)))</f>
        <v>29.720134119884619</v>
      </c>
      <c r="R32" s="79">
        <f>(R$30-R$31)/(LN((R$30-clc_load!U$10)/(clc_power!R$31-clc_load!U$10)))</f>
        <v>29.720134119884619</v>
      </c>
      <c r="S32" s="79">
        <f>(S$30-S$31)/(LN((S$30-clc_load!V$10)/(clc_power!S$31-clc_load!V$10)))</f>
        <v>29.720134119884619</v>
      </c>
      <c r="T32" s="79">
        <f>(T$30-T$31)/(LN((T$30-clc_load!W$10)/(clc_power!T$31-clc_load!W$10)))</f>
        <v>29.720134119884619</v>
      </c>
      <c r="U32" s="79">
        <f>(U$30-U$31)/(LN((U$30-clc_load!X$10)/(clc_power!U$31-clc_load!X$10)))</f>
        <v>29.720134119884619</v>
      </c>
      <c r="V32" s="79">
        <f>(V$30-V$31)/(LN((V$30-clc_load!Y$10)/(clc_power!V$31-clc_load!Y$10)))</f>
        <v>29.720134119884619</v>
      </c>
      <c r="W32" s="79">
        <f>(W$30-W$31)/(LN((W$30-clc_load!Z$10)/(clc_power!W$31-clc_load!Z$10)))</f>
        <v>29.720134119884619</v>
      </c>
      <c r="X32" s="79">
        <f>(X$30-X$31)/(LN((X$30-clc_load!AA$10)/(clc_power!X$31-clc_load!AA$10)))</f>
        <v>29.720134119884619</v>
      </c>
    </row>
    <row r="33" spans="2:24" ht="15.75" thickBot="1" x14ac:dyDescent="0.3">
      <c r="B33" s="198" t="s">
        <v>792</v>
      </c>
      <c r="C33" s="198" t="s">
        <v>612</v>
      </c>
      <c r="D33" s="198" t="s">
        <v>211</v>
      </c>
      <c r="E33" s="198" t="s">
        <v>807</v>
      </c>
      <c r="F33" s="198" t="s">
        <v>112</v>
      </c>
      <c r="J33" s="21">
        <f t="shared" ref="J33:X33" ca="1" si="7">IF(J$29*((J$32/Log_ÜT_Norm)^J$28)&gt;0,J$29*((J$32/Log_ÜT_Norm)^J$28),0)</f>
        <v>0</v>
      </c>
      <c r="K33" s="21">
        <f t="shared" ca="1" si="7"/>
        <v>0</v>
      </c>
      <c r="L33" s="21">
        <f t="shared" ca="1" si="7"/>
        <v>0</v>
      </c>
      <c r="M33" s="21">
        <f t="shared" ca="1" si="7"/>
        <v>0</v>
      </c>
      <c r="N33" s="21">
        <f t="shared" ca="1" si="7"/>
        <v>0</v>
      </c>
      <c r="O33" s="21">
        <f t="shared" ca="1" si="7"/>
        <v>0</v>
      </c>
      <c r="P33" s="21">
        <f t="shared" ca="1" si="7"/>
        <v>0</v>
      </c>
      <c r="Q33" s="21">
        <f t="shared" ca="1" si="7"/>
        <v>0</v>
      </c>
      <c r="R33" s="21">
        <f t="shared" ca="1" si="7"/>
        <v>0</v>
      </c>
      <c r="S33" s="21">
        <f t="shared" ca="1" si="7"/>
        <v>0</v>
      </c>
      <c r="T33" s="21">
        <f t="shared" ca="1" si="7"/>
        <v>0</v>
      </c>
      <c r="U33" s="21">
        <f t="shared" ca="1" si="7"/>
        <v>0</v>
      </c>
      <c r="V33" s="21">
        <f t="shared" ca="1" si="7"/>
        <v>0</v>
      </c>
      <c r="W33" s="21">
        <f t="shared" ca="1" si="7"/>
        <v>0</v>
      </c>
      <c r="X33" s="21">
        <f t="shared" ca="1" si="7"/>
        <v>0</v>
      </c>
    </row>
    <row r="34" spans="2:24" ht="15.75" thickBot="1" x14ac:dyDescent="0.3">
      <c r="B34" s="243" t="s">
        <v>794</v>
      </c>
      <c r="C34" s="243" t="s">
        <v>612</v>
      </c>
      <c r="D34" s="243" t="s">
        <v>795</v>
      </c>
      <c r="E34" s="243" t="s">
        <v>808</v>
      </c>
      <c r="F34" s="243" t="s">
        <v>112</v>
      </c>
      <c r="J34" s="79">
        <f ca="1">_xlfn.LET(
    _xlpm.typ, "Flachheizkoerper_senkrecht_profiliert",
    _xlpm.subtyp, "Typ_33",
    _xlpm.höhe, _xlfn.XLOOKUP(J$25, Data_radiator!$G$5:$G$32, Data_radiator!$G$5:$G$32, 1000000, 1, 1),
    _xlpm.tiefe, 155,
    _xlpm.glieder, J$27,
    _xlpm.radiatorart, J$24,
    _xlpm.tempfaktor, IF(_xlpm.radiatorart = "Gussradiator", 50, 60),
    _xlpm.überschuss, J$32,
    _xlpm.leistung, IN_rooms!R$55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34" s="79">
        <f ca="1">_xlfn.LET(
    _xlpm.typ, "Flachheizkoerper_senkrecht_profiliert",
    _xlpm.subtyp, "Typ_33",
    _xlpm.höhe, _xlfn.XLOOKUP(K$25, Data_radiator!$G$5:$G$32, Data_radiator!$G$5:$G$32, 1000000, 1, 1),
    _xlpm.tiefe, 155,
    _xlpm.glieder, K$27,
    _xlpm.radiatorart, K$24,
    _xlpm.tempfaktor, IF(_xlpm.radiatorart = "Gussradiator", 50, 60),
    _xlpm.überschuss, K$32,
    _xlpm.leistung, IN_rooms!S$55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L34" s="79">
        <f ca="1">_xlfn.LET(
    _xlpm.typ, "Flachheizkoerper_senkrecht_profiliert",
    _xlpm.subtyp, "Typ_33",
    _xlpm.höhe, _xlfn.XLOOKUP(L$25, Data_radiator!$G$5:$G$32, Data_radiator!$G$5:$G$32, 1000000, 1, 1),
    _xlpm.tiefe, 155,
    _xlpm.glieder, L$27,
    _xlpm.radiatorart, L$24,
    _xlpm.tempfaktor, IF(_xlpm.radiatorart = "Gussradiator", 50, 60),
    _xlpm.überschuss, L$32,
    _xlpm.leistung, IN_rooms!T$55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34" s="79">
        <f ca="1">_xlfn.LET(
    _xlpm.typ, "Flachheizkoerper_senkrecht_profiliert",
    _xlpm.subtyp, "Typ_33",
    _xlpm.höhe, _xlfn.XLOOKUP(M$25, Data_radiator!$G$5:$G$32, Data_radiator!$G$5:$G$32, 1000000, 1, 1),
    _xlpm.tiefe, 155,
    _xlpm.glieder, M$27,
    _xlpm.radiatorart, M$24,
    _xlpm.tempfaktor, IF(_xlpm.radiatorart = "Gussradiator", 50, 60),
    _xlpm.überschuss, M$32,
    _xlpm.leistung, IN_rooms!U$55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34" s="79">
        <f ca="1">_xlfn.LET(
    _xlpm.typ, "Flachheizkoerper_senkrecht_profiliert",
    _xlpm.subtyp, "Typ_33",
    _xlpm.höhe, _xlfn.XLOOKUP(N$25, Data_radiator!$G$5:$G$32, Data_radiator!$G$5:$G$32, 1000000, 1, 1),
    _xlpm.tiefe, 155,
    _xlpm.glieder, N$27,
    _xlpm.radiatorart, N$24,
    _xlpm.tempfaktor, IF(_xlpm.radiatorart = "Gussradiator", 50, 60),
    _xlpm.überschuss, N$32,
    _xlpm.leistung, IN_rooms!V$55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34" s="79">
        <f ca="1">_xlfn.LET(
    _xlpm.typ, "Flachheizkoerper_senkrecht_profiliert",
    _xlpm.subtyp, "Typ_33",
    _xlpm.höhe, _xlfn.XLOOKUP(O$25, Data_radiator!$G$5:$G$32, Data_radiator!$G$5:$G$32, 1000000, 1, 1),
    _xlpm.tiefe, 155,
    _xlpm.glieder, O$27,
    _xlpm.radiatorart, O$24,
    _xlpm.tempfaktor, IF(_xlpm.radiatorart = "Gussradiator", 50, 60),
    _xlpm.überschuss, O$32,
    _xlpm.leistung, IN_rooms!W$55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34" s="79">
        <f ca="1">_xlfn.LET(
    _xlpm.typ, "Flachheizkoerper_senkrecht_profiliert",
    _xlpm.subtyp, "Typ_33",
    _xlpm.höhe, _xlfn.XLOOKUP(P$25, Data_radiator!$G$5:$G$32, Data_radiator!$G$5:$G$32, 1000000, 1, 1),
    _xlpm.tiefe, 155,
    _xlpm.glieder, P$27,
    _xlpm.radiatorart, P$24,
    _xlpm.tempfaktor, IF(_xlpm.radiatorart = "Gussradiator", 50, 60),
    _xlpm.überschuss, P$32,
    _xlpm.leistung, IN_rooms!X$55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34" s="79">
        <f ca="1">_xlfn.LET(
    _xlpm.typ, "Flachheizkoerper_senkrecht_profiliert",
    _xlpm.subtyp, "Typ_33",
    _xlpm.höhe, _xlfn.XLOOKUP(Q$25, Data_radiator!$G$5:$G$32, Data_radiator!$G$5:$G$32, 1000000, 1, 1),
    _xlpm.tiefe, 155,
    _xlpm.glieder, Q$27,
    _xlpm.radiatorart, Q$24,
    _xlpm.tempfaktor, IF(_xlpm.radiatorart = "Gussradiator", 50, 60),
    _xlpm.überschuss, Q$32,
    _xlpm.leistung, IN_rooms!Y$55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34" s="79">
        <f ca="1">_xlfn.LET(
    _xlpm.typ, "Flachheizkoerper_senkrecht_profiliert",
    _xlpm.subtyp, "Typ_33",
    _xlpm.höhe, _xlfn.XLOOKUP(R$25, Data_radiator!$G$5:$G$32, Data_radiator!$G$5:$G$32, 1000000, 1, 1),
    _xlpm.tiefe, 155,
    _xlpm.glieder, R$27,
    _xlpm.radiatorart, R$24,
    _xlpm.tempfaktor, IF(_xlpm.radiatorart = "Gussradiator", 50, 60),
    _xlpm.überschuss, R$32,
    _xlpm.leistung, IN_rooms!Z$55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34" s="79">
        <f ca="1">_xlfn.LET(
    _xlpm.typ, "Flachheizkoerper_senkrecht_profiliert",
    _xlpm.subtyp, "Typ_33",
    _xlpm.höhe, _xlfn.XLOOKUP(S$25, Data_radiator!$G$5:$G$32, Data_radiator!$G$5:$G$32, 1000000, 1, 1),
    _xlpm.tiefe, 155,
    _xlpm.glieder, S$27,
    _xlpm.radiatorart, S$24,
    _xlpm.tempfaktor, IF(_xlpm.radiatorart = "Gussradiator", 50, 60),
    _xlpm.überschuss, S$32,
    _xlpm.leistung, IN_rooms!AA$55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34" s="79">
        <f ca="1">_xlfn.LET(
    _xlpm.typ, "Flachheizkoerper_senkrecht_profiliert",
    _xlpm.subtyp, "Typ_33",
    _xlpm.höhe, _xlfn.XLOOKUP(T$25, Data_radiator!$G$5:$G$32, Data_radiator!$G$5:$G$32, 1000000, 1, 1),
    _xlpm.tiefe, 155,
    _xlpm.glieder, T$27,
    _xlpm.radiatorart, T$24,
    _xlpm.tempfaktor, IF(_xlpm.radiatorart = "Gussradiator", 50, 60),
    _xlpm.überschuss, T$32,
    _xlpm.leistung, IN_rooms!AB$55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34" s="79">
        <f ca="1">_xlfn.LET(
    _xlpm.typ, "Flachheizkoerper_senkrecht_profiliert",
    _xlpm.subtyp, "Typ_33",
    _xlpm.höhe, _xlfn.XLOOKUP(U$25, Data_radiator!$G$5:$G$32, Data_radiator!$G$5:$G$32, 1000000, 1, 1),
    _xlpm.tiefe, 155,
    _xlpm.glieder, U$27,
    _xlpm.radiatorart, U$24,
    _xlpm.tempfaktor, IF(_xlpm.radiatorart = "Gussradiator", 50, 60),
    _xlpm.überschuss, U$32,
    _xlpm.leistung, IN_rooms!AC$55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V34" s="79">
        <f ca="1">_xlfn.LET(
    _xlpm.typ, "Flachheizkoerper_senkrecht_profiliert",
    _xlpm.subtyp, "Typ_33",
    _xlpm.höhe, _xlfn.XLOOKUP(V$25, Data_radiator!$G$5:$G$32, Data_radiator!$G$5:$G$32, 1000000, 1, 1),
    _xlpm.tiefe, 155,
    _xlpm.glieder, V$27,
    _xlpm.radiatorart, V$24,
    _xlpm.tempfaktor, IF(_xlpm.radiatorart = "Gussradiator", 50, 60),
    _xlpm.überschuss, V$32,
    _xlpm.leistung, IN_rooms!AD$55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W34" s="79">
        <f ca="1">_xlfn.LET(
    _xlpm.typ, "Flachheizkoerper_senkrecht_profiliert",
    _xlpm.subtyp, "Typ_33",
    _xlpm.höhe, _xlfn.XLOOKUP(W$25, Data_radiator!$G$5:$G$32, Data_radiator!$G$5:$G$32, 1000000, 1, 1),
    _xlpm.tiefe, 155,
    _xlpm.glieder, W$27,
    _xlpm.radiatorart, W$24,
    _xlpm.tempfaktor, IF(_xlpm.radiatorart = "Gussradiator", 50, 60),
    _xlpm.überschuss, W$32,
    _xlpm.leistung, IN_rooms!AE$55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X34" s="79">
        <f ca="1">_xlfn.LET(
    _xlpm.typ, "Flachheizkoerper_senkrecht_profiliert",
    _xlpm.subtyp, "Typ_33",
    _xlpm.höhe, _xlfn.XLOOKUP(X$25, Data_radiator!$G$5:$G$32, Data_radiator!$G$5:$G$32, 1000000, 1, 1),
    _xlpm.tiefe, 155,
    _xlpm.glieder, X$27,
    _xlpm.radiatorart, X$24,
    _xlpm.tempfaktor, IF(_xlpm.radiatorart = "Gussradiator", 50, 60),
    _xlpm.überschuss, X$32,
    _xlpm.leistung, IN_rooms!AF$55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35" spans="2:24" ht="15.75" thickBot="1" x14ac:dyDescent="0.3">
      <c r="B35" s="241" t="s">
        <v>387</v>
      </c>
      <c r="C35" s="241" t="s">
        <v>612</v>
      </c>
      <c r="D35" s="241" t="s">
        <v>215</v>
      </c>
      <c r="E35" s="241" t="s">
        <v>809</v>
      </c>
      <c r="F35" s="241"/>
      <c r="J35" s="21" t="str">
        <f>IF(IN_rooms!R$49="Rohrradiator",IN_rooms!R$49,"")</f>
        <v/>
      </c>
      <c r="K35" s="21" t="str">
        <f>IF(IN_rooms!S$49="Rohrradiator",IN_rooms!S$49,"")</f>
        <v/>
      </c>
      <c r="L35" s="21" t="str">
        <f>IF(IN_rooms!T$49="Rohrradiator",IN_rooms!T$49,"")</f>
        <v/>
      </c>
      <c r="M35" s="21" t="str">
        <f>IF(IN_rooms!U$49="Rohrradiator",IN_rooms!U$49,"")</f>
        <v/>
      </c>
      <c r="N35" s="21" t="str">
        <f>IF(IN_rooms!V$49="Rohrradiator",IN_rooms!V$49,"")</f>
        <v/>
      </c>
      <c r="O35" s="21" t="str">
        <f>IF(IN_rooms!W$49="Rohrradiator",IN_rooms!W$49,"")</f>
        <v/>
      </c>
      <c r="P35" s="21" t="str">
        <f>IF(IN_rooms!X$49="Rohrradiator",IN_rooms!X$49,"")</f>
        <v/>
      </c>
      <c r="Q35" s="21" t="str">
        <f>IF(IN_rooms!Y$49="Rohrradiator",IN_rooms!Y$49,"")</f>
        <v/>
      </c>
      <c r="R35" s="21" t="str">
        <f>IF(IN_rooms!Z$49="Rohrradiator",IN_rooms!Z$49,"")</f>
        <v/>
      </c>
      <c r="S35" s="21" t="str">
        <f>IF(IN_rooms!AA$49="Rohrradiator",IN_rooms!AA$49,"")</f>
        <v/>
      </c>
      <c r="T35" s="21" t="str">
        <f>IF(IN_rooms!AB$49="Rohrradiator",IN_rooms!AB$49,"")</f>
        <v/>
      </c>
      <c r="U35" s="21" t="str">
        <f>IF(IN_rooms!AC$49="Rohrradiator",IN_rooms!AC$49,"")</f>
        <v/>
      </c>
      <c r="V35" s="21" t="str">
        <f>IF(IN_rooms!AD$49="Rohrradiator",IN_rooms!AD$49,"")</f>
        <v/>
      </c>
      <c r="W35" s="21" t="str">
        <f>IF(IN_rooms!AE$49="Rohrradiator",IN_rooms!AE$49,"")</f>
        <v/>
      </c>
      <c r="X35" s="21" t="str">
        <f>IF(IN_rooms!AF$49="Rohrradiator",IN_rooms!AF$49,"")</f>
        <v/>
      </c>
    </row>
    <row r="36" spans="2:24" ht="15.75" thickBot="1" x14ac:dyDescent="0.3">
      <c r="B36" s="241" t="s">
        <v>776</v>
      </c>
      <c r="C36" s="241" t="s">
        <v>612</v>
      </c>
      <c r="D36" s="241" t="s">
        <v>215</v>
      </c>
      <c r="E36" s="241" t="s">
        <v>810</v>
      </c>
      <c r="F36" s="241"/>
      <c r="J36" s="21">
        <f>IN_rooms!R$50</f>
        <v>0</v>
      </c>
      <c r="K36" s="21">
        <f>IN_rooms!S$50</f>
        <v>0</v>
      </c>
      <c r="L36" s="21">
        <f>IN_rooms!T$50</f>
        <v>0</v>
      </c>
      <c r="M36" s="21">
        <f>IN_rooms!U$50</f>
        <v>0</v>
      </c>
      <c r="N36" s="21">
        <f>IN_rooms!V$50</f>
        <v>0</v>
      </c>
      <c r="O36" s="21">
        <f>IN_rooms!W$50</f>
        <v>0</v>
      </c>
      <c r="P36" s="21">
        <f>IN_rooms!X$50</f>
        <v>0</v>
      </c>
      <c r="Q36" s="21">
        <f>IN_rooms!Y$50</f>
        <v>0</v>
      </c>
      <c r="R36" s="21">
        <f>IN_rooms!Z$50</f>
        <v>0</v>
      </c>
      <c r="S36" s="21">
        <f>IN_rooms!AA$50</f>
        <v>0</v>
      </c>
      <c r="T36" s="21">
        <f>IN_rooms!AB$50</f>
        <v>0</v>
      </c>
      <c r="U36" s="21">
        <f>IN_rooms!AC$50</f>
        <v>0</v>
      </c>
      <c r="V36" s="21">
        <f>IN_rooms!AD$50</f>
        <v>0</v>
      </c>
      <c r="W36" s="21">
        <f>IN_rooms!AE$50</f>
        <v>0</v>
      </c>
      <c r="X36" s="21">
        <f>IN_rooms!AF$50</f>
        <v>0</v>
      </c>
    </row>
    <row r="37" spans="2:24" ht="15.75" thickBot="1" x14ac:dyDescent="0.3">
      <c r="B37" s="241" t="s">
        <v>382</v>
      </c>
      <c r="C37" s="241" t="s">
        <v>612</v>
      </c>
      <c r="D37" s="241" t="s">
        <v>215</v>
      </c>
      <c r="E37" s="241" t="s">
        <v>811</v>
      </c>
      <c r="F37" s="241" t="s">
        <v>431</v>
      </c>
      <c r="J37" s="21">
        <f>IN_rooms!R$51</f>
        <v>0</v>
      </c>
      <c r="K37" s="21">
        <f>IN_rooms!S$51</f>
        <v>0</v>
      </c>
      <c r="L37" s="21">
        <f>IN_rooms!T$51</f>
        <v>0</v>
      </c>
      <c r="M37" s="21">
        <f>IN_rooms!U$51</f>
        <v>0</v>
      </c>
      <c r="N37" s="21">
        <f>IN_rooms!V$51</f>
        <v>0</v>
      </c>
      <c r="O37" s="21">
        <f>IN_rooms!W$51</f>
        <v>0</v>
      </c>
      <c r="P37" s="21">
        <f>IN_rooms!X$51</f>
        <v>0</v>
      </c>
      <c r="Q37" s="21">
        <f>IN_rooms!Y$51</f>
        <v>0</v>
      </c>
      <c r="R37" s="21">
        <f>IN_rooms!Z$51</f>
        <v>0</v>
      </c>
      <c r="S37" s="21">
        <f>IN_rooms!AA$51</f>
        <v>0</v>
      </c>
      <c r="T37" s="21">
        <f>IN_rooms!AB$51</f>
        <v>0</v>
      </c>
      <c r="U37" s="21">
        <f>IN_rooms!AC$51</f>
        <v>0</v>
      </c>
      <c r="V37" s="21">
        <f>IN_rooms!AD$51</f>
        <v>0</v>
      </c>
      <c r="W37" s="21">
        <f>IN_rooms!AE$51</f>
        <v>0</v>
      </c>
      <c r="X37" s="21">
        <f>IN_rooms!AF$51</f>
        <v>0</v>
      </c>
    </row>
    <row r="38" spans="2:24" ht="15.75" thickBot="1" x14ac:dyDescent="0.3">
      <c r="B38" s="241" t="s">
        <v>236</v>
      </c>
      <c r="C38" s="241" t="s">
        <v>612</v>
      </c>
      <c r="D38" s="241" t="s">
        <v>215</v>
      </c>
      <c r="E38" s="241" t="s">
        <v>812</v>
      </c>
      <c r="F38" s="241" t="s">
        <v>431</v>
      </c>
      <c r="J38" s="21">
        <f>IN_rooms!R$52</f>
        <v>0</v>
      </c>
      <c r="K38" s="21">
        <f>IN_rooms!S$52</f>
        <v>0</v>
      </c>
      <c r="L38" s="21">
        <f>IN_rooms!T$52</f>
        <v>0</v>
      </c>
      <c r="M38" s="21">
        <f>IN_rooms!U$52</f>
        <v>0</v>
      </c>
      <c r="N38" s="21">
        <f>IN_rooms!V$52</f>
        <v>0</v>
      </c>
      <c r="O38" s="21">
        <f>IN_rooms!W$52</f>
        <v>0</v>
      </c>
      <c r="P38" s="21">
        <f>IN_rooms!X$52</f>
        <v>0</v>
      </c>
      <c r="Q38" s="21">
        <f>IN_rooms!Y$52</f>
        <v>0</v>
      </c>
      <c r="R38" s="21">
        <f>IN_rooms!Z$52</f>
        <v>0</v>
      </c>
      <c r="S38" s="21">
        <f>IN_rooms!AA$52</f>
        <v>0</v>
      </c>
      <c r="T38" s="21">
        <f>IN_rooms!AB$52</f>
        <v>0</v>
      </c>
      <c r="U38" s="21">
        <f>IN_rooms!AC$52</f>
        <v>0</v>
      </c>
      <c r="V38" s="21">
        <f>IN_rooms!AD$52</f>
        <v>0</v>
      </c>
      <c r="W38" s="21">
        <f>IN_rooms!AE$52</f>
        <v>0</v>
      </c>
      <c r="X38" s="21">
        <f>IN_rooms!AF$52</f>
        <v>0</v>
      </c>
    </row>
    <row r="39" spans="2:24" ht="15.75" thickBot="1" x14ac:dyDescent="0.3">
      <c r="B39" s="241" t="s">
        <v>390</v>
      </c>
      <c r="C39" s="241" t="s">
        <v>612</v>
      </c>
      <c r="D39" s="241" t="s">
        <v>215</v>
      </c>
      <c r="E39" s="241" t="s">
        <v>813</v>
      </c>
      <c r="F39" s="241" t="s">
        <v>431</v>
      </c>
      <c r="J39" s="21">
        <f>IN_rooms!R$53</f>
        <v>0</v>
      </c>
      <c r="K39" s="21">
        <f>IN_rooms!S$53</f>
        <v>0</v>
      </c>
      <c r="L39" s="21">
        <f>IN_rooms!T$53</f>
        <v>0</v>
      </c>
      <c r="M39" s="21">
        <f>IN_rooms!U$53</f>
        <v>0</v>
      </c>
      <c r="N39" s="21">
        <f>IN_rooms!V$53</f>
        <v>0</v>
      </c>
      <c r="O39" s="21">
        <f>IN_rooms!W$53</f>
        <v>0</v>
      </c>
      <c r="P39" s="21">
        <f>IN_rooms!X$53</f>
        <v>0</v>
      </c>
      <c r="Q39" s="21">
        <f>IN_rooms!Y$53</f>
        <v>0</v>
      </c>
      <c r="R39" s="21">
        <f>IN_rooms!Z$53</f>
        <v>0</v>
      </c>
      <c r="S39" s="21">
        <f>IN_rooms!AA$53</f>
        <v>0</v>
      </c>
      <c r="T39" s="21">
        <f>IN_rooms!AB$53</f>
        <v>0</v>
      </c>
      <c r="U39" s="21">
        <f>IN_rooms!AC$53</f>
        <v>0</v>
      </c>
      <c r="V39" s="21">
        <f>IN_rooms!AD$53</f>
        <v>0</v>
      </c>
      <c r="W39" s="21">
        <f>IN_rooms!AE$53</f>
        <v>0</v>
      </c>
      <c r="X39" s="21">
        <f>IN_rooms!AF$53</f>
        <v>0</v>
      </c>
    </row>
    <row r="40" spans="2:24" ht="15.75" thickBot="1" x14ac:dyDescent="0.3">
      <c r="B40" s="241" t="s">
        <v>391</v>
      </c>
      <c r="C40" s="241" t="s">
        <v>612</v>
      </c>
      <c r="D40" s="241" t="s">
        <v>215</v>
      </c>
      <c r="E40" s="241" t="s">
        <v>814</v>
      </c>
      <c r="F40" s="241" t="s">
        <v>802</v>
      </c>
      <c r="J40" s="21">
        <f>IN_rooms!R$54</f>
        <v>0</v>
      </c>
      <c r="K40" s="21">
        <f>IN_rooms!S$54</f>
        <v>0</v>
      </c>
      <c r="L40" s="21">
        <f>IN_rooms!T$54</f>
        <v>0</v>
      </c>
      <c r="M40" s="21">
        <f>IN_rooms!U$54</f>
        <v>0</v>
      </c>
      <c r="N40" s="21">
        <f>IN_rooms!V$54</f>
        <v>0</v>
      </c>
      <c r="O40" s="21">
        <f>IN_rooms!W$54</f>
        <v>0</v>
      </c>
      <c r="P40" s="21">
        <f>IN_rooms!X$54</f>
        <v>0</v>
      </c>
      <c r="Q40" s="21">
        <f>IN_rooms!Y$54</f>
        <v>0</v>
      </c>
      <c r="R40" s="21">
        <f>IN_rooms!Z$54</f>
        <v>0</v>
      </c>
      <c r="S40" s="21">
        <f>IN_rooms!AA$54</f>
        <v>0</v>
      </c>
      <c r="T40" s="21">
        <f>IN_rooms!AB$54</f>
        <v>0</v>
      </c>
      <c r="U40" s="21">
        <f>IN_rooms!AC$54</f>
        <v>0</v>
      </c>
      <c r="V40" s="21">
        <f>IN_rooms!AD$54</f>
        <v>0</v>
      </c>
      <c r="W40" s="21">
        <f>IN_rooms!AE$54</f>
        <v>0</v>
      </c>
      <c r="X40" s="21">
        <f>IN_rooms!AF$54</f>
        <v>0</v>
      </c>
    </row>
    <row r="41" spans="2:24" ht="15.75" thickBot="1" x14ac:dyDescent="0.3">
      <c r="B41" s="241" t="s">
        <v>781</v>
      </c>
      <c r="C41" s="241" t="s">
        <v>612</v>
      </c>
      <c r="D41" s="241" t="s">
        <v>215</v>
      </c>
      <c r="E41" s="241" t="s">
        <v>815</v>
      </c>
      <c r="F41" s="241"/>
      <c r="J41" s="21" cm="1">
        <f t="array" aca="1" ref="J41" ca="1">_xlfn.LET(
    _xlpm.typ, J$35,
    _xlpm.subtyp, J$36,
    _xlpm.höhe, J$37,
    _xlpm.tiefe, J$39,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K41" s="21" cm="1">
        <f t="array" aca="1" ref="K41" ca="1">_xlfn.LET(
    _xlpm.typ, K$35,
    _xlpm.subtyp, K$36,
    _xlpm.höhe, K$37,
    _xlpm.tiefe, K$39,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L41" s="21" cm="1">
        <f t="array" aca="1" ref="L41" ca="1">_xlfn.LET(
    _xlpm.typ, L$35,
    _xlpm.subtyp, L$36,
    _xlpm.höhe, L$37,
    _xlpm.tiefe, L$39,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M41" s="21" cm="1">
        <f t="array" aca="1" ref="M41" ca="1">_xlfn.LET(
    _xlpm.typ, M$35,
    _xlpm.subtyp, M$36,
    _xlpm.höhe, M$37,
    _xlpm.tiefe, M$39,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N41" s="21" cm="1">
        <f t="array" aca="1" ref="N41" ca="1">_xlfn.LET(
    _xlpm.typ, N$35,
    _xlpm.subtyp, N$36,
    _xlpm.höhe, N$37,
    _xlpm.tiefe, N$39,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O41" s="21" cm="1">
        <f t="array" aca="1" ref="O41" ca="1">_xlfn.LET(
    _xlpm.typ, O$35,
    _xlpm.subtyp, O$36,
    _xlpm.höhe, O$37,
    _xlpm.tiefe, O$39,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P41" s="21" cm="1">
        <f t="array" aca="1" ref="P41" ca="1">_xlfn.LET(
    _xlpm.typ, P$35,
    _xlpm.subtyp, P$36,
    _xlpm.höhe, P$37,
    _xlpm.tiefe, P$39,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Q41" s="21" cm="1">
        <f t="array" aca="1" ref="Q41" ca="1">_xlfn.LET(
    _xlpm.typ, Q$35,
    _xlpm.subtyp, Q$36,
    _xlpm.höhe, Q$37,
    _xlpm.tiefe, Q$39,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R41" s="21" cm="1">
        <f t="array" aca="1" ref="R41" ca="1">_xlfn.LET(
    _xlpm.typ, R$35,
    _xlpm.subtyp, R$36,
    _xlpm.höhe, R$37,
    _xlpm.tiefe, R$39,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S41" s="21" cm="1">
        <f t="array" aca="1" ref="S41" ca="1">_xlfn.LET(
    _xlpm.typ, S$35,
    _xlpm.subtyp, S$36,
    _xlpm.höhe, S$37,
    _xlpm.tiefe, S$39,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T41" s="21" cm="1">
        <f t="array" aca="1" ref="T41" ca="1">_xlfn.LET(
    _xlpm.typ, T$35,
    _xlpm.subtyp, T$36,
    _xlpm.höhe, T$37,
    _xlpm.tiefe, T$39,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U41" s="21" cm="1">
        <f t="array" aca="1" ref="U41" ca="1">_xlfn.LET(
    _xlpm.typ, U$35,
    _xlpm.subtyp, U$36,
    _xlpm.höhe, U$37,
    _xlpm.tiefe, U$39,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V41" s="21" cm="1">
        <f t="array" aca="1" ref="V41" ca="1">_xlfn.LET(
    _xlpm.typ, V$35,
    _xlpm.subtyp, V$36,
    _xlpm.höhe, V$37,
    _xlpm.tiefe, V$39,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W41" s="21" cm="1">
        <f t="array" aca="1" ref="W41" ca="1">_xlfn.LET(
    _xlpm.typ, W$35,
    _xlpm.subtyp, W$36,
    _xlpm.höhe, W$37,
    _xlpm.tiefe, W$39,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X41" s="21" cm="1">
        <f t="array" aca="1" ref="X41" ca="1">_xlfn.LET(
    _xlpm.typ, X$35,
    _xlpm.subtyp, X$36,
    _xlpm.höhe, X$37,
    _xlpm.tiefe, X$39,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row>
    <row r="42" spans="2:24" ht="15.75" thickBot="1" x14ac:dyDescent="0.3">
      <c r="B42" s="241" t="s">
        <v>783</v>
      </c>
      <c r="C42" s="241" t="s">
        <v>612</v>
      </c>
      <c r="D42" s="241" t="s">
        <v>215</v>
      </c>
      <c r="E42" s="241" t="s">
        <v>816</v>
      </c>
      <c r="F42" s="241" t="s">
        <v>112</v>
      </c>
      <c r="J42" s="21" cm="1">
        <f t="array" aca="1" ref="J42" ca="1">_xlfn.LET(
    _xlpm.typ, clc_power!J$35,
    _xlpm.subtyp, clc_power!J$36,
    _xlpm.höhe, clc_power!J$37,
    _xlpm.breite, clc_power!J$38,
    _xlpm.tiefe, clc_power!J$39,
    _xlpm.faktor, clc_power!J$40,
    _xlpm.fläche, IN_rooms!R$51 * IN_rooms!R$52,
    _xlpm.radiatorart, J$36,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IF(IN_rooms!R$55 * _xlpm.leistung &gt; 0, IN_rooms!R$55 * _xlpm.leistung, 0)
)</f>
        <v>0</v>
      </c>
      <c r="K42" s="21" cm="1">
        <f t="array" aca="1" ref="K42" ca="1">_xlfn.LET(
    _xlpm.typ, clc_power!K$35,
    _xlpm.subtyp, clc_power!K$36,
    _xlpm.höhe, clc_power!K$37,
    _xlpm.breite, clc_power!K$38,
    _xlpm.tiefe, clc_power!K$39,
    _xlpm.faktor, clc_power!K$40,
    _xlpm.fläche, IN_rooms!S$51 * IN_rooms!S$52,
    _xlpm.radiatorart, K$36,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IF(IN_rooms!S$55 * _xlpm.leistung &gt; 0, IN_rooms!S$55 * _xlpm.leistung, 0)
)</f>
        <v>0</v>
      </c>
      <c r="L42" s="21" cm="1">
        <f t="array" aca="1" ref="L42" ca="1">_xlfn.LET(
    _xlpm.typ, clc_power!L$35,
    _xlpm.subtyp, clc_power!L$36,
    _xlpm.höhe, clc_power!L$37,
    _xlpm.breite, clc_power!L$38,
    _xlpm.tiefe, clc_power!L$39,
    _xlpm.faktor, clc_power!L$40,
    _xlpm.fläche, IN_rooms!T$51 * IN_rooms!T$52,
    _xlpm.radiatorart, L$36,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IF(IN_rooms!T$55 * _xlpm.leistung &gt; 0, IN_rooms!T$55 * _xlpm.leistung, 0)
)</f>
        <v>0</v>
      </c>
      <c r="M42" s="21" cm="1">
        <f t="array" aca="1" ref="M42" ca="1">_xlfn.LET(
    _xlpm.typ, clc_power!M$35,
    _xlpm.subtyp, clc_power!M$36,
    _xlpm.höhe, clc_power!M$37,
    _xlpm.breite, clc_power!M$38,
    _xlpm.tiefe, clc_power!M$39,
    _xlpm.faktor, clc_power!M$40,
    _xlpm.fläche, IN_rooms!U$51 * IN_rooms!U$52,
    _xlpm.radiatorart, M$36,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IF(IN_rooms!U$55 * _xlpm.leistung &gt; 0, IN_rooms!U$55 * _xlpm.leistung, 0)
)</f>
        <v>0</v>
      </c>
      <c r="N42" s="21" cm="1">
        <f t="array" aca="1" ref="N42" ca="1">_xlfn.LET(
    _xlpm.typ, clc_power!N$35,
    _xlpm.subtyp, clc_power!N$36,
    _xlpm.höhe, clc_power!N$37,
    _xlpm.breite, clc_power!N$38,
    _xlpm.tiefe, clc_power!N$39,
    _xlpm.faktor, clc_power!N$40,
    _xlpm.fläche, IN_rooms!V$51 * IN_rooms!V$52,
    _xlpm.radiatorart, N$36,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IF(IN_rooms!V$55 * _xlpm.leistung &gt; 0, IN_rooms!V$55 * _xlpm.leistung, 0)
)</f>
        <v>0</v>
      </c>
      <c r="O42" s="21" cm="1">
        <f t="array" aca="1" ref="O42" ca="1">_xlfn.LET(
    _xlpm.typ, clc_power!O$35,
    _xlpm.subtyp, clc_power!O$36,
    _xlpm.höhe, clc_power!O$37,
    _xlpm.breite, clc_power!O$38,
    _xlpm.tiefe, clc_power!O$39,
    _xlpm.faktor, clc_power!O$40,
    _xlpm.fläche, IN_rooms!W$51 * IN_rooms!W$52,
    _xlpm.radiatorart, O$36,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IF(IN_rooms!W$55 * _xlpm.leistung &gt; 0, IN_rooms!W$55 * _xlpm.leistung, 0)
)</f>
        <v>0</v>
      </c>
      <c r="P42" s="21" cm="1">
        <f t="array" aca="1" ref="P42" ca="1">_xlfn.LET(
    _xlpm.typ, clc_power!P$35,
    _xlpm.subtyp, clc_power!P$36,
    _xlpm.höhe, clc_power!P$37,
    _xlpm.breite, clc_power!P$38,
    _xlpm.tiefe, clc_power!P$39,
    _xlpm.faktor, clc_power!P$40,
    _xlpm.fläche, IN_rooms!X$51 * IN_rooms!X$52,
    _xlpm.radiatorart, P$36,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IF(IN_rooms!X$55 * _xlpm.leistung &gt; 0, IN_rooms!X$55 * _xlpm.leistung, 0)
)</f>
        <v>0</v>
      </c>
      <c r="Q42" s="21" cm="1">
        <f t="array" aca="1" ref="Q42" ca="1">_xlfn.LET(
    _xlpm.typ, clc_power!Q$35,
    _xlpm.subtyp, clc_power!Q$36,
    _xlpm.höhe, clc_power!Q$37,
    _xlpm.breite, clc_power!Q$38,
    _xlpm.tiefe, clc_power!Q$39,
    _xlpm.faktor, clc_power!Q$40,
    _xlpm.fläche, IN_rooms!Y$51 * IN_rooms!Y$52,
    _xlpm.radiatorart, Q$36,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IF(IN_rooms!Y$55 * _xlpm.leistung &gt; 0, IN_rooms!Y$55 * _xlpm.leistung, 0)
)</f>
        <v>0</v>
      </c>
      <c r="R42" s="21" cm="1">
        <f t="array" aca="1" ref="R42" ca="1">_xlfn.LET(
    _xlpm.typ, clc_power!R$35,
    _xlpm.subtyp, clc_power!R$36,
    _xlpm.höhe, clc_power!R$37,
    _xlpm.breite, clc_power!R$38,
    _xlpm.tiefe, clc_power!R$39,
    _xlpm.faktor, clc_power!R$40,
    _xlpm.fläche, IN_rooms!Z$51 * IN_rooms!Z$52,
    _xlpm.radiatorart, R$36,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IF(IN_rooms!Z$55 * _xlpm.leistung &gt; 0, IN_rooms!Z$55 * _xlpm.leistung, 0)
)</f>
        <v>0</v>
      </c>
      <c r="S42" s="21" cm="1">
        <f t="array" aca="1" ref="S42" ca="1">_xlfn.LET(
    _xlpm.typ, clc_power!S$35,
    _xlpm.subtyp, clc_power!S$36,
    _xlpm.höhe, clc_power!S$37,
    _xlpm.breite, clc_power!S$38,
    _xlpm.tiefe, clc_power!S$39,
    _xlpm.faktor, clc_power!S$40,
    _xlpm.fläche, IN_rooms!AA$51 * IN_rooms!AA$52,
    _xlpm.radiatorart, S$36,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IF(IN_rooms!AA$55 * _xlpm.leistung &gt; 0, IN_rooms!AA$55 * _xlpm.leistung, 0)
)</f>
        <v>0</v>
      </c>
      <c r="T42" s="21" cm="1">
        <f t="array" aca="1" ref="T42" ca="1">_xlfn.LET(
    _xlpm.typ, clc_power!T$35,
    _xlpm.subtyp, clc_power!T$36,
    _xlpm.höhe, clc_power!T$37,
    _xlpm.breite, clc_power!T$38,
    _xlpm.tiefe, clc_power!T$39,
    _xlpm.faktor, clc_power!T$40,
    _xlpm.fläche, IN_rooms!AB$51 * IN_rooms!AB$52,
    _xlpm.radiatorart, T$36,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IF(IN_rooms!AB$55 * _xlpm.leistung &gt; 0, IN_rooms!AB$55 * _xlpm.leistung, 0)
)</f>
        <v>0</v>
      </c>
      <c r="U42" s="21" cm="1">
        <f t="array" aca="1" ref="U42" ca="1">_xlfn.LET(
    _xlpm.typ, clc_power!U$35,
    _xlpm.subtyp, clc_power!U$36,
    _xlpm.höhe, clc_power!U$37,
    _xlpm.breite, clc_power!U$38,
    _xlpm.tiefe, clc_power!U$39,
    _xlpm.faktor, clc_power!U$40,
    _xlpm.fläche, IN_rooms!AC$51 * IN_rooms!AC$52,
    _xlpm.radiatorart, U$36,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IF(IN_rooms!AC$55 * _xlpm.leistung &gt; 0, IN_rooms!AC$55 * _xlpm.leistung, 0)
)</f>
        <v>0</v>
      </c>
      <c r="V42" s="21" cm="1">
        <f t="array" aca="1" ref="V42" ca="1">_xlfn.LET(
    _xlpm.typ, clc_power!V$35,
    _xlpm.subtyp, clc_power!V$36,
    _xlpm.höhe, clc_power!V$37,
    _xlpm.breite, clc_power!V$38,
    _xlpm.tiefe, clc_power!V$39,
    _xlpm.faktor, clc_power!V$40,
    _xlpm.fläche, IN_rooms!AD$51 * IN_rooms!AD$52,
    _xlpm.radiatorart, V$36,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IF(IN_rooms!AD$55 * _xlpm.leistung &gt; 0, IN_rooms!AD$55 * _xlpm.leistung, 0)
)</f>
        <v>0</v>
      </c>
      <c r="W42" s="21" cm="1">
        <f t="array" aca="1" ref="W42" ca="1">_xlfn.LET(
    _xlpm.typ, clc_power!W$35,
    _xlpm.subtyp, clc_power!W$36,
    _xlpm.höhe, clc_power!W$37,
    _xlpm.breite, clc_power!W$38,
    _xlpm.tiefe, clc_power!W$39,
    _xlpm.faktor, clc_power!W$40,
    _xlpm.fläche, IN_rooms!AE$51 * IN_rooms!AE$52,
    _xlpm.radiatorart, W$36,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IF(IN_rooms!AE$55 * _xlpm.leistung &gt; 0, IN_rooms!AE$55 * _xlpm.leistung, 0)
)</f>
        <v>0</v>
      </c>
      <c r="X42" s="21" cm="1">
        <f t="array" aca="1" ref="X42" ca="1">_xlfn.LET(
    _xlpm.typ, clc_power!X$35,
    _xlpm.subtyp, clc_power!X$36,
    _xlpm.höhe, clc_power!X$37,
    _xlpm.breite, clc_power!X$38,
    _xlpm.tiefe, clc_power!X$39,
    _xlpm.faktor, clc_power!X$40,
    _xlpm.fläche, IN_rooms!AF$51 * IN_rooms!AF$52,
    _xlpm.radiatorart, X$36,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IF(IN_rooms!AF$55 * _xlpm.leistung &gt; 0, IN_rooms!AF$55 * _xlpm.leistung, 0)
)</f>
        <v>0</v>
      </c>
    </row>
    <row r="43" spans="2:24" ht="15.75" thickBot="1" x14ac:dyDescent="0.3">
      <c r="B43" s="241" t="s">
        <v>785</v>
      </c>
      <c r="C43" s="241" t="s">
        <v>612</v>
      </c>
      <c r="D43" s="241" t="s">
        <v>215</v>
      </c>
      <c r="E43" s="241" t="s">
        <v>817</v>
      </c>
      <c r="F43" s="241" t="s">
        <v>107</v>
      </c>
      <c r="J43" s="21">
        <f>TVL_Ziel</f>
        <v>55</v>
      </c>
      <c r="K43" s="21">
        <f t="shared" ref="K43:X43" si="8">TVL_Ziel</f>
        <v>55</v>
      </c>
      <c r="L43" s="21">
        <f t="shared" si="8"/>
        <v>55</v>
      </c>
      <c r="M43" s="21">
        <f t="shared" si="8"/>
        <v>55</v>
      </c>
      <c r="N43" s="21">
        <f t="shared" si="8"/>
        <v>55</v>
      </c>
      <c r="O43" s="21">
        <f t="shared" si="8"/>
        <v>55</v>
      </c>
      <c r="P43" s="21">
        <f t="shared" si="8"/>
        <v>55</v>
      </c>
      <c r="Q43" s="21">
        <f t="shared" si="8"/>
        <v>55</v>
      </c>
      <c r="R43" s="21">
        <f t="shared" si="8"/>
        <v>55</v>
      </c>
      <c r="S43" s="21">
        <f t="shared" si="8"/>
        <v>55</v>
      </c>
      <c r="T43" s="21">
        <f t="shared" si="8"/>
        <v>55</v>
      </c>
      <c r="U43" s="21">
        <f t="shared" si="8"/>
        <v>55</v>
      </c>
      <c r="V43" s="21">
        <f t="shared" si="8"/>
        <v>55</v>
      </c>
      <c r="W43" s="21">
        <f t="shared" si="8"/>
        <v>55</v>
      </c>
      <c r="X43" s="21">
        <f t="shared" si="8"/>
        <v>55</v>
      </c>
    </row>
    <row r="44" spans="2:24" ht="15.75" thickBot="1" x14ac:dyDescent="0.3">
      <c r="B44" s="241" t="s">
        <v>787</v>
      </c>
      <c r="C44" s="241" t="s">
        <v>612</v>
      </c>
      <c r="D44" s="241" t="s">
        <v>215</v>
      </c>
      <c r="E44" s="241" t="s">
        <v>818</v>
      </c>
      <c r="F44" s="241" t="s">
        <v>107</v>
      </c>
      <c r="J44" s="21">
        <f>TRL_Ziel</f>
        <v>45</v>
      </c>
      <c r="K44" s="21">
        <f t="shared" ref="K44:X44" si="9">TRL_Ziel</f>
        <v>45</v>
      </c>
      <c r="L44" s="21">
        <f t="shared" si="9"/>
        <v>45</v>
      </c>
      <c r="M44" s="21">
        <f t="shared" si="9"/>
        <v>45</v>
      </c>
      <c r="N44" s="21">
        <f t="shared" si="9"/>
        <v>45</v>
      </c>
      <c r="O44" s="21">
        <f t="shared" si="9"/>
        <v>45</v>
      </c>
      <c r="P44" s="21">
        <f t="shared" si="9"/>
        <v>45</v>
      </c>
      <c r="Q44" s="21">
        <f t="shared" si="9"/>
        <v>45</v>
      </c>
      <c r="R44" s="21">
        <f t="shared" si="9"/>
        <v>45</v>
      </c>
      <c r="S44" s="21">
        <f t="shared" si="9"/>
        <v>45</v>
      </c>
      <c r="T44" s="21">
        <f t="shared" si="9"/>
        <v>45</v>
      </c>
      <c r="U44" s="21">
        <f t="shared" si="9"/>
        <v>45</v>
      </c>
      <c r="V44" s="21">
        <f t="shared" si="9"/>
        <v>45</v>
      </c>
      <c r="W44" s="21">
        <f t="shared" si="9"/>
        <v>45</v>
      </c>
      <c r="X44" s="21">
        <f t="shared" si="9"/>
        <v>45</v>
      </c>
    </row>
    <row r="45" spans="2:24" ht="15.75" thickBot="1" x14ac:dyDescent="0.3">
      <c r="B45" s="241" t="s">
        <v>789</v>
      </c>
      <c r="C45" s="241" t="s">
        <v>612</v>
      </c>
      <c r="D45" s="241" t="s">
        <v>215</v>
      </c>
      <c r="E45" s="241" t="s">
        <v>819</v>
      </c>
      <c r="F45" s="241" t="s">
        <v>791</v>
      </c>
      <c r="J45" s="79">
        <f>(J$43-J$44)/(LN((J$43-clc_load!M$10)/(clc_power!J$44-clc_load!M$10)))</f>
        <v>29.720134119884619</v>
      </c>
      <c r="K45" s="79">
        <f>(K$43-K$44)/(LN((K$43-clc_load!N$10)/(clc_power!K$44-clc_load!N$10)))</f>
        <v>29.720134119884619</v>
      </c>
      <c r="L45" s="79">
        <f>(L$43-L$44)/(LN((L$43-clc_load!O$10)/(clc_power!L$44-clc_load!O$10)))</f>
        <v>29.720134119884619</v>
      </c>
      <c r="M45" s="79">
        <f>(M$43-M$44)/(LN((M$43-clc_load!P$10)/(clc_power!M$44-clc_load!P$10)))</f>
        <v>29.720134119884619</v>
      </c>
      <c r="N45" s="79">
        <f>(N$43-N$44)/(LN((N$43-clc_load!Q$10)/(clc_power!N$44-clc_load!Q$10)))</f>
        <v>29.720134119884619</v>
      </c>
      <c r="O45" s="79">
        <f>(O$43-O$44)/(LN((O$43-clc_load!R$10)/(clc_power!O$44-clc_load!R$10)))</f>
        <v>29.720134119884619</v>
      </c>
      <c r="P45" s="79">
        <f>(P$43-P$44)/(LN((P$43-clc_load!S$10)/(clc_power!P$44-clc_load!S$10)))</f>
        <v>29.720134119884619</v>
      </c>
      <c r="Q45" s="79">
        <f>(Q$43-Q$44)/(LN((Q$43-clc_load!T$10)/(clc_power!Q$44-clc_load!T$10)))</f>
        <v>29.720134119884619</v>
      </c>
      <c r="R45" s="79">
        <f>(R$43-R$44)/(LN((R$43-clc_load!U$10)/(clc_power!R$44-clc_load!U$10)))</f>
        <v>29.720134119884619</v>
      </c>
      <c r="S45" s="79">
        <f>(S$43-S$44)/(LN((S$43-clc_load!V$10)/(clc_power!S$44-clc_load!V$10)))</f>
        <v>29.720134119884619</v>
      </c>
      <c r="T45" s="79">
        <f>(T$43-T$44)/(LN((T$43-clc_load!W$10)/(clc_power!T$44-clc_load!W$10)))</f>
        <v>29.720134119884619</v>
      </c>
      <c r="U45" s="79">
        <f>(U$43-U$44)/(LN((U$43-clc_load!X$10)/(clc_power!U$44-clc_load!X$10)))</f>
        <v>29.720134119884619</v>
      </c>
      <c r="V45" s="79">
        <f>(V$43-V$44)/(LN((V$43-clc_load!Y$10)/(clc_power!V$44-clc_load!Y$10)))</f>
        <v>29.720134119884619</v>
      </c>
      <c r="W45" s="79">
        <f>(W$43-W$44)/(LN((W$43-clc_load!Z$10)/(clc_power!W$44-clc_load!Z$10)))</f>
        <v>29.720134119884619</v>
      </c>
      <c r="X45" s="79">
        <f>(X$43-X$44)/(LN((X$43-clc_load!AA$10)/(clc_power!X$44-clc_load!AA$10)))</f>
        <v>29.720134119884619</v>
      </c>
    </row>
    <row r="46" spans="2:24" ht="15.75" thickBot="1" x14ac:dyDescent="0.3">
      <c r="B46" s="241" t="s">
        <v>792</v>
      </c>
      <c r="C46" s="241" t="s">
        <v>612</v>
      </c>
      <c r="D46" s="241" t="s">
        <v>215</v>
      </c>
      <c r="E46" s="241" t="s">
        <v>820</v>
      </c>
      <c r="F46" s="241" t="s">
        <v>112</v>
      </c>
      <c r="J46" s="21">
        <f t="shared" ref="J46:X46" ca="1" si="10">IF(J$42*((J$45/Log_ÜT_Norm)^J$41)&gt;0,J$42*((J$45/Log_ÜT_Norm)^J$41),0)</f>
        <v>0</v>
      </c>
      <c r="K46" s="21">
        <f t="shared" ca="1" si="10"/>
        <v>0</v>
      </c>
      <c r="L46" s="21">
        <f t="shared" ca="1" si="10"/>
        <v>0</v>
      </c>
      <c r="M46" s="21">
        <f t="shared" ca="1" si="10"/>
        <v>0</v>
      </c>
      <c r="N46" s="21">
        <f t="shared" ca="1" si="10"/>
        <v>0</v>
      </c>
      <c r="O46" s="21">
        <f t="shared" ca="1" si="10"/>
        <v>0</v>
      </c>
      <c r="P46" s="21">
        <f t="shared" ca="1" si="10"/>
        <v>0</v>
      </c>
      <c r="Q46" s="21">
        <f t="shared" ca="1" si="10"/>
        <v>0</v>
      </c>
      <c r="R46" s="21">
        <f t="shared" ca="1" si="10"/>
        <v>0</v>
      </c>
      <c r="S46" s="21">
        <f t="shared" ca="1" si="10"/>
        <v>0</v>
      </c>
      <c r="T46" s="21">
        <f t="shared" ca="1" si="10"/>
        <v>0</v>
      </c>
      <c r="U46" s="21">
        <f t="shared" ca="1" si="10"/>
        <v>0</v>
      </c>
      <c r="V46" s="21">
        <f t="shared" ca="1" si="10"/>
        <v>0</v>
      </c>
      <c r="W46" s="21">
        <f t="shared" ca="1" si="10"/>
        <v>0</v>
      </c>
      <c r="X46" s="21">
        <f t="shared" ca="1" si="10"/>
        <v>0</v>
      </c>
    </row>
    <row r="47" spans="2:24" ht="15.75" thickBot="1" x14ac:dyDescent="0.3">
      <c r="B47" s="201" t="s">
        <v>794</v>
      </c>
      <c r="C47" s="201" t="s">
        <v>612</v>
      </c>
      <c r="D47" s="201" t="s">
        <v>795</v>
      </c>
      <c r="E47" s="201" t="s">
        <v>821</v>
      </c>
      <c r="F47" s="201" t="s">
        <v>112</v>
      </c>
      <c r="J47" s="79">
        <f ca="1">_xlfn.LET(
    _xlpm.typ, "Flachheizkoerper_senkrecht_profiliert",
    _xlpm.subtyp, "Typ_33",
    _xlpm.höhe, _xlfn.XLOOKUP(J$37, Data_radiator!$G$5:$G$32, Data_radiator!$G$5:$G$32, 1000000, 1, 1),
    _xlpm.tiefe, 155,
    _xlpm.glieder, IF(J$36 = "Stahlrohrradiator", 45, J$38),
    _xlpm.faktor, J$45 / Log_ÜT_Norm,
    _xlpm.leistung, IN_rooms!R$55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K47" s="79">
        <f ca="1">_xlfn.LET(
    _xlpm.typ, "Flachheizkoerper_senkrecht_profiliert",
    _xlpm.subtyp, "Typ_33",
    _xlpm.höhe, _xlfn.XLOOKUP(K$37, Data_radiator!$G$5:$G$32, Data_radiator!$G$5:$G$32, 1000000, 1, 1),
    _xlpm.tiefe, 155,
    _xlpm.glieder, IF(K$36 = "Stahlrohrradiator", 45, K$38),
    _xlpm.faktor, K$45 / Log_ÜT_Norm,
    _xlpm.leistung, IN_rooms!S$55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L47" s="79">
        <f ca="1">_xlfn.LET(
    _xlpm.typ, "Flachheizkoerper_senkrecht_profiliert",
    _xlpm.subtyp, "Typ_33",
    _xlpm.höhe, _xlfn.XLOOKUP(L$37, Data_radiator!$G$5:$G$32, Data_radiator!$G$5:$G$32, 1000000, 1, 1),
    _xlpm.tiefe, 155,
    _xlpm.glieder, IF(L$36 = "Stahlrohrradiator", 45, L$38),
    _xlpm.faktor, L$45 / Log_ÜT_Norm,
    _xlpm.leistung, IN_rooms!T$55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M47" s="79">
        <f ca="1">_xlfn.LET(
    _xlpm.typ, "Flachheizkoerper_senkrecht_profiliert",
    _xlpm.subtyp, "Typ_33",
    _xlpm.höhe, _xlfn.XLOOKUP(M$37, Data_radiator!$G$5:$G$32, Data_radiator!$G$5:$G$32, 1000000, 1, 1),
    _xlpm.tiefe, 155,
    _xlpm.glieder, IF(M$36 = "Stahlrohrradiator", 45, M$38),
    _xlpm.faktor, M$45 / Log_ÜT_Norm,
    _xlpm.leistung, IN_rooms!U$55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47" s="79">
        <f ca="1">_xlfn.LET(
    _xlpm.typ, "Flachheizkoerper_senkrecht_profiliert",
    _xlpm.subtyp, "Typ_33",
    _xlpm.höhe, _xlfn.XLOOKUP(N$37, Data_radiator!$G$5:$G$32, Data_radiator!$G$5:$G$32, 1000000, 1, 1),
    _xlpm.tiefe, 155,
    _xlpm.glieder, IF(N$36 = "Stahlrohrradiator", 45, N$38),
    _xlpm.faktor, N$45 / Log_ÜT_Norm,
    _xlpm.leistung, IN_rooms!V$55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47" s="79">
        <f ca="1">_xlfn.LET(
    _xlpm.typ, "Flachheizkoerper_senkrecht_profiliert",
    _xlpm.subtyp, "Typ_33",
    _xlpm.höhe, _xlfn.XLOOKUP(O$37, Data_radiator!$G$5:$G$32, Data_radiator!$G$5:$G$32, 1000000, 1, 1),
    _xlpm.tiefe, 155,
    _xlpm.glieder, IF(O$36 = "Stahlrohrradiator", 45, O$38),
    _xlpm.faktor, O$45 / Log_ÜT_Norm,
    _xlpm.leistung, IN_rooms!W$55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47" s="79">
        <f ca="1">_xlfn.LET(
    _xlpm.typ, "Flachheizkoerper_senkrecht_profiliert",
    _xlpm.subtyp, "Typ_33",
    _xlpm.höhe, _xlfn.XLOOKUP(P$37, Data_radiator!$G$5:$G$32, Data_radiator!$G$5:$G$32, 1000000, 1, 1),
    _xlpm.tiefe, 155,
    _xlpm.glieder, IF(P$36 = "Stahlrohrradiator", 45, P$38),
    _xlpm.faktor, P$45 / Log_ÜT_Norm,
    _xlpm.leistung, IN_rooms!X$55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47" s="79">
        <f ca="1">_xlfn.LET(
    _xlpm.typ, "Flachheizkoerper_senkrecht_profiliert",
    _xlpm.subtyp, "Typ_33",
    _xlpm.höhe, _xlfn.XLOOKUP(Q$37, Data_radiator!$G$5:$G$32, Data_radiator!$G$5:$G$32, 1000000, 1, 1),
    _xlpm.tiefe, 155,
    _xlpm.glieder, IF(Q$36 = "Stahlrohrradiator", 45, Q$38),
    _xlpm.faktor, Q$45 / Log_ÜT_Norm,
    _xlpm.leistung, IN_rooms!Y$55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47" s="79">
        <f ca="1">_xlfn.LET(
    _xlpm.typ, "Flachheizkoerper_senkrecht_profiliert",
    _xlpm.subtyp, "Typ_33",
    _xlpm.höhe, _xlfn.XLOOKUP(R$37, Data_radiator!$G$5:$G$32, Data_radiator!$G$5:$G$32, 1000000, 1, 1),
    _xlpm.tiefe, 155,
    _xlpm.glieder, IF(R$36 = "Stahlrohrradiator", 45, R$38),
    _xlpm.faktor, R$45 / Log_ÜT_Norm,
    _xlpm.leistung, IN_rooms!Z$55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47" s="79">
        <f ca="1">_xlfn.LET(
    _xlpm.typ, "Flachheizkoerper_senkrecht_profiliert",
    _xlpm.subtyp, "Typ_33",
    _xlpm.höhe, _xlfn.XLOOKUP(S$37, Data_radiator!$G$5:$G$32, Data_radiator!$G$5:$G$32, 1000000, 1, 1),
    _xlpm.tiefe, 155,
    _xlpm.glieder, IF(S$36 = "Stahlrohrradiator", 45, S$38),
    _xlpm.faktor, S$45 / Log_ÜT_Norm,
    _xlpm.leistung, IN_rooms!AA$55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47" s="79">
        <f ca="1">_xlfn.LET(
    _xlpm.typ, "Flachheizkoerper_senkrecht_profiliert",
    _xlpm.subtyp, "Typ_33",
    _xlpm.höhe, _xlfn.XLOOKUP(T$37, Data_radiator!$G$5:$G$32, Data_radiator!$G$5:$G$32, 1000000, 1, 1),
    _xlpm.tiefe, 155,
    _xlpm.glieder, IF(T$36 = "Stahlrohrradiator", 45, T$38),
    _xlpm.faktor, T$45 / Log_ÜT_Norm,
    _xlpm.leistung, IN_rooms!AB$55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47" s="79">
        <f ca="1">_xlfn.LET(
    _xlpm.typ, "Flachheizkoerper_senkrecht_profiliert",
    _xlpm.subtyp, "Typ_33",
    _xlpm.höhe, _xlfn.XLOOKUP(U$37, Data_radiator!$G$5:$G$32, Data_radiator!$G$5:$G$32, 1000000, 1, 1),
    _xlpm.tiefe, 155,
    _xlpm.glieder, IF(U$36 = "Stahlrohrradiator", 45, U$38),
    _xlpm.faktor, U$45 / Log_ÜT_Norm,
    _xlpm.leistung, IN_rooms!AC$55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V47" s="79">
        <f ca="1">_xlfn.LET(
    _xlpm.typ, "Flachheizkoerper_senkrecht_profiliert",
    _xlpm.subtyp, "Typ_33",
    _xlpm.höhe, _xlfn.XLOOKUP(V$37, Data_radiator!$G$5:$G$32, Data_radiator!$G$5:$G$32, 1000000, 1, 1),
    _xlpm.tiefe, 155,
    _xlpm.glieder, IF(V$36 = "Stahlrohrradiator", 45, V$38),
    _xlpm.faktor, V$45 / Log_ÜT_Norm,
    _xlpm.leistung, IN_rooms!AD$55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W47" s="79">
        <f ca="1">_xlfn.LET(
    _xlpm.typ, "Flachheizkoerper_senkrecht_profiliert",
    _xlpm.subtyp, "Typ_33",
    _xlpm.höhe, _xlfn.XLOOKUP(W$37, Data_radiator!$G$5:$G$32, Data_radiator!$G$5:$G$32, 1000000, 1, 1),
    _xlpm.tiefe, 155,
    _xlpm.glieder, IF(W$36 = "Stahlrohrradiator", 45, W$38),
    _xlpm.faktor, W$45 / Log_ÜT_Norm,
    _xlpm.leistung, IN_rooms!AE$55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X47" s="79">
        <f ca="1">_xlfn.LET(
    _xlpm.typ, "Flachheizkoerper_senkrecht_profiliert",
    _xlpm.subtyp, "Typ_33",
    _xlpm.höhe, _xlfn.XLOOKUP(X$37, Data_radiator!$G$5:$G$32, Data_radiator!$G$5:$G$32, 1000000, 1, 1),
    _xlpm.tiefe, 155,
    _xlpm.glieder, IF(X$36 = "Stahlrohrradiator", 45, X$38),
    _xlpm.faktor, X$45 / Log_ÜT_Norm,
    _xlpm.leistung, IN_rooms!AF$55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48" spans="2:24" ht="15.75" hidden="1" thickBot="1" x14ac:dyDescent="0.3">
      <c r="B48" s="245" t="s">
        <v>387</v>
      </c>
      <c r="C48" s="245" t="s">
        <v>612</v>
      </c>
      <c r="D48" s="245" t="s">
        <v>217</v>
      </c>
      <c r="E48" s="245"/>
      <c r="F48" s="245"/>
      <c r="I48" t="s">
        <v>558</v>
      </c>
    </row>
    <row r="49" spans="2:24" ht="15.75" hidden="1" thickBot="1" x14ac:dyDescent="0.3">
      <c r="B49" s="245" t="s">
        <v>776</v>
      </c>
      <c r="C49" s="245" t="s">
        <v>612</v>
      </c>
      <c r="D49" s="245" t="s">
        <v>217</v>
      </c>
      <c r="E49" s="245"/>
      <c r="F49" s="245"/>
      <c r="I49" t="s">
        <v>558</v>
      </c>
    </row>
    <row r="50" spans="2:24" ht="15.75" hidden="1" thickBot="1" x14ac:dyDescent="0.3">
      <c r="B50" s="245" t="s">
        <v>822</v>
      </c>
      <c r="C50" s="245" t="s">
        <v>612</v>
      </c>
      <c r="D50" s="245" t="s">
        <v>217</v>
      </c>
      <c r="E50" s="245"/>
      <c r="F50" s="245" t="s">
        <v>431</v>
      </c>
      <c r="I50" t="s">
        <v>558</v>
      </c>
    </row>
    <row r="51" spans="2:24" ht="15.75" hidden="1" thickBot="1" x14ac:dyDescent="0.3">
      <c r="B51" s="245" t="s">
        <v>823</v>
      </c>
      <c r="C51" s="245" t="s">
        <v>612</v>
      </c>
      <c r="D51" s="245" t="s">
        <v>217</v>
      </c>
      <c r="E51" s="245"/>
      <c r="F51" s="245" t="s">
        <v>136</v>
      </c>
      <c r="I51" t="s">
        <v>558</v>
      </c>
    </row>
    <row r="52" spans="2:24" ht="15.75" hidden="1" thickBot="1" x14ac:dyDescent="0.3">
      <c r="B52" s="245" t="s">
        <v>623</v>
      </c>
      <c r="C52" s="245" t="s">
        <v>612</v>
      </c>
      <c r="D52" s="245" t="s">
        <v>217</v>
      </c>
      <c r="E52" s="245"/>
      <c r="F52" s="245" t="s">
        <v>431</v>
      </c>
      <c r="I52" t="s">
        <v>558</v>
      </c>
    </row>
    <row r="53" spans="2:24" ht="15.75" hidden="1" thickBot="1" x14ac:dyDescent="0.3">
      <c r="B53" s="245" t="s">
        <v>624</v>
      </c>
      <c r="C53" s="245" t="s">
        <v>612</v>
      </c>
      <c r="D53" s="245" t="s">
        <v>217</v>
      </c>
      <c r="E53" s="245"/>
      <c r="F53" s="245" t="s">
        <v>431</v>
      </c>
      <c r="I53" t="s">
        <v>558</v>
      </c>
    </row>
    <row r="54" spans="2:24" ht="15.75" hidden="1" thickBot="1" x14ac:dyDescent="0.3">
      <c r="B54" s="245" t="s">
        <v>781</v>
      </c>
      <c r="C54" s="245" t="s">
        <v>612</v>
      </c>
      <c r="D54" s="245" t="s">
        <v>217</v>
      </c>
      <c r="E54" s="245"/>
      <c r="F54" s="245"/>
      <c r="I54" t="s">
        <v>558</v>
      </c>
    </row>
    <row r="55" spans="2:24" ht="15.75" hidden="1" thickBot="1" x14ac:dyDescent="0.3">
      <c r="B55" s="245" t="s">
        <v>824</v>
      </c>
      <c r="C55" s="245" t="s">
        <v>612</v>
      </c>
      <c r="D55" s="245" t="s">
        <v>217</v>
      </c>
      <c r="E55" s="245"/>
      <c r="F55" s="245" t="s">
        <v>791</v>
      </c>
      <c r="I55" t="s">
        <v>558</v>
      </c>
    </row>
    <row r="56" spans="2:24" ht="15.75" hidden="1" thickBot="1" x14ac:dyDescent="0.3">
      <c r="B56" s="245" t="s">
        <v>783</v>
      </c>
      <c r="C56" s="245" t="s">
        <v>612</v>
      </c>
      <c r="D56" s="245" t="s">
        <v>217</v>
      </c>
      <c r="E56" s="245"/>
      <c r="F56" s="245" t="s">
        <v>112</v>
      </c>
      <c r="I56" t="s">
        <v>558</v>
      </c>
    </row>
    <row r="57" spans="2:24" ht="15.75" hidden="1" thickBot="1" x14ac:dyDescent="0.3">
      <c r="B57" s="245" t="s">
        <v>785</v>
      </c>
      <c r="C57" s="245" t="s">
        <v>612</v>
      </c>
      <c r="D57" s="245" t="s">
        <v>217</v>
      </c>
      <c r="E57" s="245"/>
      <c r="F57" s="245" t="s">
        <v>107</v>
      </c>
      <c r="I57" t="s">
        <v>558</v>
      </c>
    </row>
    <row r="58" spans="2:24" ht="15.75" hidden="1" thickBot="1" x14ac:dyDescent="0.3">
      <c r="B58" s="245" t="s">
        <v>787</v>
      </c>
      <c r="C58" s="245" t="s">
        <v>612</v>
      </c>
      <c r="D58" s="245" t="s">
        <v>217</v>
      </c>
      <c r="E58" s="245"/>
      <c r="F58" s="245" t="s">
        <v>107</v>
      </c>
      <c r="I58" t="s">
        <v>558</v>
      </c>
    </row>
    <row r="59" spans="2:24" ht="15.75" hidden="1" thickBot="1" x14ac:dyDescent="0.3">
      <c r="B59" s="245" t="s">
        <v>789</v>
      </c>
      <c r="C59" s="245" t="s">
        <v>612</v>
      </c>
      <c r="D59" s="245" t="s">
        <v>217</v>
      </c>
      <c r="E59" s="245"/>
      <c r="F59" s="245" t="s">
        <v>791</v>
      </c>
      <c r="I59" t="s">
        <v>558</v>
      </c>
    </row>
    <row r="60" spans="2:24" ht="15.75" hidden="1" thickBot="1" x14ac:dyDescent="0.3">
      <c r="B60" s="245" t="s">
        <v>792</v>
      </c>
      <c r="C60" s="245" t="s">
        <v>612</v>
      </c>
      <c r="D60" s="245" t="s">
        <v>215</v>
      </c>
      <c r="E60" s="245"/>
      <c r="F60" s="245" t="s">
        <v>112</v>
      </c>
      <c r="I60" t="s">
        <v>558</v>
      </c>
    </row>
    <row r="61" spans="2:24" ht="15.75" hidden="1" thickBot="1" x14ac:dyDescent="0.3">
      <c r="B61" s="246" t="s">
        <v>794</v>
      </c>
      <c r="C61" s="246" t="s">
        <v>612</v>
      </c>
      <c r="D61" s="246" t="s">
        <v>795</v>
      </c>
      <c r="E61" s="246"/>
      <c r="F61" s="246" t="s">
        <v>112</v>
      </c>
      <c r="I61" t="s">
        <v>558</v>
      </c>
    </row>
    <row r="62" spans="2:24" ht="15.75" thickBot="1" x14ac:dyDescent="0.3">
      <c r="B62" s="247" t="s">
        <v>387</v>
      </c>
      <c r="C62" s="247" t="s">
        <v>612</v>
      </c>
      <c r="D62" s="247" t="s">
        <v>213</v>
      </c>
      <c r="E62" s="247" t="s">
        <v>825</v>
      </c>
      <c r="F62" s="247"/>
      <c r="J62" s="21" t="str">
        <f>IF(IN_rooms!R$49="Konvektor",IN_rooms!R$49,"")</f>
        <v/>
      </c>
      <c r="K62" s="21" t="str">
        <f>IF(IN_rooms!S$49="Konvektor",IN_rooms!S$49,"")</f>
        <v/>
      </c>
      <c r="L62" s="21" t="str">
        <f>IF(IN_rooms!T$49="Konvektor",IN_rooms!T$49,"")</f>
        <v/>
      </c>
      <c r="M62" s="21" t="str">
        <f>IF(IN_rooms!U$49="Konvektor",IN_rooms!U$49,"")</f>
        <v/>
      </c>
      <c r="N62" s="21" t="str">
        <f>IF(IN_rooms!V$49="Konvektor",IN_rooms!V$49,"")</f>
        <v/>
      </c>
      <c r="O62" s="21" t="str">
        <f>IF(IN_rooms!W$49="Konvektor",IN_rooms!W$49,"")</f>
        <v/>
      </c>
      <c r="P62" s="21" t="str">
        <f>IF(IN_rooms!X$49="Konvektor",IN_rooms!X$49,"")</f>
        <v/>
      </c>
      <c r="Q62" s="21" t="str">
        <f>IF(IN_rooms!Y$49="Konvektor",IN_rooms!Y$49,"")</f>
        <v/>
      </c>
      <c r="R62" s="21" t="str">
        <f>IF(IN_rooms!Z$49="Konvektor",IN_rooms!Z$49,"")</f>
        <v/>
      </c>
      <c r="S62" s="21" t="str">
        <f>IF(IN_rooms!AA$49="Konvektor",IN_rooms!AA$49,"")</f>
        <v/>
      </c>
      <c r="T62" s="21" t="str">
        <f>IF(IN_rooms!AB$49="Konvektor",IN_rooms!AB$49,"")</f>
        <v/>
      </c>
      <c r="U62" s="21" t="str">
        <f>IF(IN_rooms!AC$49="Konvektor",IN_rooms!AC$49,"")</f>
        <v/>
      </c>
      <c r="V62" s="21" t="str">
        <f>IF(IN_rooms!AD$49="Konvektor",IN_rooms!AD$49,"")</f>
        <v/>
      </c>
      <c r="W62" s="21" t="str">
        <f>IF(IN_rooms!AE$49="Konvektor",IN_rooms!AE$49,"")</f>
        <v/>
      </c>
      <c r="X62" s="21" t="str">
        <f>IF(IN_rooms!AF$49="Konvektor",IN_rooms!AF$49,"")</f>
        <v/>
      </c>
    </row>
    <row r="63" spans="2:24" ht="15.75" thickBot="1" x14ac:dyDescent="0.3">
      <c r="B63" s="247" t="s">
        <v>776</v>
      </c>
      <c r="C63" s="247" t="s">
        <v>612</v>
      </c>
      <c r="D63" s="247" t="s">
        <v>213</v>
      </c>
      <c r="E63" s="247" t="s">
        <v>826</v>
      </c>
      <c r="F63" s="247"/>
      <c r="J63" s="21" t="str">
        <f>IF(J62&gt;"","Standardkonvektor","")</f>
        <v/>
      </c>
      <c r="K63" s="21" t="str">
        <f t="shared" ref="K63:O63" si="11">IF(K62&gt;"","Standardkonvektor","")</f>
        <v/>
      </c>
      <c r="L63" s="21" t="str">
        <f t="shared" si="11"/>
        <v/>
      </c>
      <c r="M63" s="21" t="str">
        <f t="shared" si="11"/>
        <v/>
      </c>
      <c r="N63" s="21" t="str">
        <f t="shared" si="11"/>
        <v/>
      </c>
      <c r="O63" s="21" t="str">
        <f t="shared" si="11"/>
        <v/>
      </c>
      <c r="P63" s="21" t="str">
        <f t="shared" ref="P63:X63" si="12">IF(P62&gt;"","Standardkonvektor","")</f>
        <v/>
      </c>
      <c r="Q63" s="21" t="str">
        <f t="shared" si="12"/>
        <v/>
      </c>
      <c r="R63" s="21" t="str">
        <f t="shared" si="12"/>
        <v/>
      </c>
      <c r="S63" s="21" t="str">
        <f t="shared" si="12"/>
        <v/>
      </c>
      <c r="T63" s="21" t="str">
        <f t="shared" si="12"/>
        <v/>
      </c>
      <c r="U63" s="21" t="str">
        <f t="shared" si="12"/>
        <v/>
      </c>
      <c r="V63" s="21" t="str">
        <f t="shared" si="12"/>
        <v/>
      </c>
      <c r="W63" s="21" t="str">
        <f t="shared" si="12"/>
        <v/>
      </c>
      <c r="X63" s="21" t="str">
        <f t="shared" si="12"/>
        <v/>
      </c>
    </row>
    <row r="64" spans="2:24" ht="15.75" thickBot="1" x14ac:dyDescent="0.3">
      <c r="B64" s="247" t="s">
        <v>382</v>
      </c>
      <c r="C64" s="247" t="s">
        <v>612</v>
      </c>
      <c r="D64" s="247" t="s">
        <v>213</v>
      </c>
      <c r="E64" s="247" t="s">
        <v>827</v>
      </c>
      <c r="F64" s="247" t="s">
        <v>431</v>
      </c>
      <c r="J64" s="21">
        <f>IN_rooms!R$51</f>
        <v>0</v>
      </c>
      <c r="K64" s="21">
        <f>IN_rooms!S$51</f>
        <v>0</v>
      </c>
      <c r="L64" s="21">
        <f>IN_rooms!T$51</f>
        <v>0</v>
      </c>
      <c r="M64" s="21">
        <f>IN_rooms!U$51</f>
        <v>0</v>
      </c>
      <c r="N64" s="21">
        <f>IN_rooms!V$51</f>
        <v>0</v>
      </c>
      <c r="O64" s="21">
        <f>IN_rooms!W$51</f>
        <v>0</v>
      </c>
      <c r="P64" s="21">
        <f>IN_rooms!X$51</f>
        <v>0</v>
      </c>
      <c r="Q64" s="21">
        <f>IN_rooms!Y$51</f>
        <v>0</v>
      </c>
      <c r="R64" s="21">
        <f>IN_rooms!Z$51</f>
        <v>0</v>
      </c>
      <c r="S64" s="21">
        <f>IN_rooms!AA$51</f>
        <v>0</v>
      </c>
      <c r="T64" s="21">
        <f>IN_rooms!AB$51</f>
        <v>0</v>
      </c>
      <c r="U64" s="21">
        <f>IN_rooms!AC$51</f>
        <v>0</v>
      </c>
      <c r="V64" s="21">
        <f>IN_rooms!AD$51</f>
        <v>0</v>
      </c>
      <c r="W64" s="21">
        <f>IN_rooms!AE$51</f>
        <v>0</v>
      </c>
      <c r="X64" s="21">
        <f>IN_rooms!AF$51</f>
        <v>0</v>
      </c>
    </row>
    <row r="65" spans="2:24" ht="15.75" thickBot="1" x14ac:dyDescent="0.3">
      <c r="B65" s="247" t="s">
        <v>236</v>
      </c>
      <c r="C65" s="247" t="s">
        <v>612</v>
      </c>
      <c r="D65" s="247" t="s">
        <v>213</v>
      </c>
      <c r="E65" s="247" t="s">
        <v>828</v>
      </c>
      <c r="F65" s="247" t="s">
        <v>431</v>
      </c>
      <c r="J65" s="21">
        <f>IN_rooms!R$52</f>
        <v>0</v>
      </c>
      <c r="K65" s="21">
        <f>IN_rooms!S$52</f>
        <v>0</v>
      </c>
      <c r="L65" s="21">
        <f>IN_rooms!T$52</f>
        <v>0</v>
      </c>
      <c r="M65" s="21">
        <f>IN_rooms!U$52</f>
        <v>0</v>
      </c>
      <c r="N65" s="21">
        <f>IN_rooms!V$52</f>
        <v>0</v>
      </c>
      <c r="O65" s="21">
        <f>IN_rooms!W$52</f>
        <v>0</v>
      </c>
      <c r="P65" s="21">
        <f>IN_rooms!X$52</f>
        <v>0</v>
      </c>
      <c r="Q65" s="21">
        <f>IN_rooms!Y$52</f>
        <v>0</v>
      </c>
      <c r="R65" s="21">
        <f>IN_rooms!Z$52</f>
        <v>0</v>
      </c>
      <c r="S65" s="21">
        <f>IN_rooms!AA$52</f>
        <v>0</v>
      </c>
      <c r="T65" s="21">
        <f>IN_rooms!AB$52</f>
        <v>0</v>
      </c>
      <c r="U65" s="21">
        <f>IN_rooms!AC$52</f>
        <v>0</v>
      </c>
      <c r="V65" s="21">
        <f>IN_rooms!AD$52</f>
        <v>0</v>
      </c>
      <c r="W65" s="21">
        <f>IN_rooms!AE$52</f>
        <v>0</v>
      </c>
      <c r="X65" s="21">
        <f>IN_rooms!AF$52</f>
        <v>0</v>
      </c>
    </row>
    <row r="66" spans="2:24" ht="15.75" thickBot="1" x14ac:dyDescent="0.3">
      <c r="B66" s="247" t="s">
        <v>390</v>
      </c>
      <c r="C66" s="247" t="s">
        <v>612</v>
      </c>
      <c r="D66" s="247" t="s">
        <v>213</v>
      </c>
      <c r="E66" s="247" t="s">
        <v>829</v>
      </c>
      <c r="F66" s="247" t="s">
        <v>431</v>
      </c>
      <c r="J66" s="21">
        <f>IN_rooms!R$53</f>
        <v>0</v>
      </c>
      <c r="K66" s="21">
        <f>IN_rooms!S$53</f>
        <v>0</v>
      </c>
      <c r="L66" s="21">
        <f>IN_rooms!T$53</f>
        <v>0</v>
      </c>
      <c r="M66" s="21">
        <f>IN_rooms!U$53</f>
        <v>0</v>
      </c>
      <c r="N66" s="21">
        <f>IN_rooms!V$53</f>
        <v>0</v>
      </c>
      <c r="O66" s="21">
        <f>IN_rooms!W$53</f>
        <v>0</v>
      </c>
      <c r="P66" s="21">
        <f>IN_rooms!X$53</f>
        <v>0</v>
      </c>
      <c r="Q66" s="21">
        <f>IN_rooms!Y$53</f>
        <v>0</v>
      </c>
      <c r="R66" s="21">
        <f>IN_rooms!Z$53</f>
        <v>0</v>
      </c>
      <c r="S66" s="21">
        <f>IN_rooms!AA$53</f>
        <v>0</v>
      </c>
      <c r="T66" s="21">
        <f>IN_rooms!AB$53</f>
        <v>0</v>
      </c>
      <c r="U66" s="21">
        <f>IN_rooms!AC$53</f>
        <v>0</v>
      </c>
      <c r="V66" s="21">
        <f>IN_rooms!AD$53</f>
        <v>0</v>
      </c>
      <c r="W66" s="21">
        <f>IN_rooms!AE$53</f>
        <v>0</v>
      </c>
      <c r="X66" s="21">
        <f>IN_rooms!AF$53</f>
        <v>0</v>
      </c>
    </row>
    <row r="67" spans="2:24" ht="15.75" thickBot="1" x14ac:dyDescent="0.3">
      <c r="B67" s="247" t="s">
        <v>781</v>
      </c>
      <c r="C67" s="247" t="s">
        <v>612</v>
      </c>
      <c r="D67" s="247" t="s">
        <v>213</v>
      </c>
      <c r="E67" s="247" t="s">
        <v>830</v>
      </c>
      <c r="F67" s="247"/>
      <c r="J67" s="21">
        <f ca="1">_xlfn.LET(
    _xlpm.typ, clc_power!J$62,
    _xlpm.subtyp, clc_power!J$63,
    _xlpm.höhe, clc_power!J$64,
    _xlpm.tiefe, clc_power!J$66,
    SUMIFS(
        INDIRECT("tabelle1[Heizkörperexponent n ]"),
        INDIRECT("tabelle1[Heizkörper_Typ]"), _xlpm.typ,
        INDIRECT("tabelle1[Heizkörper_Subtyp]"), _xlpm.subtyp,
        INDIRECT("tabelle1[Höhe H in mm]"), _xlpm.höhe,
        INDIRECT("tabelle1[Bautiefe T in mm]"), _xlpm.tiefe
    )
)</f>
        <v>0</v>
      </c>
      <c r="K67" s="21">
        <f ca="1">_xlfn.LET(
    _xlpm.typ, clc_power!K$62,
    _xlpm.subtyp, clc_power!K$63,
    _xlpm.höhe, clc_power!K$64,
    _xlpm.tiefe, clc_power!K$66,
    SUMIFS(
        INDIRECT("tabelle1[Heizkörperexponent n ]"),
        INDIRECT("tabelle1[Heizkörper_Typ]"), _xlpm.typ,
        INDIRECT("tabelle1[Heizkörper_Subtyp]"), _xlpm.subtyp,
        INDIRECT("tabelle1[Höhe H in mm]"), _xlpm.höhe,
        INDIRECT("tabelle1[Bautiefe T in mm]"), _xlpm.tiefe
    )
)</f>
        <v>0</v>
      </c>
      <c r="L67" s="21">
        <f ca="1">_xlfn.LET(
    _xlpm.typ, clc_power!L$62,
    _xlpm.subtyp, clc_power!L$63,
    _xlpm.höhe, clc_power!L$64,
    _xlpm.tiefe, clc_power!L$66,
    SUMIFS(
        INDIRECT("tabelle1[Heizkörperexponent n ]"),
        INDIRECT("tabelle1[Heizkörper_Typ]"), _xlpm.typ,
        INDIRECT("tabelle1[Heizkörper_Subtyp]"), _xlpm.subtyp,
        INDIRECT("tabelle1[Höhe H in mm]"), _xlpm.höhe,
        INDIRECT("tabelle1[Bautiefe T in mm]"), _xlpm.tiefe
    )
)</f>
        <v>0</v>
      </c>
      <c r="M67" s="21">
        <f ca="1">_xlfn.LET(
    _xlpm.typ, clc_power!M$62,
    _xlpm.subtyp, clc_power!M$63,
    _xlpm.höhe, clc_power!M$64,
    _xlpm.tiefe, clc_power!M$66,
    SUMIFS(
        INDIRECT("tabelle1[Heizkörperexponent n ]"),
        INDIRECT("tabelle1[Heizkörper_Typ]"), _xlpm.typ,
        INDIRECT("tabelle1[Heizkörper_Subtyp]"), _xlpm.subtyp,
        INDIRECT("tabelle1[Höhe H in mm]"), _xlpm.höhe,
        INDIRECT("tabelle1[Bautiefe T in mm]"), _xlpm.tiefe
    )
)</f>
        <v>0</v>
      </c>
      <c r="N67" s="21">
        <f ca="1">_xlfn.LET(
    _xlpm.typ, clc_power!N$62,
    _xlpm.subtyp, clc_power!N$63,
    _xlpm.höhe, clc_power!N$64,
    _xlpm.tiefe, clc_power!N$66,
    SUMIFS(
        INDIRECT("tabelle1[Heizkörperexponent n ]"),
        INDIRECT("tabelle1[Heizkörper_Typ]"), _xlpm.typ,
        INDIRECT("tabelle1[Heizkörper_Subtyp]"), _xlpm.subtyp,
        INDIRECT("tabelle1[Höhe H in mm]"), _xlpm.höhe,
        INDIRECT("tabelle1[Bautiefe T in mm]"), _xlpm.tiefe
    )
)</f>
        <v>0</v>
      </c>
      <c r="O67" s="21">
        <f ca="1">_xlfn.LET(
    _xlpm.typ, clc_power!O$62,
    _xlpm.subtyp, clc_power!O$63,
    _xlpm.höhe, clc_power!O$64,
    _xlpm.tiefe, clc_power!O$66,
    SUMIFS(
        INDIRECT("tabelle1[Heizkörperexponent n ]"),
        INDIRECT("tabelle1[Heizkörper_Typ]"), _xlpm.typ,
        INDIRECT("tabelle1[Heizkörper_Subtyp]"), _xlpm.subtyp,
        INDIRECT("tabelle1[Höhe H in mm]"), _xlpm.höhe,
        INDIRECT("tabelle1[Bautiefe T in mm]"), _xlpm.tiefe
    )
)</f>
        <v>0</v>
      </c>
      <c r="P67" s="21">
        <f ca="1">_xlfn.LET(
    _xlpm.typ, clc_power!P$62,
    _xlpm.subtyp, clc_power!P$63,
    _xlpm.höhe, clc_power!P$64,
    _xlpm.tiefe, clc_power!P$66,
    SUMIFS(
        INDIRECT("tabelle1[Heizkörperexponent n ]"),
        INDIRECT("tabelle1[Heizkörper_Typ]"), _xlpm.typ,
        INDIRECT("tabelle1[Heizkörper_Subtyp]"), _xlpm.subtyp,
        INDIRECT("tabelle1[Höhe H in mm]"), _xlpm.höhe,
        INDIRECT("tabelle1[Bautiefe T in mm]"), _xlpm.tiefe
    )
)</f>
        <v>0</v>
      </c>
      <c r="Q67" s="21">
        <f ca="1">_xlfn.LET(
    _xlpm.typ, clc_power!Q$62,
    _xlpm.subtyp, clc_power!Q$63,
    _xlpm.höhe, clc_power!Q$64,
    _xlpm.tiefe, clc_power!Q$66,
    SUMIFS(
        INDIRECT("tabelle1[Heizkörperexponent n ]"),
        INDIRECT("tabelle1[Heizkörper_Typ]"), _xlpm.typ,
        INDIRECT("tabelle1[Heizkörper_Subtyp]"), _xlpm.subtyp,
        INDIRECT("tabelle1[Höhe H in mm]"), _xlpm.höhe,
        INDIRECT("tabelle1[Bautiefe T in mm]"), _xlpm.tiefe
    )
)</f>
        <v>0</v>
      </c>
      <c r="R67" s="21">
        <f ca="1">_xlfn.LET(
    _xlpm.typ, clc_power!R$62,
    _xlpm.subtyp, clc_power!R$63,
    _xlpm.höhe, clc_power!R$64,
    _xlpm.tiefe, clc_power!R$66,
    SUMIFS(
        INDIRECT("tabelle1[Heizkörperexponent n ]"),
        INDIRECT("tabelle1[Heizkörper_Typ]"), _xlpm.typ,
        INDIRECT("tabelle1[Heizkörper_Subtyp]"), _xlpm.subtyp,
        INDIRECT("tabelle1[Höhe H in mm]"), _xlpm.höhe,
        INDIRECT("tabelle1[Bautiefe T in mm]"), _xlpm.tiefe
    )
)</f>
        <v>0</v>
      </c>
      <c r="S67" s="21">
        <f ca="1">_xlfn.LET(
    _xlpm.typ, clc_power!S$62,
    _xlpm.subtyp, clc_power!S$63,
    _xlpm.höhe, clc_power!S$64,
    _xlpm.tiefe, clc_power!S$66,
    SUMIFS(
        INDIRECT("tabelle1[Heizkörperexponent n ]"),
        INDIRECT("tabelle1[Heizkörper_Typ]"), _xlpm.typ,
        INDIRECT("tabelle1[Heizkörper_Subtyp]"), _xlpm.subtyp,
        INDIRECT("tabelle1[Höhe H in mm]"), _xlpm.höhe,
        INDIRECT("tabelle1[Bautiefe T in mm]"), _xlpm.tiefe
    )
)</f>
        <v>0</v>
      </c>
      <c r="T67" s="21">
        <f ca="1">_xlfn.LET(
    _xlpm.typ, clc_power!T$62,
    _xlpm.subtyp, clc_power!T$63,
    _xlpm.höhe, clc_power!T$64,
    _xlpm.tiefe, clc_power!T$66,
    SUMIFS(
        INDIRECT("tabelle1[Heizkörperexponent n ]"),
        INDIRECT("tabelle1[Heizkörper_Typ]"), _xlpm.typ,
        INDIRECT("tabelle1[Heizkörper_Subtyp]"), _xlpm.subtyp,
        INDIRECT("tabelle1[Höhe H in mm]"), _xlpm.höhe,
        INDIRECT("tabelle1[Bautiefe T in mm]"), _xlpm.tiefe
    )
)</f>
        <v>0</v>
      </c>
      <c r="U67" s="21">
        <f ca="1">_xlfn.LET(
    _xlpm.typ, clc_power!U$62,
    _xlpm.subtyp, clc_power!U$63,
    _xlpm.höhe, clc_power!U$64,
    _xlpm.tiefe, clc_power!U$66,
    SUMIFS(
        INDIRECT("tabelle1[Heizkörperexponent n ]"),
        INDIRECT("tabelle1[Heizkörper_Typ]"), _xlpm.typ,
        INDIRECT("tabelle1[Heizkörper_Subtyp]"), _xlpm.subtyp,
        INDIRECT("tabelle1[Höhe H in mm]"), _xlpm.höhe,
        INDIRECT("tabelle1[Bautiefe T in mm]"), _xlpm.tiefe
    )
)</f>
        <v>0</v>
      </c>
      <c r="V67" s="21">
        <f ca="1">_xlfn.LET(
    _xlpm.typ, clc_power!V$62,
    _xlpm.subtyp, clc_power!V$63,
    _xlpm.höhe, clc_power!V$64,
    _xlpm.tiefe, clc_power!V$66,
    SUMIFS(
        INDIRECT("tabelle1[Heizkörperexponent n ]"),
        INDIRECT("tabelle1[Heizkörper_Typ]"), _xlpm.typ,
        INDIRECT("tabelle1[Heizkörper_Subtyp]"), _xlpm.subtyp,
        INDIRECT("tabelle1[Höhe H in mm]"), _xlpm.höhe,
        INDIRECT("tabelle1[Bautiefe T in mm]"), _xlpm.tiefe
    )
)</f>
        <v>0</v>
      </c>
      <c r="W67" s="21">
        <f ca="1">_xlfn.LET(
    _xlpm.typ, clc_power!W$62,
    _xlpm.subtyp, clc_power!W$63,
    _xlpm.höhe, clc_power!W$64,
    _xlpm.tiefe, clc_power!W$66,
    SUMIFS(
        INDIRECT("tabelle1[Heizkörperexponent n ]"),
        INDIRECT("tabelle1[Heizkörper_Typ]"), _xlpm.typ,
        INDIRECT("tabelle1[Heizkörper_Subtyp]"), _xlpm.subtyp,
        INDIRECT("tabelle1[Höhe H in mm]"), _xlpm.höhe,
        INDIRECT("tabelle1[Bautiefe T in mm]"), _xlpm.tiefe
    )
)</f>
        <v>0</v>
      </c>
      <c r="X67" s="21">
        <f ca="1">_xlfn.LET(
    _xlpm.typ, clc_power!X$62,
    _xlpm.subtyp, clc_power!X$63,
    _xlpm.höhe, clc_power!X$64,
    _xlpm.tiefe, clc_power!X$66,
    SUMIFS(
        INDIRECT("tabelle1[Heizkörperexponent n ]"),
        INDIRECT("tabelle1[Heizkörper_Typ]"), _xlpm.typ,
        INDIRECT("tabelle1[Heizkörper_Subtyp]"), _xlpm.subtyp,
        INDIRECT("tabelle1[Höhe H in mm]"), _xlpm.höhe,
        INDIRECT("tabelle1[Bautiefe T in mm]"), _xlpm.tiefe
    )
)</f>
        <v>0</v>
      </c>
    </row>
    <row r="68" spans="2:24" ht="15.75" thickBot="1" x14ac:dyDescent="0.3">
      <c r="B68" s="247" t="s">
        <v>783</v>
      </c>
      <c r="C68" s="247" t="s">
        <v>612</v>
      </c>
      <c r="D68" s="247" t="s">
        <v>213</v>
      </c>
      <c r="E68" s="247" t="s">
        <v>831</v>
      </c>
      <c r="F68" s="247" t="s">
        <v>112</v>
      </c>
      <c r="J68" s="21">
        <f ca="1">_xlfn.LET(
    _xlpm.bedarf, IN_rooms!R$55,
    _xlpm.typ, clc_power!J$62,
    _xlpm.subtyp, clc_power!J$63,
    _xlpm.höhe, clc_power!J$64,
    _xlpm.faktor, clc_power!J$65,
    _xlpm.tiefe, clc_power!J$66,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K68" s="21">
        <f ca="1">_xlfn.LET(
    _xlpm.bedarf, IN_rooms!S$55,
    _xlpm.typ, clc_power!K$62,
    _xlpm.subtyp, clc_power!K$63,
    _xlpm.höhe, clc_power!K$64,
    _xlpm.faktor, clc_power!K$65,
    _xlpm.tiefe, clc_power!K$66,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L68" s="21">
        <f ca="1">_xlfn.LET(
    _xlpm.bedarf, IN_rooms!T$55,
    _xlpm.typ, clc_power!L$62,
    _xlpm.subtyp, clc_power!L$63,
    _xlpm.höhe, clc_power!L$64,
    _xlpm.faktor, clc_power!L$65,
    _xlpm.tiefe, clc_power!L$66,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M68" s="21">
        <f ca="1">_xlfn.LET(
    _xlpm.bedarf, IN_rooms!U$55,
    _xlpm.typ, clc_power!M$62,
    _xlpm.subtyp, clc_power!M$63,
    _xlpm.höhe, clc_power!M$64,
    _xlpm.faktor, clc_power!M$65,
    _xlpm.tiefe, clc_power!M$66,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N68" s="21">
        <f ca="1">_xlfn.LET(
    _xlpm.bedarf, IN_rooms!V$55,
    _xlpm.typ, clc_power!N$62,
    _xlpm.subtyp, clc_power!N$63,
    _xlpm.höhe, clc_power!N$64,
    _xlpm.faktor, clc_power!N$65,
    _xlpm.tiefe, clc_power!N$66,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O68" s="21">
        <f ca="1">_xlfn.LET(
    _xlpm.bedarf, IN_rooms!W$55,
    _xlpm.typ, clc_power!O$62,
    _xlpm.subtyp, clc_power!O$63,
    _xlpm.höhe, clc_power!O$64,
    _xlpm.faktor, clc_power!O$65,
    _xlpm.tiefe, clc_power!O$66,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P68" s="21">
        <f ca="1">_xlfn.LET(
    _xlpm.bedarf, IN_rooms!X$55,
    _xlpm.typ, clc_power!P$62,
    _xlpm.subtyp, clc_power!P$63,
    _xlpm.höhe, clc_power!P$64,
    _xlpm.faktor, clc_power!P$65,
    _xlpm.tiefe, clc_power!P$66,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Q68" s="21">
        <f ca="1">_xlfn.LET(
    _xlpm.bedarf, IN_rooms!Y$55,
    _xlpm.typ, clc_power!Q$62,
    _xlpm.subtyp, clc_power!Q$63,
    _xlpm.höhe, clc_power!Q$64,
    _xlpm.faktor, clc_power!Q$65,
    _xlpm.tiefe, clc_power!Q$66,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R68" s="21">
        <f ca="1">_xlfn.LET(
    _xlpm.bedarf, IN_rooms!Z$55,
    _xlpm.typ, clc_power!R$62,
    _xlpm.subtyp, clc_power!R$63,
    _xlpm.höhe, clc_power!R$64,
    _xlpm.faktor, clc_power!R$65,
    _xlpm.tiefe, clc_power!R$66,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S68" s="21">
        <f ca="1">_xlfn.LET(
    _xlpm.bedarf, IN_rooms!AA$55,
    _xlpm.typ, clc_power!S$62,
    _xlpm.subtyp, clc_power!S$63,
    _xlpm.höhe, clc_power!S$64,
    _xlpm.faktor, clc_power!S$65,
    _xlpm.tiefe, clc_power!S$66,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T68" s="21">
        <f ca="1">_xlfn.LET(
    _xlpm.bedarf, IN_rooms!AB$55,
    _xlpm.typ, clc_power!T$62,
    _xlpm.subtyp, clc_power!T$63,
    _xlpm.höhe, clc_power!T$64,
    _xlpm.faktor, clc_power!T$65,
    _xlpm.tiefe, clc_power!T$66,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U68" s="21">
        <f ca="1">_xlfn.LET(
    _xlpm.bedarf, IN_rooms!AC$55,
    _xlpm.typ, clc_power!U$62,
    _xlpm.subtyp, clc_power!U$63,
    _xlpm.höhe, clc_power!U$64,
    _xlpm.faktor, clc_power!U$65,
    _xlpm.tiefe, clc_power!U$66,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V68" s="21">
        <f ca="1">_xlfn.LET(
    _xlpm.bedarf, IN_rooms!AD$55,
    _xlpm.typ, clc_power!V$62,
    _xlpm.subtyp, clc_power!V$63,
    _xlpm.höhe, clc_power!V$64,
    _xlpm.faktor, clc_power!V$65,
    _xlpm.tiefe, clc_power!V$66,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W68" s="21">
        <f ca="1">_xlfn.LET(
    _xlpm.bedarf, IN_rooms!AE$55,
    _xlpm.typ, clc_power!W$62,
    _xlpm.subtyp, clc_power!W$63,
    _xlpm.höhe, clc_power!W$64,
    _xlpm.faktor, clc_power!W$65,
    _xlpm.tiefe, clc_power!W$66,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c r="X68" s="21">
        <f ca="1">_xlfn.LET(
    _xlpm.bedarf, IN_rooms!AF$55,
    _xlpm.typ, clc_power!X$62,
    _xlpm.subtyp, clc_power!X$63,
    _xlpm.höhe, clc_power!X$64,
    _xlpm.faktor, clc_power!X$65,
    _xlpm.tiefe, clc_power!X$66,
    _xlpm.leistung, _xlpm.bedarf *
        SUMIFS(
            INDIRECT("tabelle1[Wärmeleistung (75/65/20)  in W/m]"),
            INDIRECT("tabelle1[Heizkörper_Typ]"), _xlpm.typ,
            INDIRECT("tabelle1[Heizkörper_Subtyp]"), _xlpm.subtyp,
            INDIRECT("tabelle1[Höhe H in mm]"), _xlpm.höhe,
            INDIRECT("tabelle1[Bautiefe T in mm]"), _xlpm.tiefe
        ) * _xlpm.faktor / 1000,
    IF(_xlpm.leistung &gt; 0, _xlpm.leistung, 0)
)</f>
        <v>0</v>
      </c>
    </row>
    <row r="69" spans="2:24" ht="15.75" thickBot="1" x14ac:dyDescent="0.3">
      <c r="B69" s="247" t="s">
        <v>785</v>
      </c>
      <c r="C69" s="247" t="s">
        <v>612</v>
      </c>
      <c r="D69" s="247" t="s">
        <v>213</v>
      </c>
      <c r="E69" s="247" t="s">
        <v>832</v>
      </c>
      <c r="F69" s="247" t="s">
        <v>107</v>
      </c>
      <c r="J69" s="21">
        <f>TVL_Ziel</f>
        <v>55</v>
      </c>
      <c r="K69" s="21">
        <f t="shared" ref="K69:X69" si="13">TVL_Ziel</f>
        <v>55</v>
      </c>
      <c r="L69" s="21">
        <f t="shared" si="13"/>
        <v>55</v>
      </c>
      <c r="M69" s="21">
        <f t="shared" si="13"/>
        <v>55</v>
      </c>
      <c r="N69" s="21">
        <f t="shared" si="13"/>
        <v>55</v>
      </c>
      <c r="O69" s="21">
        <f t="shared" si="13"/>
        <v>55</v>
      </c>
      <c r="P69" s="21">
        <f t="shared" si="13"/>
        <v>55</v>
      </c>
      <c r="Q69" s="21">
        <f t="shared" si="13"/>
        <v>55</v>
      </c>
      <c r="R69" s="21">
        <f t="shared" si="13"/>
        <v>55</v>
      </c>
      <c r="S69" s="21">
        <f t="shared" si="13"/>
        <v>55</v>
      </c>
      <c r="T69" s="21">
        <f t="shared" si="13"/>
        <v>55</v>
      </c>
      <c r="U69" s="21">
        <f t="shared" si="13"/>
        <v>55</v>
      </c>
      <c r="V69" s="21">
        <f t="shared" si="13"/>
        <v>55</v>
      </c>
      <c r="W69" s="21">
        <f t="shared" si="13"/>
        <v>55</v>
      </c>
      <c r="X69" s="21">
        <f t="shared" si="13"/>
        <v>55</v>
      </c>
    </row>
    <row r="70" spans="2:24" ht="15.75" thickBot="1" x14ac:dyDescent="0.3">
      <c r="B70" s="247" t="s">
        <v>787</v>
      </c>
      <c r="C70" s="247" t="s">
        <v>612</v>
      </c>
      <c r="D70" s="247" t="s">
        <v>213</v>
      </c>
      <c r="E70" s="247" t="s">
        <v>833</v>
      </c>
      <c r="F70" s="247" t="s">
        <v>107</v>
      </c>
      <c r="J70" s="21">
        <f>TRL_Ziel</f>
        <v>45</v>
      </c>
      <c r="K70" s="21">
        <f t="shared" ref="K70:X70" si="14">TRL_Ziel</f>
        <v>45</v>
      </c>
      <c r="L70" s="21">
        <f t="shared" si="14"/>
        <v>45</v>
      </c>
      <c r="M70" s="21">
        <f t="shared" si="14"/>
        <v>45</v>
      </c>
      <c r="N70" s="21">
        <f t="shared" si="14"/>
        <v>45</v>
      </c>
      <c r="O70" s="21">
        <f t="shared" si="14"/>
        <v>45</v>
      </c>
      <c r="P70" s="21">
        <f t="shared" si="14"/>
        <v>45</v>
      </c>
      <c r="Q70" s="21">
        <f t="shared" si="14"/>
        <v>45</v>
      </c>
      <c r="R70" s="21">
        <f t="shared" si="14"/>
        <v>45</v>
      </c>
      <c r="S70" s="21">
        <f t="shared" si="14"/>
        <v>45</v>
      </c>
      <c r="T70" s="21">
        <f t="shared" si="14"/>
        <v>45</v>
      </c>
      <c r="U70" s="21">
        <f t="shared" si="14"/>
        <v>45</v>
      </c>
      <c r="V70" s="21">
        <f t="shared" si="14"/>
        <v>45</v>
      </c>
      <c r="W70" s="21">
        <f t="shared" si="14"/>
        <v>45</v>
      </c>
      <c r="X70" s="21">
        <f t="shared" si="14"/>
        <v>45</v>
      </c>
    </row>
    <row r="71" spans="2:24" ht="15.75" thickBot="1" x14ac:dyDescent="0.3">
      <c r="B71" s="247" t="s">
        <v>789</v>
      </c>
      <c r="C71" s="247" t="s">
        <v>612</v>
      </c>
      <c r="D71" s="247" t="s">
        <v>209</v>
      </c>
      <c r="E71" s="247" t="s">
        <v>834</v>
      </c>
      <c r="F71" s="247" t="s">
        <v>791</v>
      </c>
      <c r="J71" s="79">
        <f>(J$69-J$70)/(LN((J$69-clc_load!M$10)/(clc_power!J$70-clc_load!M$10)))</f>
        <v>29.720134119884619</v>
      </c>
      <c r="K71" s="79">
        <f>(K$69-K$70)/(LN((K$69-clc_load!N$10)/(clc_power!K$70-clc_load!N$10)))</f>
        <v>29.720134119884619</v>
      </c>
      <c r="L71" s="79">
        <f>(L$69-L$70)/(LN((L$69-clc_load!O$10)/(clc_power!L$70-clc_load!O$10)))</f>
        <v>29.720134119884619</v>
      </c>
      <c r="M71" s="79">
        <f>(M$69-M$70)/(LN((M$69-clc_load!P$10)/(clc_power!M$70-clc_load!P$10)))</f>
        <v>29.720134119884619</v>
      </c>
      <c r="N71" s="79">
        <f>(N$69-N$70)/(LN((N$69-clc_load!Q$10)/(clc_power!N$70-clc_load!Q$10)))</f>
        <v>29.720134119884619</v>
      </c>
      <c r="O71" s="79">
        <f>(O$69-O$70)/(LN((O$69-clc_load!R$10)/(clc_power!O$70-clc_load!R$10)))</f>
        <v>29.720134119884619</v>
      </c>
      <c r="P71" s="79">
        <f>(P$69-P$70)/(LN((P$69-clc_load!S$10)/(clc_power!P$70-clc_load!S$10)))</f>
        <v>29.720134119884619</v>
      </c>
      <c r="Q71" s="79">
        <f>(Q$69-Q$70)/(LN((Q$69-clc_load!T$10)/(clc_power!Q$70-clc_load!T$10)))</f>
        <v>29.720134119884619</v>
      </c>
      <c r="R71" s="79">
        <f>(R$69-R$70)/(LN((R$69-clc_load!U$10)/(clc_power!R$70-clc_load!U$10)))</f>
        <v>29.720134119884619</v>
      </c>
      <c r="S71" s="79">
        <f>(S$69-S$70)/(LN((S$69-clc_load!V$10)/(clc_power!S$70-clc_load!V$10)))</f>
        <v>29.720134119884619</v>
      </c>
      <c r="T71" s="79">
        <f>(T$69-T$70)/(LN((T$69-clc_load!W$10)/(clc_power!T$70-clc_load!W$10)))</f>
        <v>29.720134119884619</v>
      </c>
      <c r="U71" s="79">
        <f>(U$69-U$70)/(LN((U$69-clc_load!X$10)/(clc_power!U$70-clc_load!X$10)))</f>
        <v>29.720134119884619</v>
      </c>
      <c r="V71" s="79">
        <f>(V$69-V$70)/(LN((V$69-clc_load!Y$10)/(clc_power!V$70-clc_load!Y$10)))</f>
        <v>29.720134119884619</v>
      </c>
      <c r="W71" s="79">
        <f>(W$69-W$70)/(LN((W$69-clc_load!Z$10)/(clc_power!W$70-clc_load!Z$10)))</f>
        <v>29.720134119884619</v>
      </c>
      <c r="X71" s="79">
        <f>(X$69-X$70)/(LN((X$69-clc_load!AA$10)/(clc_power!X$70-clc_load!AA$10)))</f>
        <v>29.720134119884619</v>
      </c>
    </row>
    <row r="72" spans="2:24" ht="15.75" thickBot="1" x14ac:dyDescent="0.3">
      <c r="B72" s="247" t="s">
        <v>792</v>
      </c>
      <c r="C72" s="247" t="s">
        <v>612</v>
      </c>
      <c r="D72" s="247" t="s">
        <v>209</v>
      </c>
      <c r="E72" s="247" t="s">
        <v>835</v>
      </c>
      <c r="F72" s="247" t="s">
        <v>112</v>
      </c>
      <c r="J72" s="79">
        <f t="shared" ref="J72:X72" ca="1" si="15">IF(J$68*((J$71/Log_ÜT_Norm)^J$67)&gt;0,
J$68*((J$71/Log_ÜT_Norm)^J$67),0)</f>
        <v>0</v>
      </c>
      <c r="K72" s="79">
        <f t="shared" ca="1" si="15"/>
        <v>0</v>
      </c>
      <c r="L72" s="79">
        <f t="shared" ca="1" si="15"/>
        <v>0</v>
      </c>
      <c r="M72" s="79">
        <f t="shared" ca="1" si="15"/>
        <v>0</v>
      </c>
      <c r="N72" s="79">
        <f t="shared" ca="1" si="15"/>
        <v>0</v>
      </c>
      <c r="O72" s="79">
        <f t="shared" ca="1" si="15"/>
        <v>0</v>
      </c>
      <c r="P72" s="79">
        <f t="shared" ca="1" si="15"/>
        <v>0</v>
      </c>
      <c r="Q72" s="79">
        <f t="shared" ca="1" si="15"/>
        <v>0</v>
      </c>
      <c r="R72" s="79">
        <f t="shared" ca="1" si="15"/>
        <v>0</v>
      </c>
      <c r="S72" s="79">
        <f t="shared" ca="1" si="15"/>
        <v>0</v>
      </c>
      <c r="T72" s="79">
        <f t="shared" ca="1" si="15"/>
        <v>0</v>
      </c>
      <c r="U72" s="79">
        <f t="shared" ca="1" si="15"/>
        <v>0</v>
      </c>
      <c r="V72" s="79">
        <f t="shared" ca="1" si="15"/>
        <v>0</v>
      </c>
      <c r="W72" s="79">
        <f t="shared" ca="1" si="15"/>
        <v>0</v>
      </c>
      <c r="X72" s="79">
        <f t="shared" ca="1" si="15"/>
        <v>0</v>
      </c>
    </row>
    <row r="73" spans="2:24" ht="15.75" thickBot="1" x14ac:dyDescent="0.3">
      <c r="B73" s="248" t="s">
        <v>794</v>
      </c>
      <c r="C73" s="248" t="s">
        <v>612</v>
      </c>
      <c r="D73" s="248" t="s">
        <v>795</v>
      </c>
      <c r="E73" s="248" t="s">
        <v>836</v>
      </c>
      <c r="F73" s="248" t="s">
        <v>112</v>
      </c>
      <c r="J73" s="79">
        <f ca="1">_xlfn.LET(
    _xlpm.typ, "Flachheizkoerper_senkrecht_profiliert",
    _xlpm.subtyp, "Typ_33",
    _xlpm.höhe, _xlfn.XLOOKUP(J$64, Data_radiator!$G$5:$G$32, Data_radiator!$G$5:$G$32, 1000000, 1, 1),
    _xlpm.tiefe, 155,
    _xlpm.faktor, J$65 / 1000,
    _xlpm.exponentFaktor, J$71 / Log_ÜT_Norm,
    _xlpm.bedarf, IN_rooms!R$55,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K73" s="79">
        <f ca="1">_xlfn.LET(
    _xlpm.typ, "Flachheizkoerper_senkrecht_profiliert",
    _xlpm.subtyp, "Typ_33",
    _xlpm.höhe, _xlfn.XLOOKUP(K$64, Data_radiator!$G$5:$G$32, Data_radiator!$G$5:$G$32, 1000000, 1, 1),
    _xlpm.tiefe, 155,
    _xlpm.faktor, K$65 / 1000,
    _xlpm.exponentFaktor, K$71 / Log_ÜT_Norm,
    _xlpm.bedarf, IN_rooms!S$55,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L73" s="79">
        <f ca="1">_xlfn.LET(
    _xlpm.typ, "Flachheizkoerper_senkrecht_profiliert",
    _xlpm.subtyp, "Typ_33",
    _xlpm.höhe, _xlfn.XLOOKUP(L$64, Data_radiator!$G$5:$G$32, Data_radiator!$G$5:$G$32, 1000000, 1, 1),
    _xlpm.tiefe, 155,
    _xlpm.faktor, L$65 / 1000,
    _xlpm.exponentFaktor, L$71 / Log_ÜT_Norm,
    _xlpm.bedarf, IN_rooms!T$55,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M73" s="79">
        <f ca="1">_xlfn.LET(
    _xlpm.typ, "Flachheizkoerper_senkrecht_profiliert",
    _xlpm.subtyp, "Typ_33",
    _xlpm.höhe, _xlfn.XLOOKUP(M$64, Data_radiator!$G$5:$G$32, Data_radiator!$G$5:$G$32, 1000000, 1, 1),
    _xlpm.tiefe, 155,
    _xlpm.faktor, M$65 / 1000,
    _xlpm.exponentFaktor, M$71 / Log_ÜT_Norm,
    _xlpm.bedarf, IN_rooms!U$55,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N73" s="79">
        <f ca="1">_xlfn.LET(
    _xlpm.typ, "Flachheizkoerper_senkrecht_profiliert",
    _xlpm.subtyp, "Typ_33",
    _xlpm.höhe, _xlfn.XLOOKUP(N$64, Data_radiator!$G$5:$G$32, Data_radiator!$G$5:$G$32, 1000000, 1, 1),
    _xlpm.tiefe, 155,
    _xlpm.faktor, N$65 / 1000,
    _xlpm.exponentFaktor, N$71 / Log_ÜT_Norm,
    _xlpm.bedarf, IN_rooms!V$55,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O73" s="79">
        <f ca="1">_xlfn.LET(
    _xlpm.typ, "Flachheizkoerper_senkrecht_profiliert",
    _xlpm.subtyp, "Typ_33",
    _xlpm.höhe, _xlfn.XLOOKUP(O$64, Data_radiator!$G$5:$G$32, Data_radiator!$G$5:$G$32, 1000000, 1, 1),
    _xlpm.tiefe, 155,
    _xlpm.faktor, O$65 / 1000,
    _xlpm.exponentFaktor, O$71 / Log_ÜT_Norm,
    _xlpm.bedarf, IN_rooms!W$55,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P73" s="79">
        <f ca="1">_xlfn.LET(
    _xlpm.typ, "Flachheizkoerper_senkrecht_profiliert",
    _xlpm.subtyp, "Typ_33",
    _xlpm.höhe, _xlfn.XLOOKUP(P$64, Data_radiator!$G$5:$G$32, Data_radiator!$G$5:$G$32, 1000000, 1, 1),
    _xlpm.tiefe, 155,
    _xlpm.faktor, P$65 / 1000,
    _xlpm.exponentFaktor, P$71 / Log_ÜT_Norm,
    _xlpm.bedarf, IN_rooms!X$55,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Q73" s="79">
        <f ca="1">_xlfn.LET(
    _xlpm.typ, "Flachheizkoerper_senkrecht_profiliert",
    _xlpm.subtyp, "Typ_33",
    _xlpm.höhe, _xlfn.XLOOKUP(Q$64, Data_radiator!$G$5:$G$32, Data_radiator!$G$5:$G$32, 1000000, 1, 1),
    _xlpm.tiefe, 155,
    _xlpm.faktor, Q$65 / 1000,
    _xlpm.exponentFaktor, Q$71 / Log_ÜT_Norm,
    _xlpm.bedarf, IN_rooms!Y$55,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R73" s="79">
        <f ca="1">_xlfn.LET(
    _xlpm.typ, "Flachheizkoerper_senkrecht_profiliert",
    _xlpm.subtyp, "Typ_33",
    _xlpm.höhe, _xlfn.XLOOKUP(R$64, Data_radiator!$G$5:$G$32, Data_radiator!$G$5:$G$32, 1000000, 1, 1),
    _xlpm.tiefe, 155,
    _xlpm.faktor, R$65 / 1000,
    _xlpm.exponentFaktor, R$71 / Log_ÜT_Norm,
    _xlpm.bedarf, IN_rooms!Z$55,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S73" s="79">
        <f ca="1">_xlfn.LET(
    _xlpm.typ, "Flachheizkoerper_senkrecht_profiliert",
    _xlpm.subtyp, "Typ_33",
    _xlpm.höhe, _xlfn.XLOOKUP(S$64, Data_radiator!$G$5:$G$32, Data_radiator!$G$5:$G$32, 1000000, 1, 1),
    _xlpm.tiefe, 155,
    _xlpm.faktor, S$65 / 1000,
    _xlpm.exponentFaktor, S$71 / Log_ÜT_Norm,
    _xlpm.bedarf, IN_rooms!AA$55,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T73" s="79">
        <f ca="1">_xlfn.LET(
    _xlpm.typ, "Flachheizkoerper_senkrecht_profiliert",
    _xlpm.subtyp, "Typ_33",
    _xlpm.höhe, _xlfn.XLOOKUP(T$64, Data_radiator!$G$5:$G$32, Data_radiator!$G$5:$G$32, 1000000, 1, 1),
    _xlpm.tiefe, 155,
    _xlpm.faktor, T$65 / 1000,
    _xlpm.exponentFaktor, T$71 / Log_ÜT_Norm,
    _xlpm.bedarf, IN_rooms!AB$55,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U73" s="79">
        <f ca="1">_xlfn.LET(
    _xlpm.typ, "Flachheizkoerper_senkrecht_profiliert",
    _xlpm.subtyp, "Typ_33",
    _xlpm.höhe, _xlfn.XLOOKUP(U$64, Data_radiator!$G$5:$G$32, Data_radiator!$G$5:$G$32, 1000000, 1, 1),
    _xlpm.tiefe, 155,
    _xlpm.faktor, U$65 / 1000,
    _xlpm.exponentFaktor, U$71 / Log_ÜT_Norm,
    _xlpm.bedarf, IN_rooms!AC$55,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V73" s="79">
        <f ca="1">_xlfn.LET(
    _xlpm.typ, "Flachheizkoerper_senkrecht_profiliert",
    _xlpm.subtyp, "Typ_33",
    _xlpm.höhe, _xlfn.XLOOKUP(V$64, Data_radiator!$G$5:$G$32, Data_radiator!$G$5:$G$32, 1000000, 1, 1),
    _xlpm.tiefe, 155,
    _xlpm.faktor, V$65 / 1000,
    _xlpm.exponentFaktor, V$71 / Log_ÜT_Norm,
    _xlpm.bedarf, IN_rooms!AD$55,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W73" s="79">
        <f ca="1">_xlfn.LET(
    _xlpm.typ, "Flachheizkoerper_senkrecht_profiliert",
    _xlpm.subtyp, "Typ_33",
    _xlpm.höhe, _xlfn.XLOOKUP(W$64, Data_radiator!$G$5:$G$32, Data_radiator!$G$5:$G$32, 1000000, 1, 1),
    _xlpm.tiefe, 155,
    _xlpm.faktor, W$65 / 1000,
    _xlpm.exponentFaktor, W$71 / Log_ÜT_Norm,
    _xlpm.bedarf, IN_rooms!AE$55,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c r="X73" s="79">
        <f ca="1">_xlfn.LET(
    _xlpm.typ, "Flachheizkoerper_senkrecht_profiliert",
    _xlpm.subtyp, "Typ_33",
    _xlpm.höhe, _xlfn.XLOOKUP(X$64, Data_radiator!$G$5:$G$32, Data_radiator!$G$5:$G$32, 1000000, 1, 1),
    _xlpm.tiefe, 155,
    _xlpm.faktor, X$65 / 1000,
    _xlpm.exponentFaktor, X$71 / Log_ÜT_Norm,
    _xlpm.bedarf, IN_rooms!AF$55,
    _xlpm.exponent, SUMIFS(
        INDIRECT("tabelle1[Heizkörperexponent n ]"),
        INDIRECT("tabelle1[Heizkörper_Typ]"), _xlpm.typ,
        INDIRECT("tabelle1[Heizkörper_Subtyp]"), _xlpm.subtyp,
        INDIRECT("tabelle1[Höhe H in mm]"), _xlpm.höhe,
        INDIRECT("tabelle1[Bautiefe T in mm]"), _xlpm.tiefe
    ),
    _xlpm.leistung, _xlpm.bedarf *
        SUMIFS(
            INDIRECT("tabelle1[Wärmeleistung (75/65/20)  in W/m]"),
            INDIRECT("tabelle1[Heizkörper_Typ]"), _xlpm.typ,
            INDIRECT("tabelle1[Heizkörper_Subtyp]"), _xlpm.subtyp,
            INDIRECT("tabelle1[Höhe H in mm]"), _xlpm.höhe,
            INDIRECT("tabelle1[Bautiefe T in mm]"), _xlpm.tiefe
        ) * _xlpm.faktor * (_xlpm.exponentFaktor ^ _xlpm.exponent),
    IF(_xlpm.leistung &gt; 0, _xlpm.leistung, 0)
)</f>
        <v>0</v>
      </c>
    </row>
    <row r="74" spans="2:24" ht="15.75" thickBot="1" x14ac:dyDescent="0.3">
      <c r="B74" s="251" t="s">
        <v>837</v>
      </c>
      <c r="C74" s="251" t="s">
        <v>612</v>
      </c>
      <c r="D74" s="251"/>
      <c r="E74" s="251" t="s">
        <v>838</v>
      </c>
      <c r="F74" s="251" t="s">
        <v>112</v>
      </c>
      <c r="G74" s="22"/>
      <c r="H74" s="22"/>
      <c r="I74" s="22"/>
      <c r="J74" s="264" t="str">
        <f>IF(J11&gt;"",J21,IF(J23&gt;"",J33,IF(J35&gt;"",J46,IF(J62&gt;"",J72,""))))</f>
        <v/>
      </c>
      <c r="K74" s="264" t="str">
        <f t="shared" ref="K74:O74" si="16">IF(K11&gt;"",K21,IF(K23&gt;"",K33,IF(K35&gt;"",K46,IF(K62&gt;"",K72,""))))</f>
        <v/>
      </c>
      <c r="L74" s="264" t="str">
        <f t="shared" si="16"/>
        <v/>
      </c>
      <c r="M74" s="264" t="str">
        <f t="shared" si="16"/>
        <v/>
      </c>
      <c r="N74" s="264" t="str">
        <f t="shared" si="16"/>
        <v/>
      </c>
      <c r="O74" s="264" t="str">
        <f t="shared" si="16"/>
        <v/>
      </c>
      <c r="P74" s="264" t="str">
        <f t="shared" ref="P74:X74" si="17">IF(P11&gt;"",P21,IF(P23&gt;"",P33,IF(P35&gt;"",P46,IF(P62&gt;"",P72,""))))</f>
        <v/>
      </c>
      <c r="Q74" s="264" t="str">
        <f t="shared" si="17"/>
        <v/>
      </c>
      <c r="R74" s="264" t="str">
        <f t="shared" si="17"/>
        <v/>
      </c>
      <c r="S74" s="264" t="str">
        <f t="shared" si="17"/>
        <v/>
      </c>
      <c r="T74" s="264" t="str">
        <f t="shared" si="17"/>
        <v/>
      </c>
      <c r="U74" s="264" t="str">
        <f t="shared" si="17"/>
        <v/>
      </c>
      <c r="V74" s="264" t="str">
        <f t="shared" si="17"/>
        <v/>
      </c>
      <c r="W74" s="264" t="str">
        <f t="shared" si="17"/>
        <v/>
      </c>
      <c r="X74" s="264" t="str">
        <f t="shared" si="17"/>
        <v/>
      </c>
    </row>
    <row r="75" spans="2:24" ht="15.75" thickBot="1" x14ac:dyDescent="0.3">
      <c r="B75" s="251" t="s">
        <v>839</v>
      </c>
      <c r="C75" s="251" t="s">
        <v>612</v>
      </c>
      <c r="D75" s="251" t="s">
        <v>840</v>
      </c>
      <c r="E75" s="251" t="s">
        <v>841</v>
      </c>
      <c r="F75" s="251" t="s">
        <v>112</v>
      </c>
      <c r="G75" s="22"/>
      <c r="H75" s="22"/>
      <c r="I75" s="22"/>
      <c r="J75" s="264" t="str">
        <f>IF(J11&gt;"",J22,IF(J23&gt;"",J34,IF(J35&gt;"",J47,IF(J62&gt;"",J73,""))))</f>
        <v/>
      </c>
      <c r="K75" s="264" t="str">
        <f t="shared" ref="K75:O75" si="18">IF(K11&gt;"",K22,IF(K23&gt;"",K34,IF(K35&gt;"",K47,IF(K62&gt;"",K73,""))))</f>
        <v/>
      </c>
      <c r="L75" s="264" t="str">
        <f t="shared" si="18"/>
        <v/>
      </c>
      <c r="M75" s="264" t="str">
        <f t="shared" si="18"/>
        <v/>
      </c>
      <c r="N75" s="264" t="str">
        <f t="shared" si="18"/>
        <v/>
      </c>
      <c r="O75" s="264" t="str">
        <f t="shared" si="18"/>
        <v/>
      </c>
      <c r="P75" s="264" t="str">
        <f t="shared" ref="P75:X75" si="19">IF(P11&gt;"",P22,IF(P23&gt;"",P34,IF(P35&gt;"",P47,IF(P62&gt;"",P73,""))))</f>
        <v/>
      </c>
      <c r="Q75" s="264" t="str">
        <f t="shared" si="19"/>
        <v/>
      </c>
      <c r="R75" s="264" t="str">
        <f t="shared" si="19"/>
        <v/>
      </c>
      <c r="S75" s="264" t="str">
        <f t="shared" si="19"/>
        <v/>
      </c>
      <c r="T75" s="264" t="str">
        <f t="shared" si="19"/>
        <v/>
      </c>
      <c r="U75" s="264" t="str">
        <f t="shared" si="19"/>
        <v/>
      </c>
      <c r="V75" s="264" t="str">
        <f t="shared" si="19"/>
        <v/>
      </c>
      <c r="W75" s="264" t="str">
        <f t="shared" si="19"/>
        <v/>
      </c>
      <c r="X75" s="264" t="str">
        <f t="shared" si="19"/>
        <v/>
      </c>
    </row>
    <row r="76" spans="2:24" ht="15.75" thickBot="1" x14ac:dyDescent="0.3">
      <c r="J76" s="249"/>
      <c r="K76" s="249"/>
      <c r="L76" s="249"/>
      <c r="M76" s="249"/>
      <c r="N76" s="249"/>
      <c r="O76" s="249"/>
    </row>
    <row r="77" spans="2:24" ht="15.75" thickBot="1" x14ac:dyDescent="0.3">
      <c r="B77" s="65" t="s">
        <v>387</v>
      </c>
      <c r="C77" s="65" t="s">
        <v>631</v>
      </c>
      <c r="D77" s="65" t="s">
        <v>209</v>
      </c>
      <c r="E77" s="65" t="s">
        <v>842</v>
      </c>
      <c r="F77" s="65"/>
      <c r="J77" s="21" t="str">
        <f>IF(OR(IN_rooms!R$56="Flachheizkoerper_glatt",IN_rooms!R$56="Flachheizkoerper_senkrecht_profiliert"),IN_rooms!R$56,"")</f>
        <v/>
      </c>
      <c r="K77" s="21" t="str">
        <f>IF(OR(IN_rooms!S$56="Flachheizkoerper_glatt",IN_rooms!S$56="Flachheizkoerper_senkrecht_profiliert"),IN_rooms!S$56,"")</f>
        <v/>
      </c>
      <c r="L77" s="21" t="str">
        <f>IF(OR(IN_rooms!T$56="Flachheizkoerper_glatt",IN_rooms!T$56="Flachheizkoerper_senkrecht_profiliert"),IN_rooms!T$56,"")</f>
        <v/>
      </c>
      <c r="M77" s="21" t="str">
        <f>IF(OR(IN_rooms!U$56="Flachheizkoerper_glatt",IN_rooms!U$56="Flachheizkoerper_senkrecht_profiliert"),IN_rooms!U$56,"")</f>
        <v/>
      </c>
      <c r="N77" s="21" t="str">
        <f>IF(OR(IN_rooms!V$56="Flachheizkoerper_glatt",IN_rooms!V$56="Flachheizkoerper_senkrecht_profiliert"),IN_rooms!V$56,"")</f>
        <v/>
      </c>
      <c r="O77" s="21" t="str">
        <f>IF(OR(IN_rooms!W$56="Flachheizkoerper_glatt",IN_rooms!W$56="Flachheizkoerper_senkrecht_profiliert"),IN_rooms!W$56,"")</f>
        <v/>
      </c>
      <c r="P77" s="21" t="str">
        <f>IF(OR(IN_rooms!X$56="Flachheizkoerper_glatt",IN_rooms!X$56="Flachheizkoerper_senkrecht_profiliert"),IN_rooms!X$56,"")</f>
        <v/>
      </c>
      <c r="Q77" s="21" t="str">
        <f>IF(OR(IN_rooms!Y$56="Flachheizkoerper_glatt",IN_rooms!Y$56="Flachheizkoerper_senkrecht_profiliert"),IN_rooms!Y$56,"")</f>
        <v/>
      </c>
      <c r="R77" s="21" t="str">
        <f>IF(OR(IN_rooms!Z$56="Flachheizkoerper_glatt",IN_rooms!Z$56="Flachheizkoerper_senkrecht_profiliert"),IN_rooms!Z$56,"")</f>
        <v/>
      </c>
      <c r="S77" s="21" t="str">
        <f>IF(OR(IN_rooms!AA$56="Flachheizkoerper_glatt",IN_rooms!AA$56="Flachheizkoerper_senkrecht_profiliert"),IN_rooms!AA$56,"")</f>
        <v/>
      </c>
      <c r="T77" s="21" t="str">
        <f>IF(OR(IN_rooms!AB$56="Flachheizkoerper_glatt",IN_rooms!AB$56="Flachheizkoerper_senkrecht_profiliert"),IN_rooms!AB$56,"")</f>
        <v/>
      </c>
      <c r="U77" s="21" t="str">
        <f>IF(OR(IN_rooms!AC$56="Flachheizkoerper_glatt",IN_rooms!AC$56="Flachheizkoerper_senkrecht_profiliert"),IN_rooms!AC$56,"")</f>
        <v/>
      </c>
      <c r="V77" s="21" t="str">
        <f>IF(OR(IN_rooms!AD$56="Flachheizkoerper_glatt",IN_rooms!AD$56="Flachheizkoerper_senkrecht_profiliert"),IN_rooms!AD$56,"")</f>
        <v/>
      </c>
      <c r="W77" s="21" t="str">
        <f>IF(OR(IN_rooms!AE$56="Flachheizkoerper_glatt",IN_rooms!AE$56="Flachheizkoerper_senkrecht_profiliert"),IN_rooms!AE$56,"")</f>
        <v/>
      </c>
      <c r="X77" s="21" t="str">
        <f>IF(OR(IN_rooms!AF$56="Flachheizkoerper_glatt",IN_rooms!AF$56="Flachheizkoerper_senkrecht_profiliert"),IN_rooms!AF$56,"")</f>
        <v/>
      </c>
    </row>
    <row r="78" spans="2:24" ht="15.75" thickBot="1" x14ac:dyDescent="0.3">
      <c r="B78" s="65" t="s">
        <v>776</v>
      </c>
      <c r="C78" s="65" t="s">
        <v>631</v>
      </c>
      <c r="D78" s="65" t="s">
        <v>209</v>
      </c>
      <c r="E78" s="65" t="s">
        <v>843</v>
      </c>
      <c r="F78" s="65"/>
      <c r="J78" s="21">
        <f>IN_rooms!R$57</f>
        <v>0</v>
      </c>
      <c r="K78" s="21">
        <f>IN_rooms!S$57</f>
        <v>0</v>
      </c>
      <c r="L78" s="21">
        <f>IN_rooms!T$57</f>
        <v>0</v>
      </c>
      <c r="M78" s="21">
        <f>IN_rooms!U$57</f>
        <v>0</v>
      </c>
      <c r="N78" s="21">
        <f>IN_rooms!V$57</f>
        <v>0</v>
      </c>
      <c r="O78" s="21">
        <f>IN_rooms!W$57</f>
        <v>0</v>
      </c>
      <c r="P78" s="21">
        <f>IN_rooms!X$57</f>
        <v>0</v>
      </c>
      <c r="Q78" s="21">
        <f>IN_rooms!Y$57</f>
        <v>0</v>
      </c>
      <c r="R78" s="21">
        <f>IN_rooms!Z$57</f>
        <v>0</v>
      </c>
      <c r="S78" s="21">
        <f>IN_rooms!AA$57</f>
        <v>0</v>
      </c>
      <c r="T78" s="21">
        <f>IN_rooms!AB$57</f>
        <v>0</v>
      </c>
      <c r="U78" s="21">
        <f>IN_rooms!AC$57</f>
        <v>0</v>
      </c>
      <c r="V78" s="21">
        <f>IN_rooms!AD$57</f>
        <v>0</v>
      </c>
      <c r="W78" s="21">
        <f>IN_rooms!AE$57</f>
        <v>0</v>
      </c>
      <c r="X78" s="21">
        <f>IN_rooms!AF$57</f>
        <v>0</v>
      </c>
    </row>
    <row r="79" spans="2:24" ht="15.75" thickBot="1" x14ac:dyDescent="0.3">
      <c r="B79" s="65" t="s">
        <v>382</v>
      </c>
      <c r="C79" s="65" t="s">
        <v>631</v>
      </c>
      <c r="D79" s="65" t="s">
        <v>209</v>
      </c>
      <c r="E79" s="65" t="s">
        <v>844</v>
      </c>
      <c r="F79" s="65" t="s">
        <v>431</v>
      </c>
      <c r="J79" s="21">
        <f>IN_rooms!R$58</f>
        <v>0</v>
      </c>
      <c r="K79" s="21">
        <f>IN_rooms!S$58</f>
        <v>0</v>
      </c>
      <c r="L79" s="21">
        <f>IN_rooms!T$58</f>
        <v>0</v>
      </c>
      <c r="M79" s="21">
        <f>IN_rooms!U$58</f>
        <v>0</v>
      </c>
      <c r="N79" s="21">
        <f>IN_rooms!V$58</f>
        <v>0</v>
      </c>
      <c r="O79" s="21">
        <f>IN_rooms!W$58</f>
        <v>0</v>
      </c>
      <c r="P79" s="21">
        <f>IN_rooms!X$58</f>
        <v>0</v>
      </c>
      <c r="Q79" s="21">
        <f>IN_rooms!Y$58</f>
        <v>0</v>
      </c>
      <c r="R79" s="21">
        <f>IN_rooms!Z$58</f>
        <v>0</v>
      </c>
      <c r="S79" s="21">
        <f>IN_rooms!AA$58</f>
        <v>0</v>
      </c>
      <c r="T79" s="21">
        <f>IN_rooms!AB$58</f>
        <v>0</v>
      </c>
      <c r="U79" s="21">
        <f>IN_rooms!AC$58</f>
        <v>0</v>
      </c>
      <c r="V79" s="21">
        <f>IN_rooms!AD$58</f>
        <v>0</v>
      </c>
      <c r="W79" s="21">
        <f>IN_rooms!AE$58</f>
        <v>0</v>
      </c>
      <c r="X79" s="21">
        <f>IN_rooms!AF$58</f>
        <v>0</v>
      </c>
    </row>
    <row r="80" spans="2:24" ht="15.75" thickBot="1" x14ac:dyDescent="0.3">
      <c r="B80" s="65" t="s">
        <v>236</v>
      </c>
      <c r="C80" s="65" t="s">
        <v>631</v>
      </c>
      <c r="D80" s="65" t="s">
        <v>209</v>
      </c>
      <c r="E80" s="65" t="s">
        <v>845</v>
      </c>
      <c r="F80" s="65" t="s">
        <v>431</v>
      </c>
      <c r="J80" s="21">
        <f>IN_rooms!R$59</f>
        <v>0</v>
      </c>
      <c r="K80" s="21">
        <f>IN_rooms!S$59</f>
        <v>0</v>
      </c>
      <c r="L80" s="21">
        <f>IN_rooms!T$59</f>
        <v>0</v>
      </c>
      <c r="M80" s="21">
        <f>IN_rooms!U$59</f>
        <v>0</v>
      </c>
      <c r="N80" s="21">
        <f>IN_rooms!V$59</f>
        <v>0</v>
      </c>
      <c r="O80" s="21">
        <f>IN_rooms!W$59</f>
        <v>0</v>
      </c>
      <c r="P80" s="21">
        <f>IN_rooms!X$59</f>
        <v>0</v>
      </c>
      <c r="Q80" s="21">
        <f>IN_rooms!Y$59</f>
        <v>0</v>
      </c>
      <c r="R80" s="21">
        <f>IN_rooms!Z$59</f>
        <v>0</v>
      </c>
      <c r="S80" s="21">
        <f>IN_rooms!AA$59</f>
        <v>0</v>
      </c>
      <c r="T80" s="21">
        <f>IN_rooms!AB$59</f>
        <v>0</v>
      </c>
      <c r="U80" s="21">
        <f>IN_rooms!AC$59</f>
        <v>0</v>
      </c>
      <c r="V80" s="21">
        <f>IN_rooms!AD$59</f>
        <v>0</v>
      </c>
      <c r="W80" s="21">
        <f>IN_rooms!AE$59</f>
        <v>0</v>
      </c>
      <c r="X80" s="21">
        <f>IN_rooms!AF$59</f>
        <v>0</v>
      </c>
    </row>
    <row r="81" spans="2:24" ht="15.75" thickBot="1" x14ac:dyDescent="0.3">
      <c r="B81" s="65" t="s">
        <v>390</v>
      </c>
      <c r="C81" s="65" t="s">
        <v>631</v>
      </c>
      <c r="D81" s="65" t="s">
        <v>209</v>
      </c>
      <c r="E81" s="65" t="s">
        <v>846</v>
      </c>
      <c r="F81" s="65" t="s">
        <v>431</v>
      </c>
      <c r="J81" s="21">
        <f>IN_rooms!R$60</f>
        <v>0</v>
      </c>
      <c r="K81" s="21">
        <f>IN_rooms!S$60</f>
        <v>0</v>
      </c>
      <c r="L81" s="21">
        <f>IN_rooms!T$60</f>
        <v>0</v>
      </c>
      <c r="M81" s="21">
        <f>IN_rooms!U$60</f>
        <v>0</v>
      </c>
      <c r="N81" s="21">
        <f>IN_rooms!V$60</f>
        <v>0</v>
      </c>
      <c r="O81" s="21">
        <f>IN_rooms!W$60</f>
        <v>0</v>
      </c>
      <c r="P81" s="21">
        <f>IN_rooms!X$60</f>
        <v>0</v>
      </c>
      <c r="Q81" s="21">
        <f>IN_rooms!Y$60</f>
        <v>0</v>
      </c>
      <c r="R81" s="21">
        <f>IN_rooms!Z$60</f>
        <v>0</v>
      </c>
      <c r="S81" s="21">
        <f>IN_rooms!AA$60</f>
        <v>0</v>
      </c>
      <c r="T81" s="21">
        <f>IN_rooms!AB$60</f>
        <v>0</v>
      </c>
      <c r="U81" s="21">
        <f>IN_rooms!AC$60</f>
        <v>0</v>
      </c>
      <c r="V81" s="21">
        <f>IN_rooms!AD$60</f>
        <v>0</v>
      </c>
      <c r="W81" s="21">
        <f>IN_rooms!AE$60</f>
        <v>0</v>
      </c>
      <c r="X81" s="21">
        <f>IN_rooms!AF$60</f>
        <v>0</v>
      </c>
    </row>
    <row r="82" spans="2:24" ht="15.75" thickBot="1" x14ac:dyDescent="0.3">
      <c r="B82" s="65" t="s">
        <v>781</v>
      </c>
      <c r="C82" s="65" t="s">
        <v>631</v>
      </c>
      <c r="D82" s="65" t="s">
        <v>209</v>
      </c>
      <c r="E82" s="65" t="s">
        <v>847</v>
      </c>
      <c r="F82" s="65"/>
      <c r="J82" s="21">
        <f ca="1">SUMIFS(
  INDIRECT("tabelle1[Heizkörperexponent n ]"),
  INDIRECT("tabelle1[Heizkörper_Typ]"), clc_power!J$77,
  INDIRECT("tabelle1[Heizkörper_Subtyp]"), clc_power!J$78,
  INDIRECT("tabelle1[Höhe H in mm]"), clc_power!J$79,
  INDIRECT("tabelle1[Bautiefe T in mm]"), clc_power!J$81
)</f>
        <v>0</v>
      </c>
      <c r="K82" s="21">
        <f>SUMIFS(tabelle1[Wärmeleistung (75/65/20)  in W],tabelle1[Heizkörper_Subtyp],K$77,tabelle1[Höhe H in mm],K$78,tabelle1[Breite B in mm],K$79,tabelle1[Anzahl Rohre],K$81)</f>
        <v>0</v>
      </c>
      <c r="L82" s="21">
        <f>SUMIFS(tabelle1[Wärmeleistung (75/65/20)  in W/m],tabelle1[Höhe H in mm],L$77,tabelle1[Breite B in mm],L$78,tabelle1[HK Fläche in m²],L$79,tabelle1[Anzahl Rohreinheiten],L$81)</f>
        <v>0</v>
      </c>
      <c r="M82" s="21">
        <f>SUMIFS(tabelle1[Wärmeleistung (75/65/20)  in W/Glied],tabelle1[Breite B in mm],M$77,tabelle1[HK Fläche in m²],M$78,tabelle1[HK Volumen in m³],M$79,tabelle1[Nennweite DN],M$81)</f>
        <v>0</v>
      </c>
      <c r="N82" s="21">
        <f>SUMIFS(tabelle1[Wärmeleistung in W/m²],tabelle1[HK Fläche in m²],N$77,tabelle1[HK Volumen in m³],N$78,tabelle1[Nabenabstand N in mm],N$79,tabelle1[Außendurchmesser d in mm],N$81)</f>
        <v>0</v>
      </c>
      <c r="O82" s="21">
        <f>SUMIFS(tabelle1[Kommentar],tabelle1[HK Volumen in m³],O$77,tabelle1[Nabenabstand N in mm],O$78,tabelle1[Bautiefe T in mm],O$79,tabelle1[Rippenhöhe in mm],O$81)</f>
        <v>0</v>
      </c>
      <c r="P82" s="21">
        <f>SUMIFS(tabelle1[Lfd. Nr.],tabelle1[Nabenabstand N in mm],P$77,tabelle1[Bautiefe T in mm],P$78,tabelle1[Anzahl Rohre],P$79,tabelle1[Mittlere Rohrübertemperatur in K],P$81)</f>
        <v>0</v>
      </c>
      <c r="Q82" s="21">
        <f>SUMIFS(tabelle1[Spalte1],tabelle1[Bautiefe T in mm],Q$77,tabelle1[Anzahl Rohre],Q$78,tabelle1[Anzahl Rohreinheiten],Q$79,tabelle1[Übertemperatur in K],Q$81)</f>
        <v>0</v>
      </c>
      <c r="R82" s="21">
        <f>SUMIFS(tabelle1[Heizkörper Subtyp],tabelle1[Anzahl Rohre],R$77,tabelle1[Anzahl Rohreinheiten],R$78,tabelle1[Nennweite DN],R$79,tabelle1[Mittlere Wassertemperatur in °C],R$81)</f>
        <v>0</v>
      </c>
      <c r="S82" s="21">
        <f>SUMIFS(tabelle1[Heizkörper_Typ],tabelle1[Anzahl Rohreinheiten],S$77,tabelle1[Nennweite DN],S$78,tabelle1[Außendurchmesser d in mm],S$79,tabelle1[Rippenhöhe h in mm],S$81)</f>
        <v>0</v>
      </c>
      <c r="T82" s="21">
        <f>SUMIFS(tabelle1[Heizkörper_Subtyp],tabelle1[Nennweite DN],T$77,tabelle1[Außendurchmesser d in mm],T$78,tabelle1[Rippenhöhe in mm],T$79,tabelle1[Rippenabstand a in mm],T$81)</f>
        <v>0</v>
      </c>
      <c r="U82" s="21">
        <f>SUMIFS(tabelle1[Höhe H in mm],tabelle1[Außendurchmesser d in mm],U$77,tabelle1[Rippenhöhe in mm],U$78,tabelle1[Mittlere Rohrübertemperatur in K],U$79,tabelle1[Rohrreihen],U$81)</f>
        <v>0</v>
      </c>
      <c r="V82" s="21">
        <f>SUMIFS(tabelle1[Breite B in mm],tabelle1[Rippenhöhe in mm],V$77,tabelle1[Mittlere Rohrübertemperatur in K],V$78,tabelle1[Übertemperatur in K],V$79,tabelle1[[Heizkörperexponent n ]],V$81)</f>
        <v>0</v>
      </c>
      <c r="W82" s="21">
        <f>SUMIFS(tabelle1[HK Fläche in m²],tabelle1[Mittlere Rohrübertemperatur in K],W$77,tabelle1[Übertemperatur in K],W$78,tabelle1[Mittlere Wassertemperatur in °C],W$79,tabelle1[Wärmeleistung (75/65/20)  in W],W$81)</f>
        <v>0</v>
      </c>
      <c r="X82" s="21">
        <f>SUMIFS(tabelle1[HK Volumen in m³],tabelle1[Übertemperatur in K],X$77,tabelle1[Mittlere Wassertemperatur in °C],X$78,tabelle1[Rippenhöhe h in mm],X$79,tabelle1[Wärmeleistung (75/65/20)  in W/m],X$81)</f>
        <v>0</v>
      </c>
    </row>
    <row r="83" spans="2:24" ht="15.75" thickBot="1" x14ac:dyDescent="0.3">
      <c r="B83" s="65" t="s">
        <v>783</v>
      </c>
      <c r="C83" s="65" t="s">
        <v>631</v>
      </c>
      <c r="D83" s="65" t="s">
        <v>209</v>
      </c>
      <c r="E83" s="65" t="s">
        <v>848</v>
      </c>
      <c r="F83" s="65" t="s">
        <v>112</v>
      </c>
      <c r="J83" s="21">
        <f ca="1">_xlfn.LET(
  _xlpm.leistung, IN_rooms!R$62 * SUMIFS(
    INDIRECT("tabelle1[Wärmeleistung (75/65/20)  in W/m]"),
    INDIRECT("tabelle1[Heizkörper_Typ]"), clc_power!J$77,
    INDIRECT("tabelle1[Heizkörper_Subtyp]"), clc_power!J$78,
    INDIRECT("tabelle1[Höhe H in mm]"), clc_power!J$79,
    INDIRECT("tabelle1[Bautiefe T in mm]"), clc_power!J$81  ) * J$80 / 1000,
  IF(_xlpm.leistung &gt; 0, _xlpm.leistung, 0)
)</f>
        <v>0</v>
      </c>
      <c r="K83" s="21">
        <f>IF(IN_rooms!S$62*SUMIFS(tabelle1[Wärmeleistung (75/65/20)  in W/Glied],tabelle1[Heizkörper_Subtyp],K$77,tabelle1[Höhe H in mm],K$78,tabelle1[Breite B in mm],K$79,tabelle1[Anzahl Rohre],K$81)*K$80/1000&gt;0,
IN_rooms!S$62*SUMIFS(tabelle1[Wärmeleistung (75/65/20)  in W/Glied],tabelle1[Heizkörper_Subtyp],K$77,tabelle1[Höhe H in mm],K$78,tabelle1[Breite B in mm],K$79,tabelle1[Anzahl Rohre],K$81)*K$80/1000,0)</f>
        <v>0</v>
      </c>
      <c r="L83" s="21">
        <f>IF(IN_rooms!T$62*SUMIFS(tabelle1[Wärmeleistung in W/m²],tabelle1[Höhe H in mm],L$77,tabelle1[Breite B in mm],L$78,tabelle1[HK Fläche in m²],L$79,tabelle1[Anzahl Rohreinheiten],L$81)*L$80/1000&gt;0,
IN_rooms!T$62*SUMIFS(tabelle1[Wärmeleistung in W/m²],tabelle1[Höhe H in mm],L$77,tabelle1[Breite B in mm],L$78,tabelle1[HK Fläche in m²],L$79,tabelle1[Anzahl Rohreinheiten],L$81)*L$80/1000,0)</f>
        <v>0</v>
      </c>
      <c r="M83" s="21">
        <f>IF(IN_rooms!U$62*SUMIFS(tabelle1[Kommentar],tabelle1[Breite B in mm],M$77,tabelle1[HK Fläche in m²],M$78,tabelle1[HK Volumen in m³],M$79,tabelle1[Nennweite DN],M$81)*M$80/1000&gt;0,
IN_rooms!U$62*SUMIFS(tabelle1[Kommentar],tabelle1[Breite B in mm],M$77,tabelle1[HK Fläche in m²],M$78,tabelle1[HK Volumen in m³],M$79,tabelle1[Nennweite DN],M$81)*M$80/1000,0)</f>
        <v>0</v>
      </c>
      <c r="N83" s="21">
        <f>IF(IN_rooms!V$62*SUMIFS(tabelle1[Lfd. Nr.],tabelle1[HK Fläche in m²],N$77,tabelle1[HK Volumen in m³],N$78,tabelle1[Nabenabstand N in mm],N$79,tabelle1[Außendurchmesser d in mm],N$81)*N$80/1000&gt;0,
IN_rooms!V$62*SUMIFS(tabelle1[Lfd. Nr.],tabelle1[HK Fläche in m²],N$77,tabelle1[HK Volumen in m³],N$78,tabelle1[Nabenabstand N in mm],N$79,tabelle1[Außendurchmesser d in mm],N$81)*N$80/1000,0)</f>
        <v>0</v>
      </c>
      <c r="O83" s="21">
        <f>IF(IN_rooms!W$62*SUMIFS(tabelle1[Spalte1],tabelle1[HK Volumen in m³],O$77,tabelle1[Nabenabstand N in mm],O$78,tabelle1[Bautiefe T in mm],O$79,tabelle1[Rippenhöhe in mm],O$81)*O$80/1000&gt;0,
IN_rooms!W$62*SUMIFS(tabelle1[Spalte1],tabelle1[HK Volumen in m³],O$77,tabelle1[Nabenabstand N in mm],O$78,tabelle1[Bautiefe T in mm],O$79,tabelle1[Rippenhöhe in mm],O$81)*O$80/1000,0)</f>
        <v>0</v>
      </c>
      <c r="P83" s="21">
        <f>IF(IN_rooms!X$62*SUMIFS(tabelle1[Heizkörper Subtyp],tabelle1[Nabenabstand N in mm],P$77,tabelle1[Bautiefe T in mm],P$78,tabelle1[Anzahl Rohre],P$79,tabelle1[Mittlere Rohrübertemperatur in K],P$81)*P$80/1000&gt;0,
IN_rooms!X$62*SUMIFS(tabelle1[Heizkörper Subtyp],tabelle1[Nabenabstand N in mm],P$77,tabelle1[Bautiefe T in mm],P$78,tabelle1[Anzahl Rohre],P$79,tabelle1[Mittlere Rohrübertemperatur in K],P$81)*P$80/1000,0)</f>
        <v>0</v>
      </c>
      <c r="Q83" s="21">
        <f>IF(IN_rooms!Y$62*SUMIFS(tabelle1[Heizkörper_Typ],tabelle1[Bautiefe T in mm],Q$77,tabelle1[Anzahl Rohre],Q$78,tabelle1[Anzahl Rohreinheiten],Q$79,tabelle1[Übertemperatur in K],Q$81)*Q$80/1000&gt;0,
IN_rooms!Y$62*SUMIFS(tabelle1[Heizkörper_Typ],tabelle1[Bautiefe T in mm],Q$77,tabelle1[Anzahl Rohre],Q$78,tabelle1[Anzahl Rohreinheiten],Q$79,tabelle1[Übertemperatur in K],Q$81)*Q$80/1000,0)</f>
        <v>0</v>
      </c>
      <c r="R83" s="21">
        <f>IF(IN_rooms!Z$62*SUMIFS(tabelle1[Heizkörper_Subtyp],tabelle1[Anzahl Rohre],R$77,tabelle1[Anzahl Rohreinheiten],R$78,tabelle1[Nennweite DN],R$79,tabelle1[Mittlere Wassertemperatur in °C],R$81)*R$80/1000&gt;0,
IN_rooms!Z$62*SUMIFS(tabelle1[Heizkörper_Subtyp],tabelle1[Anzahl Rohre],R$77,tabelle1[Anzahl Rohreinheiten],R$78,tabelle1[Nennweite DN],R$79,tabelle1[Mittlere Wassertemperatur in °C],R$81)*R$80/1000,0)</f>
        <v>0</v>
      </c>
      <c r="S83" s="21">
        <f>IF(IN_rooms!AA$62*SUMIFS(tabelle1[Höhe H in mm],tabelle1[Anzahl Rohreinheiten],S$77,tabelle1[Nennweite DN],S$78,tabelle1[Außendurchmesser d in mm],S$79,tabelle1[Rippenhöhe h in mm],S$81)*S$80/1000&gt;0,
IN_rooms!AA$62*SUMIFS(tabelle1[Höhe H in mm],tabelle1[Anzahl Rohreinheiten],S$77,tabelle1[Nennweite DN],S$78,tabelle1[Außendurchmesser d in mm],S$79,tabelle1[Rippenhöhe h in mm],S$81)*S$80/1000,0)</f>
        <v>0</v>
      </c>
      <c r="T83" s="21">
        <f>IF(IN_rooms!AB$62*SUMIFS(tabelle1[Breite B in mm],tabelle1[Nennweite DN],T$77,tabelle1[Außendurchmesser d in mm],T$78,tabelle1[Rippenhöhe in mm],T$79,tabelle1[Rippenabstand a in mm],T$81)*T$80/1000&gt;0,
IN_rooms!AB$62*SUMIFS(tabelle1[Breite B in mm],tabelle1[Nennweite DN],T$77,tabelle1[Außendurchmesser d in mm],T$78,tabelle1[Rippenhöhe in mm],T$79,tabelle1[Rippenabstand a in mm],T$81)*T$80/1000,0)</f>
        <v>0</v>
      </c>
      <c r="U83" s="21">
        <f>IF(IN_rooms!AC$62*SUMIFS(tabelle1[HK Fläche in m²],tabelle1[Außendurchmesser d in mm],U$77,tabelle1[Rippenhöhe in mm],U$78,tabelle1[Mittlere Rohrübertemperatur in K],U$79,tabelle1[Rohrreihen],U$81)*U$80/1000&gt;0,
IN_rooms!AC$62*SUMIFS(tabelle1[HK Fläche in m²],tabelle1[Außendurchmesser d in mm],U$77,tabelle1[Rippenhöhe in mm],U$78,tabelle1[Mittlere Rohrübertemperatur in K],U$79,tabelle1[Rohrreihen],U$81)*U$80/1000,0)</f>
        <v>0</v>
      </c>
      <c r="V83" s="21">
        <f>IF(IN_rooms!AD$62*SUMIFS(tabelle1[HK Volumen in m³],tabelle1[Rippenhöhe in mm],V$77,tabelle1[Mittlere Rohrübertemperatur in K],V$78,tabelle1[Übertemperatur in K],V$79,tabelle1[[Heizkörperexponent n ]],V$81)*V$80/1000&gt;0,
IN_rooms!AD$62*SUMIFS(tabelle1[HK Volumen in m³],tabelle1[Rippenhöhe in mm],V$77,tabelle1[Mittlere Rohrübertemperatur in K],V$78,tabelle1[Übertemperatur in K],V$79,tabelle1[[Heizkörperexponent n ]],V$81)*V$80/1000,0)</f>
        <v>0</v>
      </c>
      <c r="W83" s="21">
        <f>IF(IN_rooms!AE$62*SUMIFS(tabelle1[Nabenabstand N in mm],tabelle1[Mittlere Rohrübertemperatur in K],W$77,tabelle1[Übertemperatur in K],W$78,tabelle1[Mittlere Wassertemperatur in °C],W$79,tabelle1[Wärmeleistung (75/65/20)  in W],W$81)*W$80/1000&gt;0,
IN_rooms!AE$62*SUMIFS(tabelle1[Nabenabstand N in mm],tabelle1[Mittlere Rohrübertemperatur in K],W$77,tabelle1[Übertemperatur in K],W$78,tabelle1[Mittlere Wassertemperatur in °C],W$79,tabelle1[Wärmeleistung (75/65/20)  in W],W$81)*W$80/1000,0)</f>
        <v>0</v>
      </c>
      <c r="X83" s="21">
        <f>IF(IN_rooms!AF$62*SUMIFS(tabelle1[Bautiefe T in mm],tabelle1[Übertemperatur in K],X$77,tabelle1[Mittlere Wassertemperatur in °C],X$78,tabelle1[Rippenhöhe h in mm],X$79,tabelle1[Wärmeleistung (75/65/20)  in W/m],X$81)*X$80/1000&gt;0,
IN_rooms!AF$62*SUMIFS(tabelle1[Bautiefe T in mm],tabelle1[Übertemperatur in K],X$77,tabelle1[Mittlere Wassertemperatur in °C],X$78,tabelle1[Rippenhöhe h in mm],X$79,tabelle1[Wärmeleistung (75/65/20)  in W/m],X$81)*X$80/1000,0)</f>
        <v>0</v>
      </c>
    </row>
    <row r="84" spans="2:24" ht="15.75" thickBot="1" x14ac:dyDescent="0.3">
      <c r="B84" s="65" t="s">
        <v>785</v>
      </c>
      <c r="C84" s="65" t="s">
        <v>631</v>
      </c>
      <c r="D84" s="65" t="s">
        <v>209</v>
      </c>
      <c r="E84" s="65" t="s">
        <v>849</v>
      </c>
      <c r="F84" s="65" t="s">
        <v>107</v>
      </c>
      <c r="J84" s="21">
        <f>TVL_Ziel</f>
        <v>55</v>
      </c>
      <c r="K84" s="21">
        <f t="shared" ref="K84:X84" si="20">TVL_Ziel</f>
        <v>55</v>
      </c>
      <c r="L84" s="21">
        <f t="shared" si="20"/>
        <v>55</v>
      </c>
      <c r="M84" s="21">
        <f t="shared" si="20"/>
        <v>55</v>
      </c>
      <c r="N84" s="21">
        <f t="shared" si="20"/>
        <v>55</v>
      </c>
      <c r="O84" s="21">
        <f t="shared" si="20"/>
        <v>55</v>
      </c>
      <c r="P84" s="21">
        <f t="shared" si="20"/>
        <v>55</v>
      </c>
      <c r="Q84" s="21">
        <f t="shared" si="20"/>
        <v>55</v>
      </c>
      <c r="R84" s="21">
        <f t="shared" si="20"/>
        <v>55</v>
      </c>
      <c r="S84" s="21">
        <f t="shared" si="20"/>
        <v>55</v>
      </c>
      <c r="T84" s="21">
        <f t="shared" si="20"/>
        <v>55</v>
      </c>
      <c r="U84" s="21">
        <f t="shared" si="20"/>
        <v>55</v>
      </c>
      <c r="V84" s="21">
        <f t="shared" si="20"/>
        <v>55</v>
      </c>
      <c r="W84" s="21">
        <f t="shared" si="20"/>
        <v>55</v>
      </c>
      <c r="X84" s="21">
        <f t="shared" si="20"/>
        <v>55</v>
      </c>
    </row>
    <row r="85" spans="2:24" ht="15.75" thickBot="1" x14ac:dyDescent="0.3">
      <c r="B85" s="65" t="s">
        <v>787</v>
      </c>
      <c r="C85" s="65" t="s">
        <v>631</v>
      </c>
      <c r="D85" s="65" t="s">
        <v>209</v>
      </c>
      <c r="E85" s="65" t="s">
        <v>850</v>
      </c>
      <c r="F85" s="65" t="s">
        <v>107</v>
      </c>
      <c r="J85" s="21">
        <f>TRL_Ziel</f>
        <v>45</v>
      </c>
      <c r="K85" s="21">
        <f t="shared" ref="K85:X85" si="21">TRL_Ziel</f>
        <v>45</v>
      </c>
      <c r="L85" s="21">
        <f t="shared" si="21"/>
        <v>45</v>
      </c>
      <c r="M85" s="21">
        <f t="shared" si="21"/>
        <v>45</v>
      </c>
      <c r="N85" s="21">
        <f t="shared" si="21"/>
        <v>45</v>
      </c>
      <c r="O85" s="21">
        <f t="shared" si="21"/>
        <v>45</v>
      </c>
      <c r="P85" s="21">
        <f t="shared" si="21"/>
        <v>45</v>
      </c>
      <c r="Q85" s="21">
        <f t="shared" si="21"/>
        <v>45</v>
      </c>
      <c r="R85" s="21">
        <f t="shared" si="21"/>
        <v>45</v>
      </c>
      <c r="S85" s="21">
        <f t="shared" si="21"/>
        <v>45</v>
      </c>
      <c r="T85" s="21">
        <f t="shared" si="21"/>
        <v>45</v>
      </c>
      <c r="U85" s="21">
        <f t="shared" si="21"/>
        <v>45</v>
      </c>
      <c r="V85" s="21">
        <f t="shared" si="21"/>
        <v>45</v>
      </c>
      <c r="W85" s="21">
        <f t="shared" si="21"/>
        <v>45</v>
      </c>
      <c r="X85" s="21">
        <f t="shared" si="21"/>
        <v>45</v>
      </c>
    </row>
    <row r="86" spans="2:24" ht="15.75" thickBot="1" x14ac:dyDescent="0.3">
      <c r="B86" s="65" t="s">
        <v>789</v>
      </c>
      <c r="C86" s="65" t="s">
        <v>631</v>
      </c>
      <c r="D86" s="65" t="s">
        <v>209</v>
      </c>
      <c r="E86" s="65" t="s">
        <v>851</v>
      </c>
      <c r="F86" s="65" t="s">
        <v>791</v>
      </c>
      <c r="J86" s="79">
        <f>(J84-J85)/(LN((J84-clc_load!M$10)/(J85-clc_load!M$10)))</f>
        <v>29.720134119884619</v>
      </c>
      <c r="K86" s="79">
        <f>(K84-K85)/(LN((K84-clc_load!N$10)/(K85-clc_load!N$10)))</f>
        <v>29.720134119884619</v>
      </c>
      <c r="L86" s="79">
        <f>(L84-L85)/(LN((L84-clc_load!O$10)/(L85-clc_load!O$10)))</f>
        <v>29.720134119884619</v>
      </c>
      <c r="M86" s="79">
        <f>(M84-M85)/(LN((M84-clc_load!P$10)/(M85-clc_load!P$10)))</f>
        <v>29.720134119884619</v>
      </c>
      <c r="N86" s="79">
        <f>(N84-N85)/(LN((N84-clc_load!Q$10)/(N85-clc_load!Q$10)))</f>
        <v>29.720134119884619</v>
      </c>
      <c r="O86" s="79">
        <f>(O84-O85)/(LN((O84-clc_load!R$10)/(O85-clc_load!R$10)))</f>
        <v>29.720134119884619</v>
      </c>
      <c r="P86" s="79">
        <f>(P84-P85)/(LN((P84-clc_load!S$10)/(P85-clc_load!S$10)))</f>
        <v>29.720134119884619</v>
      </c>
      <c r="Q86" s="79">
        <f>(Q84-Q85)/(LN((Q84-clc_load!T$10)/(Q85-clc_load!T$10)))</f>
        <v>29.720134119884619</v>
      </c>
      <c r="R86" s="79">
        <f>(R84-R85)/(LN((R84-clc_load!U$10)/(R85-clc_load!U$10)))</f>
        <v>29.720134119884619</v>
      </c>
      <c r="S86" s="79">
        <f>(S84-S85)/(LN((S84-clc_load!V$10)/(S85-clc_load!V$10)))</f>
        <v>29.720134119884619</v>
      </c>
      <c r="T86" s="79">
        <f>(T84-T85)/(LN((T84-clc_load!W$10)/(T85-clc_load!W$10)))</f>
        <v>29.720134119884619</v>
      </c>
      <c r="U86" s="79">
        <f>(U84-U85)/(LN((U84-clc_load!X$10)/(U85-clc_load!X$10)))</f>
        <v>29.720134119884619</v>
      </c>
      <c r="V86" s="79">
        <f>(V84-V85)/(LN((V84-clc_load!Y$10)/(V85-clc_load!Y$10)))</f>
        <v>29.720134119884619</v>
      </c>
      <c r="W86" s="79">
        <f>(W84-W85)/(LN((W84-clc_load!Z$10)/(W85-clc_load!Z$10)))</f>
        <v>29.720134119884619</v>
      </c>
      <c r="X86" s="79">
        <f>(X84-X85)/(LN((X84-clc_load!AA$10)/(X85-clc_load!AA$10)))</f>
        <v>29.720134119884619</v>
      </c>
    </row>
    <row r="87" spans="2:24" ht="15.75" thickBot="1" x14ac:dyDescent="0.3">
      <c r="B87" s="65" t="s">
        <v>792</v>
      </c>
      <c r="C87" s="65" t="s">
        <v>631</v>
      </c>
      <c r="D87" s="65" t="s">
        <v>209</v>
      </c>
      <c r="E87" s="65" t="s">
        <v>852</v>
      </c>
      <c r="F87" s="65" t="s">
        <v>112</v>
      </c>
      <c r="J87" s="21">
        <f t="shared" ref="J87:X87" ca="1" si="22">IF(J$83*((J$86/Log_ÜT_Norm)^J$82)&gt;0,
J$83*((J$86/Log_ÜT_Norm)^J$82),0)</f>
        <v>0</v>
      </c>
      <c r="K87" s="21">
        <f t="shared" si="22"/>
        <v>0</v>
      </c>
      <c r="L87" s="21">
        <f t="shared" si="22"/>
        <v>0</v>
      </c>
      <c r="M87" s="21">
        <f t="shared" si="22"/>
        <v>0</v>
      </c>
      <c r="N87" s="21">
        <f t="shared" si="22"/>
        <v>0</v>
      </c>
      <c r="O87" s="21">
        <f t="shared" si="22"/>
        <v>0</v>
      </c>
      <c r="P87" s="21">
        <f t="shared" si="22"/>
        <v>0</v>
      </c>
      <c r="Q87" s="21">
        <f t="shared" si="22"/>
        <v>0</v>
      </c>
      <c r="R87" s="21">
        <f t="shared" si="22"/>
        <v>0</v>
      </c>
      <c r="S87" s="21">
        <f t="shared" si="22"/>
        <v>0</v>
      </c>
      <c r="T87" s="21">
        <f t="shared" si="22"/>
        <v>0</v>
      </c>
      <c r="U87" s="21">
        <f t="shared" si="22"/>
        <v>0</v>
      </c>
      <c r="V87" s="21">
        <f t="shared" si="22"/>
        <v>0</v>
      </c>
      <c r="W87" s="21">
        <f t="shared" si="22"/>
        <v>0</v>
      </c>
      <c r="X87" s="21">
        <f t="shared" si="22"/>
        <v>0</v>
      </c>
    </row>
    <row r="88" spans="2:24" ht="15.75" thickBot="1" x14ac:dyDescent="0.3">
      <c r="B88" s="242" t="s">
        <v>794</v>
      </c>
      <c r="C88" s="242" t="s">
        <v>631</v>
      </c>
      <c r="D88" s="242" t="s">
        <v>795</v>
      </c>
      <c r="E88" s="242" t="s">
        <v>853</v>
      </c>
      <c r="F88" s="242" t="s">
        <v>112</v>
      </c>
      <c r="J88" s="79">
        <f ca="1">_xlfn.LET(
    _xlpm.leistung, IN_rooms!R$62 * SUMIFS(
        INDIRECT("tabelle1[Wärmeleistung (75/65/20)  in W/m]"),
        INDIRECT("tabelle1[Heizkörper_Typ]"), "Flachheizkoerper_senkrecht_profiliert",
        INDIRECT("tabelle1[Heizkörper_Subtyp]"), "Typ_33",
        INDIRECT("tabelle1[Höhe H in mm]"), J$79,
        INDIRECT("tabelle1[Bautiefe T in mm]"), 155
    ) * J$80 / 1000 * ((J$86 / Log_ÜT_Norm) ^ SUMIFS(
        INDIRECT("tabelle1[Heizkörperexponent n ]"),
        INDIRECT("tabelle1[Heizkörper_Typ]"), "Flachheizkoerper_senkrecht_profiliert",
        INDIRECT("tabelle1[Heizkörper_Subtyp]"), "Typ_33",
        INDIRECT("tabelle1[Höhe H in mm]"), J$79,
        INDIRECT("tabelle1[Bautiefe T in mm]"), 155
    )),
    IF(_xlpm.leistung &gt; 0, _xlpm.leistung, 0)
)</f>
        <v>0</v>
      </c>
      <c r="K88" s="79">
        <f>IF(IN_rooms!S$62*(SUMIFS(
tabelle1[Wärmeleistung (75/65/20)  in W/Glied],
tabelle1[Heizkörper_Subtyp],"Flachheizkoerper_senkrecht_profiliert",
tabelle1[Höhe H in mm],"Typ_33",
tabelle1[Breite B in mm],K79,
tabelle1[Anzahl Rohre],155)*(K80/1000)*(K86/Log_ÜT_Norm)^SUMIFS(
tabelle1[Wärmeleistung (75/65/20)  in W],
tabelle1[Heizkörper_Subtyp],"Flachheizkoerper_senkrecht_profiliert",
tabelle1[Höhe H in mm],"Typ_33",
tabelle1[Breite B in mm],K79,
tabelle1[Anzahl Rohre],155))&gt;0,
IN_rooms!S$62*(SUMIFS(
tabelle1[Wärmeleistung (75/65/20)  in W/Glied],
tabelle1[Heizkörper_Subtyp],"Flachheizkoerper_senkrecht_profiliert",
tabelle1[Höhe H in mm],"Typ_33",
tabelle1[Breite B in mm],K79,
tabelle1[Anzahl Rohre],155)*(K80/1000)*(K86/Log_ÜT_Norm)^SUMIFS(
tabelle1[Wärmeleistung (75/65/20)  in W],
tabelle1[Heizkörper_Subtyp],"Flachheizkoerper_senkrecht_profiliert",
tabelle1[Höhe H in mm],"Typ_33",
tabelle1[Breite B in mm],K79,
tabelle1[Anzahl Rohre],155)),0)</f>
        <v>0</v>
      </c>
      <c r="L88" s="79">
        <f>IF(IN_rooms!T$62*(SUMIFS(
tabelle1[Wärmeleistung in W/m²],
tabelle1[Höhe H in mm],"Flachheizkoerper_senkrecht_profiliert",
tabelle1[Breite B in mm],"Typ_33",
tabelle1[HK Fläche in m²],L79,
tabelle1[Anzahl Rohreinheiten],155)*(L80/1000)*(L86/Log_ÜT_Norm)^SUMIFS(
tabelle1[Wärmeleistung (75/65/20)  in W/m],
tabelle1[Höhe H in mm],"Flachheizkoerper_senkrecht_profiliert",
tabelle1[Breite B in mm],"Typ_33",
tabelle1[HK Fläche in m²],L79,
tabelle1[Anzahl Rohreinheiten],155))&gt;0,
IN_rooms!T$62*(SUMIFS(
tabelle1[Wärmeleistung in W/m²],
tabelle1[Höhe H in mm],"Flachheizkoerper_senkrecht_profiliert",
tabelle1[Breite B in mm],"Typ_33",
tabelle1[HK Fläche in m²],L79,
tabelle1[Anzahl Rohreinheiten],155)*(L80/1000)*(L86/Log_ÜT_Norm)^SUMIFS(
tabelle1[Wärmeleistung (75/65/20)  in W/m],
tabelle1[Höhe H in mm],"Flachheizkoerper_senkrecht_profiliert",
tabelle1[Breite B in mm],"Typ_33",
tabelle1[HK Fläche in m²],L79,
tabelle1[Anzahl Rohreinheiten],155)),0)</f>
        <v>0</v>
      </c>
      <c r="M88" s="79">
        <f>IF(IN_rooms!U$62*(SUMIFS(
tabelle1[Kommentar],
tabelle1[Breite B in mm],"Flachheizkoerper_senkrecht_profiliert",
tabelle1[HK Fläche in m²],"Typ_33",
tabelle1[HK Volumen in m³],M79,
tabelle1[Nennweite DN],155)*(M80/1000)*(M86/Log_ÜT_Norm)^SUMIFS(
tabelle1[Wärmeleistung (75/65/20)  in W/Glied],
tabelle1[Breite B in mm],"Flachheizkoerper_senkrecht_profiliert",
tabelle1[HK Fläche in m²],"Typ_33",
tabelle1[HK Volumen in m³],M79,
tabelle1[Nennweite DN],155))&gt;0,
IN_rooms!U$62*(SUMIFS(
tabelle1[Kommentar],
tabelle1[Breite B in mm],"Flachheizkoerper_senkrecht_profiliert",
tabelle1[HK Fläche in m²],"Typ_33",
tabelle1[HK Volumen in m³],M79,
tabelle1[Nennweite DN],155)*(M80/1000)*(M86/Log_ÜT_Norm)^SUMIFS(
tabelle1[Wärmeleistung (75/65/20)  in W/Glied],
tabelle1[Breite B in mm],"Flachheizkoerper_senkrecht_profiliert",
tabelle1[HK Fläche in m²],"Typ_33",
tabelle1[HK Volumen in m³],M79,
tabelle1[Nennweite DN],155)),0)</f>
        <v>0</v>
      </c>
      <c r="N88" s="79">
        <f>IF(IN_rooms!V$62*(SUMIFS(
tabelle1[Lfd. Nr.],
tabelle1[HK Fläche in m²],"Flachheizkoerper_senkrecht_profiliert",
tabelle1[HK Volumen in m³],"Typ_33",
tabelle1[Nabenabstand N in mm],N79,
tabelle1[Außendurchmesser d in mm],155)*(N80/1000)*(N86/Log_ÜT_Norm)^SUMIFS(
tabelle1[Wärmeleistung in W/m²],
tabelle1[HK Fläche in m²],"Flachheizkoerper_senkrecht_profiliert",
tabelle1[HK Volumen in m³],"Typ_33",
tabelle1[Nabenabstand N in mm],N79,
tabelle1[Außendurchmesser d in mm],155))&gt;0,
IN_rooms!V$62*(SUMIFS(
tabelle1[Lfd. Nr.],
tabelle1[HK Fläche in m²],"Flachheizkoerper_senkrecht_profiliert",
tabelle1[HK Volumen in m³],"Typ_33",
tabelle1[Nabenabstand N in mm],N79,
tabelle1[Außendurchmesser d in mm],155)*(N80/1000)*(N86/Log_ÜT_Norm)^SUMIFS(
tabelle1[Wärmeleistung in W/m²],
tabelle1[HK Fläche in m²],"Flachheizkoerper_senkrecht_profiliert",
tabelle1[HK Volumen in m³],"Typ_33",
tabelle1[Nabenabstand N in mm],N79,
tabelle1[Außendurchmesser d in mm],155)),0)</f>
        <v>0</v>
      </c>
      <c r="O88" s="79">
        <f>IF(IN_rooms!W$62*(SUMIFS(
tabelle1[Spalte1],
tabelle1[HK Volumen in m³],"Flachheizkoerper_senkrecht_profiliert",
tabelle1[Nabenabstand N in mm],"Typ_33",
tabelle1[Bautiefe T in mm],O79,
tabelle1[Rippenhöhe in mm],155)*(O80/1000)*(O86/Log_ÜT_Norm)^SUMIFS(
tabelle1[Kommentar],
tabelle1[HK Volumen in m³],"Flachheizkoerper_senkrecht_profiliert",
tabelle1[Nabenabstand N in mm],"Typ_33",
tabelle1[Bautiefe T in mm],O79,
tabelle1[Rippenhöhe in mm],155))&gt;0,
IN_rooms!W$62*(SUMIFS(
tabelle1[Spalte1],
tabelle1[HK Volumen in m³],"Flachheizkoerper_senkrecht_profiliert",
tabelle1[Nabenabstand N in mm],"Typ_33",
tabelle1[Bautiefe T in mm],O79,
tabelle1[Rippenhöhe in mm],155)*(O80/1000)*(O86/Log_ÜT_Norm)^SUMIFS(
tabelle1[Kommentar],
tabelle1[HK Volumen in m³],"Flachheizkoerper_senkrecht_profiliert",
tabelle1[Nabenabstand N in mm],"Typ_33",
tabelle1[Bautiefe T in mm],O79,
tabelle1[Rippenhöhe in mm],155)),0)</f>
        <v>0</v>
      </c>
      <c r="P88" s="79">
        <f>IF(IN_rooms!X$62*(SUMIFS(
tabelle1[Heizkörper Subtyp],
tabelle1[Nabenabstand N in mm],"Flachheizkoerper_senkrecht_profiliert",
tabelle1[Bautiefe T in mm],"Typ_33",
tabelle1[Anzahl Rohre],P79,
tabelle1[Mittlere Rohrübertemperatur in K],155)*(P80/1000)*(P86/Log_ÜT_Norm)^SUMIFS(
tabelle1[Lfd. Nr.],
tabelle1[Nabenabstand N in mm],"Flachheizkoerper_senkrecht_profiliert",
tabelle1[Bautiefe T in mm],"Typ_33",
tabelle1[Anzahl Rohre],P79,
tabelle1[Mittlere Rohrübertemperatur in K],155))&gt;0,
IN_rooms!X$62*(SUMIFS(
tabelle1[Heizkörper Subtyp],
tabelle1[Nabenabstand N in mm],"Flachheizkoerper_senkrecht_profiliert",
tabelle1[Bautiefe T in mm],"Typ_33",
tabelle1[Anzahl Rohre],P79,
tabelle1[Mittlere Rohrübertemperatur in K],155)*(P80/1000)*(P86/Log_ÜT_Norm)^SUMIFS(
tabelle1[Lfd. Nr.],
tabelle1[Nabenabstand N in mm],"Flachheizkoerper_senkrecht_profiliert",
tabelle1[Bautiefe T in mm],"Typ_33",
tabelle1[Anzahl Rohre],P79,
tabelle1[Mittlere Rohrübertemperatur in K],155)),0)</f>
        <v>0</v>
      </c>
      <c r="Q88" s="79">
        <f>IF(IN_rooms!Y$62*(SUMIFS(
tabelle1[Heizkörper_Typ],
tabelle1[Bautiefe T in mm],"Flachheizkoerper_senkrecht_profiliert",
tabelle1[Anzahl Rohre],"Typ_33",
tabelle1[Anzahl Rohreinheiten],Q79,
tabelle1[Übertemperatur in K],155)*(Q80/1000)*(Q86/Log_ÜT_Norm)^SUMIFS(
tabelle1[Spalte1],
tabelle1[Bautiefe T in mm],"Flachheizkoerper_senkrecht_profiliert",
tabelle1[Anzahl Rohre],"Typ_33",
tabelle1[Anzahl Rohreinheiten],Q79,
tabelle1[Übertemperatur in K],155))&gt;0,
IN_rooms!Y$62*(SUMIFS(
tabelle1[Heizkörper_Typ],
tabelle1[Bautiefe T in mm],"Flachheizkoerper_senkrecht_profiliert",
tabelle1[Anzahl Rohre],"Typ_33",
tabelle1[Anzahl Rohreinheiten],Q79,
tabelle1[Übertemperatur in K],155)*(Q80/1000)*(Q86/Log_ÜT_Norm)^SUMIFS(
tabelle1[Spalte1],
tabelle1[Bautiefe T in mm],"Flachheizkoerper_senkrecht_profiliert",
tabelle1[Anzahl Rohre],"Typ_33",
tabelle1[Anzahl Rohreinheiten],Q79,
tabelle1[Übertemperatur in K],155)),0)</f>
        <v>0</v>
      </c>
      <c r="R88" s="79">
        <f>IF(IN_rooms!Z$62*(SUMIFS(
tabelle1[Heizkörper_Subtyp],
tabelle1[Anzahl Rohre],"Flachheizkoerper_senkrecht_profiliert",
tabelle1[Anzahl Rohreinheiten],"Typ_33",
tabelle1[Nennweite DN],R79,
tabelle1[Mittlere Wassertemperatur in °C],155)*(R80/1000)*(R86/Log_ÜT_Norm)^SUMIFS(
tabelle1[Heizkörper Subtyp],
tabelle1[Anzahl Rohre],"Flachheizkoerper_senkrecht_profiliert",
tabelle1[Anzahl Rohreinheiten],"Typ_33",
tabelle1[Nennweite DN],R79,
tabelle1[Mittlere Wassertemperatur in °C],155))&gt;0,
IN_rooms!Z$62*(SUMIFS(
tabelle1[Heizkörper_Subtyp],
tabelle1[Anzahl Rohre],"Flachheizkoerper_senkrecht_profiliert",
tabelle1[Anzahl Rohreinheiten],"Typ_33",
tabelle1[Nennweite DN],R79,
tabelle1[Mittlere Wassertemperatur in °C],155)*(R80/1000)*(R86/Log_ÜT_Norm)^SUMIFS(
tabelle1[Heizkörper Subtyp],
tabelle1[Anzahl Rohre],"Flachheizkoerper_senkrecht_profiliert",
tabelle1[Anzahl Rohreinheiten],"Typ_33",
tabelle1[Nennweite DN],R79,
tabelle1[Mittlere Wassertemperatur in °C],155)),0)</f>
        <v>0</v>
      </c>
      <c r="S88" s="79">
        <f>IF(IN_rooms!AA$62*(SUMIFS(
tabelle1[Höhe H in mm],
tabelle1[Anzahl Rohreinheiten],"Flachheizkoerper_senkrecht_profiliert",
tabelle1[Nennweite DN],"Typ_33",
tabelle1[Außendurchmesser d in mm],S79,
tabelle1[Rippenhöhe h in mm],155)*(S80/1000)*(S86/Log_ÜT_Norm)^SUMIFS(
tabelle1[Heizkörper_Typ],
tabelle1[Anzahl Rohreinheiten],"Flachheizkoerper_senkrecht_profiliert",
tabelle1[Nennweite DN],"Typ_33",
tabelle1[Außendurchmesser d in mm],S79,
tabelle1[Rippenhöhe h in mm],155))&gt;0,
IN_rooms!AA$62*(SUMIFS(
tabelle1[Höhe H in mm],
tabelle1[Anzahl Rohreinheiten],"Flachheizkoerper_senkrecht_profiliert",
tabelle1[Nennweite DN],"Typ_33",
tabelle1[Außendurchmesser d in mm],S79,
tabelle1[Rippenhöhe h in mm],155)*(S80/1000)*(S86/Log_ÜT_Norm)^SUMIFS(
tabelle1[Heizkörper_Typ],
tabelle1[Anzahl Rohreinheiten],"Flachheizkoerper_senkrecht_profiliert",
tabelle1[Nennweite DN],"Typ_33",
tabelle1[Außendurchmesser d in mm],S79,
tabelle1[Rippenhöhe h in mm],155)),0)</f>
        <v>0</v>
      </c>
      <c r="T88" s="79">
        <f>IF(IN_rooms!AB$62*(SUMIFS(
tabelle1[Breite B in mm],
tabelle1[Nennweite DN],"Flachheizkoerper_senkrecht_profiliert",
tabelle1[Außendurchmesser d in mm],"Typ_33",
tabelle1[Rippenhöhe in mm],T79,
tabelle1[Rippenabstand a in mm],155)*(T80/1000)*(T86/Log_ÜT_Norm)^SUMIFS(
tabelle1[Heizkörper_Subtyp],
tabelle1[Nennweite DN],"Flachheizkoerper_senkrecht_profiliert",
tabelle1[Außendurchmesser d in mm],"Typ_33",
tabelle1[Rippenhöhe in mm],T79,
tabelle1[Rippenabstand a in mm],155))&gt;0,
IN_rooms!AB$62*(SUMIFS(
tabelle1[Breite B in mm],
tabelle1[Nennweite DN],"Flachheizkoerper_senkrecht_profiliert",
tabelle1[Außendurchmesser d in mm],"Typ_33",
tabelle1[Rippenhöhe in mm],T79,
tabelle1[Rippenabstand a in mm],155)*(T80/1000)*(T86/Log_ÜT_Norm)^SUMIFS(
tabelle1[Heizkörper_Subtyp],
tabelle1[Nennweite DN],"Flachheizkoerper_senkrecht_profiliert",
tabelle1[Außendurchmesser d in mm],"Typ_33",
tabelle1[Rippenhöhe in mm],T79,
tabelle1[Rippenabstand a in mm],155)),0)</f>
        <v>0</v>
      </c>
      <c r="U88" s="79">
        <f>IF(IN_rooms!AC$62*(SUMIFS(
tabelle1[HK Fläche in m²],
tabelle1[Außendurchmesser d in mm],"Flachheizkoerper_senkrecht_profiliert",
tabelle1[Rippenhöhe in mm],"Typ_33",
tabelle1[Mittlere Rohrübertemperatur in K],U79,
tabelle1[Rohrreihen],155)*(U80/1000)*(U86/Log_ÜT_Norm)^SUMIFS(
tabelle1[Höhe H in mm],
tabelle1[Außendurchmesser d in mm],"Flachheizkoerper_senkrecht_profiliert",
tabelle1[Rippenhöhe in mm],"Typ_33",
tabelle1[Mittlere Rohrübertemperatur in K],U79,
tabelle1[Rohrreihen],155))&gt;0,
IN_rooms!AC$62*(SUMIFS(
tabelle1[HK Fläche in m²],
tabelle1[Außendurchmesser d in mm],"Flachheizkoerper_senkrecht_profiliert",
tabelle1[Rippenhöhe in mm],"Typ_33",
tabelle1[Mittlere Rohrübertemperatur in K],U79,
tabelle1[Rohrreihen],155)*(U80/1000)*(U86/Log_ÜT_Norm)^SUMIFS(
tabelle1[Höhe H in mm],
tabelle1[Außendurchmesser d in mm],"Flachheizkoerper_senkrecht_profiliert",
tabelle1[Rippenhöhe in mm],"Typ_33",
tabelle1[Mittlere Rohrübertemperatur in K],U79,
tabelle1[Rohrreihen],155)),0)</f>
        <v>0</v>
      </c>
      <c r="V88" s="79">
        <f>IF(IN_rooms!AD$62*(SUMIFS(
tabelle1[HK Volumen in m³],
tabelle1[Rippenhöhe in mm],"Flachheizkoerper_senkrecht_profiliert",
tabelle1[Mittlere Rohrübertemperatur in K],"Typ_33",
tabelle1[Übertemperatur in K],V79,
tabelle1[[Heizkörperexponent n ]],155)*(V80/1000)*(V86/Log_ÜT_Norm)^SUMIFS(
tabelle1[Breite B in mm],
tabelle1[Rippenhöhe in mm],"Flachheizkoerper_senkrecht_profiliert",
tabelle1[Mittlere Rohrübertemperatur in K],"Typ_33",
tabelle1[Übertemperatur in K],V79,
tabelle1[[Heizkörperexponent n ]],155))&gt;0,
IN_rooms!AD$62*(SUMIFS(
tabelle1[HK Volumen in m³],
tabelle1[Rippenhöhe in mm],"Flachheizkoerper_senkrecht_profiliert",
tabelle1[Mittlere Rohrübertemperatur in K],"Typ_33",
tabelle1[Übertemperatur in K],V79,
tabelle1[[Heizkörperexponent n ]],155)*(V80/1000)*(V86/Log_ÜT_Norm)^SUMIFS(
tabelle1[Breite B in mm],
tabelle1[Rippenhöhe in mm],"Flachheizkoerper_senkrecht_profiliert",
tabelle1[Mittlere Rohrübertemperatur in K],"Typ_33",
tabelle1[Übertemperatur in K],V79,
tabelle1[[Heizkörperexponent n ]],155)),0)</f>
        <v>0</v>
      </c>
      <c r="W88" s="79">
        <f>IF(IN_rooms!AE$62*(SUMIFS(
tabelle1[Nabenabstand N in mm],
tabelle1[Mittlere Rohrübertemperatur in K],"Flachheizkoerper_senkrecht_profiliert",
tabelle1[Übertemperatur in K],"Typ_33",
tabelle1[Mittlere Wassertemperatur in °C],W79,
tabelle1[Wärmeleistung (75/65/20)  in W],155)*(W80/1000)*(W86/Log_ÜT_Norm)^SUMIFS(
tabelle1[HK Fläche in m²],
tabelle1[Mittlere Rohrübertemperatur in K],"Flachheizkoerper_senkrecht_profiliert",
tabelle1[Übertemperatur in K],"Typ_33",
tabelle1[Mittlere Wassertemperatur in °C],W79,
tabelle1[Wärmeleistung (75/65/20)  in W],155))&gt;0,
IN_rooms!AE$62*(SUMIFS(
tabelle1[Nabenabstand N in mm],
tabelle1[Mittlere Rohrübertemperatur in K],"Flachheizkoerper_senkrecht_profiliert",
tabelle1[Übertemperatur in K],"Typ_33",
tabelle1[Mittlere Wassertemperatur in °C],W79,
tabelle1[Wärmeleistung (75/65/20)  in W],155)*(W80/1000)*(W86/Log_ÜT_Norm)^SUMIFS(
tabelle1[HK Fläche in m²],
tabelle1[Mittlere Rohrübertemperatur in K],"Flachheizkoerper_senkrecht_profiliert",
tabelle1[Übertemperatur in K],"Typ_33",
tabelle1[Mittlere Wassertemperatur in °C],W79,
tabelle1[Wärmeleistung (75/65/20)  in W],155)),0)</f>
        <v>0</v>
      </c>
      <c r="X88" s="79">
        <f>IF(IN_rooms!AF$62*(SUMIFS(
tabelle1[Bautiefe T in mm],
tabelle1[Übertemperatur in K],"Flachheizkoerper_senkrecht_profiliert",
tabelle1[Mittlere Wassertemperatur in °C],"Typ_33",
tabelle1[Rippenhöhe h in mm],X79,
tabelle1[Wärmeleistung (75/65/20)  in W/m],155)*(X80/1000)*(X86/Log_ÜT_Norm)^SUMIFS(
tabelle1[HK Volumen in m³],
tabelle1[Übertemperatur in K],"Flachheizkoerper_senkrecht_profiliert",
tabelle1[Mittlere Wassertemperatur in °C],"Typ_33",
tabelle1[Rippenhöhe h in mm],X79,
tabelle1[Wärmeleistung (75/65/20)  in W/m],155))&gt;0,
IN_rooms!AF$62*(SUMIFS(
tabelle1[Bautiefe T in mm],
tabelle1[Übertemperatur in K],"Flachheizkoerper_senkrecht_profiliert",
tabelle1[Mittlere Wassertemperatur in °C],"Typ_33",
tabelle1[Rippenhöhe h in mm],X79,
tabelle1[Wärmeleistung (75/65/20)  in W/m],155)*(X80/1000)*(X86/Log_ÜT_Norm)^SUMIFS(
tabelle1[HK Volumen in m³],
tabelle1[Übertemperatur in K],"Flachheizkoerper_senkrecht_profiliert",
tabelle1[Mittlere Wassertemperatur in °C],"Typ_33",
tabelle1[Rippenhöhe h in mm],X79,
tabelle1[Wärmeleistung (75/65/20)  in W/m],155)),0)</f>
        <v>0</v>
      </c>
    </row>
    <row r="89" spans="2:24" ht="15.75" thickBot="1" x14ac:dyDescent="0.3">
      <c r="B89" s="198" t="s">
        <v>387</v>
      </c>
      <c r="C89" s="198" t="s">
        <v>631</v>
      </c>
      <c r="D89" s="198" t="s">
        <v>211</v>
      </c>
      <c r="E89" s="198" t="s">
        <v>854</v>
      </c>
      <c r="F89" s="198"/>
      <c r="J89" s="21" t="str">
        <f>IF(IN_rooms!R$56="Gliederheizkörper",IN_rooms!R$56,"")</f>
        <v/>
      </c>
      <c r="K89" s="21" t="str">
        <f>IF(IN_rooms!S$56="Gliederheizkörper",IN_rooms!S$56,"")</f>
        <v/>
      </c>
      <c r="L89" s="21" t="str">
        <f>IF(IN_rooms!T$56="Gliederheizkörper",IN_rooms!T$56,"")</f>
        <v/>
      </c>
      <c r="M89" s="21" t="str">
        <f>IF(IN_rooms!U$56="Gliederheizkörper",IN_rooms!U$56,"")</f>
        <v/>
      </c>
      <c r="N89" s="21" t="str">
        <f>IF(IN_rooms!V$56="Gliederheizkörper",IN_rooms!V$56,"")</f>
        <v/>
      </c>
      <c r="O89" s="21" t="str">
        <f>IF(IN_rooms!W$56="Gliederheizkörper",IN_rooms!W$56,"")</f>
        <v/>
      </c>
      <c r="P89" s="21" t="str">
        <f>IF(IN_rooms!X$56="Gliederheizkörper",IN_rooms!X$56,"")</f>
        <v/>
      </c>
      <c r="Q89" s="21" t="str">
        <f>IF(IN_rooms!Y$56="Gliederheizkörper",IN_rooms!Y$56,"")</f>
        <v/>
      </c>
      <c r="R89" s="21" t="str">
        <f>IF(IN_rooms!Z$56="Gliederheizkörper",IN_rooms!Z$56,"")</f>
        <v/>
      </c>
      <c r="S89" s="21" t="str">
        <f>IF(IN_rooms!AA$56="Gliederheizkörper",IN_rooms!AA$56,"")</f>
        <v/>
      </c>
      <c r="T89" s="21" t="str">
        <f>IF(IN_rooms!AB$56="Gliederheizkörper",IN_rooms!AB$56,"")</f>
        <v/>
      </c>
      <c r="U89" s="21" t="str">
        <f>IF(IN_rooms!AC$56="Gliederheizkörper",IN_rooms!AC$56,"")</f>
        <v/>
      </c>
      <c r="V89" s="21" t="str">
        <f>IF(IN_rooms!AD$56="Gliederheizkörper",IN_rooms!AD$56,"")</f>
        <v/>
      </c>
      <c r="W89" s="21" t="str">
        <f>IF(IN_rooms!AE$56="Gliederheizkörper",IN_rooms!AE$56,"")</f>
        <v/>
      </c>
      <c r="X89" s="21" t="str">
        <f>IF(IN_rooms!AF$56="Gliederheizkörper",IN_rooms!AF$56,"")</f>
        <v/>
      </c>
    </row>
    <row r="90" spans="2:24" ht="15.75" thickBot="1" x14ac:dyDescent="0.3">
      <c r="B90" s="198" t="s">
        <v>776</v>
      </c>
      <c r="C90" s="198" t="s">
        <v>631</v>
      </c>
      <c r="D90" s="198" t="s">
        <v>211</v>
      </c>
      <c r="E90" s="198" t="s">
        <v>855</v>
      </c>
      <c r="F90" s="198"/>
      <c r="J90" s="21">
        <f>IN_rooms!R$57</f>
        <v>0</v>
      </c>
      <c r="K90" s="21">
        <f>IN_rooms!S$57</f>
        <v>0</v>
      </c>
      <c r="L90" s="21">
        <f>IN_rooms!T$57</f>
        <v>0</v>
      </c>
      <c r="M90" s="21">
        <f>IN_rooms!U$57</f>
        <v>0</v>
      </c>
      <c r="N90" s="21">
        <f>IN_rooms!V$57</f>
        <v>0</v>
      </c>
      <c r="O90" s="21">
        <f>IN_rooms!W$57</f>
        <v>0</v>
      </c>
      <c r="P90" s="21">
        <f>IN_rooms!X$57</f>
        <v>0</v>
      </c>
      <c r="Q90" s="21">
        <f>IN_rooms!Y$57</f>
        <v>0</v>
      </c>
      <c r="R90" s="21">
        <f>IN_rooms!Z$57</f>
        <v>0</v>
      </c>
      <c r="S90" s="21">
        <f>IN_rooms!AA$57</f>
        <v>0</v>
      </c>
      <c r="T90" s="21">
        <f>IN_rooms!AB$57</f>
        <v>0</v>
      </c>
      <c r="U90" s="21">
        <f>IN_rooms!AC$57</f>
        <v>0</v>
      </c>
      <c r="V90" s="21">
        <f>IN_rooms!AD$57</f>
        <v>0</v>
      </c>
      <c r="W90" s="21">
        <f>IN_rooms!AE$57</f>
        <v>0</v>
      </c>
      <c r="X90" s="21">
        <f>IN_rooms!AF$57</f>
        <v>0</v>
      </c>
    </row>
    <row r="91" spans="2:24" ht="15.75" thickBot="1" x14ac:dyDescent="0.3">
      <c r="B91" s="198" t="s">
        <v>382</v>
      </c>
      <c r="C91" s="198" t="s">
        <v>631</v>
      </c>
      <c r="D91" s="198" t="s">
        <v>211</v>
      </c>
      <c r="E91" s="198" t="s">
        <v>856</v>
      </c>
      <c r="F91" s="198" t="s">
        <v>431</v>
      </c>
      <c r="J91" s="21">
        <f>IN_rooms!R$58</f>
        <v>0</v>
      </c>
      <c r="K91" s="21">
        <f>IN_rooms!S$58</f>
        <v>0</v>
      </c>
      <c r="L91" s="21">
        <f>IN_rooms!T$58</f>
        <v>0</v>
      </c>
      <c r="M91" s="21">
        <f>IN_rooms!U$58</f>
        <v>0</v>
      </c>
      <c r="N91" s="21">
        <f>IN_rooms!V$58</f>
        <v>0</v>
      </c>
      <c r="O91" s="21">
        <f>IN_rooms!W$58</f>
        <v>0</v>
      </c>
      <c r="P91" s="21">
        <f>IN_rooms!X$58</f>
        <v>0</v>
      </c>
      <c r="Q91" s="21">
        <f>IN_rooms!Y$58</f>
        <v>0</v>
      </c>
      <c r="R91" s="21">
        <f>IN_rooms!Z$58</f>
        <v>0</v>
      </c>
      <c r="S91" s="21">
        <f>IN_rooms!AA$58</f>
        <v>0</v>
      </c>
      <c r="T91" s="21">
        <f>IN_rooms!AB$58</f>
        <v>0</v>
      </c>
      <c r="U91" s="21">
        <f>IN_rooms!AC$58</f>
        <v>0</v>
      </c>
      <c r="V91" s="21">
        <f>IN_rooms!AD$58</f>
        <v>0</v>
      </c>
      <c r="W91" s="21">
        <f>IN_rooms!AE$58</f>
        <v>0</v>
      </c>
      <c r="X91" s="21">
        <f>IN_rooms!AF$58</f>
        <v>0</v>
      </c>
    </row>
    <row r="92" spans="2:24" ht="15.75" thickBot="1" x14ac:dyDescent="0.3">
      <c r="B92" s="198" t="s">
        <v>390</v>
      </c>
      <c r="C92" s="198" t="s">
        <v>631</v>
      </c>
      <c r="D92" s="198" t="s">
        <v>211</v>
      </c>
      <c r="E92" s="198" t="s">
        <v>857</v>
      </c>
      <c r="F92" s="198" t="s">
        <v>431</v>
      </c>
      <c r="J92" s="21">
        <f>IN_rooms!R$60</f>
        <v>0</v>
      </c>
      <c r="K92" s="21">
        <f>IN_rooms!S$60</f>
        <v>0</v>
      </c>
      <c r="L92" s="21">
        <f>IN_rooms!T$60</f>
        <v>0</v>
      </c>
      <c r="M92" s="21">
        <f>IN_rooms!U$60</f>
        <v>0</v>
      </c>
      <c r="N92" s="21">
        <f>IN_rooms!V$60</f>
        <v>0</v>
      </c>
      <c r="O92" s="21">
        <f>IN_rooms!W$60</f>
        <v>0</v>
      </c>
      <c r="P92" s="21">
        <f>IN_rooms!X$60</f>
        <v>0</v>
      </c>
      <c r="Q92" s="21">
        <f>IN_rooms!Y$60</f>
        <v>0</v>
      </c>
      <c r="R92" s="21">
        <f>IN_rooms!Z$60</f>
        <v>0</v>
      </c>
      <c r="S92" s="21">
        <f>IN_rooms!AA$60</f>
        <v>0</v>
      </c>
      <c r="T92" s="21">
        <f>IN_rooms!AB$60</f>
        <v>0</v>
      </c>
      <c r="U92" s="21">
        <f>IN_rooms!AC$60</f>
        <v>0</v>
      </c>
      <c r="V92" s="21">
        <f>IN_rooms!AD$60</f>
        <v>0</v>
      </c>
      <c r="W92" s="21">
        <f>IN_rooms!AE$60</f>
        <v>0</v>
      </c>
      <c r="X92" s="21">
        <f>IN_rooms!AF$60</f>
        <v>0</v>
      </c>
    </row>
    <row r="93" spans="2:24" ht="15.75" thickBot="1" x14ac:dyDescent="0.3">
      <c r="B93" s="198" t="s">
        <v>391</v>
      </c>
      <c r="C93" s="198" t="s">
        <v>631</v>
      </c>
      <c r="D93" s="198" t="s">
        <v>211</v>
      </c>
      <c r="E93" s="198" t="s">
        <v>858</v>
      </c>
      <c r="F93" s="198" t="s">
        <v>802</v>
      </c>
      <c r="J93" s="21">
        <f>IN_rooms!R$61</f>
        <v>0</v>
      </c>
      <c r="K93" s="21">
        <f>IN_rooms!S$61</f>
        <v>0</v>
      </c>
      <c r="L93" s="21">
        <f>IN_rooms!T$61</f>
        <v>0</v>
      </c>
      <c r="M93" s="21">
        <f>IN_rooms!U$61</f>
        <v>0</v>
      </c>
      <c r="N93" s="21">
        <f>IN_rooms!V$61</f>
        <v>0</v>
      </c>
      <c r="O93" s="21">
        <f>IN_rooms!W$61</f>
        <v>0</v>
      </c>
      <c r="P93" s="21">
        <f>IN_rooms!X$61</f>
        <v>0</v>
      </c>
      <c r="Q93" s="21">
        <f>IN_rooms!Y$61</f>
        <v>0</v>
      </c>
      <c r="R93" s="21">
        <f>IN_rooms!Z$61</f>
        <v>0</v>
      </c>
      <c r="S93" s="21">
        <f>IN_rooms!AA$61</f>
        <v>0</v>
      </c>
      <c r="T93" s="21">
        <f>IN_rooms!AB$61</f>
        <v>0</v>
      </c>
      <c r="U93" s="21">
        <f>IN_rooms!AC$61</f>
        <v>0</v>
      </c>
      <c r="V93" s="21">
        <f>IN_rooms!AD$61</f>
        <v>0</v>
      </c>
      <c r="W93" s="21">
        <f>IN_rooms!AE$61</f>
        <v>0</v>
      </c>
      <c r="X93" s="21">
        <f>IN_rooms!AF$61</f>
        <v>0</v>
      </c>
    </row>
    <row r="94" spans="2:24" ht="15.75" thickBot="1" x14ac:dyDescent="0.3">
      <c r="B94" s="198" t="s">
        <v>781</v>
      </c>
      <c r="C94" s="198" t="s">
        <v>631</v>
      </c>
      <c r="D94" s="198" t="s">
        <v>211</v>
      </c>
      <c r="E94" s="198" t="s">
        <v>638</v>
      </c>
      <c r="F94" s="198"/>
      <c r="J94" s="21">
        <f>1.3</f>
        <v>1.3</v>
      </c>
      <c r="K94" s="21">
        <f t="shared" ref="K94:X94" si="23">1.3</f>
        <v>1.3</v>
      </c>
      <c r="L94" s="21">
        <f t="shared" si="23"/>
        <v>1.3</v>
      </c>
      <c r="M94" s="21">
        <f t="shared" si="23"/>
        <v>1.3</v>
      </c>
      <c r="N94" s="21">
        <f t="shared" si="23"/>
        <v>1.3</v>
      </c>
      <c r="O94" s="21">
        <f t="shared" si="23"/>
        <v>1.3</v>
      </c>
      <c r="P94" s="21">
        <f t="shared" si="23"/>
        <v>1.3</v>
      </c>
      <c r="Q94" s="21">
        <f t="shared" si="23"/>
        <v>1.3</v>
      </c>
      <c r="R94" s="21">
        <f t="shared" si="23"/>
        <v>1.3</v>
      </c>
      <c r="S94" s="21">
        <f t="shared" si="23"/>
        <v>1.3</v>
      </c>
      <c r="T94" s="21">
        <f t="shared" si="23"/>
        <v>1.3</v>
      </c>
      <c r="U94" s="21">
        <f t="shared" si="23"/>
        <v>1.3</v>
      </c>
      <c r="V94" s="21">
        <f t="shared" si="23"/>
        <v>1.3</v>
      </c>
      <c r="W94" s="21">
        <f t="shared" si="23"/>
        <v>1.3</v>
      </c>
      <c r="X94" s="21">
        <f t="shared" si="23"/>
        <v>1.3</v>
      </c>
    </row>
    <row r="95" spans="2:24" ht="15.75" thickBot="1" x14ac:dyDescent="0.3">
      <c r="B95" s="198" t="s">
        <v>783</v>
      </c>
      <c r="C95" s="198" t="s">
        <v>631</v>
      </c>
      <c r="D95" s="198" t="s">
        <v>211</v>
      </c>
      <c r="E95" s="198" t="s">
        <v>859</v>
      </c>
      <c r="F95" s="198" t="s">
        <v>112</v>
      </c>
      <c r="J95" s="21">
        <f ca="1">_xlfn.LET(
    _xlpm.wärmeleistung, SUMIFS(
        INDIRECT("tabelle1[Wärmeleistung (75/65/20)  in W/Glied]"),
        INDIRECT("tabelle1[Heizkörper_Typ]"), clc_power!J$89,
        INDIRECT("tabelle1[Heizkörper_Subtyp]"), clc_power!J$90,
        INDIRECT("tabelle1[Höhe H in mm]"), clc_power!J$91,
        INDIRECT("tabelle1[Bautiefe T in mm]"), clc_power!J$92
    ),
    _xlpm.leistung, IN_rooms!R$62 * _xlpm.wärmeleistung * J$93,
    IF(_xlpm.leistung &gt; 0, _xlpm.leistung, 0)
)</f>
        <v>0</v>
      </c>
      <c r="K95" s="21">
        <f>IF(IN_rooms!S$62*SUMIFS(tabelle1[Wärmeleistung in W/m²],tabelle1[Heizkörper_Subtyp],K$89,tabelle1[Höhe H in mm],K$90,tabelle1[Breite B in mm],K$91,tabelle1[Anzahl Rohre],K$92)*K$93&gt;0,
IN_rooms!S$62*SUMIFS(tabelle1[Wärmeleistung in W/m²],tabelle1[Heizkörper_Subtyp],K$89,tabelle1[Höhe H in mm],K$90,tabelle1[Breite B in mm],K$91,tabelle1[Anzahl Rohre],K$92)*K$93,0)</f>
        <v>0</v>
      </c>
      <c r="L95" s="21">
        <f>IF(IN_rooms!T$62*SUMIFS(tabelle1[Kommentar],tabelle1[Höhe H in mm],L$89,tabelle1[Breite B in mm],L$90,tabelle1[HK Fläche in m²],L$91,tabelle1[Anzahl Rohreinheiten],L$92)*L$93&gt;0,
IN_rooms!T$62*SUMIFS(tabelle1[Kommentar],tabelle1[Höhe H in mm],L$89,tabelle1[Breite B in mm],L$90,tabelle1[HK Fläche in m²],L$91,tabelle1[Anzahl Rohreinheiten],L$92)*L$93,0)</f>
        <v>0</v>
      </c>
      <c r="M95" s="21">
        <f>IF(IN_rooms!U$62*SUMIFS(tabelle1[Lfd. Nr.],tabelle1[Breite B in mm],M$89,tabelle1[HK Fläche in m²],M$90,tabelle1[HK Volumen in m³],M$91,tabelle1[Nennweite DN],M$92)*M$93&gt;0,
IN_rooms!U$62*SUMIFS(tabelle1[Lfd. Nr.],tabelle1[Breite B in mm],M$89,tabelle1[HK Fläche in m²],M$90,tabelle1[HK Volumen in m³],M$91,tabelle1[Nennweite DN],M$92)*M$93,0)</f>
        <v>0</v>
      </c>
      <c r="N95" s="21">
        <f>IF(IN_rooms!V$62*SUMIFS(tabelle1[Spalte1],tabelle1[HK Fläche in m²],N$89,tabelle1[HK Volumen in m³],N$90,tabelle1[Nabenabstand N in mm],N$91,tabelle1[Außendurchmesser d in mm],N$92)*N$93&gt;0,
IN_rooms!V$62*SUMIFS(tabelle1[Spalte1],tabelle1[HK Fläche in m²],N$89,tabelle1[HK Volumen in m³],N$90,tabelle1[Nabenabstand N in mm],N$91,tabelle1[Außendurchmesser d in mm],N$92)*N$93,0)</f>
        <v>0</v>
      </c>
      <c r="O95" s="21">
        <f>IF(IN_rooms!W$62*SUMIFS(tabelle1[Heizkörper Subtyp],tabelle1[HK Volumen in m³],O$89,tabelle1[Nabenabstand N in mm],O$90,tabelle1[Bautiefe T in mm],O$91,tabelle1[Rippenhöhe in mm],O$92)*O$93&gt;0,
IN_rooms!W$62*SUMIFS(tabelle1[Heizkörper Subtyp],tabelle1[HK Volumen in m³],O$89,tabelle1[Nabenabstand N in mm],O$90,tabelle1[Bautiefe T in mm],O$91,tabelle1[Rippenhöhe in mm],O$92)*O$93,0)</f>
        <v>0</v>
      </c>
      <c r="P95" s="21">
        <f>IF(IN_rooms!X$62*SUMIFS(tabelle1[Heizkörper_Typ],tabelle1[Nabenabstand N in mm],P$89,tabelle1[Bautiefe T in mm],P$90,tabelle1[Anzahl Rohre],P$91,tabelle1[Mittlere Rohrübertemperatur in K],P$92)*P$93&gt;0,
IN_rooms!X$62*SUMIFS(tabelle1[Heizkörper_Typ],tabelle1[Nabenabstand N in mm],P$89,tabelle1[Bautiefe T in mm],P$90,tabelle1[Anzahl Rohre],P$91,tabelle1[Mittlere Rohrübertemperatur in K],P$92)*P$93,0)</f>
        <v>0</v>
      </c>
      <c r="Q95" s="21">
        <f>IF(IN_rooms!Y$62*SUMIFS(tabelle1[Heizkörper_Subtyp],tabelle1[Bautiefe T in mm],Q$89,tabelle1[Anzahl Rohre],Q$90,tabelle1[Anzahl Rohreinheiten],Q$91,tabelle1[Übertemperatur in K],Q$92)*Q$93&gt;0,
IN_rooms!Y$62*SUMIFS(tabelle1[Heizkörper_Subtyp],tabelle1[Bautiefe T in mm],Q$89,tabelle1[Anzahl Rohre],Q$90,tabelle1[Anzahl Rohreinheiten],Q$91,tabelle1[Übertemperatur in K],Q$92)*Q$93,0)</f>
        <v>0</v>
      </c>
      <c r="R95" s="21">
        <f>IF(IN_rooms!Z$62*SUMIFS(tabelle1[Höhe H in mm],tabelle1[Anzahl Rohre],R$89,tabelle1[Anzahl Rohreinheiten],R$90,tabelle1[Nennweite DN],R$91,tabelle1[Mittlere Wassertemperatur in °C],R$92)*R$93&gt;0,
IN_rooms!Z$62*SUMIFS(tabelle1[Höhe H in mm],tabelle1[Anzahl Rohre],R$89,tabelle1[Anzahl Rohreinheiten],R$90,tabelle1[Nennweite DN],R$91,tabelle1[Mittlere Wassertemperatur in °C],R$92)*R$93,0)</f>
        <v>0</v>
      </c>
      <c r="S95" s="21">
        <f>IF(IN_rooms!AA$62*SUMIFS(tabelle1[Breite B in mm],tabelle1[Anzahl Rohreinheiten],S$89,tabelle1[Nennweite DN],S$90,tabelle1[Außendurchmesser d in mm],S$91,tabelle1[Rippenhöhe h in mm],S$92)*S$93&gt;0,
IN_rooms!AA$62*SUMIFS(tabelle1[Breite B in mm],tabelle1[Anzahl Rohreinheiten],S$89,tabelle1[Nennweite DN],S$90,tabelle1[Außendurchmesser d in mm],S$91,tabelle1[Rippenhöhe h in mm],S$92)*S$93,0)</f>
        <v>0</v>
      </c>
      <c r="T95" s="21">
        <f>IF(IN_rooms!AB$62*SUMIFS(tabelle1[HK Fläche in m²],tabelle1[Nennweite DN],T$89,tabelle1[Außendurchmesser d in mm],T$90,tabelle1[Rippenhöhe in mm],T$91,tabelle1[Rippenabstand a in mm],T$92)*T$93&gt;0,
IN_rooms!AB$62*SUMIFS(tabelle1[HK Fläche in m²],tabelle1[Nennweite DN],T$89,tabelle1[Außendurchmesser d in mm],T$90,tabelle1[Rippenhöhe in mm],T$91,tabelle1[Rippenabstand a in mm],T$92)*T$93,0)</f>
        <v>0</v>
      </c>
      <c r="U95" s="21">
        <f>IF(IN_rooms!AC$62*SUMIFS(tabelle1[HK Volumen in m³],tabelle1[Außendurchmesser d in mm],U$89,tabelle1[Rippenhöhe in mm],U$90,tabelle1[Mittlere Rohrübertemperatur in K],U$91,tabelle1[Rohrreihen],U$92)*U$93&gt;0,
IN_rooms!AC$62*SUMIFS(tabelle1[HK Volumen in m³],tabelle1[Außendurchmesser d in mm],U$89,tabelle1[Rippenhöhe in mm],U$90,tabelle1[Mittlere Rohrübertemperatur in K],U$91,tabelle1[Rohrreihen],U$92)*U$93,0)</f>
        <v>0</v>
      </c>
      <c r="V95" s="21">
        <f>IF(IN_rooms!AD$62*SUMIFS(tabelle1[Nabenabstand N in mm],tabelle1[Rippenhöhe in mm],V$89,tabelle1[Mittlere Rohrübertemperatur in K],V$90,tabelle1[Übertemperatur in K],V$91,tabelle1[[Heizkörperexponent n ]],V$92)*V$93&gt;0,
IN_rooms!AD$62*SUMIFS(tabelle1[Nabenabstand N in mm],tabelle1[Rippenhöhe in mm],V$89,tabelle1[Mittlere Rohrübertemperatur in K],V$90,tabelle1[Übertemperatur in K],V$91,tabelle1[[Heizkörperexponent n ]],V$92)*V$93,0)</f>
        <v>0</v>
      </c>
      <c r="W95" s="21">
        <f>IF(IN_rooms!AE$62*SUMIFS(tabelle1[Bautiefe T in mm],tabelle1[Mittlere Rohrübertemperatur in K],W$89,tabelle1[Übertemperatur in K],W$90,tabelle1[Mittlere Wassertemperatur in °C],W$91,tabelle1[Wärmeleistung (75/65/20)  in W],W$92)*W$93&gt;0,
IN_rooms!AE$62*SUMIFS(tabelle1[Bautiefe T in mm],tabelle1[Mittlere Rohrübertemperatur in K],W$89,tabelle1[Übertemperatur in K],W$90,tabelle1[Mittlere Wassertemperatur in °C],W$91,tabelle1[Wärmeleistung (75/65/20)  in W],W$92)*W$93,0)</f>
        <v>0</v>
      </c>
      <c r="X95" s="21">
        <f>IF(IN_rooms!AF$62*SUMIFS(tabelle1[Anzahl Rohre],tabelle1[Übertemperatur in K],X$89,tabelle1[Mittlere Wassertemperatur in °C],X$90,tabelle1[Rippenhöhe h in mm],X$91,tabelle1[Wärmeleistung (75/65/20)  in W/m],X$92)*X$93&gt;0,
IN_rooms!AF$62*SUMIFS(tabelle1[Anzahl Rohre],tabelle1[Übertemperatur in K],X$89,tabelle1[Mittlere Wassertemperatur in °C],X$90,tabelle1[Rippenhöhe h in mm],X$91,tabelle1[Wärmeleistung (75/65/20)  in W/m],X$92)*X$93,0)</f>
        <v>0</v>
      </c>
    </row>
    <row r="96" spans="2:24" ht="15.75" thickBot="1" x14ac:dyDescent="0.3">
      <c r="B96" s="198" t="s">
        <v>785</v>
      </c>
      <c r="C96" s="198" t="s">
        <v>631</v>
      </c>
      <c r="D96" s="198" t="s">
        <v>211</v>
      </c>
      <c r="E96" s="198" t="s">
        <v>860</v>
      </c>
      <c r="F96" s="198" t="s">
        <v>107</v>
      </c>
      <c r="J96" s="21">
        <f>TVL_Ziel</f>
        <v>55</v>
      </c>
      <c r="K96" s="21">
        <f t="shared" ref="K96:X96" si="24">TVL_Ziel</f>
        <v>55</v>
      </c>
      <c r="L96" s="21">
        <f t="shared" si="24"/>
        <v>55</v>
      </c>
      <c r="M96" s="21">
        <f t="shared" si="24"/>
        <v>55</v>
      </c>
      <c r="N96" s="21">
        <f t="shared" si="24"/>
        <v>55</v>
      </c>
      <c r="O96" s="21">
        <f t="shared" si="24"/>
        <v>55</v>
      </c>
      <c r="P96" s="21">
        <f t="shared" si="24"/>
        <v>55</v>
      </c>
      <c r="Q96" s="21">
        <f t="shared" si="24"/>
        <v>55</v>
      </c>
      <c r="R96" s="21">
        <f t="shared" si="24"/>
        <v>55</v>
      </c>
      <c r="S96" s="21">
        <f t="shared" si="24"/>
        <v>55</v>
      </c>
      <c r="T96" s="21">
        <f t="shared" si="24"/>
        <v>55</v>
      </c>
      <c r="U96" s="21">
        <f t="shared" si="24"/>
        <v>55</v>
      </c>
      <c r="V96" s="21">
        <f t="shared" si="24"/>
        <v>55</v>
      </c>
      <c r="W96" s="21">
        <f t="shared" si="24"/>
        <v>55</v>
      </c>
      <c r="X96" s="21">
        <f t="shared" si="24"/>
        <v>55</v>
      </c>
    </row>
    <row r="97" spans="2:24" ht="15.75" thickBot="1" x14ac:dyDescent="0.3">
      <c r="B97" s="198" t="s">
        <v>787</v>
      </c>
      <c r="C97" s="198" t="s">
        <v>631</v>
      </c>
      <c r="D97" s="198" t="s">
        <v>211</v>
      </c>
      <c r="E97" s="198" t="s">
        <v>861</v>
      </c>
      <c r="F97" s="198" t="s">
        <v>107</v>
      </c>
      <c r="J97" s="21">
        <f>TRL_Ziel</f>
        <v>45</v>
      </c>
      <c r="K97" s="21">
        <f t="shared" ref="K97:X97" si="25">TRL_Ziel</f>
        <v>45</v>
      </c>
      <c r="L97" s="21">
        <f t="shared" si="25"/>
        <v>45</v>
      </c>
      <c r="M97" s="21">
        <f t="shared" si="25"/>
        <v>45</v>
      </c>
      <c r="N97" s="21">
        <f t="shared" si="25"/>
        <v>45</v>
      </c>
      <c r="O97" s="21">
        <f t="shared" si="25"/>
        <v>45</v>
      </c>
      <c r="P97" s="21">
        <f t="shared" si="25"/>
        <v>45</v>
      </c>
      <c r="Q97" s="21">
        <f t="shared" si="25"/>
        <v>45</v>
      </c>
      <c r="R97" s="21">
        <f t="shared" si="25"/>
        <v>45</v>
      </c>
      <c r="S97" s="21">
        <f t="shared" si="25"/>
        <v>45</v>
      </c>
      <c r="T97" s="21">
        <f t="shared" si="25"/>
        <v>45</v>
      </c>
      <c r="U97" s="21">
        <f t="shared" si="25"/>
        <v>45</v>
      </c>
      <c r="V97" s="21">
        <f t="shared" si="25"/>
        <v>45</v>
      </c>
      <c r="W97" s="21">
        <f t="shared" si="25"/>
        <v>45</v>
      </c>
      <c r="X97" s="21">
        <f t="shared" si="25"/>
        <v>45</v>
      </c>
    </row>
    <row r="98" spans="2:24" ht="15.75" thickBot="1" x14ac:dyDescent="0.3">
      <c r="B98" s="198" t="s">
        <v>789</v>
      </c>
      <c r="C98" s="198" t="s">
        <v>631</v>
      </c>
      <c r="D98" s="198" t="s">
        <v>211</v>
      </c>
      <c r="E98" s="198" t="s">
        <v>862</v>
      </c>
      <c r="F98" s="198" t="s">
        <v>791</v>
      </c>
      <c r="J98" s="79">
        <f>(J$96-J$97)/(LN((J$96-clc_load!M$10)/(J$97-clc_load!M$10)))</f>
        <v>29.720134119884619</v>
      </c>
      <c r="K98" s="79">
        <f>(K$96-K$97)/(LN((K$96-clc_load!N$10)/(K$97-clc_load!N$10)))</f>
        <v>29.720134119884619</v>
      </c>
      <c r="L98" s="79">
        <f>(L$96-L$97)/(LN((L$96-clc_load!O$10)/(L$97-clc_load!O$10)))</f>
        <v>29.720134119884619</v>
      </c>
      <c r="M98" s="79">
        <f>(M$96-M$97)/(LN((M$96-clc_load!P$10)/(M$97-clc_load!P$10)))</f>
        <v>29.720134119884619</v>
      </c>
      <c r="N98" s="79">
        <f>(N$96-N$97)/(LN((N$96-clc_load!Q$10)/(N$97-clc_load!Q$10)))</f>
        <v>29.720134119884619</v>
      </c>
      <c r="O98" s="79">
        <f>(O$96-O$97)/(LN((O$96-clc_load!R$10)/(O$97-clc_load!R$10)))</f>
        <v>29.720134119884619</v>
      </c>
      <c r="P98" s="79">
        <f>(P$96-P$97)/(LN((P$96-clc_load!S$10)/(P$97-clc_load!S$10)))</f>
        <v>29.720134119884619</v>
      </c>
      <c r="Q98" s="79">
        <f>(Q$96-Q$97)/(LN((Q$96-clc_load!T$10)/(Q$97-clc_load!T$10)))</f>
        <v>29.720134119884619</v>
      </c>
      <c r="R98" s="79">
        <f>(R$96-R$97)/(LN((R$96-clc_load!U$10)/(R$97-clc_load!U$10)))</f>
        <v>29.720134119884619</v>
      </c>
      <c r="S98" s="79">
        <f>(S$96-S$97)/(LN((S$96-clc_load!V$10)/(S$97-clc_load!V$10)))</f>
        <v>29.720134119884619</v>
      </c>
      <c r="T98" s="79">
        <f>(T$96-T$97)/(LN((T$96-clc_load!W$10)/(T$97-clc_load!W$10)))</f>
        <v>29.720134119884619</v>
      </c>
      <c r="U98" s="79">
        <f>(U$96-U$97)/(LN((U$96-clc_load!X$10)/(U$97-clc_load!X$10)))</f>
        <v>29.720134119884619</v>
      </c>
      <c r="V98" s="79">
        <f>(V$96-V$97)/(LN((V$96-clc_load!Y$10)/(V$97-clc_load!Y$10)))</f>
        <v>29.720134119884619</v>
      </c>
      <c r="W98" s="79">
        <f>(W$96-W$97)/(LN((W$96-clc_load!Z$10)/(W$97-clc_load!Z$10)))</f>
        <v>29.720134119884619</v>
      </c>
      <c r="X98" s="79">
        <f>(X$96-X$97)/(LN((X$96-clc_load!AA$10)/(X$97-clc_load!AA$10)))</f>
        <v>29.720134119884619</v>
      </c>
    </row>
    <row r="99" spans="2:24" ht="15.75" thickBot="1" x14ac:dyDescent="0.3">
      <c r="B99" s="198" t="s">
        <v>792</v>
      </c>
      <c r="C99" s="198" t="s">
        <v>631</v>
      </c>
      <c r="D99" s="198" t="s">
        <v>211</v>
      </c>
      <c r="E99" s="198" t="s">
        <v>863</v>
      </c>
      <c r="F99" s="198" t="s">
        <v>112</v>
      </c>
      <c r="J99" s="21">
        <f t="shared" ref="J99:X99" ca="1" si="26">IF(J$95*((J$98/Log_ÜT_Norm)^J$94)&gt;0,
J$95*((J$98/Log_ÜT_Norm)^J$94),0)</f>
        <v>0</v>
      </c>
      <c r="K99" s="21">
        <f t="shared" si="26"/>
        <v>0</v>
      </c>
      <c r="L99" s="21">
        <f t="shared" si="26"/>
        <v>0</v>
      </c>
      <c r="M99" s="21">
        <f t="shared" si="26"/>
        <v>0</v>
      </c>
      <c r="N99" s="21">
        <f t="shared" si="26"/>
        <v>0</v>
      </c>
      <c r="O99" s="21">
        <f t="shared" si="26"/>
        <v>0</v>
      </c>
      <c r="P99" s="21">
        <f t="shared" si="26"/>
        <v>0</v>
      </c>
      <c r="Q99" s="21">
        <f t="shared" si="26"/>
        <v>0</v>
      </c>
      <c r="R99" s="21">
        <f t="shared" si="26"/>
        <v>0</v>
      </c>
      <c r="S99" s="21">
        <f t="shared" si="26"/>
        <v>0</v>
      </c>
      <c r="T99" s="21">
        <f t="shared" si="26"/>
        <v>0</v>
      </c>
      <c r="U99" s="21">
        <f t="shared" si="26"/>
        <v>0</v>
      </c>
      <c r="V99" s="21">
        <f t="shared" si="26"/>
        <v>0</v>
      </c>
      <c r="W99" s="21">
        <f t="shared" si="26"/>
        <v>0</v>
      </c>
      <c r="X99" s="21">
        <f t="shared" si="26"/>
        <v>0</v>
      </c>
    </row>
    <row r="100" spans="2:24" ht="15.75" thickBot="1" x14ac:dyDescent="0.3">
      <c r="B100" s="243" t="s">
        <v>794</v>
      </c>
      <c r="C100" s="243" t="s">
        <v>631</v>
      </c>
      <c r="D100" s="243" t="s">
        <v>795</v>
      </c>
      <c r="E100" s="243" t="s">
        <v>864</v>
      </c>
      <c r="F100" s="243" t="s">
        <v>112</v>
      </c>
      <c r="J100" s="79">
        <f ca="1">_xlfn.LET(
    _xlpm.typ, "Flachheizkoerper_senkrecht_profiliert",
    _xlpm.subtyp, "Typ_33",
    _xlpm.höhe, _xlfn.XLOOKUP(J$91, Data_radiator!$G$5:$G$32, Data_radiator!$G$5:$G$32, 1000000, 1, 1),
    _xlpm.tiefe, 155,
    _xlpm.glieder, J$93,
    _xlpm.radiatorart, J$90,
    _xlpm.tempfaktor, IF(_xlpm.radiatorart = "Gussradiator", 50, 60),
    _xlpm.überschuss, J$98,
    _xlpm.leistung, IN_rooms!R$62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100" s="79">
        <f>IF(IN_rooms!S$62*(SUMIFS(tabelle1[Wärmeleistung (75/65/20)  in W/Glied],tabelle1[Heizkörper_Subtyp],"Flachheizkoerper_senkrecht_profiliert",tabelle1[Höhe H in mm],"Typ_33",tabelle1[Breite B in mm],_xlfn.XLOOKUP(K$91,Data_radiator!$G$5:$G$32,Data_radiator!$G$5:$G$32,1000000,1,1),tabelle1[Anzahl Rohre],155)*((K$93*IF(K$90="Gussradiator",50,60)/1000)*((K$98/Log_ÜT_Norm)^SUMIFS(tabelle1[Wärmeleistung (75/65/20)  in W],tabelle1[Heizkörper_Subtyp],"Flachheizkoerper_senkrecht_profiliert",tabelle1[Höhe H in mm],"Typ_33",tabelle1[Breite B in mm],_xlfn.XLOOKUP(K$91,Data_radiator!$G$5:$G$32,Data_radiator!$G$5:$G$32,1000000,1,1),tabelle1[Anzahl Rohre],155))))&gt;0,
IN_rooms!S$62*(SUMIFS(tabelle1[Wärmeleistung (75/65/20)  in W/Glied],tabelle1[Heizkörper_Subtyp],"Flachheizkoerper_senkrecht_profiliert",tabelle1[Höhe H in mm],"Typ_33",tabelle1[Breite B in mm],_xlfn.XLOOKUP(K$91,Data_radiator!$G$5:$G$32,Data_radiator!$G$5:$G$32,1000000,1,1),tabelle1[Anzahl Rohre],155)*((K$93*IF(K$90="Gussradiator",50,60)/1000)*((K$98/Log_ÜT_Norm)^SUMIFS(tabelle1[Wärmeleistung (75/65/20)  in W],tabelle1[Heizkörper_Subtyp],"Flachheizkoerper_senkrecht_profiliert",tabelle1[Höhe H in mm],"Typ_33",tabelle1[Breite B in mm],_xlfn.XLOOKUP(K$91,Data_radiator!$G$5:$G$32,Data_radiator!$G$5:$G$32,1000000,1,1),tabelle1[Anzahl Rohre],155)))),0)</f>
        <v>0</v>
      </c>
      <c r="L100" s="79">
        <f>IF(IN_rooms!T$62*(SUMIFS(tabelle1[Wärmeleistung in W/m²],tabelle1[Höhe H in mm],"Flachheizkoerper_senkrecht_profiliert",tabelle1[Breite B in mm],"Typ_33",tabelle1[HK Fläche in m²],_xlfn.XLOOKUP(L$91,Data_radiator!$G$5:$G$32,Data_radiator!$G$5:$G$32,1000000,1,1),tabelle1[Anzahl Rohreinheiten],155)*((L$93*IF(L$90="Gussradiator",50,60)/1000)*((L$98/Log_ÜT_Norm)^SUMIFS(tabelle1[Wärmeleistung (75/65/20)  in W/m],tabelle1[Höhe H in mm],"Flachheizkoerper_senkrecht_profiliert",tabelle1[Breite B in mm],"Typ_33",tabelle1[HK Fläche in m²],_xlfn.XLOOKUP(L$91,Data_radiator!$G$5:$G$32,Data_radiator!$G$5:$G$32,1000000,1,1),tabelle1[Anzahl Rohreinheiten],155))))&gt;0,
IN_rooms!T$62*(SUMIFS(tabelle1[Wärmeleistung in W/m²],tabelle1[Höhe H in mm],"Flachheizkoerper_senkrecht_profiliert",tabelle1[Breite B in mm],"Typ_33",tabelle1[HK Fläche in m²],_xlfn.XLOOKUP(L$91,Data_radiator!$G$5:$G$32,Data_radiator!$G$5:$G$32,1000000,1,1),tabelle1[Anzahl Rohreinheiten],155)*((L$93*IF(L$90="Gussradiator",50,60)/1000)*((L$98/Log_ÜT_Norm)^SUMIFS(tabelle1[Wärmeleistung (75/65/20)  in W/m],tabelle1[Höhe H in mm],"Flachheizkoerper_senkrecht_profiliert",tabelle1[Breite B in mm],"Typ_33",tabelle1[HK Fläche in m²],_xlfn.XLOOKUP(L$91,Data_radiator!$G$5:$G$32,Data_radiator!$G$5:$G$32,1000000,1,1),tabelle1[Anzahl Rohreinheiten],155)))),0)</f>
        <v>0</v>
      </c>
      <c r="M100" s="79">
        <f>IF(IN_rooms!U$62*(SUMIFS(tabelle1[Kommentar],tabelle1[Breite B in mm],"Flachheizkoerper_senkrecht_profiliert",tabelle1[HK Fläche in m²],"Typ_33",tabelle1[HK Volumen in m³],_xlfn.XLOOKUP(M$91,Data_radiator!$G$5:$G$32,Data_radiator!$G$5:$G$32,1000000,1,1),tabelle1[Nennweite DN],155)*((M$93*IF(M$90="Gussradiator",50,60)/1000)*((M$98/Log_ÜT_Norm)^SUMIFS(tabelle1[Wärmeleistung (75/65/20)  in W/Glied],tabelle1[Breite B in mm],"Flachheizkoerper_senkrecht_profiliert",tabelle1[HK Fläche in m²],"Typ_33",tabelle1[HK Volumen in m³],_xlfn.XLOOKUP(M$91,Data_radiator!$G$5:$G$32,Data_radiator!$G$5:$G$32,1000000,1,1),tabelle1[Nennweite DN],155))))&gt;0,
IN_rooms!U$62*(SUMIFS(tabelle1[Kommentar],tabelle1[Breite B in mm],"Flachheizkoerper_senkrecht_profiliert",tabelle1[HK Fläche in m²],"Typ_33",tabelle1[HK Volumen in m³],_xlfn.XLOOKUP(M$91,Data_radiator!$G$5:$G$32,Data_radiator!$G$5:$G$32,1000000,1,1),tabelle1[Nennweite DN],155)*((M$93*IF(M$90="Gussradiator",50,60)/1000)*((M$98/Log_ÜT_Norm)^SUMIFS(tabelle1[Wärmeleistung (75/65/20)  in W/Glied],tabelle1[Breite B in mm],"Flachheizkoerper_senkrecht_profiliert",tabelle1[HK Fläche in m²],"Typ_33",tabelle1[HK Volumen in m³],_xlfn.XLOOKUP(M$91,Data_radiator!$G$5:$G$32,Data_radiator!$G$5:$G$32,1000000,1,1),tabelle1[Nennweite DN],155)))),0)</f>
        <v>0</v>
      </c>
      <c r="N100" s="79">
        <f>IF(IN_rooms!V$62*(SUMIFS(tabelle1[Lfd. Nr.],tabelle1[HK Fläche in m²],"Flachheizkoerper_senkrecht_profiliert",tabelle1[HK Volumen in m³],"Typ_33",tabelle1[Nabenabstand N in mm],_xlfn.XLOOKUP(N$91,Data_radiator!$G$5:$G$32,Data_radiator!$G$5:$G$32,1000000,1,1),tabelle1[Außendurchmesser d in mm],155)*((N$93*IF(N$90="Gussradiator",50,60)/1000)*((N$98/Log_ÜT_Norm)^SUMIFS(tabelle1[Wärmeleistung in W/m²],tabelle1[HK Fläche in m²],"Flachheizkoerper_senkrecht_profiliert",tabelle1[HK Volumen in m³],"Typ_33",tabelle1[Nabenabstand N in mm],_xlfn.XLOOKUP(N$91,Data_radiator!$G$5:$G$32,Data_radiator!$G$5:$G$32,1000000,1,1),tabelle1[Außendurchmesser d in mm],155))))&gt;0,
IN_rooms!V$62*(SUMIFS(tabelle1[Lfd. Nr.],tabelle1[HK Fläche in m²],"Flachheizkoerper_senkrecht_profiliert",tabelle1[HK Volumen in m³],"Typ_33",tabelle1[Nabenabstand N in mm],_xlfn.XLOOKUP(N$91,Data_radiator!$G$5:$G$32,Data_radiator!$G$5:$G$32,1000000,1,1),tabelle1[Außendurchmesser d in mm],155)*((N$93*IF(N$90="Gussradiator",50,60)/1000)*((N$98/Log_ÜT_Norm)^SUMIFS(tabelle1[Wärmeleistung in W/m²],tabelle1[HK Fläche in m²],"Flachheizkoerper_senkrecht_profiliert",tabelle1[HK Volumen in m³],"Typ_33",tabelle1[Nabenabstand N in mm],_xlfn.XLOOKUP(N$91,Data_radiator!$G$5:$G$32,Data_radiator!$G$5:$G$32,1000000,1,1),tabelle1[Außendurchmesser d in mm],155)))),0)</f>
        <v>0</v>
      </c>
      <c r="O100" s="79">
        <f>IF(IN_rooms!W$62*(SUMIFS(tabelle1[Spalte1],tabelle1[HK Volumen in m³],"Flachheizkoerper_senkrecht_profiliert",tabelle1[Nabenabstand N in mm],"Typ_33",tabelle1[Bautiefe T in mm],_xlfn.XLOOKUP(O$91,Data_radiator!$G$5:$G$32,Data_radiator!$G$5:$G$32,1000000,1,1),tabelle1[Rippenhöhe in mm],155)*((O$93*IF(O$90="Gussradiator",50,60)/1000)*((O$98/Log_ÜT_Norm)^SUMIFS(tabelle1[Kommentar],tabelle1[HK Volumen in m³],"Flachheizkoerper_senkrecht_profiliert",tabelle1[Nabenabstand N in mm],"Typ_33",tabelle1[Bautiefe T in mm],_xlfn.XLOOKUP(O$91,Data_radiator!$G$5:$G$32,Data_radiator!$G$5:$G$32,1000000,1,1),tabelle1[Rippenhöhe in mm],155))))&gt;0,
IN_rooms!W$62*(SUMIFS(tabelle1[Spalte1],tabelle1[HK Volumen in m³],"Flachheizkoerper_senkrecht_profiliert",tabelle1[Nabenabstand N in mm],"Typ_33",tabelle1[Bautiefe T in mm],_xlfn.XLOOKUP(O$91,Data_radiator!$G$5:$G$32,Data_radiator!$G$5:$G$32,1000000,1,1),tabelle1[Rippenhöhe in mm],155)*((O$93*IF(O$90="Gussradiator",50,60)/1000)*((O$98/Log_ÜT_Norm)^SUMIFS(tabelle1[Kommentar],tabelle1[HK Volumen in m³],"Flachheizkoerper_senkrecht_profiliert",tabelle1[Nabenabstand N in mm],"Typ_33",tabelle1[Bautiefe T in mm],_xlfn.XLOOKUP(O$91,Data_radiator!$G$5:$G$32,Data_radiator!$G$5:$G$32,1000000,1,1),tabelle1[Rippenhöhe in mm],155)))),0)</f>
        <v>0</v>
      </c>
      <c r="P100" s="79">
        <f>IF(IN_rooms!X$62*(SUMIFS(tabelle1[Heizkörper Subtyp],tabelle1[Nabenabstand N in mm],"Flachheizkoerper_senkrecht_profiliert",tabelle1[Bautiefe T in mm],"Typ_33",tabelle1[Anzahl Rohre],_xlfn.XLOOKUP(P$91,Data_radiator!$G$5:$G$32,Data_radiator!$G$5:$G$32,1000000,1,1),tabelle1[Mittlere Rohrübertemperatur in K],155)*((P$93*IF(P$90="Gussradiator",50,60)/1000)*((P$98/Log_ÜT_Norm)^SUMIFS(tabelle1[Lfd. Nr.],tabelle1[Nabenabstand N in mm],"Flachheizkoerper_senkrecht_profiliert",tabelle1[Bautiefe T in mm],"Typ_33",tabelle1[Anzahl Rohre],_xlfn.XLOOKUP(P$91,Data_radiator!$G$5:$G$32,Data_radiator!$G$5:$G$32,1000000,1,1),tabelle1[Mittlere Rohrübertemperatur in K],155))))&gt;0,
IN_rooms!X$62*(SUMIFS(tabelle1[Heizkörper Subtyp],tabelle1[Nabenabstand N in mm],"Flachheizkoerper_senkrecht_profiliert",tabelle1[Bautiefe T in mm],"Typ_33",tabelle1[Anzahl Rohre],_xlfn.XLOOKUP(P$91,Data_radiator!$G$5:$G$32,Data_radiator!$G$5:$G$32,1000000,1,1),tabelle1[Mittlere Rohrübertemperatur in K],155)*((P$93*IF(P$90="Gussradiator",50,60)/1000)*((P$98/Log_ÜT_Norm)^SUMIFS(tabelle1[Lfd. Nr.],tabelle1[Nabenabstand N in mm],"Flachheizkoerper_senkrecht_profiliert",tabelle1[Bautiefe T in mm],"Typ_33",tabelle1[Anzahl Rohre],_xlfn.XLOOKUP(P$91,Data_radiator!$G$5:$G$32,Data_radiator!$G$5:$G$32,1000000,1,1),tabelle1[Mittlere Rohrübertemperatur in K],155)))),0)</f>
        <v>0</v>
      </c>
      <c r="Q100" s="79">
        <f>IF(IN_rooms!Y$62*(SUMIFS(tabelle1[Heizkörper_Typ],tabelle1[Bautiefe T in mm],"Flachheizkoerper_senkrecht_profiliert",tabelle1[Anzahl Rohre],"Typ_33",tabelle1[Anzahl Rohreinheiten],_xlfn.XLOOKUP(Q$91,Data_radiator!$G$5:$G$32,Data_radiator!$G$5:$G$32,1000000,1,1),tabelle1[Übertemperatur in K],155)*((Q$93*IF(Q$90="Gussradiator",50,60)/1000)*((Q$98/Log_ÜT_Norm)^SUMIFS(tabelle1[Spalte1],tabelle1[Bautiefe T in mm],"Flachheizkoerper_senkrecht_profiliert",tabelle1[Anzahl Rohre],"Typ_33",tabelle1[Anzahl Rohreinheiten],_xlfn.XLOOKUP(Q$91,Data_radiator!$G$5:$G$32,Data_radiator!$G$5:$G$32,1000000,1,1),tabelle1[Übertemperatur in K],155))))&gt;0,
IN_rooms!Y$62*(SUMIFS(tabelle1[Heizkörper_Typ],tabelle1[Bautiefe T in mm],"Flachheizkoerper_senkrecht_profiliert",tabelle1[Anzahl Rohre],"Typ_33",tabelle1[Anzahl Rohreinheiten],_xlfn.XLOOKUP(Q$91,Data_radiator!$G$5:$G$32,Data_radiator!$G$5:$G$32,1000000,1,1),tabelle1[Übertemperatur in K],155)*((Q$93*IF(Q$90="Gussradiator",50,60)/1000)*((Q$98/Log_ÜT_Norm)^SUMIFS(tabelle1[Spalte1],tabelle1[Bautiefe T in mm],"Flachheizkoerper_senkrecht_profiliert",tabelle1[Anzahl Rohre],"Typ_33",tabelle1[Anzahl Rohreinheiten],_xlfn.XLOOKUP(Q$91,Data_radiator!$G$5:$G$32,Data_radiator!$G$5:$G$32,1000000,1,1),tabelle1[Übertemperatur in K],155)))),0)</f>
        <v>0</v>
      </c>
      <c r="R100" s="79">
        <f>IF(IN_rooms!Z$62*(SUMIFS(tabelle1[Heizkörper_Subtyp],tabelle1[Anzahl Rohre],"Flachheizkoerper_senkrecht_profiliert",tabelle1[Anzahl Rohreinheiten],"Typ_33",tabelle1[Nennweite DN],_xlfn.XLOOKUP(R$91,Data_radiator!$G$5:$G$32,Data_radiator!$G$5:$G$32,1000000,1,1),tabelle1[Mittlere Wassertemperatur in °C],155)*((R$93*IF(R$90="Gussradiator",50,60)/1000)*((R$98/Log_ÜT_Norm)^SUMIFS(tabelle1[Heizkörper Subtyp],tabelle1[Anzahl Rohre],"Flachheizkoerper_senkrecht_profiliert",tabelle1[Anzahl Rohreinheiten],"Typ_33",tabelle1[Nennweite DN],_xlfn.XLOOKUP(R$91,Data_radiator!$G$5:$G$32,Data_radiator!$G$5:$G$32,1000000,1,1),tabelle1[Mittlere Wassertemperatur in °C],155))))&gt;0,
IN_rooms!Z$62*(SUMIFS(tabelle1[Heizkörper_Subtyp],tabelle1[Anzahl Rohre],"Flachheizkoerper_senkrecht_profiliert",tabelle1[Anzahl Rohreinheiten],"Typ_33",tabelle1[Nennweite DN],_xlfn.XLOOKUP(R$91,Data_radiator!$G$5:$G$32,Data_radiator!$G$5:$G$32,1000000,1,1),tabelle1[Mittlere Wassertemperatur in °C],155)*((R$93*IF(R$90="Gussradiator",50,60)/1000)*((R$98/Log_ÜT_Norm)^SUMIFS(tabelle1[Heizkörper Subtyp],tabelle1[Anzahl Rohre],"Flachheizkoerper_senkrecht_profiliert",tabelle1[Anzahl Rohreinheiten],"Typ_33",tabelle1[Nennweite DN],_xlfn.XLOOKUP(R$91,Data_radiator!$G$5:$G$32,Data_radiator!$G$5:$G$32,1000000,1,1),tabelle1[Mittlere Wassertemperatur in °C],155)))),0)</f>
        <v>0</v>
      </c>
      <c r="S100" s="79">
        <f>IF(IN_rooms!AA$62*(SUMIFS(tabelle1[Höhe H in mm],tabelle1[Anzahl Rohreinheiten],"Flachheizkoerper_senkrecht_profiliert",tabelle1[Nennweite DN],"Typ_33",tabelle1[Außendurchmesser d in mm],_xlfn.XLOOKUP(S$91,Data_radiator!$G$5:$G$32,Data_radiator!$G$5:$G$32,1000000,1,1),tabelle1[Rippenhöhe h in mm],155)*((S$93*IF(S$90="Gussradiator",50,60)/1000)*((S$98/Log_ÜT_Norm)^SUMIFS(tabelle1[Heizkörper_Typ],tabelle1[Anzahl Rohreinheiten],"Flachheizkoerper_senkrecht_profiliert",tabelle1[Nennweite DN],"Typ_33",tabelle1[Außendurchmesser d in mm],_xlfn.XLOOKUP(S$91,Data_radiator!$G$5:$G$32,Data_radiator!$G$5:$G$32,1000000,1,1),tabelle1[Rippenhöhe h in mm],155))))&gt;0,
IN_rooms!AA$62*(SUMIFS(tabelle1[Höhe H in mm],tabelle1[Anzahl Rohreinheiten],"Flachheizkoerper_senkrecht_profiliert",tabelle1[Nennweite DN],"Typ_33",tabelle1[Außendurchmesser d in mm],_xlfn.XLOOKUP(S$91,Data_radiator!$G$5:$G$32,Data_radiator!$G$5:$G$32,1000000,1,1),tabelle1[Rippenhöhe h in mm],155)*((S$93*IF(S$90="Gussradiator",50,60)/1000)*((S$98/Log_ÜT_Norm)^SUMIFS(tabelle1[Heizkörper_Typ],tabelle1[Anzahl Rohreinheiten],"Flachheizkoerper_senkrecht_profiliert",tabelle1[Nennweite DN],"Typ_33",tabelle1[Außendurchmesser d in mm],_xlfn.XLOOKUP(S$91,Data_radiator!$G$5:$G$32,Data_radiator!$G$5:$G$32,1000000,1,1),tabelle1[Rippenhöhe h in mm],155)))),0)</f>
        <v>0</v>
      </c>
      <c r="T100" s="79">
        <f>IF(IN_rooms!AB$62*(SUMIFS(tabelle1[Breite B in mm],tabelle1[Nennweite DN],"Flachheizkoerper_senkrecht_profiliert",tabelle1[Außendurchmesser d in mm],"Typ_33",tabelle1[Rippenhöhe in mm],_xlfn.XLOOKUP(T$91,Data_radiator!$G$5:$G$32,Data_radiator!$G$5:$G$32,1000000,1,1),tabelle1[Rippenabstand a in mm],155)*((T$93*IF(T$90="Gussradiator",50,60)/1000)*((T$98/Log_ÜT_Norm)^SUMIFS(tabelle1[Heizkörper_Subtyp],tabelle1[Nennweite DN],"Flachheizkoerper_senkrecht_profiliert",tabelle1[Außendurchmesser d in mm],"Typ_33",tabelle1[Rippenhöhe in mm],_xlfn.XLOOKUP(T$91,Data_radiator!$G$5:$G$32,Data_radiator!$G$5:$G$32,1000000,1,1),tabelle1[Rippenabstand a in mm],155))))&gt;0,
IN_rooms!AB$62*(SUMIFS(tabelle1[Breite B in mm],tabelle1[Nennweite DN],"Flachheizkoerper_senkrecht_profiliert",tabelle1[Außendurchmesser d in mm],"Typ_33",tabelle1[Rippenhöhe in mm],_xlfn.XLOOKUP(T$91,Data_radiator!$G$5:$G$32,Data_radiator!$G$5:$G$32,1000000,1,1),tabelle1[Rippenabstand a in mm],155)*((T$93*IF(T$90="Gussradiator",50,60)/1000)*((T$98/Log_ÜT_Norm)^SUMIFS(tabelle1[Heizkörper_Subtyp],tabelle1[Nennweite DN],"Flachheizkoerper_senkrecht_profiliert",tabelle1[Außendurchmesser d in mm],"Typ_33",tabelle1[Rippenhöhe in mm],_xlfn.XLOOKUP(T$91,Data_radiator!$G$5:$G$32,Data_radiator!$G$5:$G$32,1000000,1,1),tabelle1[Rippenabstand a in mm],155)))),0)</f>
        <v>0</v>
      </c>
      <c r="U100" s="79">
        <f>IF(IN_rooms!AC$62*(SUMIFS(tabelle1[HK Fläche in m²],tabelle1[Außendurchmesser d in mm],"Flachheizkoerper_senkrecht_profiliert",tabelle1[Rippenhöhe in mm],"Typ_33",tabelle1[Mittlere Rohrübertemperatur in K],_xlfn.XLOOKUP(U$91,Data_radiator!$G$5:$G$32,Data_radiator!$G$5:$G$32,1000000,1,1),tabelle1[Rohrreihen],155)*((U$93*IF(U$90="Gussradiator",50,60)/1000)*((U$98/Log_ÜT_Norm)^SUMIFS(tabelle1[Höhe H in mm],tabelle1[Außendurchmesser d in mm],"Flachheizkoerper_senkrecht_profiliert",tabelle1[Rippenhöhe in mm],"Typ_33",tabelle1[Mittlere Rohrübertemperatur in K],_xlfn.XLOOKUP(U$91,Data_radiator!$G$5:$G$32,Data_radiator!$G$5:$G$32,1000000,1,1),tabelle1[Rohrreihen],155))))&gt;0,
IN_rooms!AC$62*(SUMIFS(tabelle1[HK Fläche in m²],tabelle1[Außendurchmesser d in mm],"Flachheizkoerper_senkrecht_profiliert",tabelle1[Rippenhöhe in mm],"Typ_33",tabelle1[Mittlere Rohrübertemperatur in K],_xlfn.XLOOKUP(U$91,Data_radiator!$G$5:$G$32,Data_radiator!$G$5:$G$32,1000000,1,1),tabelle1[Rohrreihen],155)*((U$93*IF(U$90="Gussradiator",50,60)/1000)*((U$98/Log_ÜT_Norm)^SUMIFS(tabelle1[Höhe H in mm],tabelle1[Außendurchmesser d in mm],"Flachheizkoerper_senkrecht_profiliert",tabelle1[Rippenhöhe in mm],"Typ_33",tabelle1[Mittlere Rohrübertemperatur in K],_xlfn.XLOOKUP(U$91,Data_radiator!$G$5:$G$32,Data_radiator!$G$5:$G$32,1000000,1,1),tabelle1[Rohrreihen],155)))),0)</f>
        <v>0</v>
      </c>
      <c r="V100" s="79">
        <f>IF(IN_rooms!AD$62*(SUMIFS(tabelle1[HK Volumen in m³],tabelle1[Rippenhöhe in mm],"Flachheizkoerper_senkrecht_profiliert",tabelle1[Mittlere Rohrübertemperatur in K],"Typ_33",tabelle1[Übertemperatur in K],_xlfn.XLOOKUP(V$91,Data_radiator!$G$5:$G$32,Data_radiator!$G$5:$G$32,1000000,1,1),tabelle1[[Heizkörperexponent n ]],155)*((V$93*IF(V$90="Gussradiator",50,60)/1000)*((V$98/Log_ÜT_Norm)^SUMIFS(tabelle1[Breite B in mm],tabelle1[Rippenhöhe in mm],"Flachheizkoerper_senkrecht_profiliert",tabelle1[Mittlere Rohrübertemperatur in K],"Typ_33",tabelle1[Übertemperatur in K],_xlfn.XLOOKUP(V$91,Data_radiator!$G$5:$G$32,Data_radiator!$G$5:$G$32,1000000,1,1),tabelle1[[Heizkörperexponent n ]],155))))&gt;0,
IN_rooms!AD$62*(SUMIFS(tabelle1[HK Volumen in m³],tabelle1[Rippenhöhe in mm],"Flachheizkoerper_senkrecht_profiliert",tabelle1[Mittlere Rohrübertemperatur in K],"Typ_33",tabelle1[Übertemperatur in K],_xlfn.XLOOKUP(V$91,Data_radiator!$G$5:$G$32,Data_radiator!$G$5:$G$32,1000000,1,1),tabelle1[[Heizkörperexponent n ]],155)*((V$93*IF(V$90="Gussradiator",50,60)/1000)*((V$98/Log_ÜT_Norm)^SUMIFS(tabelle1[Breite B in mm],tabelle1[Rippenhöhe in mm],"Flachheizkoerper_senkrecht_profiliert",tabelle1[Mittlere Rohrübertemperatur in K],"Typ_33",tabelle1[Übertemperatur in K],_xlfn.XLOOKUP(V$91,Data_radiator!$G$5:$G$32,Data_radiator!$G$5:$G$32,1000000,1,1),tabelle1[[Heizkörperexponent n ]],155)))),0)</f>
        <v>0</v>
      </c>
      <c r="W100" s="79">
        <f>IF(IN_rooms!AE$62*(SUMIFS(tabelle1[Nabenabstand N in mm],tabelle1[Mittlere Rohrübertemperatur in K],"Flachheizkoerper_senkrecht_profiliert",tabelle1[Übertemperatur in K],"Typ_33",tabelle1[Mittlere Wassertemperatur in °C],_xlfn.XLOOKUP(W$91,Data_radiator!$G$5:$G$32,Data_radiator!$G$5:$G$32,1000000,1,1),tabelle1[Wärmeleistung (75/65/20)  in W],155)*((W$93*IF(W$90="Gussradiator",50,60)/1000)*((W$98/Log_ÜT_Norm)^SUMIFS(tabelle1[HK Fläche in m²],tabelle1[Mittlere Rohrübertemperatur in K],"Flachheizkoerper_senkrecht_profiliert",tabelle1[Übertemperatur in K],"Typ_33",tabelle1[Mittlere Wassertemperatur in °C],_xlfn.XLOOKUP(W$91,Data_radiator!$G$5:$G$32,Data_radiator!$G$5:$G$32,1000000,1,1),tabelle1[Wärmeleistung (75/65/20)  in W],155))))&gt;0,
IN_rooms!AE$62*(SUMIFS(tabelle1[Nabenabstand N in mm],tabelle1[Mittlere Rohrübertemperatur in K],"Flachheizkoerper_senkrecht_profiliert",tabelle1[Übertemperatur in K],"Typ_33",tabelle1[Mittlere Wassertemperatur in °C],_xlfn.XLOOKUP(W$91,Data_radiator!$G$5:$G$32,Data_radiator!$G$5:$G$32,1000000,1,1),tabelle1[Wärmeleistung (75/65/20)  in W],155)*((W$93*IF(W$90="Gussradiator",50,60)/1000)*((W$98/Log_ÜT_Norm)^SUMIFS(tabelle1[HK Fläche in m²],tabelle1[Mittlere Rohrübertemperatur in K],"Flachheizkoerper_senkrecht_profiliert",tabelle1[Übertemperatur in K],"Typ_33",tabelle1[Mittlere Wassertemperatur in °C],_xlfn.XLOOKUP(W$91,Data_radiator!$G$5:$G$32,Data_radiator!$G$5:$G$32,1000000,1,1),tabelle1[Wärmeleistung (75/65/20)  in W],155)))),0)</f>
        <v>0</v>
      </c>
      <c r="X100" s="79">
        <f>IF(IN_rooms!AF$62*(SUMIFS(tabelle1[Bautiefe T in mm],tabelle1[Übertemperatur in K],"Flachheizkoerper_senkrecht_profiliert",tabelle1[Mittlere Wassertemperatur in °C],"Typ_33",tabelle1[Rippenhöhe h in mm],_xlfn.XLOOKUP(X$91,Data_radiator!$G$5:$G$32,Data_radiator!$G$5:$G$32,1000000,1,1),tabelle1[Wärmeleistung (75/65/20)  in W/m],155)*((X$93*IF(X$90="Gussradiator",50,60)/1000)*((X$98/Log_ÜT_Norm)^SUMIFS(tabelle1[HK Volumen in m³],tabelle1[Übertemperatur in K],"Flachheizkoerper_senkrecht_profiliert",tabelle1[Mittlere Wassertemperatur in °C],"Typ_33",tabelle1[Rippenhöhe h in mm],_xlfn.XLOOKUP(X$91,Data_radiator!$G$5:$G$32,Data_radiator!$G$5:$G$32,1000000,1,1),tabelle1[Wärmeleistung (75/65/20)  in W/m],155))))&gt;0,
IN_rooms!AF$62*(SUMIFS(tabelle1[Bautiefe T in mm],tabelle1[Übertemperatur in K],"Flachheizkoerper_senkrecht_profiliert",tabelle1[Mittlere Wassertemperatur in °C],"Typ_33",tabelle1[Rippenhöhe h in mm],_xlfn.XLOOKUP(X$91,Data_radiator!$G$5:$G$32,Data_radiator!$G$5:$G$32,1000000,1,1),tabelle1[Wärmeleistung (75/65/20)  in W/m],155)*((X$93*IF(X$90="Gussradiator",50,60)/1000)*((X$98/Log_ÜT_Norm)^SUMIFS(tabelle1[HK Volumen in m³],tabelle1[Übertemperatur in K],"Flachheizkoerper_senkrecht_profiliert",tabelle1[Mittlere Wassertemperatur in °C],"Typ_33",tabelle1[Rippenhöhe h in mm],_xlfn.XLOOKUP(X$91,Data_radiator!$G$5:$G$32,Data_radiator!$G$5:$G$32,1000000,1,1),tabelle1[Wärmeleistung (75/65/20)  in W/m],155)))),0)</f>
        <v>0</v>
      </c>
    </row>
    <row r="101" spans="2:24" ht="15.75" thickBot="1" x14ac:dyDescent="0.3">
      <c r="B101" s="241" t="s">
        <v>387</v>
      </c>
      <c r="C101" s="241" t="s">
        <v>631</v>
      </c>
      <c r="D101" s="241" t="s">
        <v>215</v>
      </c>
      <c r="E101" s="241" t="s">
        <v>865</v>
      </c>
      <c r="F101" s="241"/>
      <c r="J101" s="21" t="str">
        <f>IF(IN_rooms!R$56="Rohrradiator",IN_rooms!R$56,"")</f>
        <v/>
      </c>
      <c r="K101" s="21" t="str">
        <f>IF(IN_rooms!S$56="Rohrradiator",IN_rooms!S$56,"")</f>
        <v/>
      </c>
      <c r="L101" s="21" t="str">
        <f>IF(IN_rooms!T$56="Rohrradiator",IN_rooms!T$56,"")</f>
        <v/>
      </c>
      <c r="M101" s="21" t="str">
        <f>IF(IN_rooms!U$56="Rohrradiator",IN_rooms!U$56,"")</f>
        <v/>
      </c>
      <c r="N101" s="21" t="str">
        <f>IF(IN_rooms!V$56="Rohrradiator",IN_rooms!V$56,"")</f>
        <v/>
      </c>
      <c r="O101" s="21" t="str">
        <f>IF(IN_rooms!W$56="Rohrradiator",IN_rooms!W$56,"")</f>
        <v/>
      </c>
      <c r="P101" s="21" t="str">
        <f>IF(IN_rooms!X$56="Rohrradiator",IN_rooms!X$56,"")</f>
        <v/>
      </c>
      <c r="Q101" s="21" t="str">
        <f>IF(IN_rooms!Y$56="Rohrradiator",IN_rooms!Y$56,"")</f>
        <v/>
      </c>
      <c r="R101" s="21" t="str">
        <f>IF(IN_rooms!Z$56="Rohrradiator",IN_rooms!Z$56,"")</f>
        <v/>
      </c>
      <c r="S101" s="21" t="str">
        <f>IF(IN_rooms!AA$56="Rohrradiator",IN_rooms!AA$56,"")</f>
        <v/>
      </c>
      <c r="T101" s="21" t="str">
        <f>IF(IN_rooms!AB$56="Rohrradiator",IN_rooms!AB$56,"")</f>
        <v/>
      </c>
      <c r="U101" s="21" t="str">
        <f>IF(IN_rooms!AC$56="Rohrradiator",IN_rooms!AC$56,"")</f>
        <v/>
      </c>
      <c r="V101" s="21" t="str">
        <f>IF(IN_rooms!AD$56="Rohrradiator",IN_rooms!AD$56,"")</f>
        <v/>
      </c>
      <c r="W101" s="21" t="str">
        <f>IF(IN_rooms!AE$56="Rohrradiator",IN_rooms!AE$56,"")</f>
        <v/>
      </c>
      <c r="X101" s="21" t="str">
        <f>IF(IN_rooms!AF$56="Rohrradiator",IN_rooms!AF$56,"")</f>
        <v/>
      </c>
    </row>
    <row r="102" spans="2:24" ht="15.75" thickBot="1" x14ac:dyDescent="0.3">
      <c r="B102" s="241" t="s">
        <v>776</v>
      </c>
      <c r="C102" s="241" t="s">
        <v>631</v>
      </c>
      <c r="D102" s="241" t="s">
        <v>215</v>
      </c>
      <c r="E102" s="241" t="s">
        <v>866</v>
      </c>
      <c r="F102" s="241"/>
      <c r="J102" s="21">
        <f>IN_rooms!R$57</f>
        <v>0</v>
      </c>
      <c r="K102" s="21">
        <f>IN_rooms!S$57</f>
        <v>0</v>
      </c>
      <c r="L102" s="21">
        <f>IN_rooms!T$57</f>
        <v>0</v>
      </c>
      <c r="M102" s="21">
        <f>IN_rooms!U$57</f>
        <v>0</v>
      </c>
      <c r="N102" s="21">
        <f>IN_rooms!V$57</f>
        <v>0</v>
      </c>
      <c r="O102" s="21">
        <f>IN_rooms!W$57</f>
        <v>0</v>
      </c>
      <c r="P102" s="21">
        <f>IN_rooms!X$57</f>
        <v>0</v>
      </c>
      <c r="Q102" s="21">
        <f>IN_rooms!Y$57</f>
        <v>0</v>
      </c>
      <c r="R102" s="21">
        <f>IN_rooms!Z$57</f>
        <v>0</v>
      </c>
      <c r="S102" s="21">
        <f>IN_rooms!AA$57</f>
        <v>0</v>
      </c>
      <c r="T102" s="21">
        <f>IN_rooms!AB$57</f>
        <v>0</v>
      </c>
      <c r="U102" s="21">
        <f>IN_rooms!AC$57</f>
        <v>0</v>
      </c>
      <c r="V102" s="21">
        <f>IN_rooms!AD$57</f>
        <v>0</v>
      </c>
      <c r="W102" s="21">
        <f>IN_rooms!AE$57</f>
        <v>0</v>
      </c>
      <c r="X102" s="21">
        <f>IN_rooms!AF$57</f>
        <v>0</v>
      </c>
    </row>
    <row r="103" spans="2:24" ht="15.75" thickBot="1" x14ac:dyDescent="0.3">
      <c r="B103" s="241" t="s">
        <v>382</v>
      </c>
      <c r="C103" s="241" t="s">
        <v>631</v>
      </c>
      <c r="D103" s="241" t="s">
        <v>215</v>
      </c>
      <c r="E103" s="241" t="s">
        <v>867</v>
      </c>
      <c r="F103" s="241" t="s">
        <v>431</v>
      </c>
      <c r="J103" s="21">
        <f>IN_rooms!R$58</f>
        <v>0</v>
      </c>
      <c r="K103" s="21">
        <f>IN_rooms!S$58</f>
        <v>0</v>
      </c>
      <c r="L103" s="21">
        <f>IN_rooms!T$58</f>
        <v>0</v>
      </c>
      <c r="M103" s="21">
        <f>IN_rooms!U$58</f>
        <v>0</v>
      </c>
      <c r="N103" s="21">
        <f>IN_rooms!V$58</f>
        <v>0</v>
      </c>
      <c r="O103" s="21">
        <f>IN_rooms!W$58</f>
        <v>0</v>
      </c>
      <c r="P103" s="21">
        <f>IN_rooms!X$58</f>
        <v>0</v>
      </c>
      <c r="Q103" s="21">
        <f>IN_rooms!Y$58</f>
        <v>0</v>
      </c>
      <c r="R103" s="21">
        <f>IN_rooms!Z$58</f>
        <v>0</v>
      </c>
      <c r="S103" s="21">
        <f>IN_rooms!AA$58</f>
        <v>0</v>
      </c>
      <c r="T103" s="21">
        <f>IN_rooms!AB$58</f>
        <v>0</v>
      </c>
      <c r="U103" s="21">
        <f>IN_rooms!AC$58</f>
        <v>0</v>
      </c>
      <c r="V103" s="21">
        <f>IN_rooms!AD$58</f>
        <v>0</v>
      </c>
      <c r="W103" s="21">
        <f>IN_rooms!AE$58</f>
        <v>0</v>
      </c>
      <c r="X103" s="21">
        <f>IN_rooms!AF$58</f>
        <v>0</v>
      </c>
    </row>
    <row r="104" spans="2:24" ht="15.75" thickBot="1" x14ac:dyDescent="0.3">
      <c r="B104" s="241" t="s">
        <v>236</v>
      </c>
      <c r="C104" s="241" t="s">
        <v>631</v>
      </c>
      <c r="D104" s="241" t="s">
        <v>215</v>
      </c>
      <c r="E104" s="241" t="s">
        <v>868</v>
      </c>
      <c r="F104" s="241" t="s">
        <v>431</v>
      </c>
      <c r="J104" s="21">
        <f>IN_rooms!R$59</f>
        <v>0</v>
      </c>
      <c r="K104" s="21">
        <f>IN_rooms!S$59</f>
        <v>0</v>
      </c>
      <c r="L104" s="21">
        <f>IN_rooms!T$59</f>
        <v>0</v>
      </c>
      <c r="M104" s="21">
        <f>IN_rooms!U$59</f>
        <v>0</v>
      </c>
      <c r="N104" s="21">
        <f>IN_rooms!V$59</f>
        <v>0</v>
      </c>
      <c r="O104" s="21">
        <f>IN_rooms!W$59</f>
        <v>0</v>
      </c>
      <c r="P104" s="21">
        <f>IN_rooms!X$59</f>
        <v>0</v>
      </c>
      <c r="Q104" s="21">
        <f>IN_rooms!Y$59</f>
        <v>0</v>
      </c>
      <c r="R104" s="21">
        <f>IN_rooms!Z$59</f>
        <v>0</v>
      </c>
      <c r="S104" s="21">
        <f>IN_rooms!AA$59</f>
        <v>0</v>
      </c>
      <c r="T104" s="21">
        <f>IN_rooms!AB$59</f>
        <v>0</v>
      </c>
      <c r="U104" s="21">
        <f>IN_rooms!AC$59</f>
        <v>0</v>
      </c>
      <c r="V104" s="21">
        <f>IN_rooms!AD$59</f>
        <v>0</v>
      </c>
      <c r="W104" s="21">
        <f>IN_rooms!AE$59</f>
        <v>0</v>
      </c>
      <c r="X104" s="21">
        <f>IN_rooms!AF$59</f>
        <v>0</v>
      </c>
    </row>
    <row r="105" spans="2:24" ht="15.75" thickBot="1" x14ac:dyDescent="0.3">
      <c r="B105" s="241" t="s">
        <v>390</v>
      </c>
      <c r="C105" s="241" t="s">
        <v>631</v>
      </c>
      <c r="D105" s="241" t="s">
        <v>215</v>
      </c>
      <c r="E105" s="241" t="s">
        <v>869</v>
      </c>
      <c r="F105" s="241" t="s">
        <v>431</v>
      </c>
      <c r="J105" s="21">
        <f>IN_rooms!R$60</f>
        <v>0</v>
      </c>
      <c r="K105" s="21">
        <f>IN_rooms!S$60</f>
        <v>0</v>
      </c>
      <c r="L105" s="21">
        <f>IN_rooms!T$60</f>
        <v>0</v>
      </c>
      <c r="M105" s="21">
        <f>IN_rooms!U$60</f>
        <v>0</v>
      </c>
      <c r="N105" s="21">
        <f>IN_rooms!V$60</f>
        <v>0</v>
      </c>
      <c r="O105" s="21">
        <f>IN_rooms!W$60</f>
        <v>0</v>
      </c>
      <c r="P105" s="21">
        <f>IN_rooms!X$60</f>
        <v>0</v>
      </c>
      <c r="Q105" s="21">
        <f>IN_rooms!Y$60</f>
        <v>0</v>
      </c>
      <c r="R105" s="21">
        <f>IN_rooms!Z$60</f>
        <v>0</v>
      </c>
      <c r="S105" s="21">
        <f>IN_rooms!AA$60</f>
        <v>0</v>
      </c>
      <c r="T105" s="21">
        <f>IN_rooms!AB$60</f>
        <v>0</v>
      </c>
      <c r="U105" s="21">
        <f>IN_rooms!AC$60</f>
        <v>0</v>
      </c>
      <c r="V105" s="21">
        <f>IN_rooms!AD$60</f>
        <v>0</v>
      </c>
      <c r="W105" s="21">
        <f>IN_rooms!AE$60</f>
        <v>0</v>
      </c>
      <c r="X105" s="21">
        <f>IN_rooms!AF$60</f>
        <v>0</v>
      </c>
    </row>
    <row r="106" spans="2:24" ht="15.75" thickBot="1" x14ac:dyDescent="0.3">
      <c r="B106" s="241" t="s">
        <v>391</v>
      </c>
      <c r="C106" s="241" t="s">
        <v>631</v>
      </c>
      <c r="D106" s="241" t="s">
        <v>215</v>
      </c>
      <c r="E106" s="241" t="s">
        <v>870</v>
      </c>
      <c r="F106" s="241" t="s">
        <v>802</v>
      </c>
      <c r="J106" s="21">
        <f>IN_rooms!R$61</f>
        <v>0</v>
      </c>
      <c r="K106" s="21">
        <f>IN_rooms!S$61</f>
        <v>0</v>
      </c>
      <c r="L106" s="21">
        <f>IN_rooms!T$61</f>
        <v>0</v>
      </c>
      <c r="M106" s="21">
        <f>IN_rooms!U$61</f>
        <v>0</v>
      </c>
      <c r="N106" s="21">
        <f>IN_rooms!V$61</f>
        <v>0</v>
      </c>
      <c r="O106" s="21">
        <f>IN_rooms!W$61</f>
        <v>0</v>
      </c>
      <c r="P106" s="21">
        <f>IN_rooms!X$61</f>
        <v>0</v>
      </c>
      <c r="Q106" s="21">
        <f>IN_rooms!Y$61</f>
        <v>0</v>
      </c>
      <c r="R106" s="21">
        <f>IN_rooms!Z$61</f>
        <v>0</v>
      </c>
      <c r="S106" s="21">
        <f>IN_rooms!AA$61</f>
        <v>0</v>
      </c>
      <c r="T106" s="21">
        <f>IN_rooms!AB$61</f>
        <v>0</v>
      </c>
      <c r="U106" s="21">
        <f>IN_rooms!AC$61</f>
        <v>0</v>
      </c>
      <c r="V106" s="21">
        <f>IN_rooms!AD$61</f>
        <v>0</v>
      </c>
      <c r="W106" s="21">
        <f>IN_rooms!AE$61</f>
        <v>0</v>
      </c>
      <c r="X106" s="21">
        <f>IN_rooms!AF$61</f>
        <v>0</v>
      </c>
    </row>
    <row r="107" spans="2:24" ht="15.75" thickBot="1" x14ac:dyDescent="0.3">
      <c r="B107" s="241" t="s">
        <v>781</v>
      </c>
      <c r="C107" s="241" t="s">
        <v>631</v>
      </c>
      <c r="D107" s="241" t="s">
        <v>215</v>
      </c>
      <c r="E107" s="241" t="s">
        <v>871</v>
      </c>
      <c r="F107" s="241"/>
      <c r="J107" s="21" cm="1">
        <f t="array" aca="1" ref="J107" ca="1">_xlfn.LET(
    _xlpm.typ, J$101,
    _xlpm.subtyp, J$102,
    _xlpm.höhe, J$103,
    _xlpm.tiefe, J$105,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K107" s="21" cm="1">
        <f t="array" ref="K107">_xlfn.IFS(K$102="Stahlrohrradiator",1.3,
K$102="Fensterbankradiator",1.3,
K$102="Handtuchradiator",SUMIFS(tabelle1[Wärmeleistung (75/65/20)  in W],tabelle1[Heizkörper_Subtyp],K$101,tabelle1[Höhe H in mm],K$102,tabelle1[Breite B in mm],K$103,tabelle1[Anzahl Rohre],K$105),K$101="",0)</f>
        <v>0</v>
      </c>
      <c r="L107" s="21" cm="1">
        <f t="array" ref="L107">_xlfn.IFS(L$102="Stahlrohrradiator",1.3,
L$102="Fensterbankradiator",1.3,
L$102="Handtuchradiator",SUMIFS(tabelle1[Wärmeleistung (75/65/20)  in W/m],tabelle1[Höhe H in mm],L$101,tabelle1[Breite B in mm],L$102,tabelle1[HK Fläche in m²],L$103,tabelle1[Anzahl Rohreinheiten],L$105),L$101="",0)</f>
        <v>0</v>
      </c>
      <c r="M107" s="21" cm="1">
        <f t="array" ref="M107">_xlfn.IFS(M$102="Stahlrohrradiator",1.3,
M$102="Fensterbankradiator",1.3,
M$102="Handtuchradiator",SUMIFS(tabelle1[Wärmeleistung (75/65/20)  in W/Glied],tabelle1[Breite B in mm],M$101,tabelle1[HK Fläche in m²],M$102,tabelle1[HK Volumen in m³],M$103,tabelle1[Nennweite DN],M$105),M$101="",0)</f>
        <v>0</v>
      </c>
      <c r="N107" s="21" cm="1">
        <f t="array" ref="N107">_xlfn.IFS(N$102="Stahlrohrradiator",1.3,
N$102="Fensterbankradiator",1.3,
N$102="Handtuchradiator",SUMIFS(tabelle1[Wärmeleistung in W/m²],tabelle1[HK Fläche in m²],N$101,tabelle1[HK Volumen in m³],N$102,tabelle1[Nabenabstand N in mm],N$103,tabelle1[Außendurchmesser d in mm],N$105),N$101="",0)</f>
        <v>0</v>
      </c>
      <c r="O107" s="21" cm="1">
        <f t="array" ref="O107">_xlfn.IFS(O$102="Stahlrohrradiator",1.3,
O$102="Fensterbankradiator",1.3,
O$102="Handtuchradiator",SUMIFS(tabelle1[Kommentar],tabelle1[HK Volumen in m³],O$101,tabelle1[Nabenabstand N in mm],O$102,tabelle1[Bautiefe T in mm],O$103,tabelle1[Rippenhöhe in mm],O$105),O$101="",0)</f>
        <v>0</v>
      </c>
      <c r="P107" s="21" cm="1">
        <f t="array" ref="P107">_xlfn.IFS(P$102="Stahlrohrradiator",1.3,
P$102="Fensterbankradiator",1.3,
P$102="Handtuchradiator",SUMIFS(tabelle1[Lfd. Nr.],tabelle1[Nabenabstand N in mm],P$101,tabelle1[Bautiefe T in mm],P$102,tabelle1[Anzahl Rohre],P$103,tabelle1[Mittlere Rohrübertemperatur in K],P$105),P$101="",0)</f>
        <v>0</v>
      </c>
      <c r="Q107" s="21" cm="1">
        <f t="array" ref="Q107">_xlfn.IFS(Q$102="Stahlrohrradiator",1.3,
Q$102="Fensterbankradiator",1.3,
Q$102="Handtuchradiator",SUMIFS(tabelle1[Spalte1],tabelle1[Bautiefe T in mm],Q$101,tabelle1[Anzahl Rohre],Q$102,tabelle1[Anzahl Rohreinheiten],Q$103,tabelle1[Übertemperatur in K],Q$105),Q$101="",0)</f>
        <v>0</v>
      </c>
      <c r="R107" s="21" cm="1">
        <f t="array" ref="R107">_xlfn.IFS(R$102="Stahlrohrradiator",1.3,
R$102="Fensterbankradiator",1.3,
R$102="Handtuchradiator",SUMIFS(tabelle1[Heizkörper Subtyp],tabelle1[Anzahl Rohre],R$101,tabelle1[Anzahl Rohreinheiten],R$102,tabelle1[Nennweite DN],R$103,tabelle1[Mittlere Wassertemperatur in °C],R$105),R$101="",0)</f>
        <v>0</v>
      </c>
      <c r="S107" s="21" cm="1">
        <f t="array" ref="S107">_xlfn.IFS(S$102="Stahlrohrradiator",1.3,
S$102="Fensterbankradiator",1.3,
S$102="Handtuchradiator",SUMIFS(tabelle1[Heizkörper_Typ],tabelle1[Anzahl Rohreinheiten],S$101,tabelle1[Nennweite DN],S$102,tabelle1[Außendurchmesser d in mm],S$103,tabelle1[Rippenhöhe h in mm],S$105),S$101="",0)</f>
        <v>0</v>
      </c>
      <c r="T107" s="21" cm="1">
        <f t="array" ref="T107">_xlfn.IFS(T$102="Stahlrohrradiator",1.3,
T$102="Fensterbankradiator",1.3,
T$102="Handtuchradiator",SUMIFS(tabelle1[Heizkörper_Subtyp],tabelle1[Nennweite DN],T$101,tabelle1[Außendurchmesser d in mm],T$102,tabelle1[Rippenhöhe in mm],T$103,tabelle1[Rippenabstand a in mm],T$105),T$101="",0)</f>
        <v>0</v>
      </c>
      <c r="U107" s="21" cm="1">
        <f t="array" ref="U107">_xlfn.IFS(U$102="Stahlrohrradiator",1.3,
U$102="Fensterbankradiator",1.3,
U$102="Handtuchradiator",SUMIFS(tabelle1[Höhe H in mm],tabelle1[Außendurchmesser d in mm],U$101,tabelle1[Rippenhöhe in mm],U$102,tabelle1[Mittlere Rohrübertemperatur in K],U$103,tabelle1[Rohrreihen],U$105),U$101="",0)</f>
        <v>0</v>
      </c>
      <c r="V107" s="21" cm="1">
        <f t="array" ref="V107">_xlfn.IFS(V$102="Stahlrohrradiator",1.3,
V$102="Fensterbankradiator",1.3,
V$102="Handtuchradiator",SUMIFS(tabelle1[Breite B in mm],tabelle1[Rippenhöhe in mm],V$101,tabelle1[Mittlere Rohrübertemperatur in K],V$102,tabelle1[Übertemperatur in K],V$103,tabelle1[[Heizkörperexponent n ]],V$105),V$101="",0)</f>
        <v>0</v>
      </c>
      <c r="W107" s="21" cm="1">
        <f t="array" ref="W107">_xlfn.IFS(W$102="Stahlrohrradiator",1.3,
W$102="Fensterbankradiator",1.3,
W$102="Handtuchradiator",SUMIFS(tabelle1[HK Fläche in m²],tabelle1[Mittlere Rohrübertemperatur in K],W$101,tabelle1[Übertemperatur in K],W$102,tabelle1[Mittlere Wassertemperatur in °C],W$103,tabelle1[Wärmeleistung (75/65/20)  in W],W$105),W$101="",0)</f>
        <v>0</v>
      </c>
      <c r="X107" s="21" cm="1">
        <f t="array" ref="X107">_xlfn.IFS(X$102="Stahlrohrradiator",1.3,
X$102="Fensterbankradiator",1.3,
X$102="Handtuchradiator",SUMIFS(tabelle1[HK Volumen in m³],tabelle1[Übertemperatur in K],X$101,tabelle1[Mittlere Wassertemperatur in °C],X$102,tabelle1[Rippenhöhe h in mm],X$103,tabelle1[Wärmeleistung (75/65/20)  in W/m],X$105),X$101="",0)</f>
        <v>0</v>
      </c>
    </row>
    <row r="108" spans="2:24" ht="15.75" thickBot="1" x14ac:dyDescent="0.3">
      <c r="B108" s="241" t="s">
        <v>783</v>
      </c>
      <c r="C108" s="241" t="s">
        <v>631</v>
      </c>
      <c r="D108" s="241" t="s">
        <v>215</v>
      </c>
      <c r="E108" s="241" t="s">
        <v>872</v>
      </c>
      <c r="F108" s="241" t="s">
        <v>112</v>
      </c>
      <c r="J108" s="21" cm="1">
        <f t="array" aca="1" ref="J108" ca="1">_xlfn.LET(
    _xlpm.typ, clc_power!J$101,
    _xlpm.subtyp, clc_power!J$102,
    _xlpm.höhe, clc_power!J$103,
    _xlpm.breite, clc_power!J$104,
    _xlpm.tiefe, clc_power!J$105,
    _xlpm.faktor, clc_power!J$106,
    _xlpm.fläche, IN_rooms!R$58 * IN_rooms!R$59,
    _xlpm.radiatorart, J$102,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IF(IN_rooms!R$62 * _xlpm.leistung &gt; 0, IN_rooms!R$62 * _xlpm.leistung, 0)
)</f>
        <v>0</v>
      </c>
      <c r="K108" s="21" cm="1">
        <f t="array" ref="K108">IF(IN_rooms!S$62*_xlfn.IFS(K$102="Stahlrohrradiator",
clc_power!K$106*(SUMIFS(tabelle1[Wärmeleistung in W/m²],tabelle1[Heizkörper_Subtyp],clc_power!K$101,tabelle1[Höhe H in mm],clc_power!K$102,tabelle1[Breite B in mm],clc_power!K$103,tabelle1[Anzahl Rohre],clc_power!K$105)),
K$102="Handtuchradiator",
919*((IN_rooms!S$58*IN_rooms!S$59)/10^6)+76.691,
K$102="Fensterbankradiator",
SUMIFS(tabelle1[Wärmeleistung (75/65/20)  in W/m],tabelle1[Heizkörper_Subtyp],clc_power!K$101,tabelle1[Höhe H in mm],clc_power!K$102,tabelle1[Breite B in mm],clc_power!K$103,tabelle1[HK Fläche in m²],clc_power!K$104,tabelle1[Anzahl Rohre],clc_power!K$105),K$101="",0)&gt;0,
IN_rooms!S$62*_xlfn.IFS(K$102="Stahlrohrradiator",
clc_power!K$106*(SUMIFS(tabelle1[Wärmeleistung in W/m²],tabelle1[Heizkörper_Subtyp],clc_power!K$101,tabelle1[Höhe H in mm],clc_power!K$102,tabelle1[Breite B in mm],clc_power!K$103,tabelle1[Anzahl Rohre],clc_power!K$105)),
K$102="Handtuchradiator",
919*((IN_rooms!S$58*IN_rooms!S$59)/10^6)+76.691,
K$102="Fensterbankradiator",
SUMIFS(tabelle1[Wärmeleistung (75/65/20)  in W/m],tabelle1[Heizkörper_Subtyp],clc_power!K$101,tabelle1[Höhe H in mm],clc_power!K$102,tabelle1[Breite B in mm],clc_power!K$103,tabelle1[HK Fläche in m²],clc_power!K$104,tabelle1[Anzahl Rohre],clc_power!K$105),K$101="",0),0)</f>
        <v>0</v>
      </c>
      <c r="L108" s="21" cm="1">
        <f t="array" ref="L108">IF(IN_rooms!T$62*_xlfn.IFS(L$102="Stahlrohrradiator",
clc_power!L$106*(SUMIFS(tabelle1[Kommentar],tabelle1[Höhe H in mm],clc_power!L$101,tabelle1[Breite B in mm],clc_power!L$102,tabelle1[HK Fläche in m²],clc_power!L$103,tabelle1[Anzahl Rohreinheiten],clc_power!L$105)),
L$102="Handtuchradiator",
919*((IN_rooms!T$58*IN_rooms!T$59)/10^6)+76.691,
L$102="Fensterbankradiator",
SUMIFS(tabelle1[Wärmeleistung (75/65/20)  in W/Glied],tabelle1[Höhe H in mm],clc_power!L$101,tabelle1[Breite B in mm],clc_power!L$102,tabelle1[HK Fläche in m²],clc_power!L$103,tabelle1[HK Volumen in m³],clc_power!L$104,tabelle1[Anzahl Rohreinheiten],clc_power!L$105),L$101="",0)&gt;0,
IN_rooms!T$62*_xlfn.IFS(L$102="Stahlrohrradiator",
clc_power!L$106*(SUMIFS(tabelle1[Kommentar],tabelle1[Höhe H in mm],clc_power!L$101,tabelle1[Breite B in mm],clc_power!L$102,tabelle1[HK Fläche in m²],clc_power!L$103,tabelle1[Anzahl Rohreinheiten],clc_power!L$105)),
L$102="Handtuchradiator",
919*((IN_rooms!T$58*IN_rooms!T$59)/10^6)+76.691,
L$102="Fensterbankradiator",
SUMIFS(tabelle1[Wärmeleistung (75/65/20)  in W/Glied],tabelle1[Höhe H in mm],clc_power!L$101,tabelle1[Breite B in mm],clc_power!L$102,tabelle1[HK Fläche in m²],clc_power!L$103,tabelle1[HK Volumen in m³],clc_power!L$104,tabelle1[Anzahl Rohreinheiten],clc_power!L$105),L$101="",0),0)</f>
        <v>0</v>
      </c>
      <c r="M108" s="21" cm="1">
        <f t="array" ref="M108">IF(IN_rooms!U$62*_xlfn.IFS(M$102="Stahlrohrradiator",
clc_power!M$106*(SUMIFS(tabelle1[Lfd. Nr.],tabelle1[Breite B in mm],clc_power!M$101,tabelle1[HK Fläche in m²],clc_power!M$102,tabelle1[HK Volumen in m³],clc_power!M$103,tabelle1[Nennweite DN],clc_power!M$105)),
M$102="Handtuchradiator",
919*((IN_rooms!U$58*IN_rooms!U$59)/10^6)+76.691,
M$102="Fensterbankradiator",
SUMIFS(tabelle1[Wärmeleistung in W/m²],tabelle1[Breite B in mm],clc_power!M$101,tabelle1[HK Fläche in m²],clc_power!M$102,tabelle1[HK Volumen in m³],clc_power!M$103,tabelle1[Nabenabstand N in mm],clc_power!M$104,tabelle1[Nennweite DN],clc_power!M$105),M$101="",0)&gt;0,
IN_rooms!U$62*_xlfn.IFS(M$102="Stahlrohrradiator",
clc_power!M$106*(SUMIFS(tabelle1[Lfd. Nr.],tabelle1[Breite B in mm],clc_power!M$101,tabelle1[HK Fläche in m²],clc_power!M$102,tabelle1[HK Volumen in m³],clc_power!M$103,tabelle1[Nennweite DN],clc_power!M$105)),
M$102="Handtuchradiator",
919*((IN_rooms!U$58*IN_rooms!U$59)/10^6)+76.691,
M$102="Fensterbankradiator",
SUMIFS(tabelle1[Wärmeleistung in W/m²],tabelle1[Breite B in mm],clc_power!M$101,tabelle1[HK Fläche in m²],clc_power!M$102,tabelle1[HK Volumen in m³],clc_power!M$103,tabelle1[Nabenabstand N in mm],clc_power!M$104,tabelle1[Nennweite DN],clc_power!M$105),M$101="",0),0)</f>
        <v>0</v>
      </c>
      <c r="N108" s="21" cm="1">
        <f t="array" ref="N108">IF(IN_rooms!V$62*_xlfn.IFS(N$102="Stahlrohrradiator",
clc_power!N$106*(SUMIFS(tabelle1[Spalte1],tabelle1[HK Fläche in m²],clc_power!N$101,tabelle1[HK Volumen in m³],clc_power!N$102,tabelle1[Nabenabstand N in mm],clc_power!N$103,tabelle1[Außendurchmesser d in mm],clc_power!N$105)),
N$102="Handtuchradiator",
919*((IN_rooms!V$58*IN_rooms!V$59)/10^6)+76.691,
N$102="Fensterbankradiator",
SUMIFS(tabelle1[Kommentar],tabelle1[HK Fläche in m²],clc_power!N$101,tabelle1[HK Volumen in m³],clc_power!N$102,tabelle1[Nabenabstand N in mm],clc_power!N$103,tabelle1[Bautiefe T in mm],clc_power!N$104,tabelle1[Außendurchmesser d in mm],clc_power!N$105),N$101="",0)&gt;0,
IN_rooms!V$62*_xlfn.IFS(N$102="Stahlrohrradiator",
clc_power!N$106*(SUMIFS(tabelle1[Spalte1],tabelle1[HK Fläche in m²],clc_power!N$101,tabelle1[HK Volumen in m³],clc_power!N$102,tabelle1[Nabenabstand N in mm],clc_power!N$103,tabelle1[Außendurchmesser d in mm],clc_power!N$105)),
N$102="Handtuchradiator",
919*((IN_rooms!V$58*IN_rooms!V$59)/10^6)+76.691,
N$102="Fensterbankradiator",
SUMIFS(tabelle1[Kommentar],tabelle1[HK Fläche in m²],clc_power!N$101,tabelle1[HK Volumen in m³],clc_power!N$102,tabelle1[Nabenabstand N in mm],clc_power!N$103,tabelle1[Bautiefe T in mm],clc_power!N$104,tabelle1[Außendurchmesser d in mm],clc_power!N$105),N$101="",0),0)</f>
        <v>0</v>
      </c>
      <c r="O108" s="21" cm="1">
        <f t="array" ref="O108">IF(IN_rooms!W$62*_xlfn.IFS(O$102="Stahlrohrradiator",
clc_power!O$106*(SUMIFS(tabelle1[Heizkörper Subtyp],tabelle1[HK Volumen in m³],clc_power!O$101,tabelle1[Nabenabstand N in mm],clc_power!O$102,tabelle1[Bautiefe T in mm],clc_power!O$103,tabelle1[Rippenhöhe in mm],clc_power!O$105)),
O$102="Handtuchradiator",
919*((IN_rooms!W$58*IN_rooms!W$59)/10^6)+76.691,
O$102="Fensterbankradiator",
SUMIFS(tabelle1[Lfd. Nr.],tabelle1[HK Volumen in m³],clc_power!O$101,tabelle1[Nabenabstand N in mm],clc_power!O$102,tabelle1[Bautiefe T in mm],clc_power!O$103,tabelle1[Anzahl Rohre],clc_power!O$104,tabelle1[Rippenhöhe in mm],clc_power!O$105),O$101="",0)&gt;0,
IN_rooms!W$62*_xlfn.IFS(O$102="Stahlrohrradiator",
clc_power!O$106*(SUMIFS(tabelle1[Heizkörper Subtyp],tabelle1[HK Volumen in m³],clc_power!O$101,tabelle1[Nabenabstand N in mm],clc_power!O$102,tabelle1[Bautiefe T in mm],clc_power!O$103,tabelle1[Rippenhöhe in mm],clc_power!O$105)),
O$102="Handtuchradiator",
919*((IN_rooms!W$58*IN_rooms!W$59)/10^6)+76.691,
O$102="Fensterbankradiator",
SUMIFS(tabelle1[Lfd. Nr.],tabelle1[HK Volumen in m³],clc_power!O$101,tabelle1[Nabenabstand N in mm],clc_power!O$102,tabelle1[Bautiefe T in mm],clc_power!O$103,tabelle1[Anzahl Rohre],clc_power!O$104,tabelle1[Rippenhöhe in mm],clc_power!O$105),O$101="",0),0)</f>
        <v>0</v>
      </c>
      <c r="P108" s="21" cm="1">
        <f t="array" ref="P108">IF(IN_rooms!X$62*_xlfn.IFS(P$102="Stahlrohrradiator",
clc_power!P$106*(SUMIFS(tabelle1[Heizkörper_Typ],tabelle1[Nabenabstand N in mm],clc_power!P$101,tabelle1[Bautiefe T in mm],clc_power!P$102,tabelle1[Anzahl Rohre],clc_power!P$103,tabelle1[Mittlere Rohrübertemperatur in K],clc_power!P$105)),
P$102="Handtuchradiator",
919*((IN_rooms!X$58*IN_rooms!X$59)/10^6)+76.691,
P$102="Fensterbankradiator",
SUMIFS(tabelle1[Spalte1],tabelle1[Nabenabstand N in mm],clc_power!P$101,tabelle1[Bautiefe T in mm],clc_power!P$102,tabelle1[Anzahl Rohre],clc_power!P$103,tabelle1[Anzahl Rohreinheiten],clc_power!P$104,tabelle1[Mittlere Rohrübertemperatur in K],clc_power!P$105),P$101="",0)&gt;0,
IN_rooms!X$62*_xlfn.IFS(P$102="Stahlrohrradiator",
clc_power!P$106*(SUMIFS(tabelle1[Heizkörper_Typ],tabelle1[Nabenabstand N in mm],clc_power!P$101,tabelle1[Bautiefe T in mm],clc_power!P$102,tabelle1[Anzahl Rohre],clc_power!P$103,tabelle1[Mittlere Rohrübertemperatur in K],clc_power!P$105)),
P$102="Handtuchradiator",
919*((IN_rooms!X$58*IN_rooms!X$59)/10^6)+76.691,
P$102="Fensterbankradiator",
SUMIFS(tabelle1[Spalte1],tabelle1[Nabenabstand N in mm],clc_power!P$101,tabelle1[Bautiefe T in mm],clc_power!P$102,tabelle1[Anzahl Rohre],clc_power!P$103,tabelle1[Anzahl Rohreinheiten],clc_power!P$104,tabelle1[Mittlere Rohrübertemperatur in K],clc_power!P$105),P$101="",0),0)</f>
        <v>0</v>
      </c>
      <c r="Q108" s="21" cm="1">
        <f t="array" ref="Q108">IF(IN_rooms!Y$62*_xlfn.IFS(Q$102="Stahlrohrradiator",
clc_power!Q$106*(SUMIFS(tabelle1[Heizkörper_Subtyp],tabelle1[Bautiefe T in mm],clc_power!Q$101,tabelle1[Anzahl Rohre],clc_power!Q$102,tabelle1[Anzahl Rohreinheiten],clc_power!Q$103,tabelle1[Übertemperatur in K],clc_power!Q$105)),
Q$102="Handtuchradiator",
919*((IN_rooms!Y$58*IN_rooms!Y$59)/10^6)+76.691,
Q$102="Fensterbankradiator",
SUMIFS(tabelle1[Heizkörper Subtyp],tabelle1[Bautiefe T in mm],clc_power!Q$101,tabelle1[Anzahl Rohre],clc_power!Q$102,tabelle1[Anzahl Rohreinheiten],clc_power!Q$103,tabelle1[Nennweite DN],clc_power!Q$104,tabelle1[Übertemperatur in K],clc_power!Q$105),Q$101="",0)&gt;0,
IN_rooms!Y$62*_xlfn.IFS(Q$102="Stahlrohrradiator",
clc_power!Q$106*(SUMIFS(tabelle1[Heizkörper_Subtyp],tabelle1[Bautiefe T in mm],clc_power!Q$101,tabelle1[Anzahl Rohre],clc_power!Q$102,tabelle1[Anzahl Rohreinheiten],clc_power!Q$103,tabelle1[Übertemperatur in K],clc_power!Q$105)),
Q$102="Handtuchradiator",
919*((IN_rooms!Y$58*IN_rooms!Y$59)/10^6)+76.691,
Q$102="Fensterbankradiator",
SUMIFS(tabelle1[Heizkörper Subtyp],tabelle1[Bautiefe T in mm],clc_power!Q$101,tabelle1[Anzahl Rohre],clc_power!Q$102,tabelle1[Anzahl Rohreinheiten],clc_power!Q$103,tabelle1[Nennweite DN],clc_power!Q$104,tabelle1[Übertemperatur in K],clc_power!Q$105),Q$101="",0),0)</f>
        <v>0</v>
      </c>
      <c r="R108" s="21" cm="1">
        <f t="array" ref="R108">IF(IN_rooms!Z$62*_xlfn.IFS(R$102="Stahlrohrradiator",
clc_power!R$106*(SUMIFS(tabelle1[Höhe H in mm],tabelle1[Anzahl Rohre],clc_power!R$101,tabelle1[Anzahl Rohreinheiten],clc_power!R$102,tabelle1[Nennweite DN],clc_power!R$103,tabelle1[Mittlere Wassertemperatur in °C],clc_power!R$105)),
R$102="Handtuchradiator",
919*((IN_rooms!Z$58*IN_rooms!Z$59)/10^6)+76.691,
R$102="Fensterbankradiator",
SUMIFS(tabelle1[Heizkörper_Typ],tabelle1[Anzahl Rohre],clc_power!R$101,tabelle1[Anzahl Rohreinheiten],clc_power!R$102,tabelle1[Nennweite DN],clc_power!R$103,tabelle1[Außendurchmesser d in mm],clc_power!R$104,tabelle1[Mittlere Wassertemperatur in °C],clc_power!R$105),R$101="",0)&gt;0,
IN_rooms!Z$62*_xlfn.IFS(R$102="Stahlrohrradiator",
clc_power!R$106*(SUMIFS(tabelle1[Höhe H in mm],tabelle1[Anzahl Rohre],clc_power!R$101,tabelle1[Anzahl Rohreinheiten],clc_power!R$102,tabelle1[Nennweite DN],clc_power!R$103,tabelle1[Mittlere Wassertemperatur in °C],clc_power!R$105)),
R$102="Handtuchradiator",
919*((IN_rooms!Z$58*IN_rooms!Z$59)/10^6)+76.691,
R$102="Fensterbankradiator",
SUMIFS(tabelle1[Heizkörper_Typ],tabelle1[Anzahl Rohre],clc_power!R$101,tabelle1[Anzahl Rohreinheiten],clc_power!R$102,tabelle1[Nennweite DN],clc_power!R$103,tabelle1[Außendurchmesser d in mm],clc_power!R$104,tabelle1[Mittlere Wassertemperatur in °C],clc_power!R$105),R$101="",0),0)</f>
        <v>0</v>
      </c>
      <c r="S108" s="21" cm="1">
        <f t="array" ref="S108">IF(IN_rooms!AA$62*_xlfn.IFS(S$102="Stahlrohrradiator",
clc_power!S$106*(SUMIFS(tabelle1[Breite B in mm],tabelle1[Anzahl Rohreinheiten],clc_power!S$101,tabelle1[Nennweite DN],clc_power!S$102,tabelle1[Außendurchmesser d in mm],clc_power!S$103,tabelle1[Rippenhöhe h in mm],clc_power!S$105)),
S$102="Handtuchradiator",
919*((IN_rooms!AA$58*IN_rooms!AA$59)/10^6)+76.691,
S$102="Fensterbankradiator",
SUMIFS(tabelle1[Heizkörper_Subtyp],tabelle1[Anzahl Rohreinheiten],clc_power!S$101,tabelle1[Nennweite DN],clc_power!S$102,tabelle1[Außendurchmesser d in mm],clc_power!S$103,tabelle1[Rippenhöhe in mm],clc_power!S$104,tabelle1[Rippenhöhe h in mm],clc_power!S$105),S$101="",0)&gt;0,
IN_rooms!AA$62*_xlfn.IFS(S$102="Stahlrohrradiator",
clc_power!S$106*(SUMIFS(tabelle1[Breite B in mm],tabelle1[Anzahl Rohreinheiten],clc_power!S$101,tabelle1[Nennweite DN],clc_power!S$102,tabelle1[Außendurchmesser d in mm],clc_power!S$103,tabelle1[Rippenhöhe h in mm],clc_power!S$105)),
S$102="Handtuchradiator",
919*((IN_rooms!AA$58*IN_rooms!AA$59)/10^6)+76.691,
S$102="Fensterbankradiator",
SUMIFS(tabelle1[Heizkörper_Subtyp],tabelle1[Anzahl Rohreinheiten],clc_power!S$101,tabelle1[Nennweite DN],clc_power!S$102,tabelle1[Außendurchmesser d in mm],clc_power!S$103,tabelle1[Rippenhöhe in mm],clc_power!S$104,tabelle1[Rippenhöhe h in mm],clc_power!S$105),S$101="",0),0)</f>
        <v>0</v>
      </c>
      <c r="T108" s="21" cm="1">
        <f t="array" ref="T108">IF(IN_rooms!AB$62*_xlfn.IFS(T$102="Stahlrohrradiator",
clc_power!T$106*(SUMIFS(tabelle1[HK Fläche in m²],tabelle1[Nennweite DN],clc_power!T$101,tabelle1[Außendurchmesser d in mm],clc_power!T$102,tabelle1[Rippenhöhe in mm],clc_power!T$103,tabelle1[Rippenabstand a in mm],clc_power!T$105)),
T$102="Handtuchradiator",
919*((IN_rooms!AB$58*IN_rooms!AB$59)/10^6)+76.691,
T$102="Fensterbankradiator",
SUMIFS(tabelle1[Höhe H in mm],tabelle1[Nennweite DN],clc_power!T$101,tabelle1[Außendurchmesser d in mm],clc_power!T$102,tabelle1[Rippenhöhe in mm],clc_power!T$103,tabelle1[Mittlere Rohrübertemperatur in K],clc_power!T$104,tabelle1[Rippenabstand a in mm],clc_power!T$105),T$101="",0)&gt;0,
IN_rooms!AB$62*_xlfn.IFS(T$102="Stahlrohrradiator",
clc_power!T$106*(SUMIFS(tabelle1[HK Fläche in m²],tabelle1[Nennweite DN],clc_power!T$101,tabelle1[Außendurchmesser d in mm],clc_power!T$102,tabelle1[Rippenhöhe in mm],clc_power!T$103,tabelle1[Rippenabstand a in mm],clc_power!T$105)),
T$102="Handtuchradiator",
919*((IN_rooms!AB$58*IN_rooms!AB$59)/10^6)+76.691,
T$102="Fensterbankradiator",
SUMIFS(tabelle1[Höhe H in mm],tabelle1[Nennweite DN],clc_power!T$101,tabelle1[Außendurchmesser d in mm],clc_power!T$102,tabelle1[Rippenhöhe in mm],clc_power!T$103,tabelle1[Mittlere Rohrübertemperatur in K],clc_power!T$104,tabelle1[Rippenabstand a in mm],clc_power!T$105),T$101="",0),0)</f>
        <v>0</v>
      </c>
      <c r="U108" s="21" cm="1">
        <f t="array" ref="U108">IF(IN_rooms!AC$62*_xlfn.IFS(U$102="Stahlrohrradiator",
clc_power!U$106*(SUMIFS(tabelle1[HK Volumen in m³],tabelle1[Außendurchmesser d in mm],clc_power!U$101,tabelle1[Rippenhöhe in mm],clc_power!U$102,tabelle1[Mittlere Rohrübertemperatur in K],clc_power!U$103,tabelle1[Rohrreihen],clc_power!U$105)),
U$102="Handtuchradiator",
919*((IN_rooms!AC$58*IN_rooms!AC$59)/10^6)+76.691,
U$102="Fensterbankradiator",
SUMIFS(tabelle1[Breite B in mm],tabelle1[Außendurchmesser d in mm],clc_power!U$101,tabelle1[Rippenhöhe in mm],clc_power!U$102,tabelle1[Mittlere Rohrübertemperatur in K],clc_power!U$103,tabelle1[Übertemperatur in K],clc_power!U$104,tabelle1[Rohrreihen],clc_power!U$105),U$101="",0)&gt;0,
IN_rooms!AC$62*_xlfn.IFS(U$102="Stahlrohrradiator",
clc_power!U$106*(SUMIFS(tabelle1[HK Volumen in m³],tabelle1[Außendurchmesser d in mm],clc_power!U$101,tabelle1[Rippenhöhe in mm],clc_power!U$102,tabelle1[Mittlere Rohrübertemperatur in K],clc_power!U$103,tabelle1[Rohrreihen],clc_power!U$105)),
U$102="Handtuchradiator",
919*((IN_rooms!AC$58*IN_rooms!AC$59)/10^6)+76.691,
U$102="Fensterbankradiator",
SUMIFS(tabelle1[Breite B in mm],tabelle1[Außendurchmesser d in mm],clc_power!U$101,tabelle1[Rippenhöhe in mm],clc_power!U$102,tabelle1[Mittlere Rohrübertemperatur in K],clc_power!U$103,tabelle1[Übertemperatur in K],clc_power!U$104,tabelle1[Rohrreihen],clc_power!U$105),U$101="",0),0)</f>
        <v>0</v>
      </c>
      <c r="V108" s="21" cm="1">
        <f t="array" ref="V108">IF(IN_rooms!AD$62*_xlfn.IFS(V$102="Stahlrohrradiator",
clc_power!V$106*(SUMIFS(tabelle1[Nabenabstand N in mm],tabelle1[Rippenhöhe in mm],clc_power!V$101,tabelle1[Mittlere Rohrübertemperatur in K],clc_power!V$102,tabelle1[Übertemperatur in K],clc_power!V$103,tabelle1[[Heizkörperexponent n ]],clc_power!V$105)),
V$102="Handtuchradiator",
919*((IN_rooms!AD$58*IN_rooms!AD$59)/10^6)+76.691,
V$102="Fensterbankradiator",
SUMIFS(tabelle1[HK Fläche in m²],tabelle1[Rippenhöhe in mm],clc_power!V$101,tabelle1[Mittlere Rohrübertemperatur in K],clc_power!V$102,tabelle1[Übertemperatur in K],clc_power!V$103,tabelle1[Mittlere Wassertemperatur in °C],clc_power!V$104,tabelle1[[Heizkörperexponent n ]],clc_power!V$105),V$101="",0)&gt;0,
IN_rooms!AD$62*_xlfn.IFS(V$102="Stahlrohrradiator",
clc_power!V$106*(SUMIFS(tabelle1[Nabenabstand N in mm],tabelle1[Rippenhöhe in mm],clc_power!V$101,tabelle1[Mittlere Rohrübertemperatur in K],clc_power!V$102,tabelle1[Übertemperatur in K],clc_power!V$103,tabelle1[[Heizkörperexponent n ]],clc_power!V$105)),
V$102="Handtuchradiator",
919*((IN_rooms!AD$58*IN_rooms!AD$59)/10^6)+76.691,
V$102="Fensterbankradiator",
SUMIFS(tabelle1[HK Fläche in m²],tabelle1[Rippenhöhe in mm],clc_power!V$101,tabelle1[Mittlere Rohrübertemperatur in K],clc_power!V$102,tabelle1[Übertemperatur in K],clc_power!V$103,tabelle1[Mittlere Wassertemperatur in °C],clc_power!V$104,tabelle1[[Heizkörperexponent n ]],clc_power!V$105),V$101="",0),0)</f>
        <v>0</v>
      </c>
      <c r="W108" s="21" cm="1">
        <f t="array" ref="W108">IF(IN_rooms!AE$62*_xlfn.IFS(W$102="Stahlrohrradiator",
clc_power!W$106*(SUMIFS(tabelle1[Bautiefe T in mm],tabelle1[Mittlere Rohrübertemperatur in K],clc_power!W$101,tabelle1[Übertemperatur in K],clc_power!W$102,tabelle1[Mittlere Wassertemperatur in °C],clc_power!W$103,tabelle1[Wärmeleistung (75/65/20)  in W],clc_power!W$105)),
W$102="Handtuchradiator",
919*((IN_rooms!AE$58*IN_rooms!AE$59)/10^6)+76.691,
W$102="Fensterbankradiator",
SUMIFS(tabelle1[HK Volumen in m³],tabelle1[Mittlere Rohrübertemperatur in K],clc_power!W$101,tabelle1[Übertemperatur in K],clc_power!W$102,tabelle1[Mittlere Wassertemperatur in °C],clc_power!W$103,tabelle1[Rippenhöhe h in mm],clc_power!W$104,tabelle1[Wärmeleistung (75/65/20)  in W],clc_power!W$105),W$101="",0)&gt;0,
IN_rooms!AE$62*_xlfn.IFS(W$102="Stahlrohrradiator",
clc_power!W$106*(SUMIFS(tabelle1[Bautiefe T in mm],tabelle1[Mittlere Rohrübertemperatur in K],clc_power!W$101,tabelle1[Übertemperatur in K],clc_power!W$102,tabelle1[Mittlere Wassertemperatur in °C],clc_power!W$103,tabelle1[Wärmeleistung (75/65/20)  in W],clc_power!W$105)),
W$102="Handtuchradiator",
919*((IN_rooms!AE$58*IN_rooms!AE$59)/10^6)+76.691,
W$102="Fensterbankradiator",
SUMIFS(tabelle1[HK Volumen in m³],tabelle1[Mittlere Rohrübertemperatur in K],clc_power!W$101,tabelle1[Übertemperatur in K],clc_power!W$102,tabelle1[Mittlere Wassertemperatur in °C],clc_power!W$103,tabelle1[Rippenhöhe h in mm],clc_power!W$104,tabelle1[Wärmeleistung (75/65/20)  in W],clc_power!W$105),W$101="",0),0)</f>
        <v>0</v>
      </c>
      <c r="X108" s="21" cm="1">
        <f t="array" ref="X108">IF(IN_rooms!AF$62*_xlfn.IFS(X$102="Stahlrohrradiator",
clc_power!X$106*(SUMIFS(tabelle1[Anzahl Rohre],tabelle1[Übertemperatur in K],clc_power!X$101,tabelle1[Mittlere Wassertemperatur in °C],clc_power!X$102,tabelle1[Rippenhöhe h in mm],clc_power!X$103,tabelle1[Wärmeleistung (75/65/20)  in W/m],clc_power!X$105)),
X$102="Handtuchradiator",
919*((IN_rooms!AF$58*IN_rooms!AF$59)/10^6)+76.691,
X$102="Fensterbankradiator",
SUMIFS(tabelle1[Nabenabstand N in mm],tabelle1[Übertemperatur in K],clc_power!X$101,tabelle1[Mittlere Wassertemperatur in °C],clc_power!X$102,tabelle1[Rippenhöhe h in mm],clc_power!X$103,tabelle1[Rippenabstand a in mm],clc_power!X$104,tabelle1[Wärmeleistung (75/65/20)  in W/m],clc_power!X$105),X$101="",0)&gt;0,
IN_rooms!AF$62*_xlfn.IFS(X$102="Stahlrohrradiator",
clc_power!X$106*(SUMIFS(tabelle1[Anzahl Rohre],tabelle1[Übertemperatur in K],clc_power!X$101,tabelle1[Mittlere Wassertemperatur in °C],clc_power!X$102,tabelle1[Rippenhöhe h in mm],clc_power!X$103,tabelle1[Wärmeleistung (75/65/20)  in W/m],clc_power!X$105)),
X$102="Handtuchradiator",
919*((IN_rooms!AF$58*IN_rooms!AF$59)/10^6)+76.691,
X$102="Fensterbankradiator",
SUMIFS(tabelle1[Nabenabstand N in mm],tabelle1[Übertemperatur in K],clc_power!X$101,tabelle1[Mittlere Wassertemperatur in °C],clc_power!X$102,tabelle1[Rippenhöhe h in mm],clc_power!X$103,tabelle1[Rippenabstand a in mm],clc_power!X$104,tabelle1[Wärmeleistung (75/65/20)  in W/m],clc_power!X$105),X$101="",0),0)</f>
        <v>0</v>
      </c>
    </row>
    <row r="109" spans="2:24" ht="15.75" thickBot="1" x14ac:dyDescent="0.3">
      <c r="B109" s="241" t="s">
        <v>785</v>
      </c>
      <c r="C109" s="241" t="s">
        <v>631</v>
      </c>
      <c r="D109" s="241" t="s">
        <v>215</v>
      </c>
      <c r="E109" s="241" t="s">
        <v>873</v>
      </c>
      <c r="F109" s="241" t="s">
        <v>107</v>
      </c>
      <c r="J109" s="21">
        <f>TVL_Ziel</f>
        <v>55</v>
      </c>
      <c r="K109" s="21">
        <f t="shared" ref="K109:X109" si="27">TVL_Ziel</f>
        <v>55</v>
      </c>
      <c r="L109" s="21">
        <f t="shared" si="27"/>
        <v>55</v>
      </c>
      <c r="M109" s="21">
        <f t="shared" si="27"/>
        <v>55</v>
      </c>
      <c r="N109" s="21">
        <f t="shared" si="27"/>
        <v>55</v>
      </c>
      <c r="O109" s="21">
        <f t="shared" si="27"/>
        <v>55</v>
      </c>
      <c r="P109" s="21">
        <f t="shared" si="27"/>
        <v>55</v>
      </c>
      <c r="Q109" s="21">
        <f t="shared" si="27"/>
        <v>55</v>
      </c>
      <c r="R109" s="21">
        <f t="shared" si="27"/>
        <v>55</v>
      </c>
      <c r="S109" s="21">
        <f t="shared" si="27"/>
        <v>55</v>
      </c>
      <c r="T109" s="21">
        <f t="shared" si="27"/>
        <v>55</v>
      </c>
      <c r="U109" s="21">
        <f t="shared" si="27"/>
        <v>55</v>
      </c>
      <c r="V109" s="21">
        <f t="shared" si="27"/>
        <v>55</v>
      </c>
      <c r="W109" s="21">
        <f t="shared" si="27"/>
        <v>55</v>
      </c>
      <c r="X109" s="21">
        <f t="shared" si="27"/>
        <v>55</v>
      </c>
    </row>
    <row r="110" spans="2:24" ht="15.75" thickBot="1" x14ac:dyDescent="0.3">
      <c r="B110" s="241" t="s">
        <v>787</v>
      </c>
      <c r="C110" s="241" t="s">
        <v>631</v>
      </c>
      <c r="D110" s="241" t="s">
        <v>215</v>
      </c>
      <c r="E110" s="241" t="s">
        <v>874</v>
      </c>
      <c r="F110" s="241" t="s">
        <v>107</v>
      </c>
      <c r="J110" s="21">
        <f>TRL_Ziel</f>
        <v>45</v>
      </c>
      <c r="K110" s="21">
        <f t="shared" ref="K110:X110" si="28">TRL_Ziel</f>
        <v>45</v>
      </c>
      <c r="L110" s="21">
        <f t="shared" si="28"/>
        <v>45</v>
      </c>
      <c r="M110" s="21">
        <f t="shared" si="28"/>
        <v>45</v>
      </c>
      <c r="N110" s="21">
        <f t="shared" si="28"/>
        <v>45</v>
      </c>
      <c r="O110" s="21">
        <f t="shared" si="28"/>
        <v>45</v>
      </c>
      <c r="P110" s="21">
        <f t="shared" si="28"/>
        <v>45</v>
      </c>
      <c r="Q110" s="21">
        <f t="shared" si="28"/>
        <v>45</v>
      </c>
      <c r="R110" s="21">
        <f t="shared" si="28"/>
        <v>45</v>
      </c>
      <c r="S110" s="21">
        <f t="shared" si="28"/>
        <v>45</v>
      </c>
      <c r="T110" s="21">
        <f t="shared" si="28"/>
        <v>45</v>
      </c>
      <c r="U110" s="21">
        <f t="shared" si="28"/>
        <v>45</v>
      </c>
      <c r="V110" s="21">
        <f t="shared" si="28"/>
        <v>45</v>
      </c>
      <c r="W110" s="21">
        <f t="shared" si="28"/>
        <v>45</v>
      </c>
      <c r="X110" s="21">
        <f t="shared" si="28"/>
        <v>45</v>
      </c>
    </row>
    <row r="111" spans="2:24" ht="15.75" thickBot="1" x14ac:dyDescent="0.3">
      <c r="B111" s="241" t="s">
        <v>789</v>
      </c>
      <c r="C111" s="241" t="s">
        <v>631</v>
      </c>
      <c r="D111" s="241" t="s">
        <v>215</v>
      </c>
      <c r="E111" s="241" t="s">
        <v>875</v>
      </c>
      <c r="F111" s="241" t="s">
        <v>791</v>
      </c>
      <c r="J111" s="79">
        <f>(J$109-J$110)/(LN((J$109-clc_load!M$10)/(J$110-clc_load!M$10)))</f>
        <v>29.720134119884619</v>
      </c>
      <c r="K111" s="79">
        <f>(K$109-K$110)/(LN((K$109-clc_load!N$10)/(K$110-clc_load!N$10)))</f>
        <v>29.720134119884619</v>
      </c>
      <c r="L111" s="79">
        <f>(L$109-L$110)/(LN((L$109-clc_load!O$10)/(L$110-clc_load!O$10)))</f>
        <v>29.720134119884619</v>
      </c>
      <c r="M111" s="79">
        <f>(M$109-M$110)/(LN((M$109-clc_load!P$10)/(M$110-clc_load!P$10)))</f>
        <v>29.720134119884619</v>
      </c>
      <c r="N111" s="79">
        <f>(N$109-N$110)/(LN((N$109-clc_load!Q$10)/(N$110-clc_load!Q$10)))</f>
        <v>29.720134119884619</v>
      </c>
      <c r="O111" s="79">
        <f>(O$109-O$110)/(LN((O$109-clc_load!R$10)/(O$110-clc_load!R$10)))</f>
        <v>29.720134119884619</v>
      </c>
      <c r="P111" s="79">
        <f>(P$109-P$110)/(LN((P$109-clc_load!S$10)/(P$110-clc_load!S$10)))</f>
        <v>29.720134119884619</v>
      </c>
      <c r="Q111" s="79">
        <f>(Q$109-Q$110)/(LN((Q$109-clc_load!T$10)/(Q$110-clc_load!T$10)))</f>
        <v>29.720134119884619</v>
      </c>
      <c r="R111" s="79">
        <f>(R$109-R$110)/(LN((R$109-clc_load!U$10)/(R$110-clc_load!U$10)))</f>
        <v>29.720134119884619</v>
      </c>
      <c r="S111" s="79">
        <f>(S$109-S$110)/(LN((S$109-clc_load!V$10)/(S$110-clc_load!V$10)))</f>
        <v>29.720134119884619</v>
      </c>
      <c r="T111" s="79">
        <f>(T$109-T$110)/(LN((T$109-clc_load!W$10)/(T$110-clc_load!W$10)))</f>
        <v>29.720134119884619</v>
      </c>
      <c r="U111" s="79">
        <f>(U$109-U$110)/(LN((U$109-clc_load!X$10)/(U$110-clc_load!X$10)))</f>
        <v>29.720134119884619</v>
      </c>
      <c r="V111" s="79">
        <f>(V$109-V$110)/(LN((V$109-clc_load!Y$10)/(V$110-clc_load!Y$10)))</f>
        <v>29.720134119884619</v>
      </c>
      <c r="W111" s="79">
        <f>(W$109-W$110)/(LN((W$109-clc_load!Z$10)/(W$110-clc_load!Z$10)))</f>
        <v>29.720134119884619</v>
      </c>
      <c r="X111" s="79">
        <f>(X$109-X$110)/(LN((X$109-clc_load!AA$10)/(X$110-clc_load!AA$10)))</f>
        <v>29.720134119884619</v>
      </c>
    </row>
    <row r="112" spans="2:24" ht="15.75" thickBot="1" x14ac:dyDescent="0.3">
      <c r="B112" s="241" t="s">
        <v>792</v>
      </c>
      <c r="C112" s="241" t="s">
        <v>631</v>
      </c>
      <c r="D112" s="241" t="s">
        <v>215</v>
      </c>
      <c r="E112" s="241" t="s">
        <v>876</v>
      </c>
      <c r="F112" s="241" t="s">
        <v>112</v>
      </c>
      <c r="J112" s="21">
        <f t="shared" ref="J112:X112" ca="1" si="29">IF(J$108*((J$111/Log_ÜT_Norm)^J$107)&gt;0,
J$108*((J$111/Log_ÜT_Norm)^J$107),0)</f>
        <v>0</v>
      </c>
      <c r="K112" s="21">
        <f t="shared" si="29"/>
        <v>0</v>
      </c>
      <c r="L112" s="21">
        <f t="shared" si="29"/>
        <v>0</v>
      </c>
      <c r="M112" s="21">
        <f t="shared" si="29"/>
        <v>0</v>
      </c>
      <c r="N112" s="21">
        <f t="shared" si="29"/>
        <v>0</v>
      </c>
      <c r="O112" s="21">
        <f t="shared" si="29"/>
        <v>0</v>
      </c>
      <c r="P112" s="21">
        <f t="shared" si="29"/>
        <v>0</v>
      </c>
      <c r="Q112" s="21">
        <f t="shared" si="29"/>
        <v>0</v>
      </c>
      <c r="R112" s="21">
        <f t="shared" si="29"/>
        <v>0</v>
      </c>
      <c r="S112" s="21">
        <f t="shared" si="29"/>
        <v>0</v>
      </c>
      <c r="T112" s="21">
        <f t="shared" si="29"/>
        <v>0</v>
      </c>
      <c r="U112" s="21">
        <f t="shared" si="29"/>
        <v>0</v>
      </c>
      <c r="V112" s="21">
        <f t="shared" si="29"/>
        <v>0</v>
      </c>
      <c r="W112" s="21">
        <f t="shared" si="29"/>
        <v>0</v>
      </c>
      <c r="X112" s="21">
        <f t="shared" si="29"/>
        <v>0</v>
      </c>
    </row>
    <row r="113" spans="2:24" ht="15.75" thickBot="1" x14ac:dyDescent="0.3">
      <c r="B113" s="201" t="s">
        <v>794</v>
      </c>
      <c r="C113" s="201" t="s">
        <v>631</v>
      </c>
      <c r="D113" s="201" t="s">
        <v>795</v>
      </c>
      <c r="E113" s="201" t="s">
        <v>877</v>
      </c>
      <c r="F113" s="201" t="s">
        <v>112</v>
      </c>
      <c r="J113" s="79">
        <f ca="1">_xlfn.LET(
    _xlpm.typ, "Flachheizkoerper_senkrecht_profiliert",
    _xlpm.subtyp, "Typ_33",
    _xlpm.höhe, _xlfn.XLOOKUP(J$103, Data_radiator!$G$5:$G$32, Data_radiator!$G$5:$G$32, 1000000, 1, 1),
    _xlpm.tiefe, 155,
    _xlpm.glieder, IF(J$102 = "Stahlrohrradiator", 45, J$104),
    _xlpm.faktor, J$111 / Log_ÜT_Norm,
    _xlpm.leistung, IN_rooms!R$62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K113" s="79">
        <f>IF(IN_rooms!S$62*(SUMIFS(
tabelle1[Wärmeleistung (75/65/20)  in W/Glied],tabelle1[Heizkörper_Subtyp],"Flachheizkoerper_senkrecht_profiliert",
tabelle1[Höhe H in mm],"Typ_33",
tabelle1[Breite B in mm],_xlfn.XLOOKUP(K$103,Data_radiator!$G$5:$G$32,Data_radiator!$G$5:$G$32,1000000,1,1),
tabelle1[Anzahl Rohre],155)
*(IF(K$102="Stahlrohrradiator",45,K$104)/1000)
*(K$111/Log_ÜT_Norm)^SUMIFS(
tabelle1[Wärmeleistung (75/65/20)  in W],
tabelle1[Heizkörper_Subtyp],"Flachheizkoerper_senkrecht_profiliert",
tabelle1[Höhe H in mm],"Typ_33",
tabelle1[Breite B in mm],_xlfn.XLOOKUP(K$103,Data_radiator!$G$5:$G$32,Data_radiator!$G$5:$G$32,1000000,1,1),
tabelle1[Anzahl Rohre],155))&gt;0,
IN_rooms!S$62*(SUMIFS(
tabelle1[Wärmeleistung (75/65/20)  in W/Glied],tabelle1[Heizkörper_Subtyp],"Flachheizkoerper_senkrecht_profiliert",
tabelle1[Höhe H in mm],"Typ_33",
tabelle1[Breite B in mm],_xlfn.XLOOKUP(K$103,Data_radiator!$G$5:$G$32,Data_radiator!$G$5:$G$32,1000000,1,1),
tabelle1[Anzahl Rohre],155)
*(IF(K$102="Stahlrohrradiator",45,K$104)/1000)
*(K$111/Log_ÜT_Norm)^SUMIFS(
tabelle1[Wärmeleistung (75/65/20)  in W],
tabelle1[Heizkörper_Subtyp],"Flachheizkoerper_senkrecht_profiliert",
tabelle1[Höhe H in mm],"Typ_33",
tabelle1[Breite B in mm],_xlfn.XLOOKUP(K$103,Data_radiator!$G$5:$G$32,Data_radiator!$G$5:$G$32,1000000,1,1),
tabelle1[Anzahl Rohre],155)),0)</f>
        <v>0</v>
      </c>
      <c r="L113" s="79">
        <f>IF(IN_rooms!T$62*(SUMIFS(
tabelle1[Wärmeleistung in W/m²],tabelle1[Höhe H in mm],"Flachheizkoerper_senkrecht_profiliert",
tabelle1[Breite B in mm],"Typ_33",
tabelle1[HK Fläche in m²],_xlfn.XLOOKUP(L$103,Data_radiator!$G$5:$G$32,Data_radiator!$G$5:$G$32,1000000,1,1),
tabelle1[Anzahl Rohreinheiten],155)
*(IF(L$102="Stahlrohrradiator",45,L$104)/1000)
*(L$111/Log_ÜT_Norm)^SUMIFS(
tabelle1[Wärmeleistung (75/65/20)  in W/m],
tabelle1[Höhe H in mm],"Flachheizkoerper_senkrecht_profiliert",
tabelle1[Breite B in mm],"Typ_33",
tabelle1[HK Fläche in m²],_xlfn.XLOOKUP(L$103,Data_radiator!$G$5:$G$32,Data_radiator!$G$5:$G$32,1000000,1,1),
tabelle1[Anzahl Rohreinheiten],155))&gt;0,
IN_rooms!T$62*(SUMIFS(
tabelle1[Wärmeleistung in W/m²],tabelle1[Höhe H in mm],"Flachheizkoerper_senkrecht_profiliert",
tabelle1[Breite B in mm],"Typ_33",
tabelle1[HK Fläche in m²],_xlfn.XLOOKUP(L$103,Data_radiator!$G$5:$G$32,Data_radiator!$G$5:$G$32,1000000,1,1),
tabelle1[Anzahl Rohreinheiten],155)
*(IF(L$102="Stahlrohrradiator",45,L$104)/1000)
*(L$111/Log_ÜT_Norm)^SUMIFS(
tabelle1[Wärmeleistung (75/65/20)  in W/m],
tabelle1[Höhe H in mm],"Flachheizkoerper_senkrecht_profiliert",
tabelle1[Breite B in mm],"Typ_33",
tabelle1[HK Fläche in m²],_xlfn.XLOOKUP(L$103,Data_radiator!$G$5:$G$32,Data_radiator!$G$5:$G$32,1000000,1,1),
tabelle1[Anzahl Rohreinheiten],155)),0)</f>
        <v>0</v>
      </c>
      <c r="M113" s="79">
        <f>IF(IN_rooms!U$62*(SUMIFS(
tabelle1[Kommentar],tabelle1[Breite B in mm],"Flachheizkoerper_senkrecht_profiliert",
tabelle1[HK Fläche in m²],"Typ_33",
tabelle1[HK Volumen in m³],_xlfn.XLOOKUP(M$103,Data_radiator!$G$5:$G$32,Data_radiator!$G$5:$G$32,1000000,1,1),
tabelle1[Nennweite DN],155)
*(IF(M$102="Stahlrohrradiator",45,M$104)/1000)
*(M$111/Log_ÜT_Norm)^SUMIFS(
tabelle1[Wärmeleistung (75/65/20)  in W/Glied],
tabelle1[Breite B in mm],"Flachheizkoerper_senkrecht_profiliert",
tabelle1[HK Fläche in m²],"Typ_33",
tabelle1[HK Volumen in m³],_xlfn.XLOOKUP(M$103,Data_radiator!$G$5:$G$32,Data_radiator!$G$5:$G$32,1000000,1,1),
tabelle1[Nennweite DN],155))&gt;0,
IN_rooms!U$62*(SUMIFS(
tabelle1[Kommentar],tabelle1[Breite B in mm],"Flachheizkoerper_senkrecht_profiliert",
tabelle1[HK Fläche in m²],"Typ_33",
tabelle1[HK Volumen in m³],_xlfn.XLOOKUP(M$103,Data_radiator!$G$5:$G$32,Data_radiator!$G$5:$G$32,1000000,1,1),
tabelle1[Nennweite DN],155)
*(IF(M$102="Stahlrohrradiator",45,M$104)/1000)
*(M$111/Log_ÜT_Norm)^SUMIFS(
tabelle1[Wärmeleistung (75/65/20)  in W/Glied],
tabelle1[Breite B in mm],"Flachheizkoerper_senkrecht_profiliert",
tabelle1[HK Fläche in m²],"Typ_33",
tabelle1[HK Volumen in m³],_xlfn.XLOOKUP(M$103,Data_radiator!$G$5:$G$32,Data_radiator!$G$5:$G$32,1000000,1,1),
tabelle1[Nennweite DN],155)),0)</f>
        <v>0</v>
      </c>
      <c r="N113" s="79">
        <f>IF(IN_rooms!V$62*(SUMIFS(
tabelle1[Lfd. Nr.],tabelle1[HK Fläche in m²],"Flachheizkoerper_senkrecht_profiliert",
tabelle1[HK Volumen in m³],"Typ_33",
tabelle1[Nabenabstand N in mm],_xlfn.XLOOKUP(N$103,Data_radiator!$G$5:$G$32,Data_radiator!$G$5:$G$32,1000000,1,1),
tabelle1[Außendurchmesser d in mm],155)
*(IF(N$102="Stahlrohrradiator",45,N$104)/1000)
*(N$111/Log_ÜT_Norm)^SUMIFS(
tabelle1[Wärmeleistung in W/m²],
tabelle1[HK Fläche in m²],"Flachheizkoerper_senkrecht_profiliert",
tabelle1[HK Volumen in m³],"Typ_33",
tabelle1[Nabenabstand N in mm],_xlfn.XLOOKUP(N$103,Data_radiator!$G$5:$G$32,Data_radiator!$G$5:$G$32,1000000,1,1),
tabelle1[Außendurchmesser d in mm],155))&gt;0,
IN_rooms!V$62*(SUMIFS(
tabelle1[Lfd. Nr.],tabelle1[HK Fläche in m²],"Flachheizkoerper_senkrecht_profiliert",
tabelle1[HK Volumen in m³],"Typ_33",
tabelle1[Nabenabstand N in mm],_xlfn.XLOOKUP(N$103,Data_radiator!$G$5:$G$32,Data_radiator!$G$5:$G$32,1000000,1,1),
tabelle1[Außendurchmesser d in mm],155)
*(IF(N$102="Stahlrohrradiator",45,N$104)/1000)
*(N$111/Log_ÜT_Norm)^SUMIFS(
tabelle1[Wärmeleistung in W/m²],
tabelle1[HK Fläche in m²],"Flachheizkoerper_senkrecht_profiliert",
tabelle1[HK Volumen in m³],"Typ_33",
tabelle1[Nabenabstand N in mm],_xlfn.XLOOKUP(N$103,Data_radiator!$G$5:$G$32,Data_radiator!$G$5:$G$32,1000000,1,1),
tabelle1[Außendurchmesser d in mm],155)),0)</f>
        <v>0</v>
      </c>
      <c r="O113" s="79">
        <f>IF(IN_rooms!W$62*(SUMIFS(
tabelle1[Spalte1],tabelle1[HK Volumen in m³],"Flachheizkoerper_senkrecht_profiliert",
tabelle1[Nabenabstand N in mm],"Typ_33",
tabelle1[Bautiefe T in mm],_xlfn.XLOOKUP(O$103,Data_radiator!$G$5:$G$32,Data_radiator!$G$5:$G$32,1000000,1,1),
tabelle1[Rippenhöhe in mm],155)
*(IF(O$102="Stahlrohrradiator",45,O$104)/1000)
*(O$111/Log_ÜT_Norm)^SUMIFS(
tabelle1[Kommentar],
tabelle1[HK Volumen in m³],"Flachheizkoerper_senkrecht_profiliert",
tabelle1[Nabenabstand N in mm],"Typ_33",
tabelle1[Bautiefe T in mm],_xlfn.XLOOKUP(O$103,Data_radiator!$G$5:$G$32,Data_radiator!$G$5:$G$32,1000000,1,1),
tabelle1[Rippenhöhe in mm],155))&gt;0,
IN_rooms!W$62*(SUMIFS(
tabelle1[Spalte1],tabelle1[HK Volumen in m³],"Flachheizkoerper_senkrecht_profiliert",
tabelle1[Nabenabstand N in mm],"Typ_33",
tabelle1[Bautiefe T in mm],_xlfn.XLOOKUP(O$103,Data_radiator!$G$5:$G$32,Data_radiator!$G$5:$G$32,1000000,1,1),
tabelle1[Rippenhöhe in mm],155)
*(IF(O$102="Stahlrohrradiator",45,O$104)/1000)
*(O$111/Log_ÜT_Norm)^SUMIFS(
tabelle1[Kommentar],
tabelle1[HK Volumen in m³],"Flachheizkoerper_senkrecht_profiliert",
tabelle1[Nabenabstand N in mm],"Typ_33",
tabelle1[Bautiefe T in mm],_xlfn.XLOOKUP(O$103,Data_radiator!$G$5:$G$32,Data_radiator!$G$5:$G$32,1000000,1,1),
tabelle1[Rippenhöhe in mm],155)),0)</f>
        <v>0</v>
      </c>
      <c r="P113" s="79">
        <f>IF(IN_rooms!X$62*(SUMIFS(
tabelle1[Heizkörper Subtyp],tabelle1[Nabenabstand N in mm],"Flachheizkoerper_senkrecht_profiliert",
tabelle1[Bautiefe T in mm],"Typ_33",
tabelle1[Anzahl Rohre],_xlfn.XLOOKUP(P$103,Data_radiator!$G$5:$G$32,Data_radiator!$G$5:$G$32,1000000,1,1),
tabelle1[Mittlere Rohrübertemperatur in K],155)
*(IF(P$102="Stahlrohrradiator",45,P$104)/1000)
*(P$111/Log_ÜT_Norm)^SUMIFS(
tabelle1[Lfd. Nr.],
tabelle1[Nabenabstand N in mm],"Flachheizkoerper_senkrecht_profiliert",
tabelle1[Bautiefe T in mm],"Typ_33",
tabelle1[Anzahl Rohre],_xlfn.XLOOKUP(P$103,Data_radiator!$G$5:$G$32,Data_radiator!$G$5:$G$32,1000000,1,1),
tabelle1[Mittlere Rohrübertemperatur in K],155))&gt;0,
IN_rooms!X$62*(SUMIFS(
tabelle1[Heizkörper Subtyp],tabelle1[Nabenabstand N in mm],"Flachheizkoerper_senkrecht_profiliert",
tabelle1[Bautiefe T in mm],"Typ_33",
tabelle1[Anzahl Rohre],_xlfn.XLOOKUP(P$103,Data_radiator!$G$5:$G$32,Data_radiator!$G$5:$G$32,1000000,1,1),
tabelle1[Mittlere Rohrübertemperatur in K],155)
*(IF(P$102="Stahlrohrradiator",45,P$104)/1000)
*(P$111/Log_ÜT_Norm)^SUMIFS(
tabelle1[Lfd. Nr.],
tabelle1[Nabenabstand N in mm],"Flachheizkoerper_senkrecht_profiliert",
tabelle1[Bautiefe T in mm],"Typ_33",
tabelle1[Anzahl Rohre],_xlfn.XLOOKUP(P$103,Data_radiator!$G$5:$G$32,Data_radiator!$G$5:$G$32,1000000,1,1),
tabelle1[Mittlere Rohrübertemperatur in K],155)),0)</f>
        <v>0</v>
      </c>
      <c r="Q113" s="79">
        <f>IF(IN_rooms!Y$62*(SUMIFS(
tabelle1[Heizkörper_Typ],tabelle1[Bautiefe T in mm],"Flachheizkoerper_senkrecht_profiliert",
tabelle1[Anzahl Rohre],"Typ_33",
tabelle1[Anzahl Rohreinheiten],_xlfn.XLOOKUP(Q$103,Data_radiator!$G$5:$G$32,Data_radiator!$G$5:$G$32,1000000,1,1),
tabelle1[Übertemperatur in K],155)
*(IF(Q$102="Stahlrohrradiator",45,Q$104)/1000)
*(Q$111/Log_ÜT_Norm)^SUMIFS(
tabelle1[Spalte1],
tabelle1[Bautiefe T in mm],"Flachheizkoerper_senkrecht_profiliert",
tabelle1[Anzahl Rohre],"Typ_33",
tabelle1[Anzahl Rohreinheiten],_xlfn.XLOOKUP(Q$103,Data_radiator!$G$5:$G$32,Data_radiator!$G$5:$G$32,1000000,1,1),
tabelle1[Übertemperatur in K],155))&gt;0,
IN_rooms!Y$62*(SUMIFS(
tabelle1[Heizkörper_Typ],tabelle1[Bautiefe T in mm],"Flachheizkoerper_senkrecht_profiliert",
tabelle1[Anzahl Rohre],"Typ_33",
tabelle1[Anzahl Rohreinheiten],_xlfn.XLOOKUP(Q$103,Data_radiator!$G$5:$G$32,Data_radiator!$G$5:$G$32,1000000,1,1),
tabelle1[Übertemperatur in K],155)
*(IF(Q$102="Stahlrohrradiator",45,Q$104)/1000)
*(Q$111/Log_ÜT_Norm)^SUMIFS(
tabelle1[Spalte1],
tabelle1[Bautiefe T in mm],"Flachheizkoerper_senkrecht_profiliert",
tabelle1[Anzahl Rohre],"Typ_33",
tabelle1[Anzahl Rohreinheiten],_xlfn.XLOOKUP(Q$103,Data_radiator!$G$5:$G$32,Data_radiator!$G$5:$G$32,1000000,1,1),
tabelle1[Übertemperatur in K],155)),0)</f>
        <v>0</v>
      </c>
      <c r="R113" s="79">
        <f>IF(IN_rooms!Z$62*(SUMIFS(
tabelle1[Heizkörper_Subtyp],tabelle1[Anzahl Rohre],"Flachheizkoerper_senkrecht_profiliert",
tabelle1[Anzahl Rohreinheiten],"Typ_33",
tabelle1[Nennweite DN],_xlfn.XLOOKUP(R$103,Data_radiator!$G$5:$G$32,Data_radiator!$G$5:$G$32,1000000,1,1),
tabelle1[Mittlere Wassertemperatur in °C],155)
*(IF(R$102="Stahlrohrradiator",45,R$104)/1000)
*(R$111/Log_ÜT_Norm)^SUMIFS(
tabelle1[Heizkörper Subtyp],
tabelle1[Anzahl Rohre],"Flachheizkoerper_senkrecht_profiliert",
tabelle1[Anzahl Rohreinheiten],"Typ_33",
tabelle1[Nennweite DN],_xlfn.XLOOKUP(R$103,Data_radiator!$G$5:$G$32,Data_radiator!$G$5:$G$32,1000000,1,1),
tabelle1[Mittlere Wassertemperatur in °C],155))&gt;0,
IN_rooms!Z$62*(SUMIFS(
tabelle1[Heizkörper_Subtyp],tabelle1[Anzahl Rohre],"Flachheizkoerper_senkrecht_profiliert",
tabelle1[Anzahl Rohreinheiten],"Typ_33",
tabelle1[Nennweite DN],_xlfn.XLOOKUP(R$103,Data_radiator!$G$5:$G$32,Data_radiator!$G$5:$G$32,1000000,1,1),
tabelle1[Mittlere Wassertemperatur in °C],155)
*(IF(R$102="Stahlrohrradiator",45,R$104)/1000)
*(R$111/Log_ÜT_Norm)^SUMIFS(
tabelle1[Heizkörper Subtyp],
tabelle1[Anzahl Rohre],"Flachheizkoerper_senkrecht_profiliert",
tabelle1[Anzahl Rohreinheiten],"Typ_33",
tabelle1[Nennweite DN],_xlfn.XLOOKUP(R$103,Data_radiator!$G$5:$G$32,Data_radiator!$G$5:$G$32,1000000,1,1),
tabelle1[Mittlere Wassertemperatur in °C],155)),0)</f>
        <v>0</v>
      </c>
      <c r="S113" s="79">
        <f>IF(IN_rooms!AA$62*(SUMIFS(
tabelle1[Höhe H in mm],tabelle1[Anzahl Rohreinheiten],"Flachheizkoerper_senkrecht_profiliert",
tabelle1[Nennweite DN],"Typ_33",
tabelle1[Außendurchmesser d in mm],_xlfn.XLOOKUP(S$103,Data_radiator!$G$5:$G$32,Data_radiator!$G$5:$G$32,1000000,1,1),
tabelle1[Rippenhöhe h in mm],155)
*(IF(S$102="Stahlrohrradiator",45,S$104)/1000)
*(S$111/Log_ÜT_Norm)^SUMIFS(
tabelle1[Heizkörper_Typ],
tabelle1[Anzahl Rohreinheiten],"Flachheizkoerper_senkrecht_profiliert",
tabelle1[Nennweite DN],"Typ_33",
tabelle1[Außendurchmesser d in mm],_xlfn.XLOOKUP(S$103,Data_radiator!$G$5:$G$32,Data_radiator!$G$5:$G$32,1000000,1,1),
tabelle1[Rippenhöhe h in mm],155))&gt;0,
IN_rooms!AA$62*(SUMIFS(
tabelle1[Höhe H in mm],tabelle1[Anzahl Rohreinheiten],"Flachheizkoerper_senkrecht_profiliert",
tabelle1[Nennweite DN],"Typ_33",
tabelle1[Außendurchmesser d in mm],_xlfn.XLOOKUP(S$103,Data_radiator!$G$5:$G$32,Data_radiator!$G$5:$G$32,1000000,1,1),
tabelle1[Rippenhöhe h in mm],155)
*(IF(S$102="Stahlrohrradiator",45,S$104)/1000)
*(S$111/Log_ÜT_Norm)^SUMIFS(
tabelle1[Heizkörper_Typ],
tabelle1[Anzahl Rohreinheiten],"Flachheizkoerper_senkrecht_profiliert",
tabelle1[Nennweite DN],"Typ_33",
tabelle1[Außendurchmesser d in mm],_xlfn.XLOOKUP(S$103,Data_radiator!$G$5:$G$32,Data_radiator!$G$5:$G$32,1000000,1,1),
tabelle1[Rippenhöhe h in mm],155)),0)</f>
        <v>0</v>
      </c>
      <c r="T113" s="79">
        <f>IF(IN_rooms!AB$62*(SUMIFS(
tabelle1[Breite B in mm],tabelle1[Nennweite DN],"Flachheizkoerper_senkrecht_profiliert",
tabelle1[Außendurchmesser d in mm],"Typ_33",
tabelle1[Rippenhöhe in mm],_xlfn.XLOOKUP(T$103,Data_radiator!$G$5:$G$32,Data_radiator!$G$5:$G$32,1000000,1,1),
tabelle1[Rippenabstand a in mm],155)
*(IF(T$102="Stahlrohrradiator",45,T$104)/1000)
*(T$111/Log_ÜT_Norm)^SUMIFS(
tabelle1[Heizkörper_Subtyp],
tabelle1[Nennweite DN],"Flachheizkoerper_senkrecht_profiliert",
tabelle1[Außendurchmesser d in mm],"Typ_33",
tabelle1[Rippenhöhe in mm],_xlfn.XLOOKUP(T$103,Data_radiator!$G$5:$G$32,Data_radiator!$G$5:$G$32,1000000,1,1),
tabelle1[Rippenabstand a in mm],155))&gt;0,
IN_rooms!AB$62*(SUMIFS(
tabelle1[Breite B in mm],tabelle1[Nennweite DN],"Flachheizkoerper_senkrecht_profiliert",
tabelle1[Außendurchmesser d in mm],"Typ_33",
tabelle1[Rippenhöhe in mm],_xlfn.XLOOKUP(T$103,Data_radiator!$G$5:$G$32,Data_radiator!$G$5:$G$32,1000000,1,1),
tabelle1[Rippenabstand a in mm],155)
*(IF(T$102="Stahlrohrradiator",45,T$104)/1000)
*(T$111/Log_ÜT_Norm)^SUMIFS(
tabelle1[Heizkörper_Subtyp],
tabelle1[Nennweite DN],"Flachheizkoerper_senkrecht_profiliert",
tabelle1[Außendurchmesser d in mm],"Typ_33",
tabelle1[Rippenhöhe in mm],_xlfn.XLOOKUP(T$103,Data_radiator!$G$5:$G$32,Data_radiator!$G$5:$G$32,1000000,1,1),
tabelle1[Rippenabstand a in mm],155)),0)</f>
        <v>0</v>
      </c>
      <c r="U113" s="79">
        <f>IF(IN_rooms!AC$62*(SUMIFS(
tabelle1[HK Fläche in m²],tabelle1[Außendurchmesser d in mm],"Flachheizkoerper_senkrecht_profiliert",
tabelle1[Rippenhöhe in mm],"Typ_33",
tabelle1[Mittlere Rohrübertemperatur in K],_xlfn.XLOOKUP(U$103,Data_radiator!$G$5:$G$32,Data_radiator!$G$5:$G$32,1000000,1,1),
tabelle1[Rohrreihen],155)
*(IF(U$102="Stahlrohrradiator",45,U$104)/1000)
*(U$111/Log_ÜT_Norm)^SUMIFS(
tabelle1[Höhe H in mm],
tabelle1[Außendurchmesser d in mm],"Flachheizkoerper_senkrecht_profiliert",
tabelle1[Rippenhöhe in mm],"Typ_33",
tabelle1[Mittlere Rohrübertemperatur in K],_xlfn.XLOOKUP(U$103,Data_radiator!$G$5:$G$32,Data_radiator!$G$5:$G$32,1000000,1,1),
tabelle1[Rohrreihen],155))&gt;0,
IN_rooms!AC$62*(SUMIFS(
tabelle1[HK Fläche in m²],tabelle1[Außendurchmesser d in mm],"Flachheizkoerper_senkrecht_profiliert",
tabelle1[Rippenhöhe in mm],"Typ_33",
tabelle1[Mittlere Rohrübertemperatur in K],_xlfn.XLOOKUP(U$103,Data_radiator!$G$5:$G$32,Data_radiator!$G$5:$G$32,1000000,1,1),
tabelle1[Rohrreihen],155)
*(IF(U$102="Stahlrohrradiator",45,U$104)/1000)
*(U$111/Log_ÜT_Norm)^SUMIFS(
tabelle1[Höhe H in mm],
tabelle1[Außendurchmesser d in mm],"Flachheizkoerper_senkrecht_profiliert",
tabelle1[Rippenhöhe in mm],"Typ_33",
tabelle1[Mittlere Rohrübertemperatur in K],_xlfn.XLOOKUP(U$103,Data_radiator!$G$5:$G$32,Data_radiator!$G$5:$G$32,1000000,1,1),
tabelle1[Rohrreihen],155)),0)</f>
        <v>0</v>
      </c>
      <c r="V113" s="79">
        <f>IF(IN_rooms!AD$62*(SUMIFS(
tabelle1[HK Volumen in m³],tabelle1[Rippenhöhe in mm],"Flachheizkoerper_senkrecht_profiliert",
tabelle1[Mittlere Rohrübertemperatur in K],"Typ_33",
tabelle1[Übertemperatur in K],_xlfn.XLOOKUP(V$103,Data_radiator!$G$5:$G$32,Data_radiator!$G$5:$G$32,1000000,1,1),
tabelle1[[Heizkörperexponent n ]],155)
*(IF(V$102="Stahlrohrradiator",45,V$104)/1000)
*(V$111/Log_ÜT_Norm)^SUMIFS(
tabelle1[Breite B in mm],
tabelle1[Rippenhöhe in mm],"Flachheizkoerper_senkrecht_profiliert",
tabelle1[Mittlere Rohrübertemperatur in K],"Typ_33",
tabelle1[Übertemperatur in K],_xlfn.XLOOKUP(V$103,Data_radiator!$G$5:$G$32,Data_radiator!$G$5:$G$32,1000000,1,1),
tabelle1[[Heizkörperexponent n ]],155))&gt;0,
IN_rooms!AD$62*(SUMIFS(
tabelle1[HK Volumen in m³],tabelle1[Rippenhöhe in mm],"Flachheizkoerper_senkrecht_profiliert",
tabelle1[Mittlere Rohrübertemperatur in K],"Typ_33",
tabelle1[Übertemperatur in K],_xlfn.XLOOKUP(V$103,Data_radiator!$G$5:$G$32,Data_radiator!$G$5:$G$32,1000000,1,1),
tabelle1[[Heizkörperexponent n ]],155)
*(IF(V$102="Stahlrohrradiator",45,V$104)/1000)
*(V$111/Log_ÜT_Norm)^SUMIFS(
tabelle1[Breite B in mm],
tabelle1[Rippenhöhe in mm],"Flachheizkoerper_senkrecht_profiliert",
tabelle1[Mittlere Rohrübertemperatur in K],"Typ_33",
tabelle1[Übertemperatur in K],_xlfn.XLOOKUP(V$103,Data_radiator!$G$5:$G$32,Data_radiator!$G$5:$G$32,1000000,1,1),
tabelle1[[Heizkörperexponent n ]],155)),0)</f>
        <v>0</v>
      </c>
      <c r="W113" s="79">
        <f>IF(IN_rooms!AE$62*(SUMIFS(
tabelle1[Nabenabstand N in mm],tabelle1[Mittlere Rohrübertemperatur in K],"Flachheizkoerper_senkrecht_profiliert",
tabelle1[Übertemperatur in K],"Typ_33",
tabelle1[Mittlere Wassertemperatur in °C],_xlfn.XLOOKUP(W$103,Data_radiator!$G$5:$G$32,Data_radiator!$G$5:$G$32,1000000,1,1),
tabelle1[Wärmeleistung (75/65/20)  in W],155)
*(IF(W$102="Stahlrohrradiator",45,W$104)/1000)
*(W$111/Log_ÜT_Norm)^SUMIFS(
tabelle1[HK Fläche in m²],
tabelle1[Mittlere Rohrübertemperatur in K],"Flachheizkoerper_senkrecht_profiliert",
tabelle1[Übertemperatur in K],"Typ_33",
tabelle1[Mittlere Wassertemperatur in °C],_xlfn.XLOOKUP(W$103,Data_radiator!$G$5:$G$32,Data_radiator!$G$5:$G$32,1000000,1,1),
tabelle1[Wärmeleistung (75/65/20)  in W],155))&gt;0,
IN_rooms!AE$62*(SUMIFS(
tabelle1[Nabenabstand N in mm],tabelle1[Mittlere Rohrübertemperatur in K],"Flachheizkoerper_senkrecht_profiliert",
tabelle1[Übertemperatur in K],"Typ_33",
tabelle1[Mittlere Wassertemperatur in °C],_xlfn.XLOOKUP(W$103,Data_radiator!$G$5:$G$32,Data_radiator!$G$5:$G$32,1000000,1,1),
tabelle1[Wärmeleistung (75/65/20)  in W],155)
*(IF(W$102="Stahlrohrradiator",45,W$104)/1000)
*(W$111/Log_ÜT_Norm)^SUMIFS(
tabelle1[HK Fläche in m²],
tabelle1[Mittlere Rohrübertemperatur in K],"Flachheizkoerper_senkrecht_profiliert",
tabelle1[Übertemperatur in K],"Typ_33",
tabelle1[Mittlere Wassertemperatur in °C],_xlfn.XLOOKUP(W$103,Data_radiator!$G$5:$G$32,Data_radiator!$G$5:$G$32,1000000,1,1),
tabelle1[Wärmeleistung (75/65/20)  in W],155)),0)</f>
        <v>0</v>
      </c>
      <c r="X113" s="79">
        <f>IF(IN_rooms!AF$62*(SUMIFS(
tabelle1[Bautiefe T in mm],tabelle1[Übertemperatur in K],"Flachheizkoerper_senkrecht_profiliert",
tabelle1[Mittlere Wassertemperatur in °C],"Typ_33",
tabelle1[Rippenhöhe h in mm],_xlfn.XLOOKUP(X$103,Data_radiator!$G$5:$G$32,Data_radiator!$G$5:$G$32,1000000,1,1),
tabelle1[Wärmeleistung (75/65/20)  in W/m],155)
*(IF(X$102="Stahlrohrradiator",45,X$104)/1000)
*(X$111/Log_ÜT_Norm)^SUMIFS(
tabelle1[HK Volumen in m³],
tabelle1[Übertemperatur in K],"Flachheizkoerper_senkrecht_profiliert",
tabelle1[Mittlere Wassertemperatur in °C],"Typ_33",
tabelle1[Rippenhöhe h in mm],_xlfn.XLOOKUP(X$103,Data_radiator!$G$5:$G$32,Data_radiator!$G$5:$G$32,1000000,1,1),
tabelle1[Wärmeleistung (75/65/20)  in W/m],155))&gt;0,
IN_rooms!AF$62*(SUMIFS(
tabelle1[Bautiefe T in mm],tabelle1[Übertemperatur in K],"Flachheizkoerper_senkrecht_profiliert",
tabelle1[Mittlere Wassertemperatur in °C],"Typ_33",
tabelle1[Rippenhöhe h in mm],_xlfn.XLOOKUP(X$103,Data_radiator!$G$5:$G$32,Data_radiator!$G$5:$G$32,1000000,1,1),
tabelle1[Wärmeleistung (75/65/20)  in W/m],155)
*(IF(X$102="Stahlrohrradiator",45,X$104)/1000)
*(X$111/Log_ÜT_Norm)^SUMIFS(
tabelle1[HK Volumen in m³],
tabelle1[Übertemperatur in K],"Flachheizkoerper_senkrecht_profiliert",
tabelle1[Mittlere Wassertemperatur in °C],"Typ_33",
tabelle1[Rippenhöhe h in mm],_xlfn.XLOOKUP(X$103,Data_radiator!$G$5:$G$32,Data_radiator!$G$5:$G$32,1000000,1,1),
tabelle1[Wärmeleistung (75/65/20)  in W/m],155)),0)</f>
        <v>0</v>
      </c>
    </row>
    <row r="114" spans="2:24" ht="15.75" hidden="1" thickBot="1" x14ac:dyDescent="0.3">
      <c r="B114" s="245" t="s">
        <v>387</v>
      </c>
      <c r="C114" s="245" t="s">
        <v>631</v>
      </c>
      <c r="D114" s="245" t="s">
        <v>217</v>
      </c>
      <c r="E114" s="245"/>
      <c r="F114" s="245"/>
      <c r="I114" t="s">
        <v>558</v>
      </c>
    </row>
    <row r="115" spans="2:24" ht="15.75" hidden="1" thickBot="1" x14ac:dyDescent="0.3">
      <c r="B115" s="245" t="s">
        <v>776</v>
      </c>
      <c r="C115" s="245" t="s">
        <v>631</v>
      </c>
      <c r="D115" s="245" t="s">
        <v>217</v>
      </c>
      <c r="E115" s="245"/>
      <c r="F115" s="245"/>
      <c r="I115" t="s">
        <v>558</v>
      </c>
    </row>
    <row r="116" spans="2:24" ht="15.75" hidden="1" thickBot="1" x14ac:dyDescent="0.3">
      <c r="B116" s="245" t="s">
        <v>822</v>
      </c>
      <c r="C116" s="245" t="s">
        <v>631</v>
      </c>
      <c r="D116" s="245" t="s">
        <v>217</v>
      </c>
      <c r="E116" s="245"/>
      <c r="F116" s="245" t="s">
        <v>431</v>
      </c>
      <c r="I116" t="s">
        <v>558</v>
      </c>
    </row>
    <row r="117" spans="2:24" ht="15.75" hidden="1" thickBot="1" x14ac:dyDescent="0.3">
      <c r="B117" s="245" t="s">
        <v>823</v>
      </c>
      <c r="C117" s="245" t="s">
        <v>631</v>
      </c>
      <c r="D117" s="245" t="s">
        <v>217</v>
      </c>
      <c r="E117" s="245"/>
      <c r="F117" s="245" t="s">
        <v>136</v>
      </c>
      <c r="I117" t="s">
        <v>558</v>
      </c>
    </row>
    <row r="118" spans="2:24" ht="15.75" hidden="1" thickBot="1" x14ac:dyDescent="0.3">
      <c r="B118" s="245" t="s">
        <v>623</v>
      </c>
      <c r="C118" s="245" t="s">
        <v>631</v>
      </c>
      <c r="D118" s="245" t="s">
        <v>217</v>
      </c>
      <c r="E118" s="245"/>
      <c r="F118" s="245" t="s">
        <v>431</v>
      </c>
      <c r="I118" t="s">
        <v>558</v>
      </c>
    </row>
    <row r="119" spans="2:24" ht="15.75" hidden="1" thickBot="1" x14ac:dyDescent="0.3">
      <c r="B119" s="245" t="s">
        <v>624</v>
      </c>
      <c r="C119" s="245" t="s">
        <v>631</v>
      </c>
      <c r="D119" s="245" t="s">
        <v>217</v>
      </c>
      <c r="E119" s="245"/>
      <c r="F119" s="245" t="s">
        <v>431</v>
      </c>
      <c r="I119" t="s">
        <v>558</v>
      </c>
    </row>
    <row r="120" spans="2:24" ht="15.75" hidden="1" thickBot="1" x14ac:dyDescent="0.3">
      <c r="B120" s="245" t="s">
        <v>781</v>
      </c>
      <c r="C120" s="245" t="s">
        <v>631</v>
      </c>
      <c r="D120" s="245" t="s">
        <v>217</v>
      </c>
      <c r="E120" s="245"/>
      <c r="F120" s="245"/>
      <c r="I120" t="s">
        <v>558</v>
      </c>
    </row>
    <row r="121" spans="2:24" ht="15.75" hidden="1" thickBot="1" x14ac:dyDescent="0.3">
      <c r="B121" s="245" t="s">
        <v>824</v>
      </c>
      <c r="C121" s="245" t="s">
        <v>631</v>
      </c>
      <c r="D121" s="245" t="s">
        <v>217</v>
      </c>
      <c r="E121" s="245"/>
      <c r="F121" s="245" t="s">
        <v>791</v>
      </c>
      <c r="I121" t="s">
        <v>558</v>
      </c>
    </row>
    <row r="122" spans="2:24" ht="15.75" hidden="1" thickBot="1" x14ac:dyDescent="0.3">
      <c r="B122" s="245" t="s">
        <v>783</v>
      </c>
      <c r="C122" s="245" t="s">
        <v>631</v>
      </c>
      <c r="D122" s="245" t="s">
        <v>217</v>
      </c>
      <c r="E122" s="245"/>
      <c r="F122" s="245" t="s">
        <v>112</v>
      </c>
      <c r="I122" t="s">
        <v>558</v>
      </c>
    </row>
    <row r="123" spans="2:24" ht="15.75" hidden="1" thickBot="1" x14ac:dyDescent="0.3">
      <c r="B123" s="245" t="s">
        <v>785</v>
      </c>
      <c r="C123" s="245" t="s">
        <v>631</v>
      </c>
      <c r="D123" s="245" t="s">
        <v>217</v>
      </c>
      <c r="E123" s="245"/>
      <c r="F123" s="245" t="s">
        <v>107</v>
      </c>
      <c r="I123" t="s">
        <v>558</v>
      </c>
    </row>
    <row r="124" spans="2:24" ht="15.75" hidden="1" thickBot="1" x14ac:dyDescent="0.3">
      <c r="B124" s="245" t="s">
        <v>787</v>
      </c>
      <c r="C124" s="245" t="s">
        <v>631</v>
      </c>
      <c r="D124" s="245" t="s">
        <v>217</v>
      </c>
      <c r="E124" s="245"/>
      <c r="F124" s="245" t="s">
        <v>107</v>
      </c>
      <c r="I124" t="s">
        <v>558</v>
      </c>
    </row>
    <row r="125" spans="2:24" ht="15.75" hidden="1" thickBot="1" x14ac:dyDescent="0.3">
      <c r="B125" s="245" t="s">
        <v>789</v>
      </c>
      <c r="C125" s="245" t="s">
        <v>631</v>
      </c>
      <c r="D125" s="245" t="s">
        <v>217</v>
      </c>
      <c r="E125" s="245"/>
      <c r="F125" s="245" t="s">
        <v>791</v>
      </c>
      <c r="I125" t="s">
        <v>558</v>
      </c>
    </row>
    <row r="126" spans="2:24" ht="15.75" hidden="1" thickBot="1" x14ac:dyDescent="0.3">
      <c r="B126" s="245" t="s">
        <v>792</v>
      </c>
      <c r="C126" s="245" t="s">
        <v>631</v>
      </c>
      <c r="D126" s="245" t="s">
        <v>217</v>
      </c>
      <c r="E126" s="245"/>
      <c r="F126" s="245" t="s">
        <v>112</v>
      </c>
      <c r="I126" t="s">
        <v>558</v>
      </c>
    </row>
    <row r="127" spans="2:24" ht="15.75" hidden="1" thickBot="1" x14ac:dyDescent="0.3">
      <c r="B127" s="246" t="s">
        <v>794</v>
      </c>
      <c r="C127" s="246" t="s">
        <v>631</v>
      </c>
      <c r="D127" s="246" t="s">
        <v>795</v>
      </c>
      <c r="E127" s="246"/>
      <c r="F127" s="246" t="s">
        <v>112</v>
      </c>
      <c r="I127" t="s">
        <v>558</v>
      </c>
    </row>
    <row r="128" spans="2:24" ht="15.75" thickBot="1" x14ac:dyDescent="0.3">
      <c r="B128" s="247" t="s">
        <v>387</v>
      </c>
      <c r="C128" s="247" t="s">
        <v>631</v>
      </c>
      <c r="D128" s="247" t="s">
        <v>213</v>
      </c>
      <c r="E128" s="247" t="s">
        <v>878</v>
      </c>
      <c r="F128" s="247"/>
      <c r="J128" s="21" t="str">
        <f>IF(IN_rooms!R$56="Konvektor",IN_rooms!R$56,"")</f>
        <v/>
      </c>
      <c r="K128" s="21" t="str">
        <f>IF(IN_rooms!S$56="Konvektor",IN_rooms!S$56,"")</f>
        <v/>
      </c>
      <c r="L128" s="21" t="str">
        <f>IF(IN_rooms!T$56="Konvektor",IN_rooms!T$56,"")</f>
        <v/>
      </c>
      <c r="M128" s="21" t="str">
        <f>IF(IN_rooms!U$56="Konvektor",IN_rooms!U$56,"")</f>
        <v/>
      </c>
      <c r="N128" s="21" t="str">
        <f>IF(IN_rooms!V$56="Konvektor",IN_rooms!V$56,"")</f>
        <v/>
      </c>
      <c r="O128" s="21" t="str">
        <f>IF(IN_rooms!W$56="Konvektor",IN_rooms!W$56,"")</f>
        <v/>
      </c>
      <c r="P128" s="21" t="str">
        <f>IF(IN_rooms!X$56="Konvektor",IN_rooms!X$56,"")</f>
        <v/>
      </c>
      <c r="Q128" s="21" t="str">
        <f>IF(IN_rooms!Y$56="Konvektor",IN_rooms!Y$56,"")</f>
        <v/>
      </c>
      <c r="R128" s="21" t="str">
        <f>IF(IN_rooms!Z$56="Konvektor",IN_rooms!Z$56,"")</f>
        <v/>
      </c>
      <c r="S128" s="21" t="str">
        <f>IF(IN_rooms!AA$56="Konvektor",IN_rooms!AA$56,"")</f>
        <v/>
      </c>
      <c r="T128" s="21" t="str">
        <f>IF(IN_rooms!AB$56="Konvektor",IN_rooms!AB$56,"")</f>
        <v/>
      </c>
      <c r="U128" s="21" t="str">
        <f>IF(IN_rooms!AC$56="Konvektor",IN_rooms!AC$56,"")</f>
        <v/>
      </c>
      <c r="V128" s="21" t="str">
        <f>IF(IN_rooms!AD$56="Konvektor",IN_rooms!AD$56,"")</f>
        <v/>
      </c>
      <c r="W128" s="21" t="str">
        <f>IF(IN_rooms!AE$56="Konvektor",IN_rooms!AE$56,"")</f>
        <v/>
      </c>
      <c r="X128" s="21" t="str">
        <f>IF(IN_rooms!AF$56="Konvektor",IN_rooms!AF$56,"")</f>
        <v/>
      </c>
    </row>
    <row r="129" spans="2:24" ht="15.75" thickBot="1" x14ac:dyDescent="0.3">
      <c r="B129" s="247" t="s">
        <v>776</v>
      </c>
      <c r="C129" s="247" t="s">
        <v>631</v>
      </c>
      <c r="D129" s="247" t="s">
        <v>213</v>
      </c>
      <c r="E129" s="247" t="s">
        <v>879</v>
      </c>
      <c r="F129" s="247"/>
      <c r="J129" s="21" t="str">
        <f>IF(J128&gt;"","Standardkonvektor","")</f>
        <v/>
      </c>
      <c r="K129" s="21" t="str">
        <f t="shared" ref="K129:O129" si="30">IF(K128&gt;"","Standardkonvektor","")</f>
        <v/>
      </c>
      <c r="L129" s="21" t="str">
        <f t="shared" si="30"/>
        <v/>
      </c>
      <c r="M129" s="21" t="str">
        <f t="shared" si="30"/>
        <v/>
      </c>
      <c r="N129" s="21" t="str">
        <f t="shared" si="30"/>
        <v/>
      </c>
      <c r="O129" s="21" t="str">
        <f t="shared" si="30"/>
        <v/>
      </c>
      <c r="P129" s="21" t="str">
        <f t="shared" ref="P129:X129" si="31">IF(P128&gt;"","Standardkonvektor","")</f>
        <v/>
      </c>
      <c r="Q129" s="21" t="str">
        <f t="shared" si="31"/>
        <v/>
      </c>
      <c r="R129" s="21" t="str">
        <f t="shared" si="31"/>
        <v/>
      </c>
      <c r="S129" s="21" t="str">
        <f t="shared" si="31"/>
        <v/>
      </c>
      <c r="T129" s="21" t="str">
        <f t="shared" si="31"/>
        <v/>
      </c>
      <c r="U129" s="21" t="str">
        <f t="shared" si="31"/>
        <v/>
      </c>
      <c r="V129" s="21" t="str">
        <f t="shared" si="31"/>
        <v/>
      </c>
      <c r="W129" s="21" t="str">
        <f t="shared" si="31"/>
        <v/>
      </c>
      <c r="X129" s="21" t="str">
        <f t="shared" si="31"/>
        <v/>
      </c>
    </row>
    <row r="130" spans="2:24" ht="15.75" thickBot="1" x14ac:dyDescent="0.3">
      <c r="B130" s="247" t="s">
        <v>382</v>
      </c>
      <c r="C130" s="247" t="s">
        <v>631</v>
      </c>
      <c r="D130" s="247" t="s">
        <v>213</v>
      </c>
      <c r="E130" s="247" t="s">
        <v>880</v>
      </c>
      <c r="F130" s="247" t="s">
        <v>431</v>
      </c>
      <c r="J130" s="21">
        <f>IN_rooms!R$58</f>
        <v>0</v>
      </c>
      <c r="K130" s="21">
        <f>IN_rooms!S$58</f>
        <v>0</v>
      </c>
      <c r="L130" s="21">
        <f>IN_rooms!T$58</f>
        <v>0</v>
      </c>
      <c r="M130" s="21">
        <f>IN_rooms!U$58</f>
        <v>0</v>
      </c>
      <c r="N130" s="21">
        <f>IN_rooms!V$58</f>
        <v>0</v>
      </c>
      <c r="O130" s="21">
        <f>IN_rooms!W$58</f>
        <v>0</v>
      </c>
      <c r="P130" s="21">
        <f>IN_rooms!X$58</f>
        <v>0</v>
      </c>
      <c r="Q130" s="21">
        <f>IN_rooms!Y$58</f>
        <v>0</v>
      </c>
      <c r="R130" s="21">
        <f>IN_rooms!Z$58</f>
        <v>0</v>
      </c>
      <c r="S130" s="21">
        <f>IN_rooms!AA$58</f>
        <v>0</v>
      </c>
      <c r="T130" s="21">
        <f>IN_rooms!AB$58</f>
        <v>0</v>
      </c>
      <c r="U130" s="21">
        <f>IN_rooms!AC$58</f>
        <v>0</v>
      </c>
      <c r="V130" s="21">
        <f>IN_rooms!AD$58</f>
        <v>0</v>
      </c>
      <c r="W130" s="21">
        <f>IN_rooms!AE$58</f>
        <v>0</v>
      </c>
      <c r="X130" s="21">
        <f>IN_rooms!AF$58</f>
        <v>0</v>
      </c>
    </row>
    <row r="131" spans="2:24" ht="15.75" thickBot="1" x14ac:dyDescent="0.3">
      <c r="B131" s="247" t="s">
        <v>236</v>
      </c>
      <c r="C131" s="247" t="s">
        <v>631</v>
      </c>
      <c r="D131" s="247" t="s">
        <v>213</v>
      </c>
      <c r="E131" s="247" t="s">
        <v>881</v>
      </c>
      <c r="F131" s="247" t="s">
        <v>431</v>
      </c>
      <c r="J131" s="21">
        <f>IN_rooms!R$59</f>
        <v>0</v>
      </c>
      <c r="K131" s="21">
        <f>IN_rooms!S$59</f>
        <v>0</v>
      </c>
      <c r="L131" s="21">
        <f>IN_rooms!T$59</f>
        <v>0</v>
      </c>
      <c r="M131" s="21">
        <f>IN_rooms!U$59</f>
        <v>0</v>
      </c>
      <c r="N131" s="21">
        <f>IN_rooms!V$59</f>
        <v>0</v>
      </c>
      <c r="O131" s="21">
        <f>IN_rooms!W$59</f>
        <v>0</v>
      </c>
      <c r="P131" s="21">
        <f>IN_rooms!X$59</f>
        <v>0</v>
      </c>
      <c r="Q131" s="21">
        <f>IN_rooms!Y$59</f>
        <v>0</v>
      </c>
      <c r="R131" s="21">
        <f>IN_rooms!Z$59</f>
        <v>0</v>
      </c>
      <c r="S131" s="21">
        <f>IN_rooms!AA$59</f>
        <v>0</v>
      </c>
      <c r="T131" s="21">
        <f>IN_rooms!AB$59</f>
        <v>0</v>
      </c>
      <c r="U131" s="21">
        <f>IN_rooms!AC$59</f>
        <v>0</v>
      </c>
      <c r="V131" s="21">
        <f>IN_rooms!AD$59</f>
        <v>0</v>
      </c>
      <c r="W131" s="21">
        <f>IN_rooms!AE$59</f>
        <v>0</v>
      </c>
      <c r="X131" s="21">
        <f>IN_rooms!AF$59</f>
        <v>0</v>
      </c>
    </row>
    <row r="132" spans="2:24" ht="15.75" thickBot="1" x14ac:dyDescent="0.3">
      <c r="B132" s="247" t="s">
        <v>390</v>
      </c>
      <c r="C132" s="247" t="s">
        <v>631</v>
      </c>
      <c r="D132" s="247" t="s">
        <v>213</v>
      </c>
      <c r="E132" s="247" t="s">
        <v>882</v>
      </c>
      <c r="F132" s="247" t="s">
        <v>431</v>
      </c>
      <c r="J132" s="21">
        <f>IN_rooms!R$60</f>
        <v>0</v>
      </c>
      <c r="K132" s="21">
        <f>IN_rooms!S$60</f>
        <v>0</v>
      </c>
      <c r="L132" s="21">
        <f>IN_rooms!T$60</f>
        <v>0</v>
      </c>
      <c r="M132" s="21">
        <f>IN_rooms!U$60</f>
        <v>0</v>
      </c>
      <c r="N132" s="21">
        <f>IN_rooms!V$60</f>
        <v>0</v>
      </c>
      <c r="O132" s="21">
        <f>IN_rooms!W$60</f>
        <v>0</v>
      </c>
      <c r="P132" s="21">
        <f>IN_rooms!X$60</f>
        <v>0</v>
      </c>
      <c r="Q132" s="21">
        <f>IN_rooms!Y$60</f>
        <v>0</v>
      </c>
      <c r="R132" s="21">
        <f>IN_rooms!Z$60</f>
        <v>0</v>
      </c>
      <c r="S132" s="21">
        <f>IN_rooms!AA$60</f>
        <v>0</v>
      </c>
      <c r="T132" s="21">
        <f>IN_rooms!AB$60</f>
        <v>0</v>
      </c>
      <c r="U132" s="21">
        <f>IN_rooms!AC$60</f>
        <v>0</v>
      </c>
      <c r="V132" s="21">
        <f>IN_rooms!AD$60</f>
        <v>0</v>
      </c>
      <c r="W132" s="21">
        <f>IN_rooms!AE$60</f>
        <v>0</v>
      </c>
      <c r="X132" s="21">
        <f>IN_rooms!AF$60</f>
        <v>0</v>
      </c>
    </row>
    <row r="133" spans="2:24" ht="15.75" thickBot="1" x14ac:dyDescent="0.3">
      <c r="B133" s="247" t="s">
        <v>781</v>
      </c>
      <c r="C133" s="247" t="s">
        <v>631</v>
      </c>
      <c r="D133" s="247" t="s">
        <v>213</v>
      </c>
      <c r="E133" s="247" t="s">
        <v>883</v>
      </c>
      <c r="F133" s="247"/>
      <c r="J133" s="21">
        <f ca="1">_xlfn.LET(
    _xlpm.typ, clc_power!J$128,
    _xlpm.subtyp, clc_power!J$129,
    _xlpm.höhe, clc_power!J$130,
    _xlpm.tiefe, clc_power!J$132,
    SUMIFS(
        INDIRECT("tabelle1[Heizkörperexponent n ]"),
        INDIRECT("tabelle1[Heizkörper_Typ]"), _xlpm.typ,
        INDIRECT("tabelle1[Heizkörper_Subtyp]"), _xlpm.subtyp,
        INDIRECT("tabelle1[Höhe H in mm]"), _xlpm.höhe,
        INDIRECT("tabelle1[Bautiefe T in mm]"), _xlpm.tiefe
    )
)</f>
        <v>0</v>
      </c>
      <c r="K133" s="21">
        <f>SUMIFS(tabelle1[Wärmeleistung (75/65/20)  in W],tabelle1[Heizkörper_Subtyp],clc_power!K$128,tabelle1[Höhe H in mm],clc_power!K$129,tabelle1[Breite B in mm],clc_power!K$130,tabelle1[Anzahl Rohre],clc_power!K$132)</f>
        <v>0</v>
      </c>
      <c r="L133" s="21">
        <f>SUMIFS(tabelle1[Wärmeleistung (75/65/20)  in W/m],tabelle1[Höhe H in mm],clc_power!L$128,tabelle1[Breite B in mm],clc_power!L$129,tabelle1[HK Fläche in m²],clc_power!L$130,tabelle1[Anzahl Rohreinheiten],clc_power!L$132)</f>
        <v>0</v>
      </c>
      <c r="M133" s="21">
        <f>SUMIFS(tabelle1[Wärmeleistung (75/65/20)  in W/Glied],tabelle1[Breite B in mm],clc_power!M$128,tabelle1[HK Fläche in m²],clc_power!M$129,tabelle1[HK Volumen in m³],clc_power!M$130,tabelle1[Nennweite DN],clc_power!M$132)</f>
        <v>0</v>
      </c>
      <c r="N133" s="21">
        <f>SUMIFS(tabelle1[Wärmeleistung in W/m²],tabelle1[HK Fläche in m²],clc_power!N$128,tabelle1[HK Volumen in m³],clc_power!N$129,tabelle1[Nabenabstand N in mm],clc_power!N$130,tabelle1[Außendurchmesser d in mm],clc_power!N$132)</f>
        <v>0</v>
      </c>
      <c r="O133" s="21">
        <f>SUMIFS(tabelle1[Kommentar],tabelle1[HK Volumen in m³],clc_power!O$128,tabelle1[Nabenabstand N in mm],clc_power!O$129,tabelle1[Bautiefe T in mm],clc_power!O$130,tabelle1[Rippenhöhe in mm],clc_power!O$132)</f>
        <v>0</v>
      </c>
      <c r="P133" s="21">
        <f>SUMIFS(tabelle1[Lfd. Nr.],tabelle1[Nabenabstand N in mm],clc_power!P$128,tabelle1[Bautiefe T in mm],clc_power!P$129,tabelle1[Anzahl Rohre],clc_power!P$130,tabelle1[Mittlere Rohrübertemperatur in K],clc_power!P$132)</f>
        <v>0</v>
      </c>
      <c r="Q133" s="21">
        <f>SUMIFS(tabelle1[Spalte1],tabelle1[Bautiefe T in mm],clc_power!Q$128,tabelle1[Anzahl Rohre],clc_power!Q$129,tabelle1[Anzahl Rohreinheiten],clc_power!Q$130,tabelle1[Übertemperatur in K],clc_power!Q$132)</f>
        <v>0</v>
      </c>
      <c r="R133" s="21">
        <f>SUMIFS(tabelle1[Heizkörper Subtyp],tabelle1[Anzahl Rohre],clc_power!R$128,tabelle1[Anzahl Rohreinheiten],clc_power!R$129,tabelle1[Nennweite DN],clc_power!R$130,tabelle1[Mittlere Wassertemperatur in °C],clc_power!R$132)</f>
        <v>0</v>
      </c>
      <c r="S133" s="21">
        <f>SUMIFS(tabelle1[Heizkörper_Typ],tabelle1[Anzahl Rohreinheiten],clc_power!S$128,tabelle1[Nennweite DN],clc_power!S$129,tabelle1[Außendurchmesser d in mm],clc_power!S$130,tabelle1[Rippenhöhe h in mm],clc_power!S$132)</f>
        <v>0</v>
      </c>
      <c r="T133" s="21">
        <f>SUMIFS(tabelle1[Heizkörper_Subtyp],tabelle1[Nennweite DN],clc_power!T$128,tabelle1[Außendurchmesser d in mm],clc_power!T$129,tabelle1[Rippenhöhe in mm],clc_power!T$130,tabelle1[Rippenabstand a in mm],clc_power!T$132)</f>
        <v>0</v>
      </c>
      <c r="U133" s="21">
        <f>SUMIFS(tabelle1[Höhe H in mm],tabelle1[Außendurchmesser d in mm],clc_power!U$128,tabelle1[Rippenhöhe in mm],clc_power!U$129,tabelle1[Mittlere Rohrübertemperatur in K],clc_power!U$130,tabelle1[Rohrreihen],clc_power!U$132)</f>
        <v>0</v>
      </c>
      <c r="V133" s="21">
        <f>SUMIFS(tabelle1[Breite B in mm],tabelle1[Rippenhöhe in mm],clc_power!V$128,tabelle1[Mittlere Rohrübertemperatur in K],clc_power!V$129,tabelle1[Übertemperatur in K],clc_power!V$130,tabelle1[[Heizkörperexponent n ]],clc_power!V$132)</f>
        <v>0</v>
      </c>
      <c r="W133" s="21">
        <f>SUMIFS(tabelle1[HK Fläche in m²],tabelle1[Mittlere Rohrübertemperatur in K],clc_power!W$128,tabelle1[Übertemperatur in K],clc_power!W$129,tabelle1[Mittlere Wassertemperatur in °C],clc_power!W$130,tabelle1[Wärmeleistung (75/65/20)  in W],clc_power!W$132)</f>
        <v>0</v>
      </c>
      <c r="X133" s="21">
        <f>SUMIFS(tabelle1[HK Volumen in m³],tabelle1[Übertemperatur in K],clc_power!X$128,tabelle1[Mittlere Wassertemperatur in °C],clc_power!X$129,tabelle1[Rippenhöhe h in mm],clc_power!X$130,tabelle1[Wärmeleistung (75/65/20)  in W/m],clc_power!X$132)</f>
        <v>0</v>
      </c>
    </row>
    <row r="134" spans="2:24" ht="15.75" thickBot="1" x14ac:dyDescent="0.3">
      <c r="B134" s="247" t="s">
        <v>783</v>
      </c>
      <c r="C134" s="247" t="s">
        <v>631</v>
      </c>
      <c r="D134" s="247" t="s">
        <v>213</v>
      </c>
      <c r="E134" s="247" t="s">
        <v>884</v>
      </c>
      <c r="F134" s="247" t="s">
        <v>112</v>
      </c>
      <c r="J134" s="21">
        <f ca="1">_xlfn.LET(
    _xlpm.anzahl, IN_rooms!R$62,
    _xlpm.typ, clc_power!J$128,
    _xlpm.subtyp, clc_power!J$129,
    _xlpm.höhe, clc_power!J$130,
    _xlpm.breite, clc_power!J$131,
    _xlpm.tiefe, clc_power!J$132,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K134" s="21">
        <f>IF(IN_rooms!S$62*SUMIFS(tabelle1[Wärmeleistung (75/65/20)  in W/Glied],tabelle1[Heizkörper_Subtyp],clc_power!K$128,tabelle1[Höhe H in mm],clc_power!K$129,tabelle1[Breite B in mm],clc_power!K$130,tabelle1[Anzahl Rohre],clc_power!K$132)*K$131/1000&gt;0,
IN_rooms!S$62*SUMIFS(tabelle1[Wärmeleistung (75/65/20)  in W/Glied],tabelle1[Heizkörper_Subtyp],clc_power!K$128,tabelle1[Höhe H in mm],clc_power!K$129,tabelle1[Breite B in mm],clc_power!K$130,tabelle1[Anzahl Rohre],clc_power!K$132)*K$131/1000,0)</f>
        <v>0</v>
      </c>
      <c r="L134" s="21">
        <f>IF(IN_rooms!T$62*SUMIFS(tabelle1[Wärmeleistung in W/m²],tabelle1[Höhe H in mm],clc_power!L$128,tabelle1[Breite B in mm],clc_power!L$129,tabelle1[HK Fläche in m²],clc_power!L$130,tabelle1[Anzahl Rohreinheiten],clc_power!L$132)*L$131/1000&gt;0,
IN_rooms!T$62*SUMIFS(tabelle1[Wärmeleistung in W/m²],tabelle1[Höhe H in mm],clc_power!L$128,tabelle1[Breite B in mm],clc_power!L$129,tabelle1[HK Fläche in m²],clc_power!L$130,tabelle1[Anzahl Rohreinheiten],clc_power!L$132)*L$131/1000,0)</f>
        <v>0</v>
      </c>
      <c r="M134" s="21">
        <f>IF(IN_rooms!U$62*SUMIFS(tabelle1[Kommentar],tabelle1[Breite B in mm],clc_power!M$128,tabelle1[HK Fläche in m²],clc_power!M$129,tabelle1[HK Volumen in m³],clc_power!M$130,tabelle1[Nennweite DN],clc_power!M$132)*M$131/1000&gt;0,
IN_rooms!U$62*SUMIFS(tabelle1[Kommentar],tabelle1[Breite B in mm],clc_power!M$128,tabelle1[HK Fläche in m²],clc_power!M$129,tabelle1[HK Volumen in m³],clc_power!M$130,tabelle1[Nennweite DN],clc_power!M$132)*M$131/1000,0)</f>
        <v>0</v>
      </c>
      <c r="N134" s="21">
        <f>IF(IN_rooms!V$62*SUMIFS(tabelle1[Lfd. Nr.],tabelle1[HK Fläche in m²],clc_power!N$128,tabelle1[HK Volumen in m³],clc_power!N$129,tabelle1[Nabenabstand N in mm],clc_power!N$130,tabelle1[Außendurchmesser d in mm],clc_power!N$132)*N$131/1000&gt;0,
IN_rooms!V$62*SUMIFS(tabelle1[Lfd. Nr.],tabelle1[HK Fläche in m²],clc_power!N$128,tabelle1[HK Volumen in m³],clc_power!N$129,tabelle1[Nabenabstand N in mm],clc_power!N$130,tabelle1[Außendurchmesser d in mm],clc_power!N$132)*N$131/1000,0)</f>
        <v>0</v>
      </c>
      <c r="O134" s="21">
        <f>IF(IN_rooms!W$62*SUMIFS(tabelle1[Spalte1],tabelle1[HK Volumen in m³],clc_power!O$128,tabelle1[Nabenabstand N in mm],clc_power!O$129,tabelle1[Bautiefe T in mm],clc_power!O$130,tabelle1[Rippenhöhe in mm],clc_power!O$132)*O$131/1000&gt;0,
IN_rooms!W$62*SUMIFS(tabelle1[Spalte1],tabelle1[HK Volumen in m³],clc_power!O$128,tabelle1[Nabenabstand N in mm],clc_power!O$129,tabelle1[Bautiefe T in mm],clc_power!O$130,tabelle1[Rippenhöhe in mm],clc_power!O$132)*O$131/1000,0)</f>
        <v>0</v>
      </c>
      <c r="P134" s="21">
        <f>IF(IN_rooms!X$62*SUMIFS(tabelle1[Heizkörper Subtyp],tabelle1[Nabenabstand N in mm],clc_power!P$128,tabelle1[Bautiefe T in mm],clc_power!P$129,tabelle1[Anzahl Rohre],clc_power!P$130,tabelle1[Mittlere Rohrübertemperatur in K],clc_power!P$132)*P$131/1000&gt;0,
IN_rooms!X$62*SUMIFS(tabelle1[Heizkörper Subtyp],tabelle1[Nabenabstand N in mm],clc_power!P$128,tabelle1[Bautiefe T in mm],clc_power!P$129,tabelle1[Anzahl Rohre],clc_power!P$130,tabelle1[Mittlere Rohrübertemperatur in K],clc_power!P$132)*P$131/1000,0)</f>
        <v>0</v>
      </c>
      <c r="Q134" s="21">
        <f>IF(IN_rooms!Y$62*SUMIFS(tabelle1[Heizkörper_Typ],tabelle1[Bautiefe T in mm],clc_power!Q$128,tabelle1[Anzahl Rohre],clc_power!Q$129,tabelle1[Anzahl Rohreinheiten],clc_power!Q$130,tabelle1[Übertemperatur in K],clc_power!Q$132)*Q$131/1000&gt;0,
IN_rooms!Y$62*SUMIFS(tabelle1[Heizkörper_Typ],tabelle1[Bautiefe T in mm],clc_power!Q$128,tabelle1[Anzahl Rohre],clc_power!Q$129,tabelle1[Anzahl Rohreinheiten],clc_power!Q$130,tabelle1[Übertemperatur in K],clc_power!Q$132)*Q$131/1000,0)</f>
        <v>0</v>
      </c>
      <c r="R134" s="21">
        <f>IF(IN_rooms!Z$62*SUMIFS(tabelle1[Heizkörper_Subtyp],tabelle1[Anzahl Rohre],clc_power!R$128,tabelle1[Anzahl Rohreinheiten],clc_power!R$129,tabelle1[Nennweite DN],clc_power!R$130,tabelle1[Mittlere Wassertemperatur in °C],clc_power!R$132)*R$131/1000&gt;0,
IN_rooms!Z$62*SUMIFS(tabelle1[Heizkörper_Subtyp],tabelle1[Anzahl Rohre],clc_power!R$128,tabelle1[Anzahl Rohreinheiten],clc_power!R$129,tabelle1[Nennweite DN],clc_power!R$130,tabelle1[Mittlere Wassertemperatur in °C],clc_power!R$132)*R$131/1000,0)</f>
        <v>0</v>
      </c>
      <c r="S134" s="21">
        <f>IF(IN_rooms!AA$62*SUMIFS(tabelle1[Höhe H in mm],tabelle1[Anzahl Rohreinheiten],clc_power!S$128,tabelle1[Nennweite DN],clc_power!S$129,tabelle1[Außendurchmesser d in mm],clc_power!S$130,tabelle1[Rippenhöhe h in mm],clc_power!S$132)*S$131/1000&gt;0,
IN_rooms!AA$62*SUMIFS(tabelle1[Höhe H in mm],tabelle1[Anzahl Rohreinheiten],clc_power!S$128,tabelle1[Nennweite DN],clc_power!S$129,tabelle1[Außendurchmesser d in mm],clc_power!S$130,tabelle1[Rippenhöhe h in mm],clc_power!S$132)*S$131/1000,0)</f>
        <v>0</v>
      </c>
      <c r="T134" s="21">
        <f>IF(IN_rooms!AB$62*SUMIFS(tabelle1[Breite B in mm],tabelle1[Nennweite DN],clc_power!T$128,tabelle1[Außendurchmesser d in mm],clc_power!T$129,tabelle1[Rippenhöhe in mm],clc_power!T$130,tabelle1[Rippenabstand a in mm],clc_power!T$132)*T$131/1000&gt;0,
IN_rooms!AB$62*SUMIFS(tabelle1[Breite B in mm],tabelle1[Nennweite DN],clc_power!T$128,tabelle1[Außendurchmesser d in mm],clc_power!T$129,tabelle1[Rippenhöhe in mm],clc_power!T$130,tabelle1[Rippenabstand a in mm],clc_power!T$132)*T$131/1000,0)</f>
        <v>0</v>
      </c>
      <c r="U134" s="21">
        <f>IF(IN_rooms!AC$62*SUMIFS(tabelle1[HK Fläche in m²],tabelle1[Außendurchmesser d in mm],clc_power!U$128,tabelle1[Rippenhöhe in mm],clc_power!U$129,tabelle1[Mittlere Rohrübertemperatur in K],clc_power!U$130,tabelle1[Rohrreihen],clc_power!U$132)*U$131/1000&gt;0,
IN_rooms!AC$62*SUMIFS(tabelle1[HK Fläche in m²],tabelle1[Außendurchmesser d in mm],clc_power!U$128,tabelle1[Rippenhöhe in mm],clc_power!U$129,tabelle1[Mittlere Rohrübertemperatur in K],clc_power!U$130,tabelle1[Rohrreihen],clc_power!U$132)*U$131/1000,0)</f>
        <v>0</v>
      </c>
      <c r="V134" s="21">
        <f>IF(IN_rooms!AD$62*SUMIFS(tabelle1[HK Volumen in m³],tabelle1[Rippenhöhe in mm],clc_power!V$128,tabelle1[Mittlere Rohrübertemperatur in K],clc_power!V$129,tabelle1[Übertemperatur in K],clc_power!V$130,tabelle1[[Heizkörperexponent n ]],clc_power!V$132)*V$131/1000&gt;0,
IN_rooms!AD$62*SUMIFS(tabelle1[HK Volumen in m³],tabelle1[Rippenhöhe in mm],clc_power!V$128,tabelle1[Mittlere Rohrübertemperatur in K],clc_power!V$129,tabelle1[Übertemperatur in K],clc_power!V$130,tabelle1[[Heizkörperexponent n ]],clc_power!V$132)*V$131/1000,0)</f>
        <v>0</v>
      </c>
      <c r="W134" s="21">
        <f>IF(IN_rooms!AE$62*SUMIFS(tabelle1[Nabenabstand N in mm],tabelle1[Mittlere Rohrübertemperatur in K],clc_power!W$128,tabelle1[Übertemperatur in K],clc_power!W$129,tabelle1[Mittlere Wassertemperatur in °C],clc_power!W$130,tabelle1[Wärmeleistung (75/65/20)  in W],clc_power!W$132)*W$131/1000&gt;0,
IN_rooms!AE$62*SUMIFS(tabelle1[Nabenabstand N in mm],tabelle1[Mittlere Rohrübertemperatur in K],clc_power!W$128,tabelle1[Übertemperatur in K],clc_power!W$129,tabelle1[Mittlere Wassertemperatur in °C],clc_power!W$130,tabelle1[Wärmeleistung (75/65/20)  in W],clc_power!W$132)*W$131/1000,0)</f>
        <v>0</v>
      </c>
      <c r="X134" s="21">
        <f>IF(IN_rooms!AF$62*SUMIFS(tabelle1[Bautiefe T in mm],tabelle1[Übertemperatur in K],clc_power!X$128,tabelle1[Mittlere Wassertemperatur in °C],clc_power!X$129,tabelle1[Rippenhöhe h in mm],clc_power!X$130,tabelle1[Wärmeleistung (75/65/20)  in W/m],clc_power!X$132)*X$131/1000&gt;0,
IN_rooms!AF$62*SUMIFS(tabelle1[Bautiefe T in mm],tabelle1[Übertemperatur in K],clc_power!X$128,tabelle1[Mittlere Wassertemperatur in °C],clc_power!X$129,tabelle1[Rippenhöhe h in mm],clc_power!X$130,tabelle1[Wärmeleistung (75/65/20)  in W/m],clc_power!X$132)*X$131/1000,0)</f>
        <v>0</v>
      </c>
    </row>
    <row r="135" spans="2:24" ht="15.75" thickBot="1" x14ac:dyDescent="0.3">
      <c r="B135" s="247" t="s">
        <v>785</v>
      </c>
      <c r="C135" s="247" t="s">
        <v>631</v>
      </c>
      <c r="D135" s="247" t="s">
        <v>213</v>
      </c>
      <c r="E135" s="247" t="s">
        <v>832</v>
      </c>
      <c r="F135" s="247" t="s">
        <v>107</v>
      </c>
      <c r="J135" s="21">
        <f>TVL_Ziel</f>
        <v>55</v>
      </c>
      <c r="K135" s="21">
        <f t="shared" ref="K135:X135" si="32">TVL_Ziel</f>
        <v>55</v>
      </c>
      <c r="L135" s="21">
        <f t="shared" si="32"/>
        <v>55</v>
      </c>
      <c r="M135" s="21">
        <f t="shared" si="32"/>
        <v>55</v>
      </c>
      <c r="N135" s="21">
        <f t="shared" si="32"/>
        <v>55</v>
      </c>
      <c r="O135" s="21">
        <f t="shared" si="32"/>
        <v>55</v>
      </c>
      <c r="P135" s="21">
        <f t="shared" si="32"/>
        <v>55</v>
      </c>
      <c r="Q135" s="21">
        <f t="shared" si="32"/>
        <v>55</v>
      </c>
      <c r="R135" s="21">
        <f t="shared" si="32"/>
        <v>55</v>
      </c>
      <c r="S135" s="21">
        <f t="shared" si="32"/>
        <v>55</v>
      </c>
      <c r="T135" s="21">
        <f t="shared" si="32"/>
        <v>55</v>
      </c>
      <c r="U135" s="21">
        <f t="shared" si="32"/>
        <v>55</v>
      </c>
      <c r="V135" s="21">
        <f t="shared" si="32"/>
        <v>55</v>
      </c>
      <c r="W135" s="21">
        <f t="shared" si="32"/>
        <v>55</v>
      </c>
      <c r="X135" s="21">
        <f t="shared" si="32"/>
        <v>55</v>
      </c>
    </row>
    <row r="136" spans="2:24" ht="15.75" thickBot="1" x14ac:dyDescent="0.3">
      <c r="B136" s="247" t="s">
        <v>787</v>
      </c>
      <c r="C136" s="247" t="s">
        <v>631</v>
      </c>
      <c r="D136" s="247" t="s">
        <v>213</v>
      </c>
      <c r="E136" s="247" t="s">
        <v>833</v>
      </c>
      <c r="F136" s="247" t="s">
        <v>107</v>
      </c>
      <c r="J136" s="21">
        <f>TRL_Ziel</f>
        <v>45</v>
      </c>
      <c r="K136" s="21">
        <f t="shared" ref="K136:X136" si="33">TRL_Ziel</f>
        <v>45</v>
      </c>
      <c r="L136" s="21">
        <f t="shared" si="33"/>
        <v>45</v>
      </c>
      <c r="M136" s="21">
        <f t="shared" si="33"/>
        <v>45</v>
      </c>
      <c r="N136" s="21">
        <f t="shared" si="33"/>
        <v>45</v>
      </c>
      <c r="O136" s="21">
        <f t="shared" si="33"/>
        <v>45</v>
      </c>
      <c r="P136" s="21">
        <f t="shared" si="33"/>
        <v>45</v>
      </c>
      <c r="Q136" s="21">
        <f t="shared" si="33"/>
        <v>45</v>
      </c>
      <c r="R136" s="21">
        <f t="shared" si="33"/>
        <v>45</v>
      </c>
      <c r="S136" s="21">
        <f t="shared" si="33"/>
        <v>45</v>
      </c>
      <c r="T136" s="21">
        <f t="shared" si="33"/>
        <v>45</v>
      </c>
      <c r="U136" s="21">
        <f t="shared" si="33"/>
        <v>45</v>
      </c>
      <c r="V136" s="21">
        <f t="shared" si="33"/>
        <v>45</v>
      </c>
      <c r="W136" s="21">
        <f t="shared" si="33"/>
        <v>45</v>
      </c>
      <c r="X136" s="21">
        <f t="shared" si="33"/>
        <v>45</v>
      </c>
    </row>
    <row r="137" spans="2:24" ht="15.75" thickBot="1" x14ac:dyDescent="0.3">
      <c r="B137" s="247" t="s">
        <v>789</v>
      </c>
      <c r="C137" s="247" t="s">
        <v>631</v>
      </c>
      <c r="D137" s="247" t="s">
        <v>213</v>
      </c>
      <c r="E137" s="247" t="s">
        <v>885</v>
      </c>
      <c r="F137" s="247" t="s">
        <v>791</v>
      </c>
      <c r="J137" s="79">
        <f>(J$135-J$136)/(LN((J$135-clc_load!M$10)/(clc_power!J$136-clc_load!M$10)))</f>
        <v>29.720134119884619</v>
      </c>
      <c r="K137" s="79">
        <f>(K$135-K$136)/(LN((K$135-clc_load!N$10)/(clc_power!K$136-clc_load!N$10)))</f>
        <v>29.720134119884619</v>
      </c>
      <c r="L137" s="79">
        <f>(L$135-L$136)/(LN((L$135-clc_load!O$10)/(clc_power!L$136-clc_load!O$10)))</f>
        <v>29.720134119884619</v>
      </c>
      <c r="M137" s="79">
        <f>(M$135-M$136)/(LN((M$135-clc_load!P$10)/(clc_power!M$136-clc_load!P$10)))</f>
        <v>29.720134119884619</v>
      </c>
      <c r="N137" s="79">
        <f>(N$135-N$136)/(LN((N$135-clc_load!Q$10)/(clc_power!N$136-clc_load!Q$10)))</f>
        <v>29.720134119884619</v>
      </c>
      <c r="O137" s="79">
        <f>(O$135-O$136)/(LN((O$135-clc_load!R$10)/(clc_power!O$136-clc_load!R$10)))</f>
        <v>29.720134119884619</v>
      </c>
      <c r="P137" s="79">
        <f>(P$135-P$136)/(LN((P$135-clc_load!S$10)/(clc_power!P$136-clc_load!S$10)))</f>
        <v>29.720134119884619</v>
      </c>
      <c r="Q137" s="79">
        <f>(Q$135-Q$136)/(LN((Q$135-clc_load!T$10)/(clc_power!Q$136-clc_load!T$10)))</f>
        <v>29.720134119884619</v>
      </c>
      <c r="R137" s="79">
        <f>(R$135-R$136)/(LN((R$135-clc_load!U$10)/(clc_power!R$136-clc_load!U$10)))</f>
        <v>29.720134119884619</v>
      </c>
      <c r="S137" s="79">
        <f>(S$135-S$136)/(LN((S$135-clc_load!V$10)/(clc_power!S$136-clc_load!V$10)))</f>
        <v>29.720134119884619</v>
      </c>
      <c r="T137" s="79">
        <f>(T$135-T$136)/(LN((T$135-clc_load!W$10)/(clc_power!T$136-clc_load!W$10)))</f>
        <v>29.720134119884619</v>
      </c>
      <c r="U137" s="79">
        <f>(U$135-U$136)/(LN((U$135-clc_load!X$10)/(clc_power!U$136-clc_load!X$10)))</f>
        <v>29.720134119884619</v>
      </c>
      <c r="V137" s="79">
        <f>(V$135-V$136)/(LN((V$135-clc_load!Y$10)/(clc_power!V$136-clc_load!Y$10)))</f>
        <v>29.720134119884619</v>
      </c>
      <c r="W137" s="79">
        <f>(W$135-W$136)/(LN((W$135-clc_load!Z$10)/(clc_power!W$136-clc_load!Z$10)))</f>
        <v>29.720134119884619</v>
      </c>
      <c r="X137" s="79">
        <f>(X$135-X$136)/(LN((X$135-clc_load!AA$10)/(clc_power!X$136-clc_load!AA$10)))</f>
        <v>29.720134119884619</v>
      </c>
    </row>
    <row r="138" spans="2:24" ht="15.75" thickBot="1" x14ac:dyDescent="0.3">
      <c r="B138" s="247" t="s">
        <v>792</v>
      </c>
      <c r="C138" s="247" t="s">
        <v>631</v>
      </c>
      <c r="D138" s="247" t="s">
        <v>213</v>
      </c>
      <c r="E138" s="247" t="s">
        <v>886</v>
      </c>
      <c r="F138" s="247" t="s">
        <v>112</v>
      </c>
      <c r="J138" s="79">
        <f t="shared" ref="J138:X138" ca="1" si="34">IF(J$134*((J$137/Log_ÜT_Norm)^J$133)&gt;0,
J$134*((J$137/Log_ÜT_Norm)^J$133),0)</f>
        <v>0</v>
      </c>
      <c r="K138" s="79">
        <f t="shared" si="34"/>
        <v>0</v>
      </c>
      <c r="L138" s="79">
        <f t="shared" si="34"/>
        <v>0</v>
      </c>
      <c r="M138" s="79">
        <f t="shared" si="34"/>
        <v>0</v>
      </c>
      <c r="N138" s="79">
        <f t="shared" si="34"/>
        <v>0</v>
      </c>
      <c r="O138" s="79">
        <f t="shared" si="34"/>
        <v>0</v>
      </c>
      <c r="P138" s="79">
        <f t="shared" si="34"/>
        <v>0</v>
      </c>
      <c r="Q138" s="79">
        <f t="shared" si="34"/>
        <v>0</v>
      </c>
      <c r="R138" s="79">
        <f t="shared" si="34"/>
        <v>0</v>
      </c>
      <c r="S138" s="79">
        <f t="shared" si="34"/>
        <v>0</v>
      </c>
      <c r="T138" s="79">
        <f t="shared" si="34"/>
        <v>0</v>
      </c>
      <c r="U138" s="79">
        <f t="shared" si="34"/>
        <v>0</v>
      </c>
      <c r="V138" s="79">
        <f t="shared" si="34"/>
        <v>0</v>
      </c>
      <c r="W138" s="79">
        <f t="shared" si="34"/>
        <v>0</v>
      </c>
      <c r="X138" s="79">
        <f t="shared" si="34"/>
        <v>0</v>
      </c>
    </row>
    <row r="139" spans="2:24" ht="15.75" thickBot="1" x14ac:dyDescent="0.3">
      <c r="B139" s="248" t="s">
        <v>794</v>
      </c>
      <c r="C139" s="248" t="s">
        <v>631</v>
      </c>
      <c r="D139" s="248" t="s">
        <v>795</v>
      </c>
      <c r="E139" s="248" t="s">
        <v>887</v>
      </c>
      <c r="F139" s="248" t="s">
        <v>112</v>
      </c>
      <c r="J139" s="79">
        <f ca="1">_xlfn.LET(
    _xlpm.typ, "Flachheizkoerper_senkrecht_profiliert",
    _xlpm.subtyp, "Typ_33",
    _xlpm.höhe, _xlfn.XLOOKUP(J$130, Data_radiator!$G$5:$G$32, Data_radiator!$G$5:$G$32, 1000000, 1, 1),
    _xlpm.tiefe, 155,
    _xlpm.breite, J$131 / 1000,
    _xlpm.exponentFaktor, J$137 / Log_ÜT_Norm,
    _xlpm.anzahl, IN_rooms!R$62,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K139" s="79">
        <f>IF(IN_rooms!S$62*(SUMIFS(
tabelle1[Wärmeleistung (75/65/20)  in W/Glied],
tabelle1[Heizkörper_Subtyp],"Flachheizkoerper_senkrecht_profiliert",
tabelle1[Höhe H in mm],"Typ_33",
tabelle1[Breite B in mm],_xlfn.XLOOKUP(K$130,Data_radiator!$G$5:$G$32,Data_radiator!$G$5:$G$32,1000000,1,1),
tabelle1[Anzahl Rohre],155)*(K$131/1000)*(K$137/Log_ÜT_Norm)^SUMIFS(
tabelle1[Wärmeleistung (75/65/20)  in W],tabelle1[Heizkörper_Subtyp],"Flachheizkoerper_senkrecht_profiliert",
tabelle1[Höhe H in mm],"Typ_33",
tabelle1[Breite B in mm],_xlfn.XLOOKUP(K$130,Data_radiator!$G$5:$G$32,Data_radiator!$G$5:$G$32,1000000,1,1),
tabelle1[Anzahl Rohre],155))&gt;0,
IN_rooms!S$62*(SUMIFS(
tabelle1[Wärmeleistung (75/65/20)  in W/Glied],
tabelle1[Heizkörper_Subtyp],"Flachheizkoerper_senkrecht_profiliert",
tabelle1[Höhe H in mm],"Typ_33",
tabelle1[Breite B in mm],_xlfn.XLOOKUP(K$130,Data_radiator!$G$5:$G$32,Data_radiator!$G$5:$G$32,1000000,1,1),
tabelle1[Anzahl Rohre],155)*(K$131/1000)*(K$137/Log_ÜT_Norm)^SUMIFS(
tabelle1[Wärmeleistung (75/65/20)  in W],tabelle1[Heizkörper_Subtyp],"Flachheizkoerper_senkrecht_profiliert",
tabelle1[Höhe H in mm],"Typ_33",
tabelle1[Breite B in mm],_xlfn.XLOOKUP(K$130,Data_radiator!$G$5:$G$32,Data_radiator!$G$5:$G$32,1000000,1,1),
tabelle1[Anzahl Rohre],155)),0)</f>
        <v>0</v>
      </c>
      <c r="L139" s="79">
        <f>IF(IN_rooms!T$62*(SUMIFS(
tabelle1[Wärmeleistung in W/m²],
tabelle1[Höhe H in mm],"Flachheizkoerper_senkrecht_profiliert",
tabelle1[Breite B in mm],"Typ_33",
tabelle1[HK Fläche in m²],_xlfn.XLOOKUP(L$130,Data_radiator!$G$5:$G$32,Data_radiator!$G$5:$G$32,1000000,1,1),
tabelle1[Anzahl Rohreinheiten],155)*(L$131/1000)*(L$137/Log_ÜT_Norm)^SUMIFS(
tabelle1[Wärmeleistung (75/65/20)  in W/m],tabelle1[Höhe H in mm],"Flachheizkoerper_senkrecht_profiliert",
tabelle1[Breite B in mm],"Typ_33",
tabelle1[HK Fläche in m²],_xlfn.XLOOKUP(L$130,Data_radiator!$G$5:$G$32,Data_radiator!$G$5:$G$32,1000000,1,1),
tabelle1[Anzahl Rohreinheiten],155))&gt;0,
IN_rooms!T$62*(SUMIFS(
tabelle1[Wärmeleistung in W/m²],
tabelle1[Höhe H in mm],"Flachheizkoerper_senkrecht_profiliert",
tabelle1[Breite B in mm],"Typ_33",
tabelle1[HK Fläche in m²],_xlfn.XLOOKUP(L$130,Data_radiator!$G$5:$G$32,Data_radiator!$G$5:$G$32,1000000,1,1),
tabelle1[Anzahl Rohreinheiten],155)*(L$131/1000)*(L$137/Log_ÜT_Norm)^SUMIFS(
tabelle1[Wärmeleistung (75/65/20)  in W/m],tabelle1[Höhe H in mm],"Flachheizkoerper_senkrecht_profiliert",
tabelle1[Breite B in mm],"Typ_33",
tabelle1[HK Fläche in m²],_xlfn.XLOOKUP(L$130,Data_radiator!$G$5:$G$32,Data_radiator!$G$5:$G$32,1000000,1,1),
tabelle1[Anzahl Rohreinheiten],155)),0)</f>
        <v>0</v>
      </c>
      <c r="M139" s="79">
        <f>IF(IN_rooms!U$62*(SUMIFS(
tabelle1[Kommentar],
tabelle1[Breite B in mm],"Flachheizkoerper_senkrecht_profiliert",
tabelle1[HK Fläche in m²],"Typ_33",
tabelle1[HK Volumen in m³],_xlfn.XLOOKUP(M$130,Data_radiator!$G$5:$G$32,Data_radiator!$G$5:$G$32,1000000,1,1),
tabelle1[Nennweite DN],155)*(M$131/1000)*(M$137/Log_ÜT_Norm)^SUMIFS(
tabelle1[Wärmeleistung (75/65/20)  in W/Glied],tabelle1[Breite B in mm],"Flachheizkoerper_senkrecht_profiliert",
tabelle1[HK Fläche in m²],"Typ_33",
tabelle1[HK Volumen in m³],_xlfn.XLOOKUP(M$130,Data_radiator!$G$5:$G$32,Data_radiator!$G$5:$G$32,1000000,1,1),
tabelle1[Nennweite DN],155))&gt;0,
IN_rooms!U$62*(SUMIFS(
tabelle1[Kommentar],
tabelle1[Breite B in mm],"Flachheizkoerper_senkrecht_profiliert",
tabelle1[HK Fläche in m²],"Typ_33",
tabelle1[HK Volumen in m³],_xlfn.XLOOKUP(M$130,Data_radiator!$G$5:$G$32,Data_radiator!$G$5:$G$32,1000000,1,1),
tabelle1[Nennweite DN],155)*(M$131/1000)*(M$137/Log_ÜT_Norm)^SUMIFS(
tabelle1[Wärmeleistung (75/65/20)  in W/Glied],tabelle1[Breite B in mm],"Flachheizkoerper_senkrecht_profiliert",
tabelle1[HK Fläche in m²],"Typ_33",
tabelle1[HK Volumen in m³],_xlfn.XLOOKUP(M$130,Data_radiator!$G$5:$G$32,Data_radiator!$G$5:$G$32,1000000,1,1),
tabelle1[Nennweite DN],155)),0)</f>
        <v>0</v>
      </c>
      <c r="N139" s="79">
        <f>IF(IN_rooms!V$62*(SUMIFS(
tabelle1[Lfd. Nr.],
tabelle1[HK Fläche in m²],"Flachheizkoerper_senkrecht_profiliert",
tabelle1[HK Volumen in m³],"Typ_33",
tabelle1[Nabenabstand N in mm],_xlfn.XLOOKUP(N$130,Data_radiator!$G$5:$G$32,Data_radiator!$G$5:$G$32,1000000,1,1),
tabelle1[Außendurchmesser d in mm],155)*(N$131/1000)*(N$137/Log_ÜT_Norm)^SUMIFS(
tabelle1[Wärmeleistung in W/m²],tabelle1[HK Fläche in m²],"Flachheizkoerper_senkrecht_profiliert",
tabelle1[HK Volumen in m³],"Typ_33",
tabelle1[Nabenabstand N in mm],_xlfn.XLOOKUP(N$130,Data_radiator!$G$5:$G$32,Data_radiator!$G$5:$G$32,1000000,1,1),
tabelle1[Außendurchmesser d in mm],155))&gt;0,
IN_rooms!V$62*(SUMIFS(
tabelle1[Lfd. Nr.],
tabelle1[HK Fläche in m²],"Flachheizkoerper_senkrecht_profiliert",
tabelle1[HK Volumen in m³],"Typ_33",
tabelle1[Nabenabstand N in mm],_xlfn.XLOOKUP(N$130,Data_radiator!$G$5:$G$32,Data_radiator!$G$5:$G$32,1000000,1,1),
tabelle1[Außendurchmesser d in mm],155)*(N$131/1000)*(N$137/Log_ÜT_Norm)^SUMIFS(
tabelle1[Wärmeleistung in W/m²],tabelle1[HK Fläche in m²],"Flachheizkoerper_senkrecht_profiliert",
tabelle1[HK Volumen in m³],"Typ_33",
tabelle1[Nabenabstand N in mm],_xlfn.XLOOKUP(N$130,Data_radiator!$G$5:$G$32,Data_radiator!$G$5:$G$32,1000000,1,1),
tabelle1[Außendurchmesser d in mm],155)),0)</f>
        <v>0</v>
      </c>
      <c r="O139" s="79">
        <f>IF(IN_rooms!W$62*(SUMIFS(
tabelle1[Spalte1],
tabelle1[HK Volumen in m³],"Flachheizkoerper_senkrecht_profiliert",
tabelle1[Nabenabstand N in mm],"Typ_33",
tabelle1[Bautiefe T in mm],_xlfn.XLOOKUP(O$130,Data_radiator!$G$5:$G$32,Data_radiator!$G$5:$G$32,1000000,1,1),
tabelle1[Rippenhöhe in mm],155)*(O$131/1000)*(O$137/Log_ÜT_Norm)^SUMIFS(
tabelle1[Kommentar],tabelle1[HK Volumen in m³],"Flachheizkoerper_senkrecht_profiliert",
tabelle1[Nabenabstand N in mm],"Typ_33",
tabelle1[Bautiefe T in mm],_xlfn.XLOOKUP(O$130,Data_radiator!$G$5:$G$32,Data_radiator!$G$5:$G$32,1000000,1,1),
tabelle1[Rippenhöhe in mm],155))&gt;0,
IN_rooms!W$62*(SUMIFS(
tabelle1[Spalte1],
tabelle1[HK Volumen in m³],"Flachheizkoerper_senkrecht_profiliert",
tabelle1[Nabenabstand N in mm],"Typ_33",
tabelle1[Bautiefe T in mm],_xlfn.XLOOKUP(O$130,Data_radiator!$G$5:$G$32,Data_radiator!$G$5:$G$32,1000000,1,1),
tabelle1[Rippenhöhe in mm],155)*(O$131/1000)*(O$137/Log_ÜT_Norm)^SUMIFS(
tabelle1[Kommentar],tabelle1[HK Volumen in m³],"Flachheizkoerper_senkrecht_profiliert",
tabelle1[Nabenabstand N in mm],"Typ_33",
tabelle1[Bautiefe T in mm],_xlfn.XLOOKUP(O$130,Data_radiator!$G$5:$G$32,Data_radiator!$G$5:$G$32,1000000,1,1),
tabelle1[Rippenhöhe in mm],155)),0)</f>
        <v>0</v>
      </c>
      <c r="P139" s="79">
        <f>IF(IN_rooms!X$62*(SUMIFS(
tabelle1[Heizkörper Subtyp],
tabelle1[Nabenabstand N in mm],"Flachheizkoerper_senkrecht_profiliert",
tabelle1[Bautiefe T in mm],"Typ_33",
tabelle1[Anzahl Rohre],_xlfn.XLOOKUP(P$130,Data_radiator!$G$5:$G$32,Data_radiator!$G$5:$G$32,1000000,1,1),
tabelle1[Mittlere Rohrübertemperatur in K],155)*(P$131/1000)*(P$137/Log_ÜT_Norm)^SUMIFS(
tabelle1[Lfd. Nr.],tabelle1[Nabenabstand N in mm],"Flachheizkoerper_senkrecht_profiliert",
tabelle1[Bautiefe T in mm],"Typ_33",
tabelle1[Anzahl Rohre],_xlfn.XLOOKUP(P$130,Data_radiator!$G$5:$G$32,Data_radiator!$G$5:$G$32,1000000,1,1),
tabelle1[Mittlere Rohrübertemperatur in K],155))&gt;0,
IN_rooms!X$62*(SUMIFS(
tabelle1[Heizkörper Subtyp],
tabelle1[Nabenabstand N in mm],"Flachheizkoerper_senkrecht_profiliert",
tabelle1[Bautiefe T in mm],"Typ_33",
tabelle1[Anzahl Rohre],_xlfn.XLOOKUP(P$130,Data_radiator!$G$5:$G$32,Data_radiator!$G$5:$G$32,1000000,1,1),
tabelle1[Mittlere Rohrübertemperatur in K],155)*(P$131/1000)*(P$137/Log_ÜT_Norm)^SUMIFS(
tabelle1[Lfd. Nr.],tabelle1[Nabenabstand N in mm],"Flachheizkoerper_senkrecht_profiliert",
tabelle1[Bautiefe T in mm],"Typ_33",
tabelle1[Anzahl Rohre],_xlfn.XLOOKUP(P$130,Data_radiator!$G$5:$G$32,Data_radiator!$G$5:$G$32,1000000,1,1),
tabelle1[Mittlere Rohrübertemperatur in K],155)),0)</f>
        <v>0</v>
      </c>
      <c r="Q139" s="79">
        <f>IF(IN_rooms!Y$62*(SUMIFS(
tabelle1[Heizkörper_Typ],
tabelle1[Bautiefe T in mm],"Flachheizkoerper_senkrecht_profiliert",
tabelle1[Anzahl Rohre],"Typ_33",
tabelle1[Anzahl Rohreinheiten],_xlfn.XLOOKUP(Q$130,Data_radiator!$G$5:$G$32,Data_radiator!$G$5:$G$32,1000000,1,1),
tabelle1[Übertemperatur in K],155)*(Q$131/1000)*(Q$137/Log_ÜT_Norm)^SUMIFS(
tabelle1[Spalte1],tabelle1[Bautiefe T in mm],"Flachheizkoerper_senkrecht_profiliert",
tabelle1[Anzahl Rohre],"Typ_33",
tabelle1[Anzahl Rohreinheiten],_xlfn.XLOOKUP(Q$130,Data_radiator!$G$5:$G$32,Data_radiator!$G$5:$G$32,1000000,1,1),
tabelle1[Übertemperatur in K],155))&gt;0,
IN_rooms!Y$62*(SUMIFS(
tabelle1[Heizkörper_Typ],
tabelle1[Bautiefe T in mm],"Flachheizkoerper_senkrecht_profiliert",
tabelle1[Anzahl Rohre],"Typ_33",
tabelle1[Anzahl Rohreinheiten],_xlfn.XLOOKUP(Q$130,Data_radiator!$G$5:$G$32,Data_radiator!$G$5:$G$32,1000000,1,1),
tabelle1[Übertemperatur in K],155)*(Q$131/1000)*(Q$137/Log_ÜT_Norm)^SUMIFS(
tabelle1[Spalte1],tabelle1[Bautiefe T in mm],"Flachheizkoerper_senkrecht_profiliert",
tabelle1[Anzahl Rohre],"Typ_33",
tabelle1[Anzahl Rohreinheiten],_xlfn.XLOOKUP(Q$130,Data_radiator!$G$5:$G$32,Data_radiator!$G$5:$G$32,1000000,1,1),
tabelle1[Übertemperatur in K],155)),0)</f>
        <v>0</v>
      </c>
      <c r="R139" s="79">
        <f>IF(IN_rooms!Z$62*(SUMIFS(
tabelle1[Heizkörper_Subtyp],
tabelle1[Anzahl Rohre],"Flachheizkoerper_senkrecht_profiliert",
tabelle1[Anzahl Rohreinheiten],"Typ_33",
tabelle1[Nennweite DN],_xlfn.XLOOKUP(R$130,Data_radiator!$G$5:$G$32,Data_radiator!$G$5:$G$32,1000000,1,1),
tabelle1[Mittlere Wassertemperatur in °C],155)*(R$131/1000)*(R$137/Log_ÜT_Norm)^SUMIFS(
tabelle1[Heizkörper Subtyp],tabelle1[Anzahl Rohre],"Flachheizkoerper_senkrecht_profiliert",
tabelle1[Anzahl Rohreinheiten],"Typ_33",
tabelle1[Nennweite DN],_xlfn.XLOOKUP(R$130,Data_radiator!$G$5:$G$32,Data_radiator!$G$5:$G$32,1000000,1,1),
tabelle1[Mittlere Wassertemperatur in °C],155))&gt;0,
IN_rooms!Z$62*(SUMIFS(
tabelle1[Heizkörper_Subtyp],
tabelle1[Anzahl Rohre],"Flachheizkoerper_senkrecht_profiliert",
tabelle1[Anzahl Rohreinheiten],"Typ_33",
tabelle1[Nennweite DN],_xlfn.XLOOKUP(R$130,Data_radiator!$G$5:$G$32,Data_radiator!$G$5:$G$32,1000000,1,1),
tabelle1[Mittlere Wassertemperatur in °C],155)*(R$131/1000)*(R$137/Log_ÜT_Norm)^SUMIFS(
tabelle1[Heizkörper Subtyp],tabelle1[Anzahl Rohre],"Flachheizkoerper_senkrecht_profiliert",
tabelle1[Anzahl Rohreinheiten],"Typ_33",
tabelle1[Nennweite DN],_xlfn.XLOOKUP(R$130,Data_radiator!$G$5:$G$32,Data_radiator!$G$5:$G$32,1000000,1,1),
tabelle1[Mittlere Wassertemperatur in °C],155)),0)</f>
        <v>0</v>
      </c>
      <c r="S139" s="79">
        <f>IF(IN_rooms!AA$62*(SUMIFS(
tabelle1[Höhe H in mm],
tabelle1[Anzahl Rohreinheiten],"Flachheizkoerper_senkrecht_profiliert",
tabelle1[Nennweite DN],"Typ_33",
tabelle1[Außendurchmesser d in mm],_xlfn.XLOOKUP(S$130,Data_radiator!$G$5:$G$32,Data_radiator!$G$5:$G$32,1000000,1,1),
tabelle1[Rippenhöhe h in mm],155)*(S$131/1000)*(S$137/Log_ÜT_Norm)^SUMIFS(
tabelle1[Heizkörper_Typ],tabelle1[Anzahl Rohreinheiten],"Flachheizkoerper_senkrecht_profiliert",
tabelle1[Nennweite DN],"Typ_33",
tabelle1[Außendurchmesser d in mm],_xlfn.XLOOKUP(S$130,Data_radiator!$G$5:$G$32,Data_radiator!$G$5:$G$32,1000000,1,1),
tabelle1[Rippenhöhe h in mm],155))&gt;0,
IN_rooms!AA$62*(SUMIFS(
tabelle1[Höhe H in mm],
tabelle1[Anzahl Rohreinheiten],"Flachheizkoerper_senkrecht_profiliert",
tabelle1[Nennweite DN],"Typ_33",
tabelle1[Außendurchmesser d in mm],_xlfn.XLOOKUP(S$130,Data_radiator!$G$5:$G$32,Data_radiator!$G$5:$G$32,1000000,1,1),
tabelle1[Rippenhöhe h in mm],155)*(S$131/1000)*(S$137/Log_ÜT_Norm)^SUMIFS(
tabelle1[Heizkörper_Typ],tabelle1[Anzahl Rohreinheiten],"Flachheizkoerper_senkrecht_profiliert",
tabelle1[Nennweite DN],"Typ_33",
tabelle1[Außendurchmesser d in mm],_xlfn.XLOOKUP(S$130,Data_radiator!$G$5:$G$32,Data_radiator!$G$5:$G$32,1000000,1,1),
tabelle1[Rippenhöhe h in mm],155)),0)</f>
        <v>0</v>
      </c>
      <c r="T139" s="79">
        <f>IF(IN_rooms!AB$62*(SUMIFS(
tabelle1[Breite B in mm],
tabelle1[Nennweite DN],"Flachheizkoerper_senkrecht_profiliert",
tabelle1[Außendurchmesser d in mm],"Typ_33",
tabelle1[Rippenhöhe in mm],_xlfn.XLOOKUP(T$130,Data_radiator!$G$5:$G$32,Data_radiator!$G$5:$G$32,1000000,1,1),
tabelle1[Rippenabstand a in mm],155)*(T$131/1000)*(T$137/Log_ÜT_Norm)^SUMIFS(
tabelle1[Heizkörper_Subtyp],tabelle1[Nennweite DN],"Flachheizkoerper_senkrecht_profiliert",
tabelle1[Außendurchmesser d in mm],"Typ_33",
tabelle1[Rippenhöhe in mm],_xlfn.XLOOKUP(T$130,Data_radiator!$G$5:$G$32,Data_radiator!$G$5:$G$32,1000000,1,1),
tabelle1[Rippenabstand a in mm],155))&gt;0,
IN_rooms!AB$62*(SUMIFS(
tabelle1[Breite B in mm],
tabelle1[Nennweite DN],"Flachheizkoerper_senkrecht_profiliert",
tabelle1[Außendurchmesser d in mm],"Typ_33",
tabelle1[Rippenhöhe in mm],_xlfn.XLOOKUP(T$130,Data_radiator!$G$5:$G$32,Data_radiator!$G$5:$G$32,1000000,1,1),
tabelle1[Rippenabstand a in mm],155)*(T$131/1000)*(T$137/Log_ÜT_Norm)^SUMIFS(
tabelle1[Heizkörper_Subtyp],tabelle1[Nennweite DN],"Flachheizkoerper_senkrecht_profiliert",
tabelle1[Außendurchmesser d in mm],"Typ_33",
tabelle1[Rippenhöhe in mm],_xlfn.XLOOKUP(T$130,Data_radiator!$G$5:$G$32,Data_radiator!$G$5:$G$32,1000000,1,1),
tabelle1[Rippenabstand a in mm],155)),0)</f>
        <v>0</v>
      </c>
      <c r="U139" s="79">
        <f>IF(IN_rooms!AC$62*(SUMIFS(
tabelle1[HK Fläche in m²],
tabelle1[Außendurchmesser d in mm],"Flachheizkoerper_senkrecht_profiliert",
tabelle1[Rippenhöhe in mm],"Typ_33",
tabelle1[Mittlere Rohrübertemperatur in K],_xlfn.XLOOKUP(U$130,Data_radiator!$G$5:$G$32,Data_radiator!$G$5:$G$32,1000000,1,1),
tabelle1[Rohrreihen],155)*(U$131/1000)*(U$137/Log_ÜT_Norm)^SUMIFS(
tabelle1[Höhe H in mm],tabelle1[Außendurchmesser d in mm],"Flachheizkoerper_senkrecht_profiliert",
tabelle1[Rippenhöhe in mm],"Typ_33",
tabelle1[Mittlere Rohrübertemperatur in K],_xlfn.XLOOKUP(U$130,Data_radiator!$G$5:$G$32,Data_radiator!$G$5:$G$32,1000000,1,1),
tabelle1[Rohrreihen],155))&gt;0,
IN_rooms!AC$62*(SUMIFS(
tabelle1[HK Fläche in m²],
tabelle1[Außendurchmesser d in mm],"Flachheizkoerper_senkrecht_profiliert",
tabelle1[Rippenhöhe in mm],"Typ_33",
tabelle1[Mittlere Rohrübertemperatur in K],_xlfn.XLOOKUP(U$130,Data_radiator!$G$5:$G$32,Data_radiator!$G$5:$G$32,1000000,1,1),
tabelle1[Rohrreihen],155)*(U$131/1000)*(U$137/Log_ÜT_Norm)^SUMIFS(
tabelle1[Höhe H in mm],tabelle1[Außendurchmesser d in mm],"Flachheizkoerper_senkrecht_profiliert",
tabelle1[Rippenhöhe in mm],"Typ_33",
tabelle1[Mittlere Rohrübertemperatur in K],_xlfn.XLOOKUP(U$130,Data_radiator!$G$5:$G$32,Data_radiator!$G$5:$G$32,1000000,1,1),
tabelle1[Rohrreihen],155)),0)</f>
        <v>0</v>
      </c>
      <c r="V139" s="79">
        <f>IF(IN_rooms!AD$62*(SUMIFS(
tabelle1[HK Volumen in m³],
tabelle1[Rippenhöhe in mm],"Flachheizkoerper_senkrecht_profiliert",
tabelle1[Mittlere Rohrübertemperatur in K],"Typ_33",
tabelle1[Übertemperatur in K],_xlfn.XLOOKUP(V$130,Data_radiator!$G$5:$G$32,Data_radiator!$G$5:$G$32,1000000,1,1),
tabelle1[[Heizkörperexponent n ]],155)*(V$131/1000)*(V$137/Log_ÜT_Norm)^SUMIFS(
tabelle1[Breite B in mm],tabelle1[Rippenhöhe in mm],"Flachheizkoerper_senkrecht_profiliert",
tabelle1[Mittlere Rohrübertemperatur in K],"Typ_33",
tabelle1[Übertemperatur in K],_xlfn.XLOOKUP(V$130,Data_radiator!$G$5:$G$32,Data_radiator!$G$5:$G$32,1000000,1,1),
tabelle1[[Heizkörperexponent n ]],155))&gt;0,
IN_rooms!AD$62*(SUMIFS(
tabelle1[HK Volumen in m³],
tabelle1[Rippenhöhe in mm],"Flachheizkoerper_senkrecht_profiliert",
tabelle1[Mittlere Rohrübertemperatur in K],"Typ_33",
tabelle1[Übertemperatur in K],_xlfn.XLOOKUP(V$130,Data_radiator!$G$5:$G$32,Data_radiator!$G$5:$G$32,1000000,1,1),
tabelle1[[Heizkörperexponent n ]],155)*(V$131/1000)*(V$137/Log_ÜT_Norm)^SUMIFS(
tabelle1[Breite B in mm],tabelle1[Rippenhöhe in mm],"Flachheizkoerper_senkrecht_profiliert",
tabelle1[Mittlere Rohrübertemperatur in K],"Typ_33",
tabelle1[Übertemperatur in K],_xlfn.XLOOKUP(V$130,Data_radiator!$G$5:$G$32,Data_radiator!$G$5:$G$32,1000000,1,1),
tabelle1[[Heizkörperexponent n ]],155)),0)</f>
        <v>0</v>
      </c>
      <c r="W139" s="79">
        <f>IF(IN_rooms!AE$62*(SUMIFS(
tabelle1[Nabenabstand N in mm],
tabelle1[Mittlere Rohrübertemperatur in K],"Flachheizkoerper_senkrecht_profiliert",
tabelle1[Übertemperatur in K],"Typ_33",
tabelle1[Mittlere Wassertemperatur in °C],_xlfn.XLOOKUP(W$130,Data_radiator!$G$5:$G$32,Data_radiator!$G$5:$G$32,1000000,1,1),
tabelle1[Wärmeleistung (75/65/20)  in W],155)*(W$131/1000)*(W$137/Log_ÜT_Norm)^SUMIFS(
tabelle1[HK Fläche in m²],tabelle1[Mittlere Rohrübertemperatur in K],"Flachheizkoerper_senkrecht_profiliert",
tabelle1[Übertemperatur in K],"Typ_33",
tabelle1[Mittlere Wassertemperatur in °C],_xlfn.XLOOKUP(W$130,Data_radiator!$G$5:$G$32,Data_radiator!$G$5:$G$32,1000000,1,1),
tabelle1[Wärmeleistung (75/65/20)  in W],155))&gt;0,
IN_rooms!AE$62*(SUMIFS(
tabelle1[Nabenabstand N in mm],
tabelle1[Mittlere Rohrübertemperatur in K],"Flachheizkoerper_senkrecht_profiliert",
tabelle1[Übertemperatur in K],"Typ_33",
tabelle1[Mittlere Wassertemperatur in °C],_xlfn.XLOOKUP(W$130,Data_radiator!$G$5:$G$32,Data_radiator!$G$5:$G$32,1000000,1,1),
tabelle1[Wärmeleistung (75/65/20)  in W],155)*(W$131/1000)*(W$137/Log_ÜT_Norm)^SUMIFS(
tabelle1[HK Fläche in m²],tabelle1[Mittlere Rohrübertemperatur in K],"Flachheizkoerper_senkrecht_profiliert",
tabelle1[Übertemperatur in K],"Typ_33",
tabelle1[Mittlere Wassertemperatur in °C],_xlfn.XLOOKUP(W$130,Data_radiator!$G$5:$G$32,Data_radiator!$G$5:$G$32,1000000,1,1),
tabelle1[Wärmeleistung (75/65/20)  in W],155)),0)</f>
        <v>0</v>
      </c>
      <c r="X139" s="79">
        <f>IF(IN_rooms!AF$62*(SUMIFS(
tabelle1[Bautiefe T in mm],
tabelle1[Übertemperatur in K],"Flachheizkoerper_senkrecht_profiliert",
tabelle1[Mittlere Wassertemperatur in °C],"Typ_33",
tabelle1[Rippenhöhe h in mm],_xlfn.XLOOKUP(X$130,Data_radiator!$G$5:$G$32,Data_radiator!$G$5:$G$32,1000000,1,1),
tabelle1[Wärmeleistung (75/65/20)  in W/m],155)*(X$131/1000)*(X$137/Log_ÜT_Norm)^SUMIFS(
tabelle1[HK Volumen in m³],tabelle1[Übertemperatur in K],"Flachheizkoerper_senkrecht_profiliert",
tabelle1[Mittlere Wassertemperatur in °C],"Typ_33",
tabelle1[Rippenhöhe h in mm],_xlfn.XLOOKUP(X$130,Data_radiator!$G$5:$G$32,Data_radiator!$G$5:$G$32,1000000,1,1),
tabelle1[Wärmeleistung (75/65/20)  in W/m],155))&gt;0,
IN_rooms!AF$62*(SUMIFS(
tabelle1[Bautiefe T in mm],
tabelle1[Übertemperatur in K],"Flachheizkoerper_senkrecht_profiliert",
tabelle1[Mittlere Wassertemperatur in °C],"Typ_33",
tabelle1[Rippenhöhe h in mm],_xlfn.XLOOKUP(X$130,Data_radiator!$G$5:$G$32,Data_radiator!$G$5:$G$32,1000000,1,1),
tabelle1[Wärmeleistung (75/65/20)  in W/m],155)*(X$131/1000)*(X$137/Log_ÜT_Norm)^SUMIFS(
tabelle1[HK Volumen in m³],tabelle1[Übertemperatur in K],"Flachheizkoerper_senkrecht_profiliert",
tabelle1[Mittlere Wassertemperatur in °C],"Typ_33",
tabelle1[Rippenhöhe h in mm],_xlfn.XLOOKUP(X$130,Data_radiator!$G$5:$G$32,Data_radiator!$G$5:$G$32,1000000,1,1),
tabelle1[Wärmeleistung (75/65/20)  in W/m],155)),0)</f>
        <v>0</v>
      </c>
    </row>
    <row r="140" spans="2:24" ht="15.75" thickBot="1" x14ac:dyDescent="0.3">
      <c r="B140" s="251" t="s">
        <v>837</v>
      </c>
      <c r="C140" s="251" t="s">
        <v>631</v>
      </c>
      <c r="D140" s="251"/>
      <c r="E140" s="251" t="s">
        <v>838</v>
      </c>
      <c r="F140" s="251" t="s">
        <v>112</v>
      </c>
      <c r="G140" s="22"/>
      <c r="H140" s="22"/>
      <c r="I140" s="22"/>
      <c r="J140" s="264" t="str">
        <f>IF(J77&gt;"",J87,IF(J89&gt;"",J99,IF(J101&gt;"",J112,IF(J128&gt;"",J138,""))))</f>
        <v/>
      </c>
      <c r="K140" s="264" t="str">
        <f t="shared" ref="K140:O140" si="35">IF(K77&gt;"",K87,IF(K89&gt;"",K99,IF(K101&gt;"",K112,IF(K128&gt;"",K138,""))))</f>
        <v/>
      </c>
      <c r="L140" s="264" t="str">
        <f t="shared" si="35"/>
        <v/>
      </c>
      <c r="M140" s="264" t="str">
        <f t="shared" si="35"/>
        <v/>
      </c>
      <c r="N140" s="264" t="str">
        <f t="shared" si="35"/>
        <v/>
      </c>
      <c r="O140" s="264" t="str">
        <f t="shared" si="35"/>
        <v/>
      </c>
      <c r="P140" s="264" t="str">
        <f t="shared" ref="P140:X140" si="36">IF(P77&gt;"",P87,IF(P89&gt;"",P99,IF(P101&gt;"",P112,IF(P128&gt;"",P138,""))))</f>
        <v/>
      </c>
      <c r="Q140" s="264" t="str">
        <f t="shared" si="36"/>
        <v/>
      </c>
      <c r="R140" s="264" t="str">
        <f t="shared" si="36"/>
        <v/>
      </c>
      <c r="S140" s="264" t="str">
        <f t="shared" si="36"/>
        <v/>
      </c>
      <c r="T140" s="264" t="str">
        <f t="shared" si="36"/>
        <v/>
      </c>
      <c r="U140" s="264" t="str">
        <f t="shared" si="36"/>
        <v/>
      </c>
      <c r="V140" s="264" t="str">
        <f t="shared" si="36"/>
        <v/>
      </c>
      <c r="W140" s="264" t="str">
        <f t="shared" si="36"/>
        <v/>
      </c>
      <c r="X140" s="264" t="str">
        <f t="shared" si="36"/>
        <v/>
      </c>
    </row>
    <row r="141" spans="2:24" ht="15.75" thickBot="1" x14ac:dyDescent="0.3">
      <c r="B141" s="251" t="s">
        <v>839</v>
      </c>
      <c r="C141" s="251" t="s">
        <v>631</v>
      </c>
      <c r="D141" s="251" t="s">
        <v>840</v>
      </c>
      <c r="E141" s="251" t="s">
        <v>841</v>
      </c>
      <c r="F141" s="251" t="s">
        <v>112</v>
      </c>
      <c r="G141" s="22"/>
      <c r="H141" s="22"/>
      <c r="I141" s="22"/>
      <c r="J141" s="264" t="str">
        <f>IF(J77&gt;"",J88,IF(J89&gt;"",J100,IF(J101&gt;"",J113,IF(J128&gt;"",J139,""))))</f>
        <v/>
      </c>
      <c r="K141" s="264" t="str">
        <f t="shared" ref="K141:O141" si="37">IF(K77&gt;"",K88,IF(K89&gt;"",K100,IF(K101&gt;"",K113,IF(K128&gt;"",K139,""))))</f>
        <v/>
      </c>
      <c r="L141" s="264" t="str">
        <f t="shared" si="37"/>
        <v/>
      </c>
      <c r="M141" s="264" t="str">
        <f t="shared" si="37"/>
        <v/>
      </c>
      <c r="N141" s="264" t="str">
        <f t="shared" si="37"/>
        <v/>
      </c>
      <c r="O141" s="264" t="str">
        <f t="shared" si="37"/>
        <v/>
      </c>
      <c r="P141" s="264" t="str">
        <f t="shared" ref="P141:X141" si="38">IF(P77&gt;"",P88,IF(P89&gt;"",P100,IF(P101&gt;"",P113,IF(P128&gt;"",P139,""))))</f>
        <v/>
      </c>
      <c r="Q141" s="264" t="str">
        <f t="shared" si="38"/>
        <v/>
      </c>
      <c r="R141" s="264" t="str">
        <f t="shared" si="38"/>
        <v/>
      </c>
      <c r="S141" s="264" t="str">
        <f t="shared" si="38"/>
        <v/>
      </c>
      <c r="T141" s="264" t="str">
        <f t="shared" si="38"/>
        <v/>
      </c>
      <c r="U141" s="264" t="str">
        <f t="shared" si="38"/>
        <v/>
      </c>
      <c r="V141" s="264" t="str">
        <f t="shared" si="38"/>
        <v/>
      </c>
      <c r="W141" s="264" t="str">
        <f t="shared" si="38"/>
        <v/>
      </c>
      <c r="X141" s="264" t="str">
        <f t="shared" si="38"/>
        <v/>
      </c>
    </row>
    <row r="142" spans="2:24" ht="15.75" thickBot="1" x14ac:dyDescent="0.3">
      <c r="J142" s="249"/>
      <c r="K142" s="249"/>
      <c r="L142" s="249"/>
      <c r="M142" s="249"/>
      <c r="N142" s="249"/>
      <c r="O142" s="249"/>
    </row>
    <row r="143" spans="2:24" ht="15.75" thickBot="1" x14ac:dyDescent="0.3">
      <c r="J143" s="249"/>
      <c r="K143" s="249"/>
      <c r="L143" s="249"/>
      <c r="M143" s="249"/>
      <c r="N143" s="249"/>
      <c r="O143" s="249"/>
    </row>
    <row r="144" spans="2:24" ht="15.75" thickBot="1" x14ac:dyDescent="0.3">
      <c r="B144" s="65" t="s">
        <v>387</v>
      </c>
      <c r="C144" s="65" t="s">
        <v>641</v>
      </c>
      <c r="D144" s="65" t="s">
        <v>209</v>
      </c>
      <c r="E144" s="65" t="s">
        <v>888</v>
      </c>
      <c r="F144" s="65"/>
      <c r="J144" s="21" t="str">
        <f>IF(OR(IN_rooms!R$63="Flachheizkoerper_glatt",IN_rooms!R$63="Flachheizkoerper_senkrecht_profiliert"),IN_rooms!R$63,"")</f>
        <v/>
      </c>
      <c r="K144" s="21" t="str">
        <f>IF(OR(IN_rooms!S$63="Flachheizkoerper_glatt",IN_rooms!S$63="Flachheizkoerper_senkrecht_profiliert"),IN_rooms!S$63,"")</f>
        <v/>
      </c>
      <c r="L144" s="21" t="str">
        <f>IF(OR(IN_rooms!T$63="Flachheizkoerper_glatt",IN_rooms!T$63="Flachheizkoerper_senkrecht_profiliert"),IN_rooms!T$63,"")</f>
        <v/>
      </c>
      <c r="M144" s="21" t="str">
        <f>IF(OR(IN_rooms!U$63="Flachheizkoerper_glatt",IN_rooms!U$63="Flachheizkoerper_senkrecht_profiliert"),IN_rooms!U$63,"")</f>
        <v/>
      </c>
      <c r="N144" s="21" t="str">
        <f>IF(OR(IN_rooms!V$63="Flachheizkoerper_glatt",IN_rooms!V$63="Flachheizkoerper_senkrecht_profiliert"),IN_rooms!V$63,"")</f>
        <v/>
      </c>
      <c r="O144" s="21" t="str">
        <f>IF(OR(IN_rooms!W$63="Flachheizkoerper_glatt",IN_rooms!W$63="Flachheizkoerper_senkrecht_profiliert"),IN_rooms!W$63,"")</f>
        <v/>
      </c>
      <c r="P144" s="21" t="str">
        <f>IF(OR(IN_rooms!X$63="Flachheizkoerper_glatt",IN_rooms!X$63="Flachheizkoerper_senkrecht_profiliert"),IN_rooms!X$63,"")</f>
        <v/>
      </c>
      <c r="Q144" s="21" t="str">
        <f>IF(OR(IN_rooms!Y$63="Flachheizkoerper_glatt",IN_rooms!Y$63="Flachheizkoerper_senkrecht_profiliert"),IN_rooms!Y$63,"")</f>
        <v/>
      </c>
      <c r="R144" s="21" t="str">
        <f>IF(OR(IN_rooms!Z$63="Flachheizkoerper_glatt",IN_rooms!Z$63="Flachheizkoerper_senkrecht_profiliert"),IN_rooms!Z$63,"")</f>
        <v/>
      </c>
      <c r="S144" s="21" t="str">
        <f>IF(OR(IN_rooms!AA$63="Flachheizkoerper_glatt",IN_rooms!AA$63="Flachheizkoerper_senkrecht_profiliert"),IN_rooms!AA$63,"")</f>
        <v/>
      </c>
      <c r="T144" s="21" t="str">
        <f>IF(OR(IN_rooms!AB$63="Flachheizkoerper_glatt",IN_rooms!AB$63="Flachheizkoerper_senkrecht_profiliert"),IN_rooms!AB$63,"")</f>
        <v/>
      </c>
      <c r="U144" s="21" t="str">
        <f>IF(OR(IN_rooms!AC$63="Flachheizkoerper_glatt",IN_rooms!AC$63="Flachheizkoerper_senkrecht_profiliert"),IN_rooms!AC$63,"")</f>
        <v/>
      </c>
      <c r="V144" s="21" t="str">
        <f>IF(OR(IN_rooms!AD$63="Flachheizkoerper_glatt",IN_rooms!AD$63="Flachheizkoerper_senkrecht_profiliert"),IN_rooms!AD$63,"")</f>
        <v/>
      </c>
      <c r="W144" s="21" t="str">
        <f>IF(OR(IN_rooms!AE$63="Flachheizkoerper_glatt",IN_rooms!AE$63="Flachheizkoerper_senkrecht_profiliert"),IN_rooms!AE$63,"")</f>
        <v/>
      </c>
      <c r="X144" s="21" t="str">
        <f>IF(OR(IN_rooms!AF$63="Flachheizkoerper_glatt",IN_rooms!AF$63="Flachheizkoerper_senkrecht_profiliert"),IN_rooms!AF$63,"")</f>
        <v/>
      </c>
    </row>
    <row r="145" spans="2:24" ht="15.75" thickBot="1" x14ac:dyDescent="0.3">
      <c r="B145" s="65" t="s">
        <v>776</v>
      </c>
      <c r="C145" s="65" t="s">
        <v>641</v>
      </c>
      <c r="D145" s="65" t="s">
        <v>209</v>
      </c>
      <c r="E145" s="65" t="s">
        <v>889</v>
      </c>
      <c r="F145" s="65"/>
      <c r="J145" s="21">
        <f>IN_rooms!R$64</f>
        <v>0</v>
      </c>
      <c r="K145" s="21">
        <f>IN_rooms!S$64</f>
        <v>0</v>
      </c>
      <c r="L145" s="21">
        <f>IN_rooms!T$64</f>
        <v>0</v>
      </c>
      <c r="M145" s="21">
        <f>IN_rooms!U$64</f>
        <v>0</v>
      </c>
      <c r="N145" s="21">
        <f>IN_rooms!V$64</f>
        <v>0</v>
      </c>
      <c r="O145" s="21">
        <f>IN_rooms!W$64</f>
        <v>0</v>
      </c>
      <c r="P145" s="21">
        <f>IN_rooms!X$64</f>
        <v>0</v>
      </c>
      <c r="Q145" s="21">
        <f>IN_rooms!Y$64</f>
        <v>0</v>
      </c>
      <c r="R145" s="21">
        <f>IN_rooms!Z$64</f>
        <v>0</v>
      </c>
      <c r="S145" s="21">
        <f>IN_rooms!AA$64</f>
        <v>0</v>
      </c>
      <c r="T145" s="21">
        <f>IN_rooms!AB$64</f>
        <v>0</v>
      </c>
      <c r="U145" s="21">
        <f>IN_rooms!AC$64</f>
        <v>0</v>
      </c>
      <c r="V145" s="21">
        <f>IN_rooms!AD$64</f>
        <v>0</v>
      </c>
      <c r="W145" s="21">
        <f>IN_rooms!AE$64</f>
        <v>0</v>
      </c>
      <c r="X145" s="21">
        <f>IN_rooms!AF$64</f>
        <v>0</v>
      </c>
    </row>
    <row r="146" spans="2:24" ht="15.75" thickBot="1" x14ac:dyDescent="0.3">
      <c r="B146" s="65" t="s">
        <v>382</v>
      </c>
      <c r="C146" s="65" t="s">
        <v>641</v>
      </c>
      <c r="D146" s="65" t="s">
        <v>209</v>
      </c>
      <c r="E146" s="65" t="s">
        <v>890</v>
      </c>
      <c r="F146" s="65" t="s">
        <v>431</v>
      </c>
      <c r="J146" s="21">
        <f>IN_rooms!R$65</f>
        <v>0</v>
      </c>
      <c r="K146" s="21">
        <f>IN_rooms!S$65</f>
        <v>0</v>
      </c>
      <c r="L146" s="21">
        <f>IN_rooms!T$65</f>
        <v>0</v>
      </c>
      <c r="M146" s="21">
        <f>IN_rooms!U$65</f>
        <v>0</v>
      </c>
      <c r="N146" s="21">
        <f>IN_rooms!V$65</f>
        <v>0</v>
      </c>
      <c r="O146" s="21">
        <f>IN_rooms!W$65</f>
        <v>0</v>
      </c>
      <c r="P146" s="21">
        <f>IN_rooms!X$65</f>
        <v>0</v>
      </c>
      <c r="Q146" s="21">
        <f>IN_rooms!Y$65</f>
        <v>0</v>
      </c>
      <c r="R146" s="21">
        <f>IN_rooms!Z$65</f>
        <v>0</v>
      </c>
      <c r="S146" s="21">
        <f>IN_rooms!AA$65</f>
        <v>0</v>
      </c>
      <c r="T146" s="21">
        <f>IN_rooms!AB$65</f>
        <v>0</v>
      </c>
      <c r="U146" s="21">
        <f>IN_rooms!AC$65</f>
        <v>0</v>
      </c>
      <c r="V146" s="21">
        <f>IN_rooms!AD$65</f>
        <v>0</v>
      </c>
      <c r="W146" s="21">
        <f>IN_rooms!AE$65</f>
        <v>0</v>
      </c>
      <c r="X146" s="21">
        <f>IN_rooms!AF$65</f>
        <v>0</v>
      </c>
    </row>
    <row r="147" spans="2:24" ht="15.75" thickBot="1" x14ac:dyDescent="0.3">
      <c r="B147" s="65" t="s">
        <v>236</v>
      </c>
      <c r="C147" s="65" t="s">
        <v>641</v>
      </c>
      <c r="D147" s="65" t="s">
        <v>209</v>
      </c>
      <c r="E147" s="65" t="s">
        <v>891</v>
      </c>
      <c r="F147" s="65" t="s">
        <v>431</v>
      </c>
      <c r="J147" s="21">
        <f>IN_rooms!R$66</f>
        <v>0</v>
      </c>
      <c r="K147" s="21">
        <f>IN_rooms!S$66</f>
        <v>0</v>
      </c>
      <c r="L147" s="21">
        <f>IN_rooms!T$66</f>
        <v>0</v>
      </c>
      <c r="M147" s="21">
        <f>IN_rooms!U$66</f>
        <v>0</v>
      </c>
      <c r="N147" s="21">
        <f>IN_rooms!V$66</f>
        <v>0</v>
      </c>
      <c r="O147" s="21">
        <f>IN_rooms!W$66</f>
        <v>0</v>
      </c>
      <c r="P147" s="21">
        <f>IN_rooms!X$66</f>
        <v>0</v>
      </c>
      <c r="Q147" s="21">
        <f>IN_rooms!Y$66</f>
        <v>0</v>
      </c>
      <c r="R147" s="21">
        <f>IN_rooms!Z$66</f>
        <v>0</v>
      </c>
      <c r="S147" s="21">
        <f>IN_rooms!AA$66</f>
        <v>0</v>
      </c>
      <c r="T147" s="21">
        <f>IN_rooms!AB$66</f>
        <v>0</v>
      </c>
      <c r="U147" s="21">
        <f>IN_rooms!AC$66</f>
        <v>0</v>
      </c>
      <c r="V147" s="21">
        <f>IN_rooms!AD$66</f>
        <v>0</v>
      </c>
      <c r="W147" s="21">
        <f>IN_rooms!AE$66</f>
        <v>0</v>
      </c>
      <c r="X147" s="21">
        <f>IN_rooms!AF$66</f>
        <v>0</v>
      </c>
    </row>
    <row r="148" spans="2:24" ht="15.75" thickBot="1" x14ac:dyDescent="0.3">
      <c r="B148" s="65" t="s">
        <v>390</v>
      </c>
      <c r="C148" s="65" t="s">
        <v>641</v>
      </c>
      <c r="D148" s="65" t="s">
        <v>209</v>
      </c>
      <c r="E148" s="65" t="s">
        <v>892</v>
      </c>
      <c r="F148" s="65" t="s">
        <v>431</v>
      </c>
      <c r="J148" s="21">
        <f>IN_rooms!R$67</f>
        <v>0</v>
      </c>
      <c r="K148" s="21">
        <f>IN_rooms!S$67</f>
        <v>0</v>
      </c>
      <c r="L148" s="21">
        <f>IN_rooms!T$67</f>
        <v>0</v>
      </c>
      <c r="M148" s="21">
        <f>IN_rooms!U$67</f>
        <v>0</v>
      </c>
      <c r="N148" s="21">
        <f>IN_rooms!V$67</f>
        <v>0</v>
      </c>
      <c r="O148" s="21">
        <f>IN_rooms!W$67</f>
        <v>0</v>
      </c>
      <c r="P148" s="21">
        <f>IN_rooms!X$67</f>
        <v>0</v>
      </c>
      <c r="Q148" s="21">
        <f>IN_rooms!Y$67</f>
        <v>0</v>
      </c>
      <c r="R148" s="21">
        <f>IN_rooms!Z$67</f>
        <v>0</v>
      </c>
      <c r="S148" s="21">
        <f>IN_rooms!AA$67</f>
        <v>0</v>
      </c>
      <c r="T148" s="21">
        <f>IN_rooms!AB$67</f>
        <v>0</v>
      </c>
      <c r="U148" s="21">
        <f>IN_rooms!AC$67</f>
        <v>0</v>
      </c>
      <c r="V148" s="21">
        <f>IN_rooms!AD$67</f>
        <v>0</v>
      </c>
      <c r="W148" s="21">
        <f>IN_rooms!AE$67</f>
        <v>0</v>
      </c>
      <c r="X148" s="21">
        <f>IN_rooms!AF$67</f>
        <v>0</v>
      </c>
    </row>
    <row r="149" spans="2:24" ht="15.75" thickBot="1" x14ac:dyDescent="0.3">
      <c r="B149" s="65" t="s">
        <v>781</v>
      </c>
      <c r="C149" s="65" t="s">
        <v>641</v>
      </c>
      <c r="D149" s="65" t="s">
        <v>209</v>
      </c>
      <c r="E149" s="65" t="s">
        <v>893</v>
      </c>
      <c r="F149" s="65"/>
      <c r="J149" s="21">
        <f ca="1">SUMIFS(
  INDIRECT("tabelle1[Heizkörperexponent n ]"),
  INDIRECT("tabelle1[Heizkörper_Typ]"), clc_power!J$144,
  INDIRECT("tabelle1[Heizkörper_Subtyp]"), clc_power!J$145,
  INDIRECT("tabelle1[Höhe H in mm]"), clc_power!J$146,
  INDIRECT("tabelle1[Bautiefe T in mm]"), clc_power!J$148
)</f>
        <v>0</v>
      </c>
      <c r="K149" s="21">
        <f>SUMIFS(tabelle1[Wärmeleistung (75/65/20)  in W],tabelle1[Heizkörper_Subtyp],K$144,tabelle1[Höhe H in mm],K$145,tabelle1[Breite B in mm],K$146,tabelle1[Anzahl Rohre],K148)</f>
        <v>0</v>
      </c>
      <c r="L149" s="21">
        <f>SUMIFS(tabelle1[Wärmeleistung (75/65/20)  in W/m],tabelle1[Höhe H in mm],L$144,tabelle1[Breite B in mm],L$145,tabelle1[HK Fläche in m²],L$146,tabelle1[Anzahl Rohreinheiten],L148)</f>
        <v>0</v>
      </c>
      <c r="M149" s="21">
        <f>SUMIFS(tabelle1[Wärmeleistung (75/65/20)  in W/Glied],tabelle1[Breite B in mm],M$144,tabelle1[HK Fläche in m²],M$145,tabelle1[HK Volumen in m³],M$146,tabelle1[Nennweite DN],M148)</f>
        <v>0</v>
      </c>
      <c r="N149" s="21">
        <f>SUMIFS(tabelle1[Wärmeleistung in W/m²],tabelle1[HK Fläche in m²],N$144,tabelle1[HK Volumen in m³],N$145,tabelle1[Nabenabstand N in mm],N$146,tabelle1[Außendurchmesser d in mm],N148)</f>
        <v>0</v>
      </c>
      <c r="O149" s="21">
        <f>SUMIFS(tabelle1[Kommentar],tabelle1[HK Volumen in m³],O$144,tabelle1[Nabenabstand N in mm],O$145,tabelle1[Bautiefe T in mm],O$146,tabelle1[Rippenhöhe in mm],O148)</f>
        <v>0</v>
      </c>
      <c r="P149" s="21">
        <f>SUMIFS(tabelle1[Lfd. Nr.],tabelle1[Nabenabstand N in mm],P$144,tabelle1[Bautiefe T in mm],P$145,tabelle1[Anzahl Rohre],P$146,tabelle1[Mittlere Rohrübertemperatur in K],P148)</f>
        <v>0</v>
      </c>
      <c r="Q149" s="21">
        <f>SUMIFS(tabelle1[Spalte1],tabelle1[Bautiefe T in mm],Q$144,tabelle1[Anzahl Rohre],Q$145,tabelle1[Anzahl Rohreinheiten],Q$146,tabelle1[Übertemperatur in K],Q148)</f>
        <v>0</v>
      </c>
      <c r="R149" s="21">
        <f>SUMIFS(tabelle1[Heizkörper Subtyp],tabelle1[Anzahl Rohre],R$144,tabelle1[Anzahl Rohreinheiten],R$145,tabelle1[Nennweite DN],R$146,tabelle1[Mittlere Wassertemperatur in °C],R148)</f>
        <v>0</v>
      </c>
      <c r="S149" s="21">
        <f>SUMIFS(tabelle1[Heizkörper_Typ],tabelle1[Anzahl Rohreinheiten],S$144,tabelle1[Nennweite DN],S$145,tabelle1[Außendurchmesser d in mm],S$146,tabelle1[Rippenhöhe h in mm],S148)</f>
        <v>0</v>
      </c>
      <c r="T149" s="21">
        <f>SUMIFS(tabelle1[Heizkörper_Subtyp],tabelle1[Nennweite DN],T$144,tabelle1[Außendurchmesser d in mm],T$145,tabelle1[Rippenhöhe in mm],T$146,tabelle1[Rippenabstand a in mm],T148)</f>
        <v>0</v>
      </c>
      <c r="U149" s="21">
        <f>SUMIFS(tabelle1[Höhe H in mm],tabelle1[Außendurchmesser d in mm],U$144,tabelle1[Rippenhöhe in mm],U$145,tabelle1[Mittlere Rohrübertemperatur in K],U$146,tabelle1[Rohrreihen],U148)</f>
        <v>0</v>
      </c>
      <c r="V149" s="21">
        <f>SUMIFS(tabelle1[Breite B in mm],tabelle1[Rippenhöhe in mm],V$144,tabelle1[Mittlere Rohrübertemperatur in K],V$145,tabelle1[Übertemperatur in K],V$146,tabelle1[[Heizkörperexponent n ]],V148)</f>
        <v>0</v>
      </c>
      <c r="W149" s="21">
        <f>SUMIFS(tabelle1[HK Fläche in m²],tabelle1[Mittlere Rohrübertemperatur in K],W$144,tabelle1[Übertemperatur in K],W$145,tabelle1[Mittlere Wassertemperatur in °C],W$146,tabelle1[Wärmeleistung (75/65/20)  in W],W148)</f>
        <v>0</v>
      </c>
      <c r="X149" s="21">
        <f>SUMIFS(tabelle1[HK Volumen in m³],tabelle1[Übertemperatur in K],X$144,tabelle1[Mittlere Wassertemperatur in °C],X$145,tabelle1[Rippenhöhe h in mm],X$146,tabelle1[Wärmeleistung (75/65/20)  in W/m],X148)</f>
        <v>0</v>
      </c>
    </row>
    <row r="150" spans="2:24" ht="15.75" thickBot="1" x14ac:dyDescent="0.3">
      <c r="B150" s="65" t="s">
        <v>783</v>
      </c>
      <c r="C150" s="65" t="s">
        <v>641</v>
      </c>
      <c r="D150" s="65" t="s">
        <v>209</v>
      </c>
      <c r="E150" s="65" t="s">
        <v>894</v>
      </c>
      <c r="F150" s="65" t="s">
        <v>112</v>
      </c>
      <c r="J150" s="21">
        <f ca="1">_xlfn.LET(
  _xlpm.leistung, IN_rooms!R$69 * SUMIFS(
    INDIRECT("tabelle1[Wärmeleistung (75/65/20)  in W/m]"),
    INDIRECT("tabelle1[Heizkörper_Typ]"), clc_power!J$144,
    INDIRECT("tabelle1[Heizkörper_Subtyp]"), clc_power!J$145,
    INDIRECT("tabelle1[Höhe H in mm]"), clc_power!J$146,
    INDIRECT("tabelle1[Bautiefe T in mm]"), clc_power!J$148  ) * J$147 / 1000,
  IF(_xlpm.leistung &gt; 0, _xlpm.leistung, 0)
)</f>
        <v>0</v>
      </c>
      <c r="K150" s="21">
        <f>IF(IN_rooms!S$69*SUMIFS(tabelle1[Wärmeleistung (75/65/20)  in W/Glied],tabelle1[Heizkörper_Subtyp],K$144,tabelle1[Höhe H in mm],K$145,tabelle1[Breite B in mm],K$146,tabelle1[Anzahl Rohre],K$148)*K$147/1000&gt;0,
IN_rooms!S$69*SUMIFS(tabelle1[Wärmeleistung (75/65/20)  in W/Glied],tabelle1[Heizkörper_Subtyp],K$144,tabelle1[Höhe H in mm],K$145,tabelle1[Breite B in mm],K$146,tabelle1[Anzahl Rohre],K$148)*K$147/1000,0)</f>
        <v>0</v>
      </c>
      <c r="L150" s="21">
        <f>IF(IN_rooms!T$69*SUMIFS(tabelle1[Wärmeleistung in W/m²],tabelle1[Höhe H in mm],L$144,tabelle1[Breite B in mm],L$145,tabelle1[HK Fläche in m²],L$146,tabelle1[Anzahl Rohreinheiten],L$148)*L$147/1000&gt;0,
IN_rooms!T$69*SUMIFS(tabelle1[Wärmeleistung in W/m²],tabelle1[Höhe H in mm],L$144,tabelle1[Breite B in mm],L$145,tabelle1[HK Fläche in m²],L$146,tabelle1[Anzahl Rohreinheiten],L$148)*L$147/1000,0)</f>
        <v>0</v>
      </c>
      <c r="M150" s="21">
        <f>IF(IN_rooms!U$69*SUMIFS(tabelle1[Kommentar],tabelle1[Breite B in mm],M$144,tabelle1[HK Fläche in m²],M$145,tabelle1[HK Volumen in m³],M$146,tabelle1[Nennweite DN],M$148)*M$147/1000&gt;0,
IN_rooms!U$69*SUMIFS(tabelle1[Kommentar],tabelle1[Breite B in mm],M$144,tabelle1[HK Fläche in m²],M$145,tabelle1[HK Volumen in m³],M$146,tabelle1[Nennweite DN],M$148)*M$147/1000,0)</f>
        <v>0</v>
      </c>
      <c r="N150" s="21">
        <f>IF(IN_rooms!V$69*SUMIFS(tabelle1[Lfd. Nr.],tabelle1[HK Fläche in m²],N$144,tabelle1[HK Volumen in m³],N$145,tabelle1[Nabenabstand N in mm],N$146,tabelle1[Außendurchmesser d in mm],N$148)*N$147/1000&gt;0,
IN_rooms!V$69*SUMIFS(tabelle1[Lfd. Nr.],tabelle1[HK Fläche in m²],N$144,tabelle1[HK Volumen in m³],N$145,tabelle1[Nabenabstand N in mm],N$146,tabelle1[Außendurchmesser d in mm],N$148)*N$147/1000,0)</f>
        <v>0</v>
      </c>
      <c r="O150" s="21">
        <f>IF(IN_rooms!W$69*SUMIFS(tabelle1[Spalte1],tabelle1[HK Volumen in m³],O$144,tabelle1[Nabenabstand N in mm],O$145,tabelle1[Bautiefe T in mm],O$146,tabelle1[Rippenhöhe in mm],O$148)*O$147/1000&gt;0,
IN_rooms!W$69*SUMIFS(tabelle1[Spalte1],tabelle1[HK Volumen in m³],O$144,tabelle1[Nabenabstand N in mm],O$145,tabelle1[Bautiefe T in mm],O$146,tabelle1[Rippenhöhe in mm],O$148)*O$147/1000,0)</f>
        <v>0</v>
      </c>
      <c r="P150" s="21">
        <f>IF(IN_rooms!X$69*SUMIFS(tabelle1[Heizkörper Subtyp],tabelle1[Nabenabstand N in mm],P$144,tabelle1[Bautiefe T in mm],P$145,tabelle1[Anzahl Rohre],P$146,tabelle1[Mittlere Rohrübertemperatur in K],P$148)*P$147/1000&gt;0,
IN_rooms!X$69*SUMIFS(tabelle1[Heizkörper Subtyp],tabelle1[Nabenabstand N in mm],P$144,tabelle1[Bautiefe T in mm],P$145,tabelle1[Anzahl Rohre],P$146,tabelle1[Mittlere Rohrübertemperatur in K],P$148)*P$147/1000,0)</f>
        <v>0</v>
      </c>
      <c r="Q150" s="21">
        <f>IF(IN_rooms!Y$69*SUMIFS(tabelle1[Heizkörper_Typ],tabelle1[Bautiefe T in mm],Q$144,tabelle1[Anzahl Rohre],Q$145,tabelle1[Anzahl Rohreinheiten],Q$146,tabelle1[Übertemperatur in K],Q$148)*Q$147/1000&gt;0,
IN_rooms!Y$69*SUMIFS(tabelle1[Heizkörper_Typ],tabelle1[Bautiefe T in mm],Q$144,tabelle1[Anzahl Rohre],Q$145,tabelle1[Anzahl Rohreinheiten],Q$146,tabelle1[Übertemperatur in K],Q$148)*Q$147/1000,0)</f>
        <v>0</v>
      </c>
      <c r="R150" s="21">
        <f>IF(IN_rooms!Z$69*SUMIFS(tabelle1[Heizkörper_Subtyp],tabelle1[Anzahl Rohre],R$144,tabelle1[Anzahl Rohreinheiten],R$145,tabelle1[Nennweite DN],R$146,tabelle1[Mittlere Wassertemperatur in °C],R$148)*R$147/1000&gt;0,
IN_rooms!Z$69*SUMIFS(tabelle1[Heizkörper_Subtyp],tabelle1[Anzahl Rohre],R$144,tabelle1[Anzahl Rohreinheiten],R$145,tabelle1[Nennweite DN],R$146,tabelle1[Mittlere Wassertemperatur in °C],R$148)*R$147/1000,0)</f>
        <v>0</v>
      </c>
      <c r="S150" s="21">
        <f>IF(IN_rooms!AA$69*SUMIFS(tabelle1[Höhe H in mm],tabelle1[Anzahl Rohreinheiten],S$144,tabelle1[Nennweite DN],S$145,tabelle1[Außendurchmesser d in mm],S$146,tabelle1[Rippenhöhe h in mm],S$148)*S$147/1000&gt;0,
IN_rooms!AA$69*SUMIFS(tabelle1[Höhe H in mm],tabelle1[Anzahl Rohreinheiten],S$144,tabelle1[Nennweite DN],S$145,tabelle1[Außendurchmesser d in mm],S$146,tabelle1[Rippenhöhe h in mm],S$148)*S$147/1000,0)</f>
        <v>0</v>
      </c>
      <c r="T150" s="21">
        <f>IF(IN_rooms!AB$69*SUMIFS(tabelle1[Breite B in mm],tabelle1[Nennweite DN],T$144,tabelle1[Außendurchmesser d in mm],T$145,tabelle1[Rippenhöhe in mm],T$146,tabelle1[Rippenabstand a in mm],T$148)*T$147/1000&gt;0,
IN_rooms!AB$69*SUMIFS(tabelle1[Breite B in mm],tabelle1[Nennweite DN],T$144,tabelle1[Außendurchmesser d in mm],T$145,tabelle1[Rippenhöhe in mm],T$146,tabelle1[Rippenabstand a in mm],T$148)*T$147/1000,0)</f>
        <v>0</v>
      </c>
      <c r="U150" s="21">
        <f>IF(IN_rooms!AC$69*SUMIFS(tabelle1[HK Fläche in m²],tabelle1[Außendurchmesser d in mm],U$144,tabelle1[Rippenhöhe in mm],U$145,tabelle1[Mittlere Rohrübertemperatur in K],U$146,tabelle1[Rohrreihen],U$148)*U$147/1000&gt;0,
IN_rooms!AC$69*SUMIFS(tabelle1[HK Fläche in m²],tabelle1[Außendurchmesser d in mm],U$144,tabelle1[Rippenhöhe in mm],U$145,tabelle1[Mittlere Rohrübertemperatur in K],U$146,tabelle1[Rohrreihen],U$148)*U$147/1000,0)</f>
        <v>0</v>
      </c>
      <c r="V150" s="21">
        <f>IF(IN_rooms!AD$69*SUMIFS(tabelle1[HK Volumen in m³],tabelle1[Rippenhöhe in mm],V$144,tabelle1[Mittlere Rohrübertemperatur in K],V$145,tabelle1[Übertemperatur in K],V$146,tabelle1[[Heizkörperexponent n ]],V$148)*V$147/1000&gt;0,
IN_rooms!AD$69*SUMIFS(tabelle1[HK Volumen in m³],tabelle1[Rippenhöhe in mm],V$144,tabelle1[Mittlere Rohrübertemperatur in K],V$145,tabelle1[Übertemperatur in K],V$146,tabelle1[[Heizkörperexponent n ]],V$148)*V$147/1000,0)</f>
        <v>0</v>
      </c>
      <c r="W150" s="21">
        <f>IF(IN_rooms!AE$69*SUMIFS(tabelle1[Nabenabstand N in mm],tabelle1[Mittlere Rohrübertemperatur in K],W$144,tabelle1[Übertemperatur in K],W$145,tabelle1[Mittlere Wassertemperatur in °C],W$146,tabelle1[Wärmeleistung (75/65/20)  in W],W$148)*W$147/1000&gt;0,
IN_rooms!AE$69*SUMIFS(tabelle1[Nabenabstand N in mm],tabelle1[Mittlere Rohrübertemperatur in K],W$144,tabelle1[Übertemperatur in K],W$145,tabelle1[Mittlere Wassertemperatur in °C],W$146,tabelle1[Wärmeleistung (75/65/20)  in W],W$148)*W$147/1000,0)</f>
        <v>0</v>
      </c>
      <c r="X150" s="21">
        <f>IF(IN_rooms!AF$69*SUMIFS(tabelle1[Bautiefe T in mm],tabelle1[Übertemperatur in K],X$144,tabelle1[Mittlere Wassertemperatur in °C],X$145,tabelle1[Rippenhöhe h in mm],X$146,tabelle1[Wärmeleistung (75/65/20)  in W/m],X$148)*X$147/1000&gt;0,
IN_rooms!AF$69*SUMIFS(tabelle1[Bautiefe T in mm],tabelle1[Übertemperatur in K],X$144,tabelle1[Mittlere Wassertemperatur in °C],X$145,tabelle1[Rippenhöhe h in mm],X$146,tabelle1[Wärmeleistung (75/65/20)  in W/m],X$148)*X$147/1000,0)</f>
        <v>0</v>
      </c>
    </row>
    <row r="151" spans="2:24" ht="15.75" thickBot="1" x14ac:dyDescent="0.3">
      <c r="B151" s="65" t="s">
        <v>785</v>
      </c>
      <c r="C151" s="65" t="s">
        <v>641</v>
      </c>
      <c r="D151" s="65" t="s">
        <v>209</v>
      </c>
      <c r="E151" s="65" t="s">
        <v>895</v>
      </c>
      <c r="F151" s="65" t="s">
        <v>107</v>
      </c>
      <c r="J151" s="21">
        <f>TVL_Ziel</f>
        <v>55</v>
      </c>
      <c r="K151" s="21">
        <f t="shared" ref="K151:X151" si="39">TVL_Ziel</f>
        <v>55</v>
      </c>
      <c r="L151" s="21">
        <f t="shared" si="39"/>
        <v>55</v>
      </c>
      <c r="M151" s="21">
        <f t="shared" si="39"/>
        <v>55</v>
      </c>
      <c r="N151" s="21">
        <f t="shared" si="39"/>
        <v>55</v>
      </c>
      <c r="O151" s="21">
        <f t="shared" si="39"/>
        <v>55</v>
      </c>
      <c r="P151" s="21">
        <f t="shared" si="39"/>
        <v>55</v>
      </c>
      <c r="Q151" s="21">
        <f t="shared" si="39"/>
        <v>55</v>
      </c>
      <c r="R151" s="21">
        <f t="shared" si="39"/>
        <v>55</v>
      </c>
      <c r="S151" s="21">
        <f t="shared" si="39"/>
        <v>55</v>
      </c>
      <c r="T151" s="21">
        <f t="shared" si="39"/>
        <v>55</v>
      </c>
      <c r="U151" s="21">
        <f t="shared" si="39"/>
        <v>55</v>
      </c>
      <c r="V151" s="21">
        <f t="shared" si="39"/>
        <v>55</v>
      </c>
      <c r="W151" s="21">
        <f t="shared" si="39"/>
        <v>55</v>
      </c>
      <c r="X151" s="21">
        <f t="shared" si="39"/>
        <v>55</v>
      </c>
    </row>
    <row r="152" spans="2:24" ht="15.75" thickBot="1" x14ac:dyDescent="0.3">
      <c r="B152" s="65" t="s">
        <v>787</v>
      </c>
      <c r="C152" s="65" t="s">
        <v>641</v>
      </c>
      <c r="D152" s="65" t="s">
        <v>209</v>
      </c>
      <c r="E152" s="65" t="s">
        <v>896</v>
      </c>
      <c r="F152" s="65" t="s">
        <v>107</v>
      </c>
      <c r="J152" s="21">
        <f>TRL_Ziel</f>
        <v>45</v>
      </c>
      <c r="K152" s="21">
        <f t="shared" ref="K152:X152" si="40">TRL_Ziel</f>
        <v>45</v>
      </c>
      <c r="L152" s="21">
        <f t="shared" si="40"/>
        <v>45</v>
      </c>
      <c r="M152" s="21">
        <f t="shared" si="40"/>
        <v>45</v>
      </c>
      <c r="N152" s="21">
        <f t="shared" si="40"/>
        <v>45</v>
      </c>
      <c r="O152" s="21">
        <f t="shared" si="40"/>
        <v>45</v>
      </c>
      <c r="P152" s="21">
        <f t="shared" si="40"/>
        <v>45</v>
      </c>
      <c r="Q152" s="21">
        <f t="shared" si="40"/>
        <v>45</v>
      </c>
      <c r="R152" s="21">
        <f t="shared" si="40"/>
        <v>45</v>
      </c>
      <c r="S152" s="21">
        <f t="shared" si="40"/>
        <v>45</v>
      </c>
      <c r="T152" s="21">
        <f t="shared" si="40"/>
        <v>45</v>
      </c>
      <c r="U152" s="21">
        <f t="shared" si="40"/>
        <v>45</v>
      </c>
      <c r="V152" s="21">
        <f t="shared" si="40"/>
        <v>45</v>
      </c>
      <c r="W152" s="21">
        <f t="shared" si="40"/>
        <v>45</v>
      </c>
      <c r="X152" s="21">
        <f t="shared" si="40"/>
        <v>45</v>
      </c>
    </row>
    <row r="153" spans="2:24" ht="15.75" thickBot="1" x14ac:dyDescent="0.3">
      <c r="B153" s="65" t="s">
        <v>789</v>
      </c>
      <c r="C153" s="65" t="s">
        <v>641</v>
      </c>
      <c r="D153" s="65" t="s">
        <v>209</v>
      </c>
      <c r="E153" s="65" t="s">
        <v>897</v>
      </c>
      <c r="F153" s="65" t="s">
        <v>791</v>
      </c>
      <c r="J153" s="79">
        <f>(J$151-J$152)/(LN((J$151-clc_load!M$10)/(J$152-clc_load!M$10)))</f>
        <v>29.720134119884619</v>
      </c>
      <c r="K153" s="79">
        <f>(K$151-K$152)/(LN((K$151-clc_load!N$10)/(K$152-clc_load!N$10)))</f>
        <v>29.720134119884619</v>
      </c>
      <c r="L153" s="79">
        <f>(L$151-L$152)/(LN((L$151-clc_load!O$10)/(L$152-clc_load!O$10)))</f>
        <v>29.720134119884619</v>
      </c>
      <c r="M153" s="79">
        <f>(M$151-M$152)/(LN((M$151-clc_load!P$10)/(M$152-clc_load!P$10)))</f>
        <v>29.720134119884619</v>
      </c>
      <c r="N153" s="79">
        <f>(N$151-N$152)/(LN((N$151-clc_load!Q$10)/(N$152-clc_load!Q$10)))</f>
        <v>29.720134119884619</v>
      </c>
      <c r="O153" s="79">
        <f>(O$151-O$152)/(LN((O$151-clc_load!R$10)/(O$152-clc_load!R$10)))</f>
        <v>29.720134119884619</v>
      </c>
      <c r="P153" s="79">
        <f>(P$151-P$152)/(LN((P$151-clc_load!S$10)/(P$152-clc_load!S$10)))</f>
        <v>29.720134119884619</v>
      </c>
      <c r="Q153" s="79">
        <f>(Q$151-Q$152)/(LN((Q$151-clc_load!T$10)/(Q$152-clc_load!T$10)))</f>
        <v>29.720134119884619</v>
      </c>
      <c r="R153" s="79">
        <f>(R$151-R$152)/(LN((R$151-clc_load!U$10)/(R$152-clc_load!U$10)))</f>
        <v>29.720134119884619</v>
      </c>
      <c r="S153" s="79">
        <f>(S$151-S$152)/(LN((S$151-clc_load!V$10)/(S$152-clc_load!V$10)))</f>
        <v>29.720134119884619</v>
      </c>
      <c r="T153" s="79">
        <f>(T$151-T$152)/(LN((T$151-clc_load!W$10)/(T$152-clc_load!W$10)))</f>
        <v>29.720134119884619</v>
      </c>
      <c r="U153" s="79">
        <f>(U$151-U$152)/(LN((U$151-clc_load!X$10)/(U$152-clc_load!X$10)))</f>
        <v>29.720134119884619</v>
      </c>
      <c r="V153" s="79">
        <f>(V$151-V$152)/(LN((V$151-clc_load!Y$10)/(V$152-clc_load!Y$10)))</f>
        <v>29.720134119884619</v>
      </c>
      <c r="W153" s="79">
        <f>(W$151-W$152)/(LN((W$151-clc_load!Z$10)/(W$152-clc_load!Z$10)))</f>
        <v>29.720134119884619</v>
      </c>
      <c r="X153" s="79">
        <f>(X$151-X$152)/(LN((X$151-clc_load!AA$10)/(X$152-clc_load!AA$10)))</f>
        <v>29.720134119884619</v>
      </c>
    </row>
    <row r="154" spans="2:24" ht="15.75" thickBot="1" x14ac:dyDescent="0.3">
      <c r="B154" s="65" t="s">
        <v>792</v>
      </c>
      <c r="C154" s="65" t="s">
        <v>641</v>
      </c>
      <c r="D154" s="65" t="s">
        <v>209</v>
      </c>
      <c r="E154" s="65" t="s">
        <v>898</v>
      </c>
      <c r="F154" s="65" t="s">
        <v>112</v>
      </c>
      <c r="J154" s="21">
        <f t="shared" ref="J154:X154" ca="1" si="41">IF(J$150*((J$153/Log_ÜT_Norm)^J$149)&gt;0,
J$150*((J$153/Log_ÜT_Norm)^J$149),0)</f>
        <v>0</v>
      </c>
      <c r="K154" s="21">
        <f t="shared" si="41"/>
        <v>0</v>
      </c>
      <c r="L154" s="21">
        <f t="shared" si="41"/>
        <v>0</v>
      </c>
      <c r="M154" s="21">
        <f t="shared" si="41"/>
        <v>0</v>
      </c>
      <c r="N154" s="21">
        <f t="shared" si="41"/>
        <v>0</v>
      </c>
      <c r="O154" s="21">
        <f t="shared" si="41"/>
        <v>0</v>
      </c>
      <c r="P154" s="21">
        <f t="shared" si="41"/>
        <v>0</v>
      </c>
      <c r="Q154" s="21">
        <f t="shared" si="41"/>
        <v>0</v>
      </c>
      <c r="R154" s="21">
        <f t="shared" si="41"/>
        <v>0</v>
      </c>
      <c r="S154" s="21">
        <f t="shared" si="41"/>
        <v>0</v>
      </c>
      <c r="T154" s="21">
        <f t="shared" si="41"/>
        <v>0</v>
      </c>
      <c r="U154" s="21">
        <f t="shared" si="41"/>
        <v>0</v>
      </c>
      <c r="V154" s="21">
        <f t="shared" si="41"/>
        <v>0</v>
      </c>
      <c r="W154" s="21">
        <f t="shared" si="41"/>
        <v>0</v>
      </c>
      <c r="X154" s="21">
        <f t="shared" si="41"/>
        <v>0</v>
      </c>
    </row>
    <row r="155" spans="2:24" ht="15.75" thickBot="1" x14ac:dyDescent="0.3">
      <c r="B155" s="242" t="s">
        <v>794</v>
      </c>
      <c r="C155" s="242" t="s">
        <v>641</v>
      </c>
      <c r="D155" s="242" t="s">
        <v>795</v>
      </c>
      <c r="E155" s="242" t="s">
        <v>899</v>
      </c>
      <c r="F155" s="242" t="s">
        <v>112</v>
      </c>
      <c r="J155" s="79">
        <f ca="1">_xlfn.LET(
    _xlpm.leistung, IN_rooms!R$69 * SUMIFS(
        INDIRECT("tabelle1[Wärmeleistung (75/65/20)  in W/m]"),
        INDIRECT("tabelle1[Heizkörper_Typ]"), "Flachheizkoerper_senkrecht_profiliert",
        INDIRECT("tabelle1[Heizkörper_Subtyp]"), "Typ_33",
        INDIRECT("tabelle1[Höhe H in mm]"), J$146,
        INDIRECT("tabelle1[Bautiefe T in mm]"), 155
    ) * J$147 / 1000 * ((J$153 / Log_ÜT_Norm) ^ SUMIFS(
        INDIRECT("tabelle1[Heizkörperexponent n ]"),
        INDIRECT("tabelle1[Heizkörper_Typ]"), "Flachheizkoerper_senkrecht_profiliert",
        INDIRECT("tabelle1[Heizkörper_Subtyp]"), "Typ_33",
        INDIRECT("tabelle1[Höhe H in mm]"), J$146,
        INDIRECT("tabelle1[Bautiefe T in mm]"), 155
    )),
    IF(_xlpm.leistung &gt; 0, _xlpm.leistung, 0)
)</f>
        <v>0</v>
      </c>
      <c r="K155" s="79">
        <f>IF(IN_rooms!S$69*(SUMIFS(
tabelle1[Wärmeleistung (75/65/20)  in W/Glied],
tabelle1[Heizkörper_Subtyp],"Flachheizkoerper_senkrecht_profiliert",
tabelle1[Höhe H in mm],"Typ_33",
tabelle1[Breite B in mm],K$146,
tabelle1[Anzahl Rohre],155)*(K$147/1000)*(K$153/Log_ÜT_Norm)^SUMIFS(
tabelle1[Wärmeleistung (75/65/20)  in W],
tabelle1[Heizkörper_Subtyp],"Flachheizkoerper_senkrecht_profiliert",
tabelle1[Höhe H in mm],"Typ_33",
tabelle1[Breite B in mm],K$146,
tabelle1[Anzahl Rohre],155))&gt;0,
IN_rooms!S$69*(SUMIFS(
tabelle1[Wärmeleistung (75/65/20)  in W/Glied],
tabelle1[Heizkörper_Subtyp],"Flachheizkoerper_senkrecht_profiliert",
tabelle1[Höhe H in mm],"Typ_33",
tabelle1[Breite B in mm],K$146,
tabelle1[Anzahl Rohre],155)*(K$147/1000)*(K$153/Log_ÜT_Norm)^SUMIFS(
tabelle1[Wärmeleistung (75/65/20)  in W],
tabelle1[Heizkörper_Subtyp],"Flachheizkoerper_senkrecht_profiliert",
tabelle1[Höhe H in mm],"Typ_33",
tabelle1[Breite B in mm],K$146,
tabelle1[Anzahl Rohre],155)),0)</f>
        <v>0</v>
      </c>
      <c r="L155" s="79">
        <f>IF(IN_rooms!T$69*(SUMIFS(
tabelle1[Wärmeleistung in W/m²],
tabelle1[Höhe H in mm],"Flachheizkoerper_senkrecht_profiliert",
tabelle1[Breite B in mm],"Typ_33",
tabelle1[HK Fläche in m²],L$146,
tabelle1[Anzahl Rohreinheiten],155)*(L$147/1000)*(L$153/Log_ÜT_Norm)^SUMIFS(
tabelle1[Wärmeleistung (75/65/20)  in W/m],
tabelle1[Höhe H in mm],"Flachheizkoerper_senkrecht_profiliert",
tabelle1[Breite B in mm],"Typ_33",
tabelle1[HK Fläche in m²],L$146,
tabelle1[Anzahl Rohreinheiten],155))&gt;0,
IN_rooms!T$69*(SUMIFS(
tabelle1[Wärmeleistung in W/m²],
tabelle1[Höhe H in mm],"Flachheizkoerper_senkrecht_profiliert",
tabelle1[Breite B in mm],"Typ_33",
tabelle1[HK Fläche in m²],L$146,
tabelle1[Anzahl Rohreinheiten],155)*(L$147/1000)*(L$153/Log_ÜT_Norm)^SUMIFS(
tabelle1[Wärmeleistung (75/65/20)  in W/m],
tabelle1[Höhe H in mm],"Flachheizkoerper_senkrecht_profiliert",
tabelle1[Breite B in mm],"Typ_33",
tabelle1[HK Fläche in m²],L$146,
tabelle1[Anzahl Rohreinheiten],155)),0)</f>
        <v>0</v>
      </c>
      <c r="M155" s="79">
        <f>IF(IN_rooms!U$69*(SUMIFS(
tabelle1[Kommentar],
tabelle1[Breite B in mm],"Flachheizkoerper_senkrecht_profiliert",
tabelle1[HK Fläche in m²],"Typ_33",
tabelle1[HK Volumen in m³],M$146,
tabelle1[Nennweite DN],155)*(M$147/1000)*(M$153/Log_ÜT_Norm)^SUMIFS(
tabelle1[Wärmeleistung (75/65/20)  in W/Glied],
tabelle1[Breite B in mm],"Flachheizkoerper_senkrecht_profiliert",
tabelle1[HK Fläche in m²],"Typ_33",
tabelle1[HK Volumen in m³],M$146,
tabelle1[Nennweite DN],155))&gt;0,
IN_rooms!U$69*(SUMIFS(
tabelle1[Kommentar],
tabelle1[Breite B in mm],"Flachheizkoerper_senkrecht_profiliert",
tabelle1[HK Fläche in m²],"Typ_33",
tabelle1[HK Volumen in m³],M$146,
tabelle1[Nennweite DN],155)*(M$147/1000)*(M$153/Log_ÜT_Norm)^SUMIFS(
tabelle1[Wärmeleistung (75/65/20)  in W/Glied],
tabelle1[Breite B in mm],"Flachheizkoerper_senkrecht_profiliert",
tabelle1[HK Fläche in m²],"Typ_33",
tabelle1[HK Volumen in m³],M$146,
tabelle1[Nennweite DN],155)),0)</f>
        <v>0</v>
      </c>
      <c r="N155" s="79">
        <f>IF(IN_rooms!V$69*(SUMIFS(
tabelle1[Lfd. Nr.],
tabelle1[HK Fläche in m²],"Flachheizkoerper_senkrecht_profiliert",
tabelle1[HK Volumen in m³],"Typ_33",
tabelle1[Nabenabstand N in mm],N$146,
tabelle1[Außendurchmesser d in mm],155)*(N$147/1000)*(N$153/Log_ÜT_Norm)^SUMIFS(
tabelle1[Wärmeleistung in W/m²],
tabelle1[HK Fläche in m²],"Flachheizkoerper_senkrecht_profiliert",
tabelle1[HK Volumen in m³],"Typ_33",
tabelle1[Nabenabstand N in mm],N$146,
tabelle1[Außendurchmesser d in mm],155))&gt;0,
IN_rooms!V$69*(SUMIFS(
tabelle1[Lfd. Nr.],
tabelle1[HK Fläche in m²],"Flachheizkoerper_senkrecht_profiliert",
tabelle1[HK Volumen in m³],"Typ_33",
tabelle1[Nabenabstand N in mm],N$146,
tabelle1[Außendurchmesser d in mm],155)*(N$147/1000)*(N$153/Log_ÜT_Norm)^SUMIFS(
tabelle1[Wärmeleistung in W/m²],
tabelle1[HK Fläche in m²],"Flachheizkoerper_senkrecht_profiliert",
tabelle1[HK Volumen in m³],"Typ_33",
tabelle1[Nabenabstand N in mm],N$146,
tabelle1[Außendurchmesser d in mm],155)),0)</f>
        <v>0</v>
      </c>
      <c r="O155" s="79">
        <f>IF(IN_rooms!W$69*(SUMIFS(
tabelle1[Spalte1],
tabelle1[HK Volumen in m³],"Flachheizkoerper_senkrecht_profiliert",
tabelle1[Nabenabstand N in mm],"Typ_33",
tabelle1[Bautiefe T in mm],O$146,
tabelle1[Rippenhöhe in mm],155)*(O$147/1000)*(O$153/Log_ÜT_Norm)^SUMIFS(
tabelle1[Kommentar],
tabelle1[HK Volumen in m³],"Flachheizkoerper_senkrecht_profiliert",
tabelle1[Nabenabstand N in mm],"Typ_33",
tabelle1[Bautiefe T in mm],O$146,
tabelle1[Rippenhöhe in mm],155))&gt;0,
IN_rooms!W$69*(SUMIFS(
tabelle1[Spalte1],
tabelle1[HK Volumen in m³],"Flachheizkoerper_senkrecht_profiliert",
tabelle1[Nabenabstand N in mm],"Typ_33",
tabelle1[Bautiefe T in mm],O$146,
tabelle1[Rippenhöhe in mm],155)*(O$147/1000)*(O$153/Log_ÜT_Norm)^SUMIFS(
tabelle1[Kommentar],
tabelle1[HK Volumen in m³],"Flachheizkoerper_senkrecht_profiliert",
tabelle1[Nabenabstand N in mm],"Typ_33",
tabelle1[Bautiefe T in mm],O$146,
tabelle1[Rippenhöhe in mm],155)),0)</f>
        <v>0</v>
      </c>
      <c r="P155" s="79">
        <f>IF(IN_rooms!X$69*(SUMIFS(
tabelle1[Heizkörper Subtyp],
tabelle1[Nabenabstand N in mm],"Flachheizkoerper_senkrecht_profiliert",
tabelle1[Bautiefe T in mm],"Typ_33",
tabelle1[Anzahl Rohre],P$146,
tabelle1[Mittlere Rohrübertemperatur in K],155)*(P$147/1000)*(P$153/Log_ÜT_Norm)^SUMIFS(
tabelle1[Lfd. Nr.],
tabelle1[Nabenabstand N in mm],"Flachheizkoerper_senkrecht_profiliert",
tabelle1[Bautiefe T in mm],"Typ_33",
tabelle1[Anzahl Rohre],P$146,
tabelle1[Mittlere Rohrübertemperatur in K],155))&gt;0,
IN_rooms!X$69*(SUMIFS(
tabelle1[Heizkörper Subtyp],
tabelle1[Nabenabstand N in mm],"Flachheizkoerper_senkrecht_profiliert",
tabelle1[Bautiefe T in mm],"Typ_33",
tabelle1[Anzahl Rohre],P$146,
tabelle1[Mittlere Rohrübertemperatur in K],155)*(P$147/1000)*(P$153/Log_ÜT_Norm)^SUMIFS(
tabelle1[Lfd. Nr.],
tabelle1[Nabenabstand N in mm],"Flachheizkoerper_senkrecht_profiliert",
tabelle1[Bautiefe T in mm],"Typ_33",
tabelle1[Anzahl Rohre],P$146,
tabelle1[Mittlere Rohrübertemperatur in K],155)),0)</f>
        <v>0</v>
      </c>
      <c r="Q155" s="79">
        <f>IF(IN_rooms!Y$69*(SUMIFS(
tabelle1[Heizkörper_Typ],
tabelle1[Bautiefe T in mm],"Flachheizkoerper_senkrecht_profiliert",
tabelle1[Anzahl Rohre],"Typ_33",
tabelle1[Anzahl Rohreinheiten],Q$146,
tabelle1[Übertemperatur in K],155)*(Q$147/1000)*(Q$153/Log_ÜT_Norm)^SUMIFS(
tabelle1[Spalte1],
tabelle1[Bautiefe T in mm],"Flachheizkoerper_senkrecht_profiliert",
tabelle1[Anzahl Rohre],"Typ_33",
tabelle1[Anzahl Rohreinheiten],Q$146,
tabelle1[Übertemperatur in K],155))&gt;0,
IN_rooms!Y$69*(SUMIFS(
tabelle1[Heizkörper_Typ],
tabelle1[Bautiefe T in mm],"Flachheizkoerper_senkrecht_profiliert",
tabelle1[Anzahl Rohre],"Typ_33",
tabelle1[Anzahl Rohreinheiten],Q$146,
tabelle1[Übertemperatur in K],155)*(Q$147/1000)*(Q$153/Log_ÜT_Norm)^SUMIFS(
tabelle1[Spalte1],
tabelle1[Bautiefe T in mm],"Flachheizkoerper_senkrecht_profiliert",
tabelle1[Anzahl Rohre],"Typ_33",
tabelle1[Anzahl Rohreinheiten],Q$146,
tabelle1[Übertemperatur in K],155)),0)</f>
        <v>0</v>
      </c>
      <c r="R155" s="79">
        <f>IF(IN_rooms!Z$69*(SUMIFS(
tabelle1[Heizkörper_Subtyp],
tabelle1[Anzahl Rohre],"Flachheizkoerper_senkrecht_profiliert",
tabelle1[Anzahl Rohreinheiten],"Typ_33",
tabelle1[Nennweite DN],R$146,
tabelle1[Mittlere Wassertemperatur in °C],155)*(R$147/1000)*(R$153/Log_ÜT_Norm)^SUMIFS(
tabelle1[Heizkörper Subtyp],
tabelle1[Anzahl Rohre],"Flachheizkoerper_senkrecht_profiliert",
tabelle1[Anzahl Rohreinheiten],"Typ_33",
tabelle1[Nennweite DN],R$146,
tabelle1[Mittlere Wassertemperatur in °C],155))&gt;0,
IN_rooms!Z$69*(SUMIFS(
tabelle1[Heizkörper_Subtyp],
tabelle1[Anzahl Rohre],"Flachheizkoerper_senkrecht_profiliert",
tabelle1[Anzahl Rohreinheiten],"Typ_33",
tabelle1[Nennweite DN],R$146,
tabelle1[Mittlere Wassertemperatur in °C],155)*(R$147/1000)*(R$153/Log_ÜT_Norm)^SUMIFS(
tabelle1[Heizkörper Subtyp],
tabelle1[Anzahl Rohre],"Flachheizkoerper_senkrecht_profiliert",
tabelle1[Anzahl Rohreinheiten],"Typ_33",
tabelle1[Nennweite DN],R$146,
tabelle1[Mittlere Wassertemperatur in °C],155)),0)</f>
        <v>0</v>
      </c>
      <c r="S155" s="79">
        <f>IF(IN_rooms!AA$69*(SUMIFS(
tabelle1[Höhe H in mm],
tabelle1[Anzahl Rohreinheiten],"Flachheizkoerper_senkrecht_profiliert",
tabelle1[Nennweite DN],"Typ_33",
tabelle1[Außendurchmesser d in mm],S$146,
tabelle1[Rippenhöhe h in mm],155)*(S$147/1000)*(S$153/Log_ÜT_Norm)^SUMIFS(
tabelle1[Heizkörper_Typ],
tabelle1[Anzahl Rohreinheiten],"Flachheizkoerper_senkrecht_profiliert",
tabelle1[Nennweite DN],"Typ_33",
tabelle1[Außendurchmesser d in mm],S$146,
tabelle1[Rippenhöhe h in mm],155))&gt;0,
IN_rooms!AA$69*(SUMIFS(
tabelle1[Höhe H in mm],
tabelle1[Anzahl Rohreinheiten],"Flachheizkoerper_senkrecht_profiliert",
tabelle1[Nennweite DN],"Typ_33",
tabelle1[Außendurchmesser d in mm],S$146,
tabelle1[Rippenhöhe h in mm],155)*(S$147/1000)*(S$153/Log_ÜT_Norm)^SUMIFS(
tabelle1[Heizkörper_Typ],
tabelle1[Anzahl Rohreinheiten],"Flachheizkoerper_senkrecht_profiliert",
tabelle1[Nennweite DN],"Typ_33",
tabelle1[Außendurchmesser d in mm],S$146,
tabelle1[Rippenhöhe h in mm],155)),0)</f>
        <v>0</v>
      </c>
      <c r="T155" s="79">
        <f>IF(IN_rooms!AB$69*(SUMIFS(
tabelle1[Breite B in mm],
tabelle1[Nennweite DN],"Flachheizkoerper_senkrecht_profiliert",
tabelle1[Außendurchmesser d in mm],"Typ_33",
tabelle1[Rippenhöhe in mm],T$146,
tabelle1[Rippenabstand a in mm],155)*(T$147/1000)*(T$153/Log_ÜT_Norm)^SUMIFS(
tabelle1[Heizkörper_Subtyp],
tabelle1[Nennweite DN],"Flachheizkoerper_senkrecht_profiliert",
tabelle1[Außendurchmesser d in mm],"Typ_33",
tabelle1[Rippenhöhe in mm],T$146,
tabelle1[Rippenabstand a in mm],155))&gt;0,
IN_rooms!AB$69*(SUMIFS(
tabelle1[Breite B in mm],
tabelle1[Nennweite DN],"Flachheizkoerper_senkrecht_profiliert",
tabelle1[Außendurchmesser d in mm],"Typ_33",
tabelle1[Rippenhöhe in mm],T$146,
tabelle1[Rippenabstand a in mm],155)*(T$147/1000)*(T$153/Log_ÜT_Norm)^SUMIFS(
tabelle1[Heizkörper_Subtyp],
tabelle1[Nennweite DN],"Flachheizkoerper_senkrecht_profiliert",
tabelle1[Außendurchmesser d in mm],"Typ_33",
tabelle1[Rippenhöhe in mm],T$146,
tabelle1[Rippenabstand a in mm],155)),0)</f>
        <v>0</v>
      </c>
      <c r="U155" s="79">
        <f>IF(IN_rooms!AC$69*(SUMIFS(
tabelle1[HK Fläche in m²],
tabelle1[Außendurchmesser d in mm],"Flachheizkoerper_senkrecht_profiliert",
tabelle1[Rippenhöhe in mm],"Typ_33",
tabelle1[Mittlere Rohrübertemperatur in K],U$146,
tabelle1[Rohrreihen],155)*(U$147/1000)*(U$153/Log_ÜT_Norm)^SUMIFS(
tabelle1[Höhe H in mm],
tabelle1[Außendurchmesser d in mm],"Flachheizkoerper_senkrecht_profiliert",
tabelle1[Rippenhöhe in mm],"Typ_33",
tabelle1[Mittlere Rohrübertemperatur in K],U$146,
tabelle1[Rohrreihen],155))&gt;0,
IN_rooms!AC$69*(SUMIFS(
tabelle1[HK Fläche in m²],
tabelle1[Außendurchmesser d in mm],"Flachheizkoerper_senkrecht_profiliert",
tabelle1[Rippenhöhe in mm],"Typ_33",
tabelle1[Mittlere Rohrübertemperatur in K],U$146,
tabelle1[Rohrreihen],155)*(U$147/1000)*(U$153/Log_ÜT_Norm)^SUMIFS(
tabelle1[Höhe H in mm],
tabelle1[Außendurchmesser d in mm],"Flachheizkoerper_senkrecht_profiliert",
tabelle1[Rippenhöhe in mm],"Typ_33",
tabelle1[Mittlere Rohrübertemperatur in K],U$146,
tabelle1[Rohrreihen],155)),0)</f>
        <v>0</v>
      </c>
      <c r="V155" s="79">
        <f>IF(IN_rooms!AD$69*(SUMIFS(
tabelle1[HK Volumen in m³],
tabelle1[Rippenhöhe in mm],"Flachheizkoerper_senkrecht_profiliert",
tabelle1[Mittlere Rohrübertemperatur in K],"Typ_33",
tabelle1[Übertemperatur in K],V$146,
tabelle1[[Heizkörperexponent n ]],155)*(V$147/1000)*(V$153/Log_ÜT_Norm)^SUMIFS(
tabelle1[Breite B in mm],
tabelle1[Rippenhöhe in mm],"Flachheizkoerper_senkrecht_profiliert",
tabelle1[Mittlere Rohrübertemperatur in K],"Typ_33",
tabelle1[Übertemperatur in K],V$146,
tabelle1[[Heizkörperexponent n ]],155))&gt;0,
IN_rooms!AD$69*(SUMIFS(
tabelle1[HK Volumen in m³],
tabelle1[Rippenhöhe in mm],"Flachheizkoerper_senkrecht_profiliert",
tabelle1[Mittlere Rohrübertemperatur in K],"Typ_33",
tabelle1[Übertemperatur in K],V$146,
tabelle1[[Heizkörperexponent n ]],155)*(V$147/1000)*(V$153/Log_ÜT_Norm)^SUMIFS(
tabelle1[Breite B in mm],
tabelle1[Rippenhöhe in mm],"Flachheizkoerper_senkrecht_profiliert",
tabelle1[Mittlere Rohrübertemperatur in K],"Typ_33",
tabelle1[Übertemperatur in K],V$146,
tabelle1[[Heizkörperexponent n ]],155)),0)</f>
        <v>0</v>
      </c>
      <c r="W155" s="79">
        <f>IF(IN_rooms!AE$69*(SUMIFS(
tabelle1[Nabenabstand N in mm],
tabelle1[Mittlere Rohrübertemperatur in K],"Flachheizkoerper_senkrecht_profiliert",
tabelle1[Übertemperatur in K],"Typ_33",
tabelle1[Mittlere Wassertemperatur in °C],W$146,
tabelle1[Wärmeleistung (75/65/20)  in W],155)*(W$147/1000)*(W$153/Log_ÜT_Norm)^SUMIFS(
tabelle1[HK Fläche in m²],
tabelle1[Mittlere Rohrübertemperatur in K],"Flachheizkoerper_senkrecht_profiliert",
tabelle1[Übertemperatur in K],"Typ_33",
tabelle1[Mittlere Wassertemperatur in °C],W$146,
tabelle1[Wärmeleistung (75/65/20)  in W],155))&gt;0,
IN_rooms!AE$69*(SUMIFS(
tabelle1[Nabenabstand N in mm],
tabelle1[Mittlere Rohrübertemperatur in K],"Flachheizkoerper_senkrecht_profiliert",
tabelle1[Übertemperatur in K],"Typ_33",
tabelle1[Mittlere Wassertemperatur in °C],W$146,
tabelle1[Wärmeleistung (75/65/20)  in W],155)*(W$147/1000)*(W$153/Log_ÜT_Norm)^SUMIFS(
tabelle1[HK Fläche in m²],
tabelle1[Mittlere Rohrübertemperatur in K],"Flachheizkoerper_senkrecht_profiliert",
tabelle1[Übertemperatur in K],"Typ_33",
tabelle1[Mittlere Wassertemperatur in °C],W$146,
tabelle1[Wärmeleistung (75/65/20)  in W],155)),0)</f>
        <v>0</v>
      </c>
      <c r="X155" s="79">
        <f>IF(IN_rooms!AF$69*(SUMIFS(
tabelle1[Bautiefe T in mm],
tabelle1[Übertemperatur in K],"Flachheizkoerper_senkrecht_profiliert",
tabelle1[Mittlere Wassertemperatur in °C],"Typ_33",
tabelle1[Rippenhöhe h in mm],X$146,
tabelle1[Wärmeleistung (75/65/20)  in W/m],155)*(X$147/1000)*(X$153/Log_ÜT_Norm)^SUMIFS(
tabelle1[HK Volumen in m³],
tabelle1[Übertemperatur in K],"Flachheizkoerper_senkrecht_profiliert",
tabelle1[Mittlere Wassertemperatur in °C],"Typ_33",
tabelle1[Rippenhöhe h in mm],X$146,
tabelle1[Wärmeleistung (75/65/20)  in W/m],155))&gt;0,
IN_rooms!AF$69*(SUMIFS(
tabelle1[Bautiefe T in mm],
tabelle1[Übertemperatur in K],"Flachheizkoerper_senkrecht_profiliert",
tabelle1[Mittlere Wassertemperatur in °C],"Typ_33",
tabelle1[Rippenhöhe h in mm],X$146,
tabelle1[Wärmeleistung (75/65/20)  in W/m],155)*(X$147/1000)*(X$153/Log_ÜT_Norm)^SUMIFS(
tabelle1[HK Volumen in m³],
tabelle1[Übertemperatur in K],"Flachheizkoerper_senkrecht_profiliert",
tabelle1[Mittlere Wassertemperatur in °C],"Typ_33",
tabelle1[Rippenhöhe h in mm],X$146,
tabelle1[Wärmeleistung (75/65/20)  in W/m],155)),0)</f>
        <v>0</v>
      </c>
    </row>
    <row r="156" spans="2:24" ht="15.75" thickBot="1" x14ac:dyDescent="0.3">
      <c r="B156" s="198" t="s">
        <v>387</v>
      </c>
      <c r="C156" s="198" t="s">
        <v>641</v>
      </c>
      <c r="D156" s="198" t="s">
        <v>211</v>
      </c>
      <c r="E156" s="198" t="s">
        <v>900</v>
      </c>
      <c r="F156" s="198"/>
      <c r="J156" s="21" t="str">
        <f>IF(IN_rooms!R$63="Gliederheizkörper",IN_rooms!R$63,"")</f>
        <v/>
      </c>
      <c r="K156" s="21" t="str">
        <f>IF(IN_rooms!S$63="Gliederheizkörper",IN_rooms!S$63,"")</f>
        <v/>
      </c>
      <c r="L156" s="21" t="str">
        <f>IF(IN_rooms!T$63="Gliederheizkörper",IN_rooms!T$63,"")</f>
        <v/>
      </c>
      <c r="M156" s="21" t="str">
        <f>IF(IN_rooms!U$63="Gliederheizkörper",IN_rooms!U$63,"")</f>
        <v/>
      </c>
      <c r="N156" s="21" t="str">
        <f>IF(IN_rooms!V$63="Gliederheizkörper",IN_rooms!V$63,"")</f>
        <v/>
      </c>
      <c r="O156" s="21" t="str">
        <f>IF(IN_rooms!W$63="Gliederheizkörper",IN_rooms!W$63,"")</f>
        <v/>
      </c>
      <c r="P156" s="21" t="str">
        <f>IF(IN_rooms!X$63="Gliederheizkörper",IN_rooms!X$63,"")</f>
        <v/>
      </c>
      <c r="Q156" s="21" t="str">
        <f>IF(IN_rooms!Y$63="Gliederheizkörper",IN_rooms!Y$63,"")</f>
        <v/>
      </c>
      <c r="R156" s="21" t="str">
        <f>IF(IN_rooms!Z$63="Gliederheizkörper",IN_rooms!Z$63,"")</f>
        <v/>
      </c>
      <c r="S156" s="21" t="str">
        <f>IF(IN_rooms!AA$63="Gliederheizkörper",IN_rooms!AA$63,"")</f>
        <v/>
      </c>
      <c r="T156" s="21" t="str">
        <f>IF(IN_rooms!AB$63="Gliederheizkörper",IN_rooms!AB$63,"")</f>
        <v/>
      </c>
      <c r="U156" s="21" t="str">
        <f>IF(IN_rooms!AC$63="Gliederheizkörper",IN_rooms!AC$63,"")</f>
        <v/>
      </c>
      <c r="V156" s="21" t="str">
        <f>IF(IN_rooms!AD$63="Gliederheizkörper",IN_rooms!AD$63,"")</f>
        <v/>
      </c>
      <c r="W156" s="21" t="str">
        <f>IF(IN_rooms!AE$63="Gliederheizkörper",IN_rooms!AE$63,"")</f>
        <v/>
      </c>
      <c r="X156" s="21" t="str">
        <f>IF(IN_rooms!AF$63="Gliederheizkörper",IN_rooms!AF$63,"")</f>
        <v/>
      </c>
    </row>
    <row r="157" spans="2:24" ht="15.75" thickBot="1" x14ac:dyDescent="0.3">
      <c r="B157" s="198" t="s">
        <v>776</v>
      </c>
      <c r="C157" s="198" t="s">
        <v>641</v>
      </c>
      <c r="D157" s="198" t="s">
        <v>211</v>
      </c>
      <c r="E157" s="198" t="s">
        <v>901</v>
      </c>
      <c r="F157" s="198"/>
      <c r="J157" s="21">
        <f>IN_rooms!R$64</f>
        <v>0</v>
      </c>
      <c r="K157" s="21">
        <f>IN_rooms!S$64</f>
        <v>0</v>
      </c>
      <c r="L157" s="21">
        <f>IN_rooms!T$64</f>
        <v>0</v>
      </c>
      <c r="M157" s="21">
        <f>IN_rooms!U$64</f>
        <v>0</v>
      </c>
      <c r="N157" s="21">
        <f>IN_rooms!V$64</f>
        <v>0</v>
      </c>
      <c r="O157" s="21">
        <f>IN_rooms!W$64</f>
        <v>0</v>
      </c>
      <c r="P157" s="21">
        <f>IN_rooms!X$64</f>
        <v>0</v>
      </c>
      <c r="Q157" s="21">
        <f>IN_rooms!Y$64</f>
        <v>0</v>
      </c>
      <c r="R157" s="21">
        <f>IN_rooms!Z$64</f>
        <v>0</v>
      </c>
      <c r="S157" s="21">
        <f>IN_rooms!AA$64</f>
        <v>0</v>
      </c>
      <c r="T157" s="21">
        <f>IN_rooms!AB$64</f>
        <v>0</v>
      </c>
      <c r="U157" s="21">
        <f>IN_rooms!AC$64</f>
        <v>0</v>
      </c>
      <c r="V157" s="21">
        <f>IN_rooms!AD$64</f>
        <v>0</v>
      </c>
      <c r="W157" s="21">
        <f>IN_rooms!AE$64</f>
        <v>0</v>
      </c>
      <c r="X157" s="21">
        <f>IN_rooms!AF$64</f>
        <v>0</v>
      </c>
    </row>
    <row r="158" spans="2:24" ht="15.75" thickBot="1" x14ac:dyDescent="0.3">
      <c r="B158" s="198" t="s">
        <v>382</v>
      </c>
      <c r="C158" s="198" t="s">
        <v>641</v>
      </c>
      <c r="D158" s="198" t="s">
        <v>211</v>
      </c>
      <c r="E158" s="198" t="s">
        <v>902</v>
      </c>
      <c r="F158" s="198" t="s">
        <v>431</v>
      </c>
      <c r="J158" s="21">
        <f>IN_rooms!R$65</f>
        <v>0</v>
      </c>
      <c r="K158" s="21">
        <f>IN_rooms!S$65</f>
        <v>0</v>
      </c>
      <c r="L158" s="21">
        <f>IN_rooms!T$65</f>
        <v>0</v>
      </c>
      <c r="M158" s="21">
        <f>IN_rooms!U$65</f>
        <v>0</v>
      </c>
      <c r="N158" s="21">
        <f>IN_rooms!V$65</f>
        <v>0</v>
      </c>
      <c r="O158" s="21">
        <f>IN_rooms!W$65</f>
        <v>0</v>
      </c>
      <c r="P158" s="21">
        <f>IN_rooms!X$65</f>
        <v>0</v>
      </c>
      <c r="Q158" s="21">
        <f>IN_rooms!Y$65</f>
        <v>0</v>
      </c>
      <c r="R158" s="21">
        <f>IN_rooms!Z$65</f>
        <v>0</v>
      </c>
      <c r="S158" s="21">
        <f>IN_rooms!AA$65</f>
        <v>0</v>
      </c>
      <c r="T158" s="21">
        <f>IN_rooms!AB$65</f>
        <v>0</v>
      </c>
      <c r="U158" s="21">
        <f>IN_rooms!AC$65</f>
        <v>0</v>
      </c>
      <c r="V158" s="21">
        <f>IN_rooms!AD$65</f>
        <v>0</v>
      </c>
      <c r="W158" s="21">
        <f>IN_rooms!AE$65</f>
        <v>0</v>
      </c>
      <c r="X158" s="21">
        <f>IN_rooms!AF$65</f>
        <v>0</v>
      </c>
    </row>
    <row r="159" spans="2:24" ht="15.75" thickBot="1" x14ac:dyDescent="0.3">
      <c r="B159" s="198" t="s">
        <v>390</v>
      </c>
      <c r="C159" s="198" t="s">
        <v>641</v>
      </c>
      <c r="D159" s="198" t="s">
        <v>211</v>
      </c>
      <c r="E159" s="198" t="s">
        <v>903</v>
      </c>
      <c r="F159" s="198" t="s">
        <v>431</v>
      </c>
      <c r="J159" s="21">
        <f>IN_rooms!R$67</f>
        <v>0</v>
      </c>
      <c r="K159" s="21">
        <f>IN_rooms!S$67</f>
        <v>0</v>
      </c>
      <c r="L159" s="21">
        <f>IN_rooms!T$67</f>
        <v>0</v>
      </c>
      <c r="M159" s="21">
        <f>IN_rooms!U$67</f>
        <v>0</v>
      </c>
      <c r="N159" s="21">
        <f>IN_rooms!V$67</f>
        <v>0</v>
      </c>
      <c r="O159" s="21">
        <f>IN_rooms!W$67</f>
        <v>0</v>
      </c>
      <c r="P159" s="21">
        <f>IN_rooms!X$67</f>
        <v>0</v>
      </c>
      <c r="Q159" s="21">
        <f>IN_rooms!Y$67</f>
        <v>0</v>
      </c>
      <c r="R159" s="21">
        <f>IN_rooms!Z$67</f>
        <v>0</v>
      </c>
      <c r="S159" s="21">
        <f>IN_rooms!AA$67</f>
        <v>0</v>
      </c>
      <c r="T159" s="21">
        <f>IN_rooms!AB$67</f>
        <v>0</v>
      </c>
      <c r="U159" s="21">
        <f>IN_rooms!AC$67</f>
        <v>0</v>
      </c>
      <c r="V159" s="21">
        <f>IN_rooms!AD$67</f>
        <v>0</v>
      </c>
      <c r="W159" s="21">
        <f>IN_rooms!AE$67</f>
        <v>0</v>
      </c>
      <c r="X159" s="21">
        <f>IN_rooms!AF$67</f>
        <v>0</v>
      </c>
    </row>
    <row r="160" spans="2:24" ht="15.75" thickBot="1" x14ac:dyDescent="0.3">
      <c r="B160" s="198" t="s">
        <v>391</v>
      </c>
      <c r="C160" s="198" t="s">
        <v>641</v>
      </c>
      <c r="D160" s="198" t="s">
        <v>211</v>
      </c>
      <c r="E160" s="198" t="s">
        <v>904</v>
      </c>
      <c r="F160" s="198" t="s">
        <v>802</v>
      </c>
      <c r="J160" s="21">
        <f>IN_rooms!R$68</f>
        <v>0</v>
      </c>
      <c r="K160" s="21">
        <f>IN_rooms!S$68</f>
        <v>0</v>
      </c>
      <c r="L160" s="21">
        <f>IN_rooms!T$68</f>
        <v>0</v>
      </c>
      <c r="M160" s="21">
        <f>IN_rooms!U$68</f>
        <v>0</v>
      </c>
      <c r="N160" s="21">
        <f>IN_rooms!V$68</f>
        <v>0</v>
      </c>
      <c r="O160" s="21">
        <f>IN_rooms!W$68</f>
        <v>0</v>
      </c>
      <c r="P160" s="21">
        <f>IN_rooms!X$68</f>
        <v>0</v>
      </c>
      <c r="Q160" s="21">
        <f>IN_rooms!Y$68</f>
        <v>0</v>
      </c>
      <c r="R160" s="21">
        <f>IN_rooms!Z$68</f>
        <v>0</v>
      </c>
      <c r="S160" s="21">
        <f>IN_rooms!AA$68</f>
        <v>0</v>
      </c>
      <c r="T160" s="21">
        <f>IN_rooms!AB$68</f>
        <v>0</v>
      </c>
      <c r="U160" s="21">
        <f>IN_rooms!AC$68</f>
        <v>0</v>
      </c>
      <c r="V160" s="21">
        <f>IN_rooms!AD$68</f>
        <v>0</v>
      </c>
      <c r="W160" s="21">
        <f>IN_rooms!AE$68</f>
        <v>0</v>
      </c>
      <c r="X160" s="21">
        <f>IN_rooms!AF$68</f>
        <v>0</v>
      </c>
    </row>
    <row r="161" spans="2:24" ht="15.75" thickBot="1" x14ac:dyDescent="0.3">
      <c r="B161" s="198" t="s">
        <v>781</v>
      </c>
      <c r="C161" s="198" t="s">
        <v>641</v>
      </c>
      <c r="D161" s="198" t="s">
        <v>211</v>
      </c>
      <c r="E161" s="198" t="s">
        <v>648</v>
      </c>
      <c r="F161" s="198"/>
      <c r="J161" s="21">
        <f>1.3</f>
        <v>1.3</v>
      </c>
      <c r="K161" s="21">
        <f t="shared" ref="K161:X161" si="42">1.3</f>
        <v>1.3</v>
      </c>
      <c r="L161" s="21">
        <f t="shared" si="42"/>
        <v>1.3</v>
      </c>
      <c r="M161" s="21">
        <f t="shared" si="42"/>
        <v>1.3</v>
      </c>
      <c r="N161" s="21">
        <f t="shared" si="42"/>
        <v>1.3</v>
      </c>
      <c r="O161" s="21">
        <f t="shared" si="42"/>
        <v>1.3</v>
      </c>
      <c r="P161" s="21">
        <f t="shared" si="42"/>
        <v>1.3</v>
      </c>
      <c r="Q161" s="21">
        <f t="shared" si="42"/>
        <v>1.3</v>
      </c>
      <c r="R161" s="21">
        <f t="shared" si="42"/>
        <v>1.3</v>
      </c>
      <c r="S161" s="21">
        <f t="shared" si="42"/>
        <v>1.3</v>
      </c>
      <c r="T161" s="21">
        <f t="shared" si="42"/>
        <v>1.3</v>
      </c>
      <c r="U161" s="21">
        <f t="shared" si="42"/>
        <v>1.3</v>
      </c>
      <c r="V161" s="21">
        <f t="shared" si="42"/>
        <v>1.3</v>
      </c>
      <c r="W161" s="21">
        <f t="shared" si="42"/>
        <v>1.3</v>
      </c>
      <c r="X161" s="21">
        <f t="shared" si="42"/>
        <v>1.3</v>
      </c>
    </row>
    <row r="162" spans="2:24" ht="15.75" thickBot="1" x14ac:dyDescent="0.3">
      <c r="B162" s="198" t="s">
        <v>783</v>
      </c>
      <c r="C162" s="198" t="s">
        <v>641</v>
      </c>
      <c r="D162" s="198" t="s">
        <v>211</v>
      </c>
      <c r="E162" s="198" t="s">
        <v>905</v>
      </c>
      <c r="F162" s="198" t="s">
        <v>112</v>
      </c>
      <c r="J162" s="21">
        <f ca="1">_xlfn.LET(
    _xlpm.wärmeleistung, SUMIFS(
        INDIRECT("tabelle1[Wärmeleistung (75/65/20)  in W/Glied]"),
        INDIRECT("tabelle1[Heizkörper_Typ]"), clc_power!J$156,
        INDIRECT("tabelle1[Heizkörper_Subtyp]"), clc_power!J$157,
        INDIRECT("tabelle1[Höhe H in mm]"), clc_power!J$158,
        INDIRECT("tabelle1[Bautiefe T in mm]"), clc_power!J$159
    ),
    _xlpm.leistung, IN_rooms!R$69 * _xlpm.wärmeleistung * J$160,
    IF(_xlpm.leistung &gt; 0, _xlpm.leistung, 0)
)</f>
        <v>0</v>
      </c>
      <c r="K162" s="21">
        <f>IF(IN_rooms!S$69*SUMIFS(tabelle1[Wärmeleistung in W/m²],tabelle1[Heizkörper_Subtyp],K$156,tabelle1[Höhe H in mm],K$157,tabelle1[Breite B in mm],K$158,tabelle1[Anzahl Rohre],K$159)*K$160&gt;0,
IN_rooms!S$69*SUMIFS(tabelle1[Wärmeleistung in W/m²],tabelle1[Heizkörper_Subtyp],K$156,tabelle1[Höhe H in mm],K$157,tabelle1[Breite B in mm],K$158,tabelle1[Anzahl Rohre],K$159)*K$160,0)</f>
        <v>0</v>
      </c>
      <c r="L162" s="21">
        <f>IF(IN_rooms!T$69*SUMIFS(tabelle1[Kommentar],tabelle1[Höhe H in mm],L$156,tabelle1[Breite B in mm],L$157,tabelle1[HK Fläche in m²],L$158,tabelle1[Anzahl Rohreinheiten],L$159)*L$160&gt;0,
IN_rooms!T$69*SUMIFS(tabelle1[Kommentar],tabelle1[Höhe H in mm],L$156,tabelle1[Breite B in mm],L$157,tabelle1[HK Fläche in m²],L$158,tabelle1[Anzahl Rohreinheiten],L$159)*L$160,0)</f>
        <v>0</v>
      </c>
      <c r="M162" s="21">
        <f>IF(IN_rooms!U$69*SUMIFS(tabelle1[Lfd. Nr.],tabelle1[Breite B in mm],M$156,tabelle1[HK Fläche in m²],M$157,tabelle1[HK Volumen in m³],M$158,tabelle1[Nennweite DN],M$159)*M$160&gt;0,
IN_rooms!U$69*SUMIFS(tabelle1[Lfd. Nr.],tabelle1[Breite B in mm],M$156,tabelle1[HK Fläche in m²],M$157,tabelle1[HK Volumen in m³],M$158,tabelle1[Nennweite DN],M$159)*M$160,0)</f>
        <v>0</v>
      </c>
      <c r="N162" s="21">
        <f>IF(IN_rooms!V$69*SUMIFS(tabelle1[Spalte1],tabelle1[HK Fläche in m²],N$156,tabelle1[HK Volumen in m³],N$157,tabelle1[Nabenabstand N in mm],N$158,tabelle1[Außendurchmesser d in mm],N$159)*N$160&gt;0,
IN_rooms!V$69*SUMIFS(tabelle1[Spalte1],tabelle1[HK Fläche in m²],N$156,tabelle1[HK Volumen in m³],N$157,tabelle1[Nabenabstand N in mm],N$158,tabelle1[Außendurchmesser d in mm],N$159)*N$160,0)</f>
        <v>0</v>
      </c>
      <c r="O162" s="21">
        <f>IF(IN_rooms!W$69*SUMIFS(tabelle1[Heizkörper Subtyp],tabelle1[HK Volumen in m³],O$156,tabelle1[Nabenabstand N in mm],O$157,tabelle1[Bautiefe T in mm],O$158,tabelle1[Rippenhöhe in mm],O$159)*O$160&gt;0,
IN_rooms!W$69*SUMIFS(tabelle1[Heizkörper Subtyp],tabelle1[HK Volumen in m³],O$156,tabelle1[Nabenabstand N in mm],O$157,tabelle1[Bautiefe T in mm],O$158,tabelle1[Rippenhöhe in mm],O$159)*O$160,0)</f>
        <v>0</v>
      </c>
      <c r="P162" s="21">
        <f>IF(IN_rooms!X$69*SUMIFS(tabelle1[Heizkörper_Typ],tabelle1[Nabenabstand N in mm],P$156,tabelle1[Bautiefe T in mm],P$157,tabelle1[Anzahl Rohre],P$158,tabelle1[Mittlere Rohrübertemperatur in K],P$159)*P$160&gt;0,
IN_rooms!X$69*SUMIFS(tabelle1[Heizkörper_Typ],tabelle1[Nabenabstand N in mm],P$156,tabelle1[Bautiefe T in mm],P$157,tabelle1[Anzahl Rohre],P$158,tabelle1[Mittlere Rohrübertemperatur in K],P$159)*P$160,0)</f>
        <v>0</v>
      </c>
      <c r="Q162" s="21">
        <f>IF(IN_rooms!Y$69*SUMIFS(tabelle1[Heizkörper_Subtyp],tabelle1[Bautiefe T in mm],Q$156,tabelle1[Anzahl Rohre],Q$157,tabelle1[Anzahl Rohreinheiten],Q$158,tabelle1[Übertemperatur in K],Q$159)*Q$160&gt;0,
IN_rooms!Y$69*SUMIFS(tabelle1[Heizkörper_Subtyp],tabelle1[Bautiefe T in mm],Q$156,tabelle1[Anzahl Rohre],Q$157,tabelle1[Anzahl Rohreinheiten],Q$158,tabelle1[Übertemperatur in K],Q$159)*Q$160,0)</f>
        <v>0</v>
      </c>
      <c r="R162" s="21">
        <f>IF(IN_rooms!Z$69*SUMIFS(tabelle1[Höhe H in mm],tabelle1[Anzahl Rohre],R$156,tabelle1[Anzahl Rohreinheiten],R$157,tabelle1[Nennweite DN],R$158,tabelle1[Mittlere Wassertemperatur in °C],R$159)*R$160&gt;0,
IN_rooms!Z$69*SUMIFS(tabelle1[Höhe H in mm],tabelle1[Anzahl Rohre],R$156,tabelle1[Anzahl Rohreinheiten],R$157,tabelle1[Nennweite DN],R$158,tabelle1[Mittlere Wassertemperatur in °C],R$159)*R$160,0)</f>
        <v>0</v>
      </c>
      <c r="S162" s="21">
        <f>IF(IN_rooms!AA$69*SUMIFS(tabelle1[Breite B in mm],tabelle1[Anzahl Rohreinheiten],S$156,tabelle1[Nennweite DN],S$157,tabelle1[Außendurchmesser d in mm],S$158,tabelle1[Rippenhöhe h in mm],S$159)*S$160&gt;0,
IN_rooms!AA$69*SUMIFS(tabelle1[Breite B in mm],tabelle1[Anzahl Rohreinheiten],S$156,tabelle1[Nennweite DN],S$157,tabelle1[Außendurchmesser d in mm],S$158,tabelle1[Rippenhöhe h in mm],S$159)*S$160,0)</f>
        <v>0</v>
      </c>
      <c r="T162" s="21">
        <f>IF(IN_rooms!AB$69*SUMIFS(tabelle1[HK Fläche in m²],tabelle1[Nennweite DN],T$156,tabelle1[Außendurchmesser d in mm],T$157,tabelle1[Rippenhöhe in mm],T$158,tabelle1[Rippenabstand a in mm],T$159)*T$160&gt;0,
IN_rooms!AB$69*SUMIFS(tabelle1[HK Fläche in m²],tabelle1[Nennweite DN],T$156,tabelle1[Außendurchmesser d in mm],T$157,tabelle1[Rippenhöhe in mm],T$158,tabelle1[Rippenabstand a in mm],T$159)*T$160,0)</f>
        <v>0</v>
      </c>
      <c r="U162" s="21">
        <f>IF(IN_rooms!AC$69*SUMIFS(tabelle1[HK Volumen in m³],tabelle1[Außendurchmesser d in mm],U$156,tabelle1[Rippenhöhe in mm],U$157,tabelle1[Mittlere Rohrübertemperatur in K],U$158,tabelle1[Rohrreihen],U$159)*U$160&gt;0,
IN_rooms!AC$69*SUMIFS(tabelle1[HK Volumen in m³],tabelle1[Außendurchmesser d in mm],U$156,tabelle1[Rippenhöhe in mm],U$157,tabelle1[Mittlere Rohrübertemperatur in K],U$158,tabelle1[Rohrreihen],U$159)*U$160,0)</f>
        <v>0</v>
      </c>
      <c r="V162" s="21">
        <f>IF(IN_rooms!AD$69*SUMIFS(tabelle1[Nabenabstand N in mm],tabelle1[Rippenhöhe in mm],V$156,tabelle1[Mittlere Rohrübertemperatur in K],V$157,tabelle1[Übertemperatur in K],V$158,tabelle1[[Heizkörperexponent n ]],V$159)*V$160&gt;0,
IN_rooms!AD$69*SUMIFS(tabelle1[Nabenabstand N in mm],tabelle1[Rippenhöhe in mm],V$156,tabelle1[Mittlere Rohrübertemperatur in K],V$157,tabelle1[Übertemperatur in K],V$158,tabelle1[[Heizkörperexponent n ]],V$159)*V$160,0)</f>
        <v>0</v>
      </c>
      <c r="W162" s="21">
        <f>IF(IN_rooms!AE$69*SUMIFS(tabelle1[Bautiefe T in mm],tabelle1[Mittlere Rohrübertemperatur in K],W$156,tabelle1[Übertemperatur in K],W$157,tabelle1[Mittlere Wassertemperatur in °C],W$158,tabelle1[Wärmeleistung (75/65/20)  in W],W$159)*W$160&gt;0,
IN_rooms!AE$69*SUMIFS(tabelle1[Bautiefe T in mm],tabelle1[Mittlere Rohrübertemperatur in K],W$156,tabelle1[Übertemperatur in K],W$157,tabelle1[Mittlere Wassertemperatur in °C],W$158,tabelle1[Wärmeleistung (75/65/20)  in W],W$159)*W$160,0)</f>
        <v>0</v>
      </c>
      <c r="X162" s="21">
        <f>IF(IN_rooms!AF$69*SUMIFS(tabelle1[Anzahl Rohre],tabelle1[Übertemperatur in K],X$156,tabelle1[Mittlere Wassertemperatur in °C],X$157,tabelle1[Rippenhöhe h in mm],X$158,tabelle1[Wärmeleistung (75/65/20)  in W/m],X$159)*X$160&gt;0,
IN_rooms!AF$69*SUMIFS(tabelle1[Anzahl Rohre],tabelle1[Übertemperatur in K],X$156,tabelle1[Mittlere Wassertemperatur in °C],X$157,tabelle1[Rippenhöhe h in mm],X$158,tabelle1[Wärmeleistung (75/65/20)  in W/m],X$159)*X$160,0)</f>
        <v>0</v>
      </c>
    </row>
    <row r="163" spans="2:24" ht="15.75" thickBot="1" x14ac:dyDescent="0.3">
      <c r="B163" s="198" t="s">
        <v>785</v>
      </c>
      <c r="C163" s="198" t="s">
        <v>641</v>
      </c>
      <c r="D163" s="198" t="s">
        <v>211</v>
      </c>
      <c r="E163" s="198" t="s">
        <v>906</v>
      </c>
      <c r="F163" s="198" t="s">
        <v>107</v>
      </c>
      <c r="J163" s="21">
        <f>TVL_Ziel</f>
        <v>55</v>
      </c>
      <c r="K163" s="21">
        <f t="shared" ref="K163:X163" si="43">TVL_Ziel</f>
        <v>55</v>
      </c>
      <c r="L163" s="21">
        <f t="shared" si="43"/>
        <v>55</v>
      </c>
      <c r="M163" s="21">
        <f t="shared" si="43"/>
        <v>55</v>
      </c>
      <c r="N163" s="21">
        <f t="shared" si="43"/>
        <v>55</v>
      </c>
      <c r="O163" s="21">
        <f t="shared" si="43"/>
        <v>55</v>
      </c>
      <c r="P163" s="21">
        <f t="shared" si="43"/>
        <v>55</v>
      </c>
      <c r="Q163" s="21">
        <f t="shared" si="43"/>
        <v>55</v>
      </c>
      <c r="R163" s="21">
        <f t="shared" si="43"/>
        <v>55</v>
      </c>
      <c r="S163" s="21">
        <f t="shared" si="43"/>
        <v>55</v>
      </c>
      <c r="T163" s="21">
        <f t="shared" si="43"/>
        <v>55</v>
      </c>
      <c r="U163" s="21">
        <f t="shared" si="43"/>
        <v>55</v>
      </c>
      <c r="V163" s="21">
        <f t="shared" si="43"/>
        <v>55</v>
      </c>
      <c r="W163" s="21">
        <f t="shared" si="43"/>
        <v>55</v>
      </c>
      <c r="X163" s="21">
        <f t="shared" si="43"/>
        <v>55</v>
      </c>
    </row>
    <row r="164" spans="2:24" ht="15.75" thickBot="1" x14ac:dyDescent="0.3">
      <c r="B164" s="198" t="s">
        <v>787</v>
      </c>
      <c r="C164" s="198" t="s">
        <v>641</v>
      </c>
      <c r="D164" s="198" t="s">
        <v>211</v>
      </c>
      <c r="E164" s="198" t="s">
        <v>907</v>
      </c>
      <c r="F164" s="198" t="s">
        <v>107</v>
      </c>
      <c r="J164" s="21">
        <f>TRL_Ziel</f>
        <v>45</v>
      </c>
      <c r="K164" s="21">
        <f t="shared" ref="K164:X164" si="44">TRL_Ziel</f>
        <v>45</v>
      </c>
      <c r="L164" s="21">
        <f t="shared" si="44"/>
        <v>45</v>
      </c>
      <c r="M164" s="21">
        <f t="shared" si="44"/>
        <v>45</v>
      </c>
      <c r="N164" s="21">
        <f t="shared" si="44"/>
        <v>45</v>
      </c>
      <c r="O164" s="21">
        <f t="shared" si="44"/>
        <v>45</v>
      </c>
      <c r="P164" s="21">
        <f t="shared" si="44"/>
        <v>45</v>
      </c>
      <c r="Q164" s="21">
        <f t="shared" si="44"/>
        <v>45</v>
      </c>
      <c r="R164" s="21">
        <f t="shared" si="44"/>
        <v>45</v>
      </c>
      <c r="S164" s="21">
        <f t="shared" si="44"/>
        <v>45</v>
      </c>
      <c r="T164" s="21">
        <f t="shared" si="44"/>
        <v>45</v>
      </c>
      <c r="U164" s="21">
        <f t="shared" si="44"/>
        <v>45</v>
      </c>
      <c r="V164" s="21">
        <f t="shared" si="44"/>
        <v>45</v>
      </c>
      <c r="W164" s="21">
        <f t="shared" si="44"/>
        <v>45</v>
      </c>
      <c r="X164" s="21">
        <f t="shared" si="44"/>
        <v>45</v>
      </c>
    </row>
    <row r="165" spans="2:24" ht="15.75" thickBot="1" x14ac:dyDescent="0.3">
      <c r="B165" s="198" t="s">
        <v>789</v>
      </c>
      <c r="C165" s="198" t="s">
        <v>641</v>
      </c>
      <c r="D165" s="198" t="s">
        <v>211</v>
      </c>
      <c r="E165" s="198" t="s">
        <v>908</v>
      </c>
      <c r="F165" s="198" t="s">
        <v>791</v>
      </c>
      <c r="J165" s="79">
        <f>(J$163-J$164)/(LN((J$163-clc_load!M$10)/(J$164-clc_load!M$10)))</f>
        <v>29.720134119884619</v>
      </c>
      <c r="K165" s="79">
        <f>(K$163-K$164)/(LN((K$163-clc_load!N$10)/(K$164-clc_load!N$10)))</f>
        <v>29.720134119884619</v>
      </c>
      <c r="L165" s="79">
        <f>(L$163-L$164)/(LN((L$163-clc_load!O$10)/(L$164-clc_load!O$10)))</f>
        <v>29.720134119884619</v>
      </c>
      <c r="M165" s="79">
        <f>(M$163-M$164)/(LN((M$163-clc_load!P$10)/(M$164-clc_load!P$10)))</f>
        <v>29.720134119884619</v>
      </c>
      <c r="N165" s="79">
        <f>(N$163-N$164)/(LN((N$163-clc_load!Q$10)/(N$164-clc_load!Q$10)))</f>
        <v>29.720134119884619</v>
      </c>
      <c r="O165" s="79">
        <f>(O$163-O$164)/(LN((O$163-clc_load!R$10)/(O$164-clc_load!R$10)))</f>
        <v>29.720134119884619</v>
      </c>
      <c r="P165" s="79">
        <f>(P$163-P$164)/(LN((P$163-clc_load!S$10)/(P$164-clc_load!S$10)))</f>
        <v>29.720134119884619</v>
      </c>
      <c r="Q165" s="79">
        <f>(Q$163-Q$164)/(LN((Q$163-clc_load!T$10)/(Q$164-clc_load!T$10)))</f>
        <v>29.720134119884619</v>
      </c>
      <c r="R165" s="79">
        <f>(R$163-R$164)/(LN((R$163-clc_load!U$10)/(R$164-clc_load!U$10)))</f>
        <v>29.720134119884619</v>
      </c>
      <c r="S165" s="79">
        <f>(S$163-S$164)/(LN((S$163-clc_load!V$10)/(S$164-clc_load!V$10)))</f>
        <v>29.720134119884619</v>
      </c>
      <c r="T165" s="79">
        <f>(T$163-T$164)/(LN((T$163-clc_load!W$10)/(T$164-clc_load!W$10)))</f>
        <v>29.720134119884619</v>
      </c>
      <c r="U165" s="79">
        <f>(U$163-U$164)/(LN((U$163-clc_load!X$10)/(U$164-clc_load!X$10)))</f>
        <v>29.720134119884619</v>
      </c>
      <c r="V165" s="79">
        <f>(V$163-V$164)/(LN((V$163-clc_load!Y$10)/(V$164-clc_load!Y$10)))</f>
        <v>29.720134119884619</v>
      </c>
      <c r="W165" s="79">
        <f>(W$163-W$164)/(LN((W$163-clc_load!Z$10)/(W$164-clc_load!Z$10)))</f>
        <v>29.720134119884619</v>
      </c>
      <c r="X165" s="79">
        <f>(X$163-X$164)/(LN((X$163-clc_load!AA$10)/(X$164-clc_load!AA$10)))</f>
        <v>29.720134119884619</v>
      </c>
    </row>
    <row r="166" spans="2:24" ht="15.75" thickBot="1" x14ac:dyDescent="0.3">
      <c r="B166" s="198" t="s">
        <v>792</v>
      </c>
      <c r="C166" s="198" t="s">
        <v>641</v>
      </c>
      <c r="D166" s="198" t="s">
        <v>211</v>
      </c>
      <c r="E166" s="198" t="s">
        <v>909</v>
      </c>
      <c r="F166" s="198" t="s">
        <v>112</v>
      </c>
      <c r="J166" s="21">
        <f t="shared" ref="J166:X166" ca="1" si="45">IF(J$162*((J$165/Log_ÜT_Norm)^J$161)&gt;0,
J$162*((J$165/Log_ÜT_Norm)^J$161),0)</f>
        <v>0</v>
      </c>
      <c r="K166" s="21">
        <f t="shared" si="45"/>
        <v>0</v>
      </c>
      <c r="L166" s="21">
        <f t="shared" si="45"/>
        <v>0</v>
      </c>
      <c r="M166" s="21">
        <f t="shared" si="45"/>
        <v>0</v>
      </c>
      <c r="N166" s="21">
        <f t="shared" si="45"/>
        <v>0</v>
      </c>
      <c r="O166" s="21">
        <f t="shared" si="45"/>
        <v>0</v>
      </c>
      <c r="P166" s="21">
        <f t="shared" si="45"/>
        <v>0</v>
      </c>
      <c r="Q166" s="21">
        <f t="shared" si="45"/>
        <v>0</v>
      </c>
      <c r="R166" s="21">
        <f t="shared" si="45"/>
        <v>0</v>
      </c>
      <c r="S166" s="21">
        <f t="shared" si="45"/>
        <v>0</v>
      </c>
      <c r="T166" s="21">
        <f t="shared" si="45"/>
        <v>0</v>
      </c>
      <c r="U166" s="21">
        <f t="shared" si="45"/>
        <v>0</v>
      </c>
      <c r="V166" s="21">
        <f t="shared" si="45"/>
        <v>0</v>
      </c>
      <c r="W166" s="21">
        <f t="shared" si="45"/>
        <v>0</v>
      </c>
      <c r="X166" s="21">
        <f t="shared" si="45"/>
        <v>0</v>
      </c>
    </row>
    <row r="167" spans="2:24" ht="15.75" thickBot="1" x14ac:dyDescent="0.3">
      <c r="B167" s="243" t="s">
        <v>794</v>
      </c>
      <c r="C167" s="243" t="s">
        <v>641</v>
      </c>
      <c r="D167" s="243" t="s">
        <v>795</v>
      </c>
      <c r="E167" s="243" t="s">
        <v>910</v>
      </c>
      <c r="F167" s="243" t="s">
        <v>112</v>
      </c>
      <c r="J167" s="79">
        <f ca="1">_xlfn.LET(
    _xlpm.typ, "Flachheizkoerper_senkrecht_profiliert",
    _xlpm.subtyp, "Typ_33",
    _xlpm.höhe, _xlfn.XLOOKUP(J$158, Data_radiator!$G$5:$G$32, Data_radiator!$G$5:$G$32, 1000000, 1, 1),
    _xlpm.tiefe, 155,
    _xlpm.glieder, J$160,
    _xlpm.radiatorart, J$157,
    _xlpm.tempfaktor, IF(_xlpm.radiatorart = "Gussradiator", 50, 60),
    _xlpm.überschuss, J$165,
    _xlpm.leistung, IN_rooms!R$69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K167" s="79">
        <f ca="1">_xlfn.LET(
    _xlpm.typ, "Flachheizkoerper_senkrecht_profiliert",
    _xlpm.subtyp, "Typ_33",
    _xlpm.höhe, _xlfn.XLOOKUP(K$158, Data_radiator!$G$5:$G$32, Data_radiator!$G$5:$G$32, 1000000, 1, 1),
    _xlpm.tiefe, 155,
    _xlpm.glieder, K$160,
    _xlpm.radiatorart, K$157,
    _xlpm.tempfaktor, IF(_xlpm.radiatorart = "Gussradiator", 50, 60),
    _xlpm.überschuss, K$165,
    _xlpm.leistung, IN_rooms!S$69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L167" s="79">
        <f ca="1">_xlfn.LET(
    _xlpm.typ, "Flachheizkoerper_senkrecht_profiliert",
    _xlpm.subtyp, "Typ_33",
    _xlpm.höhe, _xlfn.XLOOKUP(L$158, Data_radiator!$G$5:$G$32, Data_radiator!$G$5:$G$32, 1000000, 1, 1),
    _xlpm.tiefe, 155,
    _xlpm.glieder, L$160,
    _xlpm.radiatorart, L$157,
    _xlpm.tempfaktor, IF(_xlpm.radiatorart = "Gussradiator", 50, 60),
    _xlpm.überschuss, L$165,
    _xlpm.leistung, IN_rooms!T$69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M167" s="79">
        <f ca="1">_xlfn.LET(
    _xlpm.typ, "Flachheizkoerper_senkrecht_profiliert",
    _xlpm.subtyp, "Typ_33",
    _xlpm.höhe, _xlfn.XLOOKUP(M$158, Data_radiator!$G$5:$G$32, Data_radiator!$G$5:$G$32, 1000000, 1, 1),
    _xlpm.tiefe, 155,
    _xlpm.glieder, M$160,
    _xlpm.radiatorart, M$157,
    _xlpm.tempfaktor, IF(_xlpm.radiatorart = "Gussradiator", 50, 60),
    _xlpm.überschuss, M$165,
    _xlpm.leistung, IN_rooms!U$69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N167" s="79">
        <f ca="1">_xlfn.LET(
    _xlpm.typ, "Flachheizkoerper_senkrecht_profiliert",
    _xlpm.subtyp, "Typ_33",
    _xlpm.höhe, _xlfn.XLOOKUP(N$158, Data_radiator!$G$5:$G$32, Data_radiator!$G$5:$G$32, 1000000, 1, 1),
    _xlpm.tiefe, 155,
    _xlpm.glieder, N$160,
    _xlpm.radiatorart, N$157,
    _xlpm.tempfaktor, IF(_xlpm.radiatorart = "Gussradiator", 50, 60),
    _xlpm.überschuss, N$165,
    _xlpm.leistung, IN_rooms!V$69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O167" s="79">
        <f ca="1">_xlfn.LET(
    _xlpm.typ, "Flachheizkoerper_senkrecht_profiliert",
    _xlpm.subtyp, "Typ_33",
    _xlpm.höhe, _xlfn.XLOOKUP(O$158, Data_radiator!$G$5:$G$32, Data_radiator!$G$5:$G$32, 1000000, 1, 1),
    _xlpm.tiefe, 155,
    _xlpm.glieder, O$160,
    _xlpm.radiatorart, O$157,
    _xlpm.tempfaktor, IF(_xlpm.radiatorart = "Gussradiator", 50, 60),
    _xlpm.überschuss, O$165,
    _xlpm.leistung, IN_rooms!W$69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P167" s="79">
        <f ca="1">_xlfn.LET(
    _xlpm.typ, "Flachheizkoerper_senkrecht_profiliert",
    _xlpm.subtyp, "Typ_33",
    _xlpm.höhe, _xlfn.XLOOKUP(P$158, Data_radiator!$G$5:$G$32, Data_radiator!$G$5:$G$32, 1000000, 1, 1),
    _xlpm.tiefe, 155,
    _xlpm.glieder, P$160,
    _xlpm.radiatorart, P$157,
    _xlpm.tempfaktor, IF(_xlpm.radiatorart = "Gussradiator", 50, 60),
    _xlpm.überschuss, P$165,
    _xlpm.leistung, IN_rooms!X$69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Q167" s="79">
        <f ca="1">_xlfn.LET(
    _xlpm.typ, "Flachheizkoerper_senkrecht_profiliert",
    _xlpm.subtyp, "Typ_33",
    _xlpm.höhe, _xlfn.XLOOKUP(Q$158, Data_radiator!$G$5:$G$32, Data_radiator!$G$5:$G$32, 1000000, 1, 1),
    _xlpm.tiefe, 155,
    _xlpm.glieder, Q$160,
    _xlpm.radiatorart, Q$157,
    _xlpm.tempfaktor, IF(_xlpm.radiatorart = "Gussradiator", 50, 60),
    _xlpm.überschuss, Q$165,
    _xlpm.leistung, IN_rooms!Y$69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R167" s="79">
        <f ca="1">_xlfn.LET(
    _xlpm.typ, "Flachheizkoerper_senkrecht_profiliert",
    _xlpm.subtyp, "Typ_33",
    _xlpm.höhe, _xlfn.XLOOKUP(R$158, Data_radiator!$G$5:$G$32, Data_radiator!$G$5:$G$32, 1000000, 1, 1),
    _xlpm.tiefe, 155,
    _xlpm.glieder, R$160,
    _xlpm.radiatorart, R$157,
    _xlpm.tempfaktor, IF(_xlpm.radiatorart = "Gussradiator", 50, 60),
    _xlpm.überschuss, R$165,
    _xlpm.leistung, IN_rooms!Z$69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S167" s="79">
        <f ca="1">_xlfn.LET(
    _xlpm.typ, "Flachheizkoerper_senkrecht_profiliert",
    _xlpm.subtyp, "Typ_33",
    _xlpm.höhe, _xlfn.XLOOKUP(S$158, Data_radiator!$G$5:$G$32, Data_radiator!$G$5:$G$32, 1000000, 1, 1),
    _xlpm.tiefe, 155,
    _xlpm.glieder, S$160,
    _xlpm.radiatorart, S$157,
    _xlpm.tempfaktor, IF(_xlpm.radiatorart = "Gussradiator", 50, 60),
    _xlpm.überschuss, S$165,
    _xlpm.leistung, IN_rooms!AA$69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T167" s="79">
        <f ca="1">_xlfn.LET(
    _xlpm.typ, "Flachheizkoerper_senkrecht_profiliert",
    _xlpm.subtyp, "Typ_33",
    _xlpm.höhe, _xlfn.XLOOKUP(T$158, Data_radiator!$G$5:$G$32, Data_radiator!$G$5:$G$32, 1000000, 1, 1),
    _xlpm.tiefe, 155,
    _xlpm.glieder, T$160,
    _xlpm.radiatorart, T$157,
    _xlpm.tempfaktor, IF(_xlpm.radiatorart = "Gussradiator", 50, 60),
    _xlpm.überschuss, T$165,
    _xlpm.leistung, IN_rooms!AB$69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U167" s="79">
        <f ca="1">_xlfn.LET(
    _xlpm.typ, "Flachheizkoerper_senkrecht_profiliert",
    _xlpm.subtyp, "Typ_33",
    _xlpm.höhe, _xlfn.XLOOKUP(U$158, Data_radiator!$G$5:$G$32, Data_radiator!$G$5:$G$32, 1000000, 1, 1),
    _xlpm.tiefe, 155,
    _xlpm.glieder, U$160,
    _xlpm.radiatorart, U$157,
    _xlpm.tempfaktor, IF(_xlpm.radiatorart = "Gussradiator", 50, 60),
    _xlpm.überschuss, U$165,
    _xlpm.leistung, IN_rooms!AC$69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V167" s="79">
        <f ca="1">_xlfn.LET(
    _xlpm.typ, "Flachheizkoerper_senkrecht_profiliert",
    _xlpm.subtyp, "Typ_33",
    _xlpm.höhe, _xlfn.XLOOKUP(V$158, Data_radiator!$G$5:$G$32, Data_radiator!$G$5:$G$32, 1000000, 1, 1),
    _xlpm.tiefe, 155,
    _xlpm.glieder, V$160,
    _xlpm.radiatorart, V$157,
    _xlpm.tempfaktor, IF(_xlpm.radiatorart = "Gussradiator", 50, 60),
    _xlpm.überschuss, V$165,
    _xlpm.leistung, IN_rooms!AD$69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W167" s="79">
        <f ca="1">_xlfn.LET(
    _xlpm.typ, "Flachheizkoerper_senkrecht_profiliert",
    _xlpm.subtyp, "Typ_33",
    _xlpm.höhe, _xlfn.XLOOKUP(W$158, Data_radiator!$G$5:$G$32, Data_radiator!$G$5:$G$32, 1000000, 1, 1),
    _xlpm.tiefe, 155,
    _xlpm.glieder, W$160,
    _xlpm.radiatorart, W$157,
    _xlpm.tempfaktor, IF(_xlpm.radiatorart = "Gussradiator", 50, 60),
    _xlpm.überschuss, W$165,
    _xlpm.leistung, IN_rooms!AE$69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c r="X167" s="79">
        <f ca="1">_xlfn.LET(
    _xlpm.typ, "Flachheizkoerper_senkrecht_profiliert",
    _xlpm.subtyp, "Typ_33",
    _xlpm.höhe, _xlfn.XLOOKUP(X$158, Data_radiator!$G$5:$G$32, Data_radiator!$G$5:$G$32, 1000000, 1, 1),
    _xlpm.tiefe, 155,
    _xlpm.glieder, X$160,
    _xlpm.radiatorart, X$157,
    _xlpm.tempfaktor, IF(_xlpm.radiatorart = "Gussradiator", 50, 60),
    _xlpm.überschuss, X$165,
    _xlpm.leistung, IN_rooms!AF$69 *
        SUMIFS(
            INDIRECT("tabelle1[Wärmeleistung (75/65/20)  in W/m]"),
            INDIRECT("tabelle1[Heizkörper_Typ]"), _xlpm.typ,
            INDIRECT("tabelle1[Heizkörper_Subtyp]"), _xlpm.subtyp,
            INDIRECT("tabelle1[Höhe H in mm]"), _xlpm.höhe,
            INDIRECT("tabelle1[Bautiefe T in mm]"), _xlpm.tiefe
        ) *
        ((_xlpm.glieder * _xlpm.tempfaktor / 1000) *
        ((_xlpm.überschuss / Log_ÜT_Norm) ^
            SUMIFS(
                INDIRECT("tabelle1[Heizkörperexponent n ]"),
                INDIRECT("tabelle1[Heizkörper_Typ]"), _xlpm.typ,
                INDIRECT("tabelle1[Heizkörper_Subtyp]"), _xlpm.subtyp,
                INDIRECT("tabelle1[Höhe H in mm]"), _xlpm.höhe,
                INDIRECT("tabelle1[Bautiefe T in mm]"), _xlpm.tiefe
            )
        )
    ),
    IF(_xlpm.leistung &gt; 0, _xlpm.leistung, 0)
)</f>
        <v>0</v>
      </c>
    </row>
    <row r="168" spans="2:24" ht="15.75" thickBot="1" x14ac:dyDescent="0.3">
      <c r="B168" s="241" t="s">
        <v>387</v>
      </c>
      <c r="C168" s="241" t="s">
        <v>641</v>
      </c>
      <c r="D168" s="241" t="s">
        <v>215</v>
      </c>
      <c r="E168" s="241" t="s">
        <v>911</v>
      </c>
      <c r="F168" s="241"/>
      <c r="J168" s="21" t="str">
        <f>IF(IN_rooms!R$63="Rohrradiator",IN_rooms!R$63,"")</f>
        <v/>
      </c>
      <c r="K168" s="21" t="str">
        <f>IF(IN_rooms!S$63="Rohrradiator",IN_rooms!S$63,"")</f>
        <v/>
      </c>
      <c r="L168" s="21" t="str">
        <f>IF(IN_rooms!T$63="Rohrradiator",IN_rooms!T$63,"")</f>
        <v/>
      </c>
      <c r="M168" s="21" t="str">
        <f>IF(IN_rooms!U$63="Rohrradiator",IN_rooms!U$63,"")</f>
        <v/>
      </c>
      <c r="N168" s="21" t="str">
        <f>IF(IN_rooms!V$63="Rohrradiator",IN_rooms!V$63,"")</f>
        <v/>
      </c>
      <c r="O168" s="21" t="str">
        <f>IF(IN_rooms!W$63="Rohrradiator",IN_rooms!W$63,"")</f>
        <v/>
      </c>
      <c r="P168" s="21" t="str">
        <f>IF(IN_rooms!X$63="Rohrradiator",IN_rooms!X$63,"")</f>
        <v/>
      </c>
      <c r="Q168" s="21" t="str">
        <f>IF(IN_rooms!Y$63="Rohrradiator",IN_rooms!Y$63,"")</f>
        <v/>
      </c>
      <c r="R168" s="21" t="str">
        <f>IF(IN_rooms!Z$63="Rohrradiator",IN_rooms!Z$63,"")</f>
        <v/>
      </c>
      <c r="S168" s="21" t="str">
        <f>IF(IN_rooms!AA$63="Rohrradiator",IN_rooms!AA$63,"")</f>
        <v/>
      </c>
      <c r="T168" s="21" t="str">
        <f>IF(IN_rooms!AB$63="Rohrradiator",IN_rooms!AB$63,"")</f>
        <v/>
      </c>
      <c r="U168" s="21" t="str">
        <f>IF(IN_rooms!AC$63="Rohrradiator",IN_rooms!AC$63,"")</f>
        <v/>
      </c>
      <c r="V168" s="21" t="str">
        <f>IF(IN_rooms!AD$63="Rohrradiator",IN_rooms!AD$63,"")</f>
        <v/>
      </c>
      <c r="W168" s="21" t="str">
        <f>IF(IN_rooms!AE$63="Rohrradiator",IN_rooms!AE$63,"")</f>
        <v/>
      </c>
      <c r="X168" s="21" t="str">
        <f>IF(IN_rooms!AF$63="Rohrradiator",IN_rooms!AF$63,"")</f>
        <v/>
      </c>
    </row>
    <row r="169" spans="2:24" ht="15.75" thickBot="1" x14ac:dyDescent="0.3">
      <c r="B169" s="241" t="s">
        <v>776</v>
      </c>
      <c r="C169" s="241" t="s">
        <v>641</v>
      </c>
      <c r="D169" s="241" t="s">
        <v>215</v>
      </c>
      <c r="E169" s="241" t="s">
        <v>912</v>
      </c>
      <c r="F169" s="241"/>
      <c r="J169" s="21">
        <f>IN_rooms!R$64</f>
        <v>0</v>
      </c>
      <c r="K169" s="21">
        <f>IN_rooms!S$64</f>
        <v>0</v>
      </c>
      <c r="L169" s="21">
        <f>IN_rooms!T$64</f>
        <v>0</v>
      </c>
      <c r="M169" s="21">
        <f>IN_rooms!U$64</f>
        <v>0</v>
      </c>
      <c r="N169" s="21">
        <f>IN_rooms!V$64</f>
        <v>0</v>
      </c>
      <c r="O169" s="21">
        <f>IN_rooms!W$64</f>
        <v>0</v>
      </c>
      <c r="P169" s="21">
        <f>IN_rooms!X$64</f>
        <v>0</v>
      </c>
      <c r="Q169" s="21">
        <f>IN_rooms!Y$64</f>
        <v>0</v>
      </c>
      <c r="R169" s="21">
        <f>IN_rooms!Z$64</f>
        <v>0</v>
      </c>
      <c r="S169" s="21">
        <f>IN_rooms!AA$64</f>
        <v>0</v>
      </c>
      <c r="T169" s="21">
        <f>IN_rooms!AB$64</f>
        <v>0</v>
      </c>
      <c r="U169" s="21">
        <f>IN_rooms!AC$64</f>
        <v>0</v>
      </c>
      <c r="V169" s="21">
        <f>IN_rooms!AD$64</f>
        <v>0</v>
      </c>
      <c r="W169" s="21">
        <f>IN_rooms!AE$64</f>
        <v>0</v>
      </c>
      <c r="X169" s="21">
        <f>IN_rooms!AF$64</f>
        <v>0</v>
      </c>
    </row>
    <row r="170" spans="2:24" ht="15.75" thickBot="1" x14ac:dyDescent="0.3">
      <c r="B170" s="241" t="s">
        <v>382</v>
      </c>
      <c r="C170" s="241" t="s">
        <v>641</v>
      </c>
      <c r="D170" s="241" t="s">
        <v>215</v>
      </c>
      <c r="E170" s="241" t="s">
        <v>913</v>
      </c>
      <c r="F170" s="241" t="s">
        <v>431</v>
      </c>
      <c r="J170" s="21">
        <f>IN_rooms!R$65</f>
        <v>0</v>
      </c>
      <c r="K170" s="21">
        <f>IN_rooms!S$65</f>
        <v>0</v>
      </c>
      <c r="L170" s="21">
        <f>IN_rooms!T$65</f>
        <v>0</v>
      </c>
      <c r="M170" s="21">
        <f>IN_rooms!U$65</f>
        <v>0</v>
      </c>
      <c r="N170" s="21">
        <f>IN_rooms!V$65</f>
        <v>0</v>
      </c>
      <c r="O170" s="21">
        <f>IN_rooms!W$65</f>
        <v>0</v>
      </c>
      <c r="P170" s="21">
        <f>IN_rooms!X$65</f>
        <v>0</v>
      </c>
      <c r="Q170" s="21">
        <f>IN_rooms!Y$65</f>
        <v>0</v>
      </c>
      <c r="R170" s="21">
        <f>IN_rooms!Z$65</f>
        <v>0</v>
      </c>
      <c r="S170" s="21">
        <f>IN_rooms!AA$65</f>
        <v>0</v>
      </c>
      <c r="T170" s="21">
        <f>IN_rooms!AB$65</f>
        <v>0</v>
      </c>
      <c r="U170" s="21">
        <f>IN_rooms!AC$65</f>
        <v>0</v>
      </c>
      <c r="V170" s="21">
        <f>IN_rooms!AD$65</f>
        <v>0</v>
      </c>
      <c r="W170" s="21">
        <f>IN_rooms!AE$65</f>
        <v>0</v>
      </c>
      <c r="X170" s="21">
        <f>IN_rooms!AF$65</f>
        <v>0</v>
      </c>
    </row>
    <row r="171" spans="2:24" ht="15.75" thickBot="1" x14ac:dyDescent="0.3">
      <c r="B171" s="241" t="s">
        <v>236</v>
      </c>
      <c r="C171" s="241" t="s">
        <v>641</v>
      </c>
      <c r="D171" s="241" t="s">
        <v>215</v>
      </c>
      <c r="E171" s="241" t="s">
        <v>914</v>
      </c>
      <c r="F171" s="241" t="s">
        <v>431</v>
      </c>
      <c r="J171" s="21">
        <f>IN_rooms!R$66</f>
        <v>0</v>
      </c>
      <c r="K171" s="21">
        <f>IN_rooms!S$66</f>
        <v>0</v>
      </c>
      <c r="L171" s="21">
        <f>IN_rooms!T$66</f>
        <v>0</v>
      </c>
      <c r="M171" s="21">
        <f>IN_rooms!U$66</f>
        <v>0</v>
      </c>
      <c r="N171" s="21">
        <f>IN_rooms!V$66</f>
        <v>0</v>
      </c>
      <c r="O171" s="21">
        <f>IN_rooms!W$66</f>
        <v>0</v>
      </c>
      <c r="P171" s="21">
        <f>IN_rooms!X$66</f>
        <v>0</v>
      </c>
      <c r="Q171" s="21">
        <f>IN_rooms!Y$66</f>
        <v>0</v>
      </c>
      <c r="R171" s="21">
        <f>IN_rooms!Z$66</f>
        <v>0</v>
      </c>
      <c r="S171" s="21">
        <f>IN_rooms!AA$66</f>
        <v>0</v>
      </c>
      <c r="T171" s="21">
        <f>IN_rooms!AB$66</f>
        <v>0</v>
      </c>
      <c r="U171" s="21">
        <f>IN_rooms!AC$66</f>
        <v>0</v>
      </c>
      <c r="V171" s="21">
        <f>IN_rooms!AD$66</f>
        <v>0</v>
      </c>
      <c r="W171" s="21">
        <f>IN_rooms!AE$66</f>
        <v>0</v>
      </c>
      <c r="X171" s="21">
        <f>IN_rooms!AF$66</f>
        <v>0</v>
      </c>
    </row>
    <row r="172" spans="2:24" ht="15.75" thickBot="1" x14ac:dyDescent="0.3">
      <c r="B172" s="241" t="s">
        <v>390</v>
      </c>
      <c r="C172" s="241" t="s">
        <v>641</v>
      </c>
      <c r="D172" s="241" t="s">
        <v>215</v>
      </c>
      <c r="E172" s="241" t="s">
        <v>915</v>
      </c>
      <c r="F172" s="241" t="s">
        <v>431</v>
      </c>
      <c r="J172" s="21">
        <f>IN_rooms!R$67</f>
        <v>0</v>
      </c>
      <c r="K172" s="21">
        <f>IN_rooms!S$67</f>
        <v>0</v>
      </c>
      <c r="L172" s="21">
        <f>IN_rooms!T$67</f>
        <v>0</v>
      </c>
      <c r="M172" s="21">
        <f>IN_rooms!U$67</f>
        <v>0</v>
      </c>
      <c r="N172" s="21">
        <f>IN_rooms!V$67</f>
        <v>0</v>
      </c>
      <c r="O172" s="21">
        <f>IN_rooms!W$67</f>
        <v>0</v>
      </c>
      <c r="P172" s="21">
        <f>IN_rooms!X$67</f>
        <v>0</v>
      </c>
      <c r="Q172" s="21">
        <f>IN_rooms!Y$67</f>
        <v>0</v>
      </c>
      <c r="R172" s="21">
        <f>IN_rooms!Z$67</f>
        <v>0</v>
      </c>
      <c r="S172" s="21">
        <f>IN_rooms!AA$67</f>
        <v>0</v>
      </c>
      <c r="T172" s="21">
        <f>IN_rooms!AB$67</f>
        <v>0</v>
      </c>
      <c r="U172" s="21">
        <f>IN_rooms!AC$67</f>
        <v>0</v>
      </c>
      <c r="V172" s="21">
        <f>IN_rooms!AD$67</f>
        <v>0</v>
      </c>
      <c r="W172" s="21">
        <f>IN_rooms!AE$67</f>
        <v>0</v>
      </c>
      <c r="X172" s="21">
        <f>IN_rooms!AF$67</f>
        <v>0</v>
      </c>
    </row>
    <row r="173" spans="2:24" ht="15.75" thickBot="1" x14ac:dyDescent="0.3">
      <c r="B173" s="241" t="s">
        <v>391</v>
      </c>
      <c r="C173" s="241" t="s">
        <v>641</v>
      </c>
      <c r="D173" s="241" t="s">
        <v>215</v>
      </c>
      <c r="E173" s="241" t="s">
        <v>916</v>
      </c>
      <c r="F173" s="241" t="s">
        <v>802</v>
      </c>
      <c r="J173" s="21">
        <f>IN_rooms!R$68</f>
        <v>0</v>
      </c>
      <c r="K173" s="21">
        <f>IN_rooms!S$68</f>
        <v>0</v>
      </c>
      <c r="L173" s="21">
        <f>IN_rooms!T$68</f>
        <v>0</v>
      </c>
      <c r="M173" s="21">
        <f>IN_rooms!U$68</f>
        <v>0</v>
      </c>
      <c r="N173" s="21">
        <f>IN_rooms!V$68</f>
        <v>0</v>
      </c>
      <c r="O173" s="21">
        <f>IN_rooms!W$68</f>
        <v>0</v>
      </c>
      <c r="P173" s="21">
        <f>IN_rooms!X$68</f>
        <v>0</v>
      </c>
      <c r="Q173" s="21">
        <f>IN_rooms!Y$68</f>
        <v>0</v>
      </c>
      <c r="R173" s="21">
        <f>IN_rooms!Z$68</f>
        <v>0</v>
      </c>
      <c r="S173" s="21">
        <f>IN_rooms!AA$68</f>
        <v>0</v>
      </c>
      <c r="T173" s="21">
        <f>IN_rooms!AB$68</f>
        <v>0</v>
      </c>
      <c r="U173" s="21">
        <f>IN_rooms!AC$68</f>
        <v>0</v>
      </c>
      <c r="V173" s="21">
        <f>IN_rooms!AD$68</f>
        <v>0</v>
      </c>
      <c r="W173" s="21">
        <f>IN_rooms!AE$68</f>
        <v>0</v>
      </c>
      <c r="X173" s="21">
        <f>IN_rooms!AF$68</f>
        <v>0</v>
      </c>
    </row>
    <row r="174" spans="2:24" ht="15.75" thickBot="1" x14ac:dyDescent="0.3">
      <c r="B174" s="241" t="s">
        <v>781</v>
      </c>
      <c r="C174" s="241" t="s">
        <v>641</v>
      </c>
      <c r="D174" s="241" t="s">
        <v>215</v>
      </c>
      <c r="E174" s="241" t="s">
        <v>917</v>
      </c>
      <c r="F174" s="241"/>
      <c r="J174" s="21" cm="1">
        <f t="array" aca="1" ref="J174" ca="1">_xlfn.LET(
    _xlpm.typ, J$168,
    _xlpm.subtyp, J$169,
    _xlpm.höhe, J$170,
    _xlpm.tiefe, J$172,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K174" s="21" cm="1">
        <f t="array" aca="1" ref="K174" ca="1">_xlfn.LET(
    _xlpm.typ, K$168,
    _xlpm.subtyp, K$169,
    _xlpm.höhe, K$170,
    _xlpm.tiefe, K$172,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L174" s="21" cm="1">
        <f t="array" aca="1" ref="L174" ca="1">_xlfn.LET(
    _xlpm.typ, L$168,
    _xlpm.subtyp, L$169,
    _xlpm.höhe, L$170,
    _xlpm.tiefe, L$172,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M174" s="21" cm="1">
        <f t="array" aca="1" ref="M174" ca="1">_xlfn.LET(
    _xlpm.typ, M$168,
    _xlpm.subtyp, M$169,
    _xlpm.höhe, M$170,
    _xlpm.tiefe, M$172,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N174" s="21" cm="1">
        <f t="array" aca="1" ref="N174" ca="1">_xlfn.LET(
    _xlpm.typ, N$168,
    _xlpm.subtyp, N$169,
    _xlpm.höhe, N$170,
    _xlpm.tiefe, N$172,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O174" s="21" cm="1">
        <f t="array" aca="1" ref="O174" ca="1">_xlfn.LET(
    _xlpm.typ, O$168,
    _xlpm.subtyp, O$169,
    _xlpm.höhe, O$170,
    _xlpm.tiefe, O$172,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P174" s="21" cm="1">
        <f t="array" aca="1" ref="P174" ca="1">_xlfn.LET(
    _xlpm.typ, P$168,
    _xlpm.subtyp, P$169,
    _xlpm.höhe, P$170,
    _xlpm.tiefe, P$172,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Q174" s="21" cm="1">
        <f t="array" aca="1" ref="Q174" ca="1">_xlfn.LET(
    _xlpm.typ, Q$168,
    _xlpm.subtyp, Q$169,
    _xlpm.höhe, Q$170,
    _xlpm.tiefe, Q$172,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R174" s="21" cm="1">
        <f t="array" aca="1" ref="R174" ca="1">_xlfn.LET(
    _xlpm.typ, R$168,
    _xlpm.subtyp, R$169,
    _xlpm.höhe, R$170,
    _xlpm.tiefe, R$172,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S174" s="21" cm="1">
        <f t="array" aca="1" ref="S174" ca="1">_xlfn.LET(
    _xlpm.typ, S$168,
    _xlpm.subtyp, S$169,
    _xlpm.höhe, S$170,
    _xlpm.tiefe, S$172,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T174" s="21" cm="1">
        <f t="array" aca="1" ref="T174" ca="1">_xlfn.LET(
    _xlpm.typ, T$168,
    _xlpm.subtyp, T$169,
    _xlpm.höhe, T$170,
    _xlpm.tiefe, T$172,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U174" s="21" cm="1">
        <f t="array" aca="1" ref="U174" ca="1">_xlfn.LET(
    _xlpm.typ, U$168,
    _xlpm.subtyp, U$169,
    _xlpm.höhe, U$170,
    _xlpm.tiefe, U$172,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V174" s="21" cm="1">
        <f t="array" aca="1" ref="V174" ca="1">_xlfn.LET(
    _xlpm.typ, V$168,
    _xlpm.subtyp, V$169,
    _xlpm.höhe, V$170,
    _xlpm.tiefe, V$172,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W174" s="21" cm="1">
        <f t="array" aca="1" ref="W174" ca="1">_xlfn.LET(
    _xlpm.typ, W$168,
    _xlpm.subtyp, W$169,
    _xlpm.höhe, W$170,
    _xlpm.tiefe, W$172,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c r="X174" s="21" cm="1">
        <f t="array" aca="1" ref="X174" ca="1">_xlfn.LET(
    _xlpm.typ, X$168,
    _xlpm.subtyp, X$169,
    _xlpm.höhe, X$170,
    _xlpm.tiefe, X$172,
    _xlpm.exponent, SUMIFS(
        INDIRECT("tabelle1[Heizkörperexponent n ]"),
        INDIRECT("tabelle1[Heizkörper_Typ]"), _xlpm.typ,
        INDIRECT("tabelle1[Heizkörper_Subtyp]"), _xlpm.subtyp,
        INDIRECT("tabelle1[Höhe H in mm]"), _xlpm.höhe,
        INDIRECT("tabelle1[Bautiefe T in mm]"), _xlpm.tiefe
    ),
    _xlfn.IFS(
        _xlpm.subtyp = "Stahlrohrradiator", 1.3,
        _xlpm.subtyp = "Fensterbankradiator", 1.3,
        _xlpm.subtyp = "Handtuchradiator", _xlpm.exponent,
        _xlpm.typ = "", 0
    )
)</f>
        <v>0</v>
      </c>
    </row>
    <row r="175" spans="2:24" ht="15.75" thickBot="1" x14ac:dyDescent="0.3">
      <c r="B175" s="241" t="s">
        <v>783</v>
      </c>
      <c r="C175" s="241" t="s">
        <v>641</v>
      </c>
      <c r="D175" s="241" t="s">
        <v>215</v>
      </c>
      <c r="E175" s="241" t="s">
        <v>918</v>
      </c>
      <c r="F175" s="241" t="s">
        <v>112</v>
      </c>
      <c r="J175" s="21" cm="1">
        <f t="array" aca="1" ref="J175" ca="1">_xlfn.LET(
    _xlpm.typ, clc_power!J$168,
    _xlpm.subtyp, clc_power!J$169,
    _xlpm.höhe, clc_power!J$170,
    _xlpm.breite, clc_power!J$174,
    _xlpm.tiefe, clc_power!J$172,
    _xlpm.faktor, clc_power!J$173,
    _xlpm.fläche, IN_rooms!R$65 * IN_rooms!R$66,
    _xlpm.radiatorart, J$169,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IF(IN_rooms!R$69 * _xlpm.leistung &gt; 0, IN_rooms!R$69 * _xlpm.leistung, 0)
)</f>
        <v>0</v>
      </c>
      <c r="K175" s="21" cm="1">
        <f t="array" aca="1" ref="K175" ca="1">_xlfn.LET(
    _xlpm.typ, clc_power!K$168,
    _xlpm.subtyp, clc_power!K$169,
    _xlpm.höhe, clc_power!K$170,
    _xlpm.breite, clc_power!K$174,
    _xlpm.tiefe, clc_power!K$172,
    _xlpm.faktor, clc_power!K$173,
    _xlpm.fläche, IN_rooms!S$65 * IN_rooms!S$66,
    _xlpm.radiatorart, K$169,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IF(IN_rooms!S$69 * _xlpm.leistung &gt; 0, IN_rooms!S$69 * _xlpm.leistung, 0)
)</f>
        <v>0</v>
      </c>
      <c r="L175" s="21" cm="1">
        <f t="array" aca="1" ref="L175" ca="1">_xlfn.LET(
    _xlpm.typ, clc_power!L$168,
    _xlpm.subtyp, clc_power!L$169,
    _xlpm.höhe, clc_power!L$170,
    _xlpm.breite, clc_power!L$174,
    _xlpm.tiefe, clc_power!L$172,
    _xlpm.faktor, clc_power!L$173,
    _xlpm.fläche, IN_rooms!T$65 * IN_rooms!T$66,
    _xlpm.radiatorart, L$169,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IF(IN_rooms!T$69 * _xlpm.leistung &gt; 0, IN_rooms!T$69 * _xlpm.leistung, 0)
)</f>
        <v>0</v>
      </c>
      <c r="M175" s="21" cm="1">
        <f t="array" aca="1" ref="M175" ca="1">_xlfn.LET(
    _xlpm.typ, clc_power!M$168,
    _xlpm.subtyp, clc_power!M$169,
    _xlpm.höhe, clc_power!M$170,
    _xlpm.breite, clc_power!M$174,
    _xlpm.tiefe, clc_power!M$172,
    _xlpm.faktor, clc_power!M$173,
    _xlpm.fläche, IN_rooms!U$65 * IN_rooms!U$66,
    _xlpm.radiatorart, M$169,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IF(IN_rooms!U$69 * _xlpm.leistung &gt; 0, IN_rooms!U$69 * _xlpm.leistung, 0)
)</f>
        <v>0</v>
      </c>
      <c r="N175" s="21" cm="1">
        <f t="array" aca="1" ref="N175" ca="1">_xlfn.LET(
    _xlpm.typ, clc_power!N$168,
    _xlpm.subtyp, clc_power!N$169,
    _xlpm.höhe, clc_power!N$170,
    _xlpm.breite, clc_power!N$174,
    _xlpm.tiefe, clc_power!N$172,
    _xlpm.faktor, clc_power!N$173,
    _xlpm.fläche, IN_rooms!V$65 * IN_rooms!V$66,
    _xlpm.radiatorart, N$169,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IF(IN_rooms!V$69 * _xlpm.leistung &gt; 0, IN_rooms!V$69 * _xlpm.leistung, 0)
)</f>
        <v>0</v>
      </c>
      <c r="O175" s="21" cm="1">
        <f t="array" aca="1" ref="O175" ca="1">_xlfn.LET(
    _xlpm.typ, clc_power!O$168,
    _xlpm.subtyp, clc_power!O$169,
    _xlpm.höhe, clc_power!O$170,
    _xlpm.breite, clc_power!O$174,
    _xlpm.tiefe, clc_power!O$172,
    _xlpm.faktor, clc_power!O$173,
    _xlpm.fläche, IN_rooms!W$65 * IN_rooms!W$66,
    _xlpm.radiatorart, O$169,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IF(IN_rooms!W$69 * _xlpm.leistung &gt; 0, IN_rooms!W$69 * _xlpm.leistung, 0)
)</f>
        <v>0</v>
      </c>
      <c r="P175" s="21" cm="1">
        <f t="array" aca="1" ref="P175" ca="1">_xlfn.LET(
    _xlpm.typ, clc_power!P$168,
    _xlpm.subtyp, clc_power!P$169,
    _xlpm.höhe, clc_power!P$170,
    _xlpm.breite, clc_power!P$174,
    _xlpm.tiefe, clc_power!P$172,
    _xlpm.faktor, clc_power!P$173,
    _xlpm.fläche, IN_rooms!X$65 * IN_rooms!X$66,
    _xlpm.radiatorart, P$169,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IF(IN_rooms!X$69 * _xlpm.leistung &gt; 0, IN_rooms!X$69 * _xlpm.leistung, 0)
)</f>
        <v>0</v>
      </c>
      <c r="Q175" s="21" cm="1">
        <f t="array" aca="1" ref="Q175" ca="1">_xlfn.LET(
    _xlpm.typ, clc_power!Q$168,
    _xlpm.subtyp, clc_power!Q$169,
    _xlpm.höhe, clc_power!Q$170,
    _xlpm.breite, clc_power!Q$174,
    _xlpm.tiefe, clc_power!Q$172,
    _xlpm.faktor, clc_power!Q$173,
    _xlpm.fläche, IN_rooms!Y$65 * IN_rooms!Y$66,
    _xlpm.radiatorart, Q$169,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IF(IN_rooms!Y$69 * _xlpm.leistung &gt; 0, IN_rooms!Y$69 * _xlpm.leistung, 0)
)</f>
        <v>0</v>
      </c>
      <c r="R175" s="21" cm="1">
        <f t="array" aca="1" ref="R175" ca="1">_xlfn.LET(
    _xlpm.typ, clc_power!R$168,
    _xlpm.subtyp, clc_power!R$169,
    _xlpm.höhe, clc_power!R$170,
    _xlpm.breite, clc_power!R$174,
    _xlpm.tiefe, clc_power!R$172,
    _xlpm.faktor, clc_power!R$173,
    _xlpm.fläche, IN_rooms!Z$65 * IN_rooms!Z$66,
    _xlpm.radiatorart, R$169,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IF(IN_rooms!Z$69 * _xlpm.leistung &gt; 0, IN_rooms!Z$69 * _xlpm.leistung, 0)
)</f>
        <v>0</v>
      </c>
      <c r="S175" s="21" cm="1">
        <f t="array" aca="1" ref="S175" ca="1">_xlfn.LET(
    _xlpm.typ, clc_power!S$168,
    _xlpm.subtyp, clc_power!S$169,
    _xlpm.höhe, clc_power!S$170,
    _xlpm.breite, clc_power!S$174,
    _xlpm.tiefe, clc_power!S$172,
    _xlpm.faktor, clc_power!S$173,
    _xlpm.fläche, IN_rooms!AA$65 * IN_rooms!AA$66,
    _xlpm.radiatorart, S$169,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IF(IN_rooms!AA$69 * _xlpm.leistung &gt; 0, IN_rooms!AA$69 * _xlpm.leistung, 0)
)</f>
        <v>0</v>
      </c>
      <c r="T175" s="21" cm="1">
        <f t="array" aca="1" ref="T175" ca="1">_xlfn.LET(
    _xlpm.typ, clc_power!T$168,
    _xlpm.subtyp, clc_power!T$169,
    _xlpm.höhe, clc_power!T$170,
    _xlpm.breite, clc_power!T$174,
    _xlpm.tiefe, clc_power!T$172,
    _xlpm.faktor, clc_power!T$173,
    _xlpm.fläche, IN_rooms!AB$65 * IN_rooms!AB$66,
    _xlpm.radiatorart, T$169,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IF(IN_rooms!AB$69 * _xlpm.leistung &gt; 0, IN_rooms!AB$69 * _xlpm.leistung, 0)
)</f>
        <v>0</v>
      </c>
      <c r="U175" s="21" cm="1">
        <f t="array" aca="1" ref="U175" ca="1">_xlfn.LET(
    _xlpm.typ, clc_power!U$168,
    _xlpm.subtyp, clc_power!U$169,
    _xlpm.höhe, clc_power!U$170,
    _xlpm.breite, clc_power!U$174,
    _xlpm.tiefe, clc_power!U$172,
    _xlpm.faktor, clc_power!U$173,
    _xlpm.fläche, IN_rooms!AC$65 * IN_rooms!AC$66,
    _xlpm.radiatorart, U$169,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IF(IN_rooms!AC$69 * _xlpm.leistung &gt; 0, IN_rooms!AC$69 * _xlpm.leistung, 0)
)</f>
        <v>0</v>
      </c>
      <c r="V175" s="21" cm="1">
        <f t="array" aca="1" ref="V175" ca="1">_xlfn.LET(
    _xlpm.typ, clc_power!V$168,
    _xlpm.subtyp, clc_power!V$169,
    _xlpm.höhe, clc_power!V$170,
    _xlpm.breite, clc_power!V$174,
    _xlpm.tiefe, clc_power!V$172,
    _xlpm.faktor, clc_power!V$173,
    _xlpm.fläche, IN_rooms!AD$65 * IN_rooms!AD$66,
    _xlpm.radiatorart, V$169,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IF(IN_rooms!AD$69 * _xlpm.leistung &gt; 0, IN_rooms!AD$69 * _xlpm.leistung, 0)
)</f>
        <v>0</v>
      </c>
      <c r="W175" s="21" cm="1">
        <f t="array" aca="1" ref="W175" ca="1">_xlfn.LET(
    _xlpm.typ, clc_power!W$168,
    _xlpm.subtyp, clc_power!W$169,
    _xlpm.höhe, clc_power!W$170,
    _xlpm.breite, clc_power!W$174,
    _xlpm.tiefe, clc_power!W$172,
    _xlpm.faktor, clc_power!W$173,
    _xlpm.fläche, IN_rooms!AE$65 * IN_rooms!AE$66,
    _xlpm.radiatorart, W$169,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IF(IN_rooms!AE$69 * _xlpm.leistung &gt; 0, IN_rooms!AE$69 * _xlpm.leistung, 0)
)</f>
        <v>0</v>
      </c>
      <c r="X175" s="21" cm="1">
        <f t="array" aca="1" ref="X175" ca="1">_xlfn.LET(
    _xlpm.typ, clc_power!X$168,
    _xlpm.subtyp, clc_power!X$169,
    _xlpm.höhe, clc_power!X$170,
    _xlpm.breite, clc_power!X$174,
    _xlpm.tiefe, clc_power!X$172,
    _xlpm.faktor, clc_power!X$173,
    _xlpm.fläche, IN_rooms!AF$65 * IN_rooms!AF$66,
    _xlpm.radiatorart, X$169,
    _xlpm.leistung, _xlfn.IFS(
        _xlpm.radiatorart = "Stahlrohrradiator",
            _xlpm.faktor * SUMIFS(
                INDIRECT("tabelle1[Wärmeleistung (75/65/20)  in W/Glied]"),
                INDIRECT("tabelle1[Heizkörper_Typ]"), _xlpm.typ,
                INDIRECT("tabelle1[Heizkörper_Subtyp]"), _xlpm.subtyp,
                INDIRECT("tabelle1[Höhe H in mm]"), _xlpm.höhe,
                INDIRECT("tabelle1[Bautiefe T in mm]"), _xlpm.tiefe
            ),
        _xlpm.radiatorart = "Handtuchradiator",
            919 * (_xlpm.fläche / 10^6) + 76.691,
        _xlpm.radiatorart = "Fensterbankradiator",
            SUMIFS(
                INDIRECT("tabelle1[Wärmeleistung (75/65/20)  in W]"),
                INDIRECT("tabelle1[Heizkörper_Typ]"), _xlpm.typ,
                INDIRECT("tabelle1[Heizkörper_Subtyp]"), _xlpm.subtyp,
                INDIRECT("tabelle1[Höhe H in mm]"), _xlpm.höhe,
                INDIRECT("tabelle1[Breite B in mm]"), _xlpm.breite,
                INDIRECT("tabelle1[Bautiefe T in mm]"), _xlpm.tiefe
            ),
        _xlpm.typ = "", 0
    ),
    IF(IN_rooms!AF$69 * _xlpm.leistung &gt; 0, IN_rooms!AF$69 * _xlpm.leistung, 0)
)</f>
        <v>0</v>
      </c>
    </row>
    <row r="176" spans="2:24" ht="15.75" thickBot="1" x14ac:dyDescent="0.3">
      <c r="B176" s="241" t="s">
        <v>785</v>
      </c>
      <c r="C176" s="241" t="s">
        <v>641</v>
      </c>
      <c r="D176" s="241" t="s">
        <v>215</v>
      </c>
      <c r="E176" s="241" t="s">
        <v>919</v>
      </c>
      <c r="F176" s="241" t="s">
        <v>107</v>
      </c>
      <c r="J176" s="21">
        <f>TVL_Ziel</f>
        <v>55</v>
      </c>
      <c r="K176" s="21">
        <f t="shared" ref="K176:X176" si="46">TVL_Ziel</f>
        <v>55</v>
      </c>
      <c r="L176" s="21">
        <f t="shared" si="46"/>
        <v>55</v>
      </c>
      <c r="M176" s="21">
        <f t="shared" si="46"/>
        <v>55</v>
      </c>
      <c r="N176" s="21">
        <f t="shared" si="46"/>
        <v>55</v>
      </c>
      <c r="O176" s="21">
        <f t="shared" si="46"/>
        <v>55</v>
      </c>
      <c r="P176" s="21">
        <f t="shared" si="46"/>
        <v>55</v>
      </c>
      <c r="Q176" s="21">
        <f t="shared" si="46"/>
        <v>55</v>
      </c>
      <c r="R176" s="21">
        <f t="shared" si="46"/>
        <v>55</v>
      </c>
      <c r="S176" s="21">
        <f t="shared" si="46"/>
        <v>55</v>
      </c>
      <c r="T176" s="21">
        <f t="shared" si="46"/>
        <v>55</v>
      </c>
      <c r="U176" s="21">
        <f t="shared" si="46"/>
        <v>55</v>
      </c>
      <c r="V176" s="21">
        <f t="shared" si="46"/>
        <v>55</v>
      </c>
      <c r="W176" s="21">
        <f t="shared" si="46"/>
        <v>55</v>
      </c>
      <c r="X176" s="21">
        <f t="shared" si="46"/>
        <v>55</v>
      </c>
    </row>
    <row r="177" spans="2:24" ht="15.75" thickBot="1" x14ac:dyDescent="0.3">
      <c r="B177" s="241" t="s">
        <v>787</v>
      </c>
      <c r="C177" s="241" t="s">
        <v>641</v>
      </c>
      <c r="D177" s="241" t="s">
        <v>215</v>
      </c>
      <c r="E177" s="241" t="s">
        <v>920</v>
      </c>
      <c r="F177" s="241" t="s">
        <v>107</v>
      </c>
      <c r="J177" s="21">
        <f>TRL_Ziel</f>
        <v>45</v>
      </c>
      <c r="K177" s="21">
        <f t="shared" ref="K177:X177" si="47">TRL_Ziel</f>
        <v>45</v>
      </c>
      <c r="L177" s="21">
        <f t="shared" si="47"/>
        <v>45</v>
      </c>
      <c r="M177" s="21">
        <f t="shared" si="47"/>
        <v>45</v>
      </c>
      <c r="N177" s="21">
        <f t="shared" si="47"/>
        <v>45</v>
      </c>
      <c r="O177" s="21">
        <f t="shared" si="47"/>
        <v>45</v>
      </c>
      <c r="P177" s="21">
        <f t="shared" si="47"/>
        <v>45</v>
      </c>
      <c r="Q177" s="21">
        <f t="shared" si="47"/>
        <v>45</v>
      </c>
      <c r="R177" s="21">
        <f t="shared" si="47"/>
        <v>45</v>
      </c>
      <c r="S177" s="21">
        <f t="shared" si="47"/>
        <v>45</v>
      </c>
      <c r="T177" s="21">
        <f t="shared" si="47"/>
        <v>45</v>
      </c>
      <c r="U177" s="21">
        <f t="shared" si="47"/>
        <v>45</v>
      </c>
      <c r="V177" s="21">
        <f t="shared" si="47"/>
        <v>45</v>
      </c>
      <c r="W177" s="21">
        <f t="shared" si="47"/>
        <v>45</v>
      </c>
      <c r="X177" s="21">
        <f t="shared" si="47"/>
        <v>45</v>
      </c>
    </row>
    <row r="178" spans="2:24" ht="15.75" thickBot="1" x14ac:dyDescent="0.3">
      <c r="B178" s="241" t="s">
        <v>789</v>
      </c>
      <c r="C178" s="241" t="s">
        <v>641</v>
      </c>
      <c r="D178" s="241" t="s">
        <v>215</v>
      </c>
      <c r="E178" s="241" t="s">
        <v>921</v>
      </c>
      <c r="F178" s="241" t="s">
        <v>791</v>
      </c>
      <c r="J178" s="79">
        <f>(J$176-J$177)/(LN((J$176-clc_load!M$10)/(J$177-clc_load!M$10)))</f>
        <v>29.720134119884619</v>
      </c>
      <c r="K178" s="79">
        <f>(K$176-K$177)/(LN((K$176-clc_load!N$10)/(K$177-clc_load!N$10)))</f>
        <v>29.720134119884619</v>
      </c>
      <c r="L178" s="79">
        <f>(L$176-L$177)/(LN((L$176-clc_load!O$10)/(L$177-clc_load!O$10)))</f>
        <v>29.720134119884619</v>
      </c>
      <c r="M178" s="79">
        <f>(M$176-M$177)/(LN((M$176-clc_load!P$10)/(M$177-clc_load!P$10)))</f>
        <v>29.720134119884619</v>
      </c>
      <c r="N178" s="79">
        <f>(N$176-N$177)/(LN((N$176-clc_load!Q$10)/(N$177-clc_load!Q$10)))</f>
        <v>29.720134119884619</v>
      </c>
      <c r="O178" s="79">
        <f>(O$176-O$177)/(LN((O$176-clc_load!R$10)/(O$177-clc_load!R$10)))</f>
        <v>29.720134119884619</v>
      </c>
      <c r="P178" s="79">
        <f>(P$176-P$177)/(LN((P$176-clc_load!S$10)/(P$177-clc_load!S$10)))</f>
        <v>29.720134119884619</v>
      </c>
      <c r="Q178" s="79">
        <f>(Q$176-Q$177)/(LN((Q$176-clc_load!T$10)/(Q$177-clc_load!T$10)))</f>
        <v>29.720134119884619</v>
      </c>
      <c r="R178" s="79">
        <f>(R$176-R$177)/(LN((R$176-clc_load!U$10)/(R$177-clc_load!U$10)))</f>
        <v>29.720134119884619</v>
      </c>
      <c r="S178" s="79">
        <f>(S$176-S$177)/(LN((S$176-clc_load!V$10)/(S$177-clc_load!V$10)))</f>
        <v>29.720134119884619</v>
      </c>
      <c r="T178" s="79">
        <f>(T$176-T$177)/(LN((T$176-clc_load!W$10)/(T$177-clc_load!W$10)))</f>
        <v>29.720134119884619</v>
      </c>
      <c r="U178" s="79">
        <f>(U$176-U$177)/(LN((U$176-clc_load!X$10)/(U$177-clc_load!X$10)))</f>
        <v>29.720134119884619</v>
      </c>
      <c r="V178" s="79">
        <f>(V$176-V$177)/(LN((V$176-clc_load!Y$10)/(V$177-clc_load!Y$10)))</f>
        <v>29.720134119884619</v>
      </c>
      <c r="W178" s="79">
        <f>(W$176-W$177)/(LN((W$176-clc_load!Z$10)/(W$177-clc_load!Z$10)))</f>
        <v>29.720134119884619</v>
      </c>
      <c r="X178" s="79">
        <f>(X$176-X$177)/(LN((X$176-clc_load!AA$10)/(X$177-clc_load!AA$10)))</f>
        <v>29.720134119884619</v>
      </c>
    </row>
    <row r="179" spans="2:24" ht="15.75" thickBot="1" x14ac:dyDescent="0.3">
      <c r="B179" s="241" t="s">
        <v>792</v>
      </c>
      <c r="C179" s="241" t="s">
        <v>641</v>
      </c>
      <c r="D179" s="241" t="s">
        <v>215</v>
      </c>
      <c r="E179" s="241" t="s">
        <v>922</v>
      </c>
      <c r="F179" s="241" t="s">
        <v>112</v>
      </c>
      <c r="J179" s="21">
        <f ca="1">J$175*((J$178/Log_ÜT_Norm)^J$174)</f>
        <v>0</v>
      </c>
      <c r="K179" s="21">
        <f t="shared" ref="K179:X179" ca="1" si="48">K$175*((K$178/Log_ÜT_Norm)^K$174)</f>
        <v>0</v>
      </c>
      <c r="L179" s="21">
        <f t="shared" ca="1" si="48"/>
        <v>0</v>
      </c>
      <c r="M179" s="21">
        <f t="shared" ca="1" si="48"/>
        <v>0</v>
      </c>
      <c r="N179" s="21">
        <f t="shared" ca="1" si="48"/>
        <v>0</v>
      </c>
      <c r="O179" s="21">
        <f t="shared" ca="1" si="48"/>
        <v>0</v>
      </c>
      <c r="P179" s="21">
        <f t="shared" ca="1" si="48"/>
        <v>0</v>
      </c>
      <c r="Q179" s="21">
        <f t="shared" ca="1" si="48"/>
        <v>0</v>
      </c>
      <c r="R179" s="21">
        <f t="shared" ca="1" si="48"/>
        <v>0</v>
      </c>
      <c r="S179" s="21">
        <f t="shared" ca="1" si="48"/>
        <v>0</v>
      </c>
      <c r="T179" s="21">
        <f t="shared" ca="1" si="48"/>
        <v>0</v>
      </c>
      <c r="U179" s="21">
        <f t="shared" ca="1" si="48"/>
        <v>0</v>
      </c>
      <c r="V179" s="21">
        <f t="shared" ca="1" si="48"/>
        <v>0</v>
      </c>
      <c r="W179" s="21">
        <f t="shared" ca="1" si="48"/>
        <v>0</v>
      </c>
      <c r="X179" s="21">
        <f t="shared" ca="1" si="48"/>
        <v>0</v>
      </c>
    </row>
    <row r="180" spans="2:24" ht="15.75" thickBot="1" x14ac:dyDescent="0.3">
      <c r="B180" s="201" t="s">
        <v>794</v>
      </c>
      <c r="C180" s="201" t="s">
        <v>641</v>
      </c>
      <c r="D180" s="201" t="s">
        <v>795</v>
      </c>
      <c r="E180" s="201" t="s">
        <v>923</v>
      </c>
      <c r="F180" s="201" t="s">
        <v>112</v>
      </c>
      <c r="J180" s="79">
        <f ca="1">_xlfn.LET(
    _xlpm.typ, "Flachheizkoerper_senkrecht_profiliert",
    _xlpm.subtyp, "Typ_33",
    _xlpm.höhe, _xlfn.XLOOKUP(J$103, Data_radiator!$G$5:$G$32, Data_radiator!$G$5:$G$32, 1000000, 1, 1),
    _xlpm.tiefe, 155,
    _xlpm.glieder, IF(J$102 = "Stahlrohrradiator", 45, J$171),
    _xlpm.faktor, J$178 / Log_ÜT_Norm,
    _xlpm.leistung, IN_rooms!R$69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K180" s="79">
        <f ca="1">_xlfn.LET(
    _xlpm.typ, "Flachheizkoerper_senkrecht_profiliert",
    _xlpm.subtyp, "Typ_33",
    _xlpm.höhe, _xlfn.XLOOKUP(K$103, Data_radiator!$G$5:$G$32, Data_radiator!$G$5:$G$32, 1000000, 1, 1),
    _xlpm.tiefe, 155,
    _xlpm.glieder, IF(K$102 = "Stahlrohrradiator", 45, K$171),
    _xlpm.faktor, K$178 / Log_ÜT_Norm,
    _xlpm.leistung, IN_rooms!S$69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L180" s="79">
        <f ca="1">_xlfn.LET(
    _xlpm.typ, "Flachheizkoerper_senkrecht_profiliert",
    _xlpm.subtyp, "Typ_33",
    _xlpm.höhe, _xlfn.XLOOKUP(L$103, Data_radiator!$G$5:$G$32, Data_radiator!$G$5:$G$32, 1000000, 1, 1),
    _xlpm.tiefe, 155,
    _xlpm.glieder, IF(L$102 = "Stahlrohrradiator", 45, L$171),
    _xlpm.faktor, L$178 / Log_ÜT_Norm,
    _xlpm.leistung, IN_rooms!T$69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M180" s="79">
        <f ca="1">_xlfn.LET(
    _xlpm.typ, "Flachheizkoerper_senkrecht_profiliert",
    _xlpm.subtyp, "Typ_33",
    _xlpm.höhe, _xlfn.XLOOKUP(M$103, Data_radiator!$G$5:$G$32, Data_radiator!$G$5:$G$32, 1000000, 1, 1),
    _xlpm.tiefe, 155,
    _xlpm.glieder, IF(M$102 = "Stahlrohrradiator", 45, M$171),
    _xlpm.faktor, M$178 / Log_ÜT_Norm,
    _xlpm.leistung, IN_rooms!U$69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N180" s="79">
        <f ca="1">_xlfn.LET(
    _xlpm.typ, "Flachheizkoerper_senkrecht_profiliert",
    _xlpm.subtyp, "Typ_33",
    _xlpm.höhe, _xlfn.XLOOKUP(N$103, Data_radiator!$G$5:$G$32, Data_radiator!$G$5:$G$32, 1000000, 1, 1),
    _xlpm.tiefe, 155,
    _xlpm.glieder, IF(N$102 = "Stahlrohrradiator", 45, N$171),
    _xlpm.faktor, N$178 / Log_ÜT_Norm,
    _xlpm.leistung, IN_rooms!V$69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O180" s="79">
        <f ca="1">_xlfn.LET(
    _xlpm.typ, "Flachheizkoerper_senkrecht_profiliert",
    _xlpm.subtyp, "Typ_33",
    _xlpm.höhe, _xlfn.XLOOKUP(O$103, Data_radiator!$G$5:$G$32, Data_radiator!$G$5:$G$32, 1000000, 1, 1),
    _xlpm.tiefe, 155,
    _xlpm.glieder, IF(O$102 = "Stahlrohrradiator", 45, O$171),
    _xlpm.faktor, O$178 / Log_ÜT_Norm,
    _xlpm.leistung, IN_rooms!W$69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P180" s="79">
        <f ca="1">_xlfn.LET(
    _xlpm.typ, "Flachheizkoerper_senkrecht_profiliert",
    _xlpm.subtyp, "Typ_33",
    _xlpm.höhe, _xlfn.XLOOKUP(P$103, Data_radiator!$G$5:$G$32, Data_radiator!$G$5:$G$32, 1000000, 1, 1),
    _xlpm.tiefe, 155,
    _xlpm.glieder, IF(P$102 = "Stahlrohrradiator", 45, P$171),
    _xlpm.faktor, P$178 / Log_ÜT_Norm,
    _xlpm.leistung, IN_rooms!X$69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Q180" s="79">
        <f ca="1">_xlfn.LET(
    _xlpm.typ, "Flachheizkoerper_senkrecht_profiliert",
    _xlpm.subtyp, "Typ_33",
    _xlpm.höhe, _xlfn.XLOOKUP(Q$103, Data_radiator!$G$5:$G$32, Data_radiator!$G$5:$G$32, 1000000, 1, 1),
    _xlpm.tiefe, 155,
    _xlpm.glieder, IF(Q$102 = "Stahlrohrradiator", 45, Q$171),
    _xlpm.faktor, Q$178 / Log_ÜT_Norm,
    _xlpm.leistung, IN_rooms!Y$69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R180" s="79">
        <f ca="1">_xlfn.LET(
    _xlpm.typ, "Flachheizkoerper_senkrecht_profiliert",
    _xlpm.subtyp, "Typ_33",
    _xlpm.höhe, _xlfn.XLOOKUP(R$103, Data_radiator!$G$5:$G$32, Data_radiator!$G$5:$G$32, 1000000, 1, 1),
    _xlpm.tiefe, 155,
    _xlpm.glieder, IF(R$102 = "Stahlrohrradiator", 45, R$171),
    _xlpm.faktor, R$178 / Log_ÜT_Norm,
    _xlpm.leistung, IN_rooms!Z$69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S180" s="79">
        <f ca="1">_xlfn.LET(
    _xlpm.typ, "Flachheizkoerper_senkrecht_profiliert",
    _xlpm.subtyp, "Typ_33",
    _xlpm.höhe, _xlfn.XLOOKUP(S$103, Data_radiator!$G$5:$G$32, Data_radiator!$G$5:$G$32, 1000000, 1, 1),
    _xlpm.tiefe, 155,
    _xlpm.glieder, IF(S$102 = "Stahlrohrradiator", 45, S$171),
    _xlpm.faktor, S$178 / Log_ÜT_Norm,
    _xlpm.leistung, IN_rooms!AA$69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T180" s="79">
        <f ca="1">_xlfn.LET(
    _xlpm.typ, "Flachheizkoerper_senkrecht_profiliert",
    _xlpm.subtyp, "Typ_33",
    _xlpm.höhe, _xlfn.XLOOKUP(T$103, Data_radiator!$G$5:$G$32, Data_radiator!$G$5:$G$32, 1000000, 1, 1),
    _xlpm.tiefe, 155,
    _xlpm.glieder, IF(T$102 = "Stahlrohrradiator", 45, T$171),
    _xlpm.faktor, T$178 / Log_ÜT_Norm,
    _xlpm.leistung, IN_rooms!AB$69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U180" s="79">
        <f ca="1">_xlfn.LET(
    _xlpm.typ, "Flachheizkoerper_senkrecht_profiliert",
    _xlpm.subtyp, "Typ_33",
    _xlpm.höhe, _xlfn.XLOOKUP(U$103, Data_radiator!$G$5:$G$32, Data_radiator!$G$5:$G$32, 1000000, 1, 1),
    _xlpm.tiefe, 155,
    _xlpm.glieder, IF(U$102 = "Stahlrohrradiator", 45, U$171),
    _xlpm.faktor, U$178 / Log_ÜT_Norm,
    _xlpm.leistung, IN_rooms!AC$69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V180" s="79">
        <f ca="1">_xlfn.LET(
    _xlpm.typ, "Flachheizkoerper_senkrecht_profiliert",
    _xlpm.subtyp, "Typ_33",
    _xlpm.höhe, _xlfn.XLOOKUP(V$103, Data_radiator!$G$5:$G$32, Data_radiator!$G$5:$G$32, 1000000, 1, 1),
    _xlpm.tiefe, 155,
    _xlpm.glieder, IF(V$102 = "Stahlrohrradiator", 45, V$171),
    _xlpm.faktor, V$178 / Log_ÜT_Norm,
    _xlpm.leistung, IN_rooms!AD$69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W180" s="79">
        <f ca="1">_xlfn.LET(
    _xlpm.typ, "Flachheizkoerper_senkrecht_profiliert",
    _xlpm.subtyp, "Typ_33",
    _xlpm.höhe, _xlfn.XLOOKUP(W$103, Data_radiator!$G$5:$G$32, Data_radiator!$G$5:$G$32, 1000000, 1, 1),
    _xlpm.tiefe, 155,
    _xlpm.glieder, IF(W$102 = "Stahlrohrradiator", 45, W$171),
    _xlpm.faktor, W$178 / Log_ÜT_Norm,
    _xlpm.leistung, IN_rooms!AE$69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c r="X180" s="79">
        <f ca="1">_xlfn.LET(
    _xlpm.typ, "Flachheizkoerper_senkrecht_profiliert",
    _xlpm.subtyp, "Typ_33",
    _xlpm.höhe, _xlfn.XLOOKUP(X$103, Data_radiator!$G$5:$G$32, Data_radiator!$G$5:$G$32, 1000000, 1, 1),
    _xlpm.tiefe, 155,
    _xlpm.glieder, IF(X$102 = "Stahlrohrradiator", 45, X$171),
    _xlpm.faktor, X$178 / Log_ÜT_Norm,
    _xlpm.leistung, IN_rooms!AF$69 *
        SUMIFS(
            INDIRECT("tabelle1[Wärmeleistung (75/65/20)  in W/m]"),
            INDIRECT("tabelle1[Heizkörper_Typ]"), _xlpm.typ,
            INDIRECT("tabelle1[Heizkörper_Subtyp]"), _xlpm.subtyp,
            INDIRECT("tabelle1[Höhe H in mm]"), _xlpm.höhe,
            INDIRECT("tabelle1[Bautiefe T in mm]"), _xlpm.tiefe
        ) *
        (_xlpm.glieder / 1000) *
        _xlpm.faktor ^
        SUMIFS(
            INDIRECT("tabelle1[Heizkörperexponent n ]"),
            INDIRECT("tabelle1[Heizkörper_Typ]"), _xlpm.typ,
            INDIRECT("tabelle1[Heizkörper_Subtyp]"), _xlpm.subtyp,
            INDIRECT("tabelle1[Höhe H in mm]"), _xlpm.höhe,
            INDIRECT("tabelle1[Bautiefe T in mm]"), _xlpm.tiefe
        ),
    IF(_xlpm.leistung &gt; 0, _xlpm.leistung, 0)
)</f>
        <v>0</v>
      </c>
    </row>
    <row r="181" spans="2:24" ht="15.75" hidden="1" thickBot="1" x14ac:dyDescent="0.3">
      <c r="B181" s="245" t="s">
        <v>387</v>
      </c>
      <c r="C181" s="245" t="s">
        <v>641</v>
      </c>
      <c r="D181" s="245" t="s">
        <v>217</v>
      </c>
      <c r="E181" s="245"/>
      <c r="F181" s="245"/>
      <c r="I181" t="s">
        <v>558</v>
      </c>
    </row>
    <row r="182" spans="2:24" ht="15.75" hidden="1" thickBot="1" x14ac:dyDescent="0.3">
      <c r="B182" s="245" t="s">
        <v>776</v>
      </c>
      <c r="C182" s="245" t="s">
        <v>641</v>
      </c>
      <c r="D182" s="245" t="s">
        <v>217</v>
      </c>
      <c r="E182" s="245"/>
      <c r="F182" s="245"/>
      <c r="I182" t="s">
        <v>558</v>
      </c>
    </row>
    <row r="183" spans="2:24" ht="15.75" hidden="1" thickBot="1" x14ac:dyDescent="0.3">
      <c r="B183" s="245" t="s">
        <v>822</v>
      </c>
      <c r="C183" s="245" t="s">
        <v>641</v>
      </c>
      <c r="D183" s="245" t="s">
        <v>217</v>
      </c>
      <c r="E183" s="245"/>
      <c r="F183" s="245" t="s">
        <v>431</v>
      </c>
      <c r="I183" t="s">
        <v>558</v>
      </c>
    </row>
    <row r="184" spans="2:24" ht="15.75" hidden="1" thickBot="1" x14ac:dyDescent="0.3">
      <c r="B184" s="245" t="s">
        <v>823</v>
      </c>
      <c r="C184" s="245" t="s">
        <v>641</v>
      </c>
      <c r="D184" s="245" t="s">
        <v>217</v>
      </c>
      <c r="E184" s="245"/>
      <c r="F184" s="245" t="s">
        <v>136</v>
      </c>
      <c r="I184" t="s">
        <v>558</v>
      </c>
    </row>
    <row r="185" spans="2:24" ht="15.75" hidden="1" thickBot="1" x14ac:dyDescent="0.3">
      <c r="B185" s="245" t="s">
        <v>623</v>
      </c>
      <c r="C185" s="245" t="s">
        <v>641</v>
      </c>
      <c r="D185" s="245" t="s">
        <v>217</v>
      </c>
      <c r="E185" s="245"/>
      <c r="F185" s="245" t="s">
        <v>431</v>
      </c>
      <c r="I185" t="s">
        <v>558</v>
      </c>
    </row>
    <row r="186" spans="2:24" ht="15.75" hidden="1" thickBot="1" x14ac:dyDescent="0.3">
      <c r="B186" s="245" t="s">
        <v>624</v>
      </c>
      <c r="C186" s="245" t="s">
        <v>641</v>
      </c>
      <c r="D186" s="245" t="s">
        <v>217</v>
      </c>
      <c r="E186" s="245"/>
      <c r="F186" s="245" t="s">
        <v>431</v>
      </c>
      <c r="I186" t="s">
        <v>558</v>
      </c>
    </row>
    <row r="187" spans="2:24" ht="15.75" hidden="1" thickBot="1" x14ac:dyDescent="0.3">
      <c r="B187" s="245" t="s">
        <v>781</v>
      </c>
      <c r="C187" s="245" t="s">
        <v>641</v>
      </c>
      <c r="D187" s="245" t="s">
        <v>217</v>
      </c>
      <c r="E187" s="245"/>
      <c r="F187" s="245"/>
      <c r="I187" t="s">
        <v>558</v>
      </c>
    </row>
    <row r="188" spans="2:24" ht="15.75" hidden="1" thickBot="1" x14ac:dyDescent="0.3">
      <c r="B188" s="245" t="s">
        <v>824</v>
      </c>
      <c r="C188" s="245" t="s">
        <v>641</v>
      </c>
      <c r="D188" s="245" t="s">
        <v>217</v>
      </c>
      <c r="E188" s="245"/>
      <c r="F188" s="245" t="s">
        <v>791</v>
      </c>
      <c r="I188" t="s">
        <v>558</v>
      </c>
    </row>
    <row r="189" spans="2:24" ht="15.75" hidden="1" thickBot="1" x14ac:dyDescent="0.3">
      <c r="B189" s="245" t="s">
        <v>783</v>
      </c>
      <c r="C189" s="245" t="s">
        <v>641</v>
      </c>
      <c r="D189" s="245" t="s">
        <v>217</v>
      </c>
      <c r="E189" s="245"/>
      <c r="F189" s="245" t="s">
        <v>112</v>
      </c>
      <c r="I189" t="s">
        <v>558</v>
      </c>
    </row>
    <row r="190" spans="2:24" ht="15.75" hidden="1" thickBot="1" x14ac:dyDescent="0.3">
      <c r="B190" s="245" t="s">
        <v>785</v>
      </c>
      <c r="C190" s="245" t="s">
        <v>641</v>
      </c>
      <c r="D190" s="245" t="s">
        <v>217</v>
      </c>
      <c r="E190" s="245"/>
      <c r="F190" s="245" t="s">
        <v>107</v>
      </c>
      <c r="I190" t="s">
        <v>558</v>
      </c>
    </row>
    <row r="191" spans="2:24" ht="15.75" hidden="1" thickBot="1" x14ac:dyDescent="0.3">
      <c r="B191" s="245" t="s">
        <v>787</v>
      </c>
      <c r="C191" s="245" t="s">
        <v>641</v>
      </c>
      <c r="D191" s="245" t="s">
        <v>217</v>
      </c>
      <c r="E191" s="245"/>
      <c r="F191" s="245" t="s">
        <v>107</v>
      </c>
      <c r="I191" t="s">
        <v>558</v>
      </c>
    </row>
    <row r="192" spans="2:24" ht="15.75" hidden="1" thickBot="1" x14ac:dyDescent="0.3">
      <c r="B192" s="245" t="s">
        <v>789</v>
      </c>
      <c r="C192" s="245" t="s">
        <v>641</v>
      </c>
      <c r="D192" s="245" t="s">
        <v>217</v>
      </c>
      <c r="E192" s="245"/>
      <c r="F192" s="245" t="s">
        <v>791</v>
      </c>
      <c r="I192" t="s">
        <v>558</v>
      </c>
    </row>
    <row r="193" spans="2:24" ht="15.75" hidden="1" thickBot="1" x14ac:dyDescent="0.3">
      <c r="B193" s="245" t="s">
        <v>792</v>
      </c>
      <c r="C193" s="245" t="s">
        <v>641</v>
      </c>
      <c r="D193" s="245" t="s">
        <v>217</v>
      </c>
      <c r="E193" s="245"/>
      <c r="F193" s="245" t="s">
        <v>112</v>
      </c>
      <c r="I193" t="s">
        <v>558</v>
      </c>
    </row>
    <row r="194" spans="2:24" ht="15.75" hidden="1" thickBot="1" x14ac:dyDescent="0.3">
      <c r="B194" s="246" t="s">
        <v>794</v>
      </c>
      <c r="C194" s="246" t="s">
        <v>641</v>
      </c>
      <c r="D194" s="246" t="s">
        <v>795</v>
      </c>
      <c r="E194" s="246"/>
      <c r="F194" s="246" t="s">
        <v>112</v>
      </c>
      <c r="I194" t="s">
        <v>558</v>
      </c>
    </row>
    <row r="195" spans="2:24" ht="15.75" thickBot="1" x14ac:dyDescent="0.3">
      <c r="B195" s="247" t="s">
        <v>387</v>
      </c>
      <c r="C195" s="247" t="s">
        <v>641</v>
      </c>
      <c r="D195" s="247" t="s">
        <v>213</v>
      </c>
      <c r="E195" s="247" t="s">
        <v>924</v>
      </c>
      <c r="F195" s="247"/>
      <c r="J195" s="21" t="str">
        <f>IF(IN_rooms!R$63="Konvektor",IN_rooms!R$63,"")</f>
        <v/>
      </c>
      <c r="K195" s="21" t="str">
        <f>IF(IN_rooms!S$63="Konvektor",IN_rooms!S$63,"")</f>
        <v/>
      </c>
      <c r="L195" s="21" t="str">
        <f>IF(IN_rooms!T$63="Konvektor",IN_rooms!T$63,"")</f>
        <v/>
      </c>
      <c r="M195" s="21" t="str">
        <f>IF(IN_rooms!U$63="Konvektor",IN_rooms!U$63,"")</f>
        <v/>
      </c>
      <c r="N195" s="21" t="str">
        <f>IF(IN_rooms!V$63="Konvektor",IN_rooms!V$63,"")</f>
        <v/>
      </c>
      <c r="O195" s="21" t="str">
        <f>IF(IN_rooms!W$63="Konvektor",IN_rooms!W$63,"")</f>
        <v/>
      </c>
      <c r="P195" s="21" t="str">
        <f>IF(IN_rooms!X$63="Konvektor",IN_rooms!X$63,"")</f>
        <v/>
      </c>
      <c r="Q195" s="21" t="str">
        <f>IF(IN_rooms!Y$63="Konvektor",IN_rooms!Y$63,"")</f>
        <v/>
      </c>
      <c r="R195" s="21" t="str">
        <f>IF(IN_rooms!Z$63="Konvektor",IN_rooms!Z$63,"")</f>
        <v/>
      </c>
      <c r="S195" s="21" t="str">
        <f>IF(IN_rooms!AA$63="Konvektor",IN_rooms!AA$63,"")</f>
        <v/>
      </c>
      <c r="T195" s="21" t="str">
        <f>IF(IN_rooms!AB$63="Konvektor",IN_rooms!AB$63,"")</f>
        <v/>
      </c>
      <c r="U195" s="21" t="str">
        <f>IF(IN_rooms!AC$63="Konvektor",IN_rooms!AC$63,"")</f>
        <v/>
      </c>
      <c r="V195" s="21" t="str">
        <f>IF(IN_rooms!AD$63="Konvektor",IN_rooms!AD$63,"")</f>
        <v/>
      </c>
      <c r="W195" s="21" t="str">
        <f>IF(IN_rooms!AE$63="Konvektor",IN_rooms!AE$63,"")</f>
        <v/>
      </c>
      <c r="X195" s="21" t="str">
        <f>IF(IN_rooms!AF$63="Konvektor",IN_rooms!AF$63,"")</f>
        <v/>
      </c>
    </row>
    <row r="196" spans="2:24" ht="15.75" thickBot="1" x14ac:dyDescent="0.3">
      <c r="B196" s="247" t="s">
        <v>776</v>
      </c>
      <c r="C196" s="247" t="s">
        <v>641</v>
      </c>
      <c r="D196" s="247" t="s">
        <v>213</v>
      </c>
      <c r="E196" s="247" t="s">
        <v>925</v>
      </c>
      <c r="F196" s="247"/>
      <c r="J196" s="21" t="str">
        <f>IF(J195&gt;"","Standardkonvektor","")</f>
        <v/>
      </c>
      <c r="K196" s="21" t="str">
        <f t="shared" ref="K196:O196" si="49">IF(K195&gt;"","Standardkonvektor","")</f>
        <v/>
      </c>
      <c r="L196" s="21" t="str">
        <f t="shared" si="49"/>
        <v/>
      </c>
      <c r="M196" s="21" t="str">
        <f t="shared" si="49"/>
        <v/>
      </c>
      <c r="N196" s="21" t="str">
        <f t="shared" si="49"/>
        <v/>
      </c>
      <c r="O196" s="21" t="str">
        <f t="shared" si="49"/>
        <v/>
      </c>
      <c r="P196" s="21" t="str">
        <f t="shared" ref="P196:X196" si="50">IF(P195&gt;"","Standardkonvektor","")</f>
        <v/>
      </c>
      <c r="Q196" s="21" t="str">
        <f t="shared" si="50"/>
        <v/>
      </c>
      <c r="R196" s="21" t="str">
        <f t="shared" si="50"/>
        <v/>
      </c>
      <c r="S196" s="21" t="str">
        <f t="shared" si="50"/>
        <v/>
      </c>
      <c r="T196" s="21" t="str">
        <f t="shared" si="50"/>
        <v/>
      </c>
      <c r="U196" s="21" t="str">
        <f t="shared" si="50"/>
        <v/>
      </c>
      <c r="V196" s="21" t="str">
        <f t="shared" si="50"/>
        <v/>
      </c>
      <c r="W196" s="21" t="str">
        <f t="shared" si="50"/>
        <v/>
      </c>
      <c r="X196" s="21" t="str">
        <f t="shared" si="50"/>
        <v/>
      </c>
    </row>
    <row r="197" spans="2:24" ht="15.75" thickBot="1" x14ac:dyDescent="0.3">
      <c r="B197" s="247" t="s">
        <v>382</v>
      </c>
      <c r="C197" s="247" t="s">
        <v>641</v>
      </c>
      <c r="D197" s="247" t="s">
        <v>213</v>
      </c>
      <c r="E197" s="247" t="s">
        <v>926</v>
      </c>
      <c r="F197" s="247" t="s">
        <v>431</v>
      </c>
      <c r="J197" s="21">
        <f>IN_rooms!R$65</f>
        <v>0</v>
      </c>
      <c r="K197" s="21">
        <f>IN_rooms!S$65</f>
        <v>0</v>
      </c>
      <c r="L197" s="21">
        <f>IN_rooms!T$65</f>
        <v>0</v>
      </c>
      <c r="M197" s="21">
        <f>IN_rooms!U$65</f>
        <v>0</v>
      </c>
      <c r="N197" s="21">
        <f>IN_rooms!V$65</f>
        <v>0</v>
      </c>
      <c r="O197" s="21">
        <f>IN_rooms!W$65</f>
        <v>0</v>
      </c>
      <c r="P197" s="21">
        <f>IN_rooms!X$65</f>
        <v>0</v>
      </c>
      <c r="Q197" s="21">
        <f>IN_rooms!Y$65</f>
        <v>0</v>
      </c>
      <c r="R197" s="21">
        <f>IN_rooms!Z$65</f>
        <v>0</v>
      </c>
      <c r="S197" s="21">
        <f>IN_rooms!AA$65</f>
        <v>0</v>
      </c>
      <c r="T197" s="21">
        <f>IN_rooms!AB$65</f>
        <v>0</v>
      </c>
      <c r="U197" s="21">
        <f>IN_rooms!AC$65</f>
        <v>0</v>
      </c>
      <c r="V197" s="21">
        <f>IN_rooms!AD$65</f>
        <v>0</v>
      </c>
      <c r="W197" s="21">
        <f>IN_rooms!AE$65</f>
        <v>0</v>
      </c>
      <c r="X197" s="21">
        <f>IN_rooms!AF$65</f>
        <v>0</v>
      </c>
    </row>
    <row r="198" spans="2:24" ht="15.75" thickBot="1" x14ac:dyDescent="0.3">
      <c r="B198" s="247" t="s">
        <v>236</v>
      </c>
      <c r="C198" s="247" t="s">
        <v>641</v>
      </c>
      <c r="D198" s="247" t="s">
        <v>213</v>
      </c>
      <c r="E198" s="247" t="s">
        <v>927</v>
      </c>
      <c r="F198" s="247" t="s">
        <v>431</v>
      </c>
      <c r="J198" s="21">
        <f>IN_rooms!R$66</f>
        <v>0</v>
      </c>
      <c r="K198" s="21">
        <f>IN_rooms!S$66</f>
        <v>0</v>
      </c>
      <c r="L198" s="21">
        <f>IN_rooms!T$66</f>
        <v>0</v>
      </c>
      <c r="M198" s="21">
        <f>IN_rooms!U$66</f>
        <v>0</v>
      </c>
      <c r="N198" s="21">
        <f>IN_rooms!V$66</f>
        <v>0</v>
      </c>
      <c r="O198" s="21">
        <f>IN_rooms!W$66</f>
        <v>0</v>
      </c>
      <c r="P198" s="21">
        <f>IN_rooms!X$66</f>
        <v>0</v>
      </c>
      <c r="Q198" s="21">
        <f>IN_rooms!Y$66</f>
        <v>0</v>
      </c>
      <c r="R198" s="21">
        <f>IN_rooms!Z$66</f>
        <v>0</v>
      </c>
      <c r="S198" s="21">
        <f>IN_rooms!AA$66</f>
        <v>0</v>
      </c>
      <c r="T198" s="21">
        <f>IN_rooms!AB$66</f>
        <v>0</v>
      </c>
      <c r="U198" s="21">
        <f>IN_rooms!AC$66</f>
        <v>0</v>
      </c>
      <c r="V198" s="21">
        <f>IN_rooms!AD$66</f>
        <v>0</v>
      </c>
      <c r="W198" s="21">
        <f>IN_rooms!AE$66</f>
        <v>0</v>
      </c>
      <c r="X198" s="21">
        <f>IN_rooms!AF$66</f>
        <v>0</v>
      </c>
    </row>
    <row r="199" spans="2:24" ht="15.75" thickBot="1" x14ac:dyDescent="0.3">
      <c r="B199" s="247" t="s">
        <v>390</v>
      </c>
      <c r="C199" s="247" t="s">
        <v>641</v>
      </c>
      <c r="D199" s="247" t="s">
        <v>213</v>
      </c>
      <c r="E199" s="247" t="s">
        <v>928</v>
      </c>
      <c r="F199" s="247" t="s">
        <v>431</v>
      </c>
      <c r="J199" s="21">
        <f>IN_rooms!R$67</f>
        <v>0</v>
      </c>
      <c r="K199" s="21">
        <f>IN_rooms!S$67</f>
        <v>0</v>
      </c>
      <c r="L199" s="21">
        <f>IN_rooms!T$67</f>
        <v>0</v>
      </c>
      <c r="M199" s="21">
        <f>IN_rooms!U$67</f>
        <v>0</v>
      </c>
      <c r="N199" s="21">
        <f>IN_rooms!V$67</f>
        <v>0</v>
      </c>
      <c r="O199" s="21">
        <f>IN_rooms!W$67</f>
        <v>0</v>
      </c>
      <c r="P199" s="21">
        <f>IN_rooms!X$67</f>
        <v>0</v>
      </c>
      <c r="Q199" s="21">
        <f>IN_rooms!Y$67</f>
        <v>0</v>
      </c>
      <c r="R199" s="21">
        <f>IN_rooms!Z$67</f>
        <v>0</v>
      </c>
      <c r="S199" s="21">
        <f>IN_rooms!AA$67</f>
        <v>0</v>
      </c>
      <c r="T199" s="21">
        <f>IN_rooms!AB$67</f>
        <v>0</v>
      </c>
      <c r="U199" s="21">
        <f>IN_rooms!AC$67</f>
        <v>0</v>
      </c>
      <c r="V199" s="21">
        <f>IN_rooms!AD$67</f>
        <v>0</v>
      </c>
      <c r="W199" s="21">
        <f>IN_rooms!AE$67</f>
        <v>0</v>
      </c>
      <c r="X199" s="21">
        <f>IN_rooms!AF$67</f>
        <v>0</v>
      </c>
    </row>
    <row r="200" spans="2:24" ht="15.75" thickBot="1" x14ac:dyDescent="0.3">
      <c r="B200" s="247" t="s">
        <v>781</v>
      </c>
      <c r="C200" s="247" t="s">
        <v>641</v>
      </c>
      <c r="D200" s="247" t="s">
        <v>213</v>
      </c>
      <c r="E200" s="247" t="s">
        <v>929</v>
      </c>
      <c r="F200" s="247"/>
      <c r="J200" s="21">
        <f ca="1">_xlfn.LET(
    _xlpm.typ, clc_power!J$195,
    _xlpm.subtyp, clc_power!J$196,
    _xlpm.höhe, clc_power!J$197,
    _xlpm.tiefe, clc_power!J$199,
    SUMIFS(
        INDIRECT("tabelle1[Heizkörperexponent n ]"),
        INDIRECT("tabelle1[Heizkörper_Typ]"), _xlpm.typ,
        INDIRECT("tabelle1[Heizkörper_Subtyp]"), _xlpm.subtyp,
        INDIRECT("tabelle1[Höhe H in mm]"), _xlpm.höhe,
        INDIRECT("tabelle1[Bautiefe T in mm]"), _xlpm.tiefe
    )
)</f>
        <v>0</v>
      </c>
      <c r="K200" s="21">
        <f ca="1">_xlfn.LET(
    _xlpm.typ, clc_power!K$195,
    _xlpm.subtyp, clc_power!K$196,
    _xlpm.höhe, clc_power!K$197,
    _xlpm.tiefe, clc_power!K$199,
    SUMIFS(
        INDIRECT("tabelle1[Heizkörperexponent n ]"),
        INDIRECT("tabelle1[Heizkörper_Typ]"), _xlpm.typ,
        INDIRECT("tabelle1[Heizkörper_Subtyp]"), _xlpm.subtyp,
        INDIRECT("tabelle1[Höhe H in mm]"), _xlpm.höhe,
        INDIRECT("tabelle1[Bautiefe T in mm]"), _xlpm.tiefe
    )
)</f>
        <v>0</v>
      </c>
      <c r="L200" s="21">
        <f ca="1">_xlfn.LET(
    _xlpm.typ, clc_power!L$195,
    _xlpm.subtyp, clc_power!L$196,
    _xlpm.höhe, clc_power!L$197,
    _xlpm.tiefe, clc_power!L$199,
    SUMIFS(
        INDIRECT("tabelle1[Heizkörperexponent n ]"),
        INDIRECT("tabelle1[Heizkörper_Typ]"), _xlpm.typ,
        INDIRECT("tabelle1[Heizkörper_Subtyp]"), _xlpm.subtyp,
        INDIRECT("tabelle1[Höhe H in mm]"), _xlpm.höhe,
        INDIRECT("tabelle1[Bautiefe T in mm]"), _xlpm.tiefe
    )
)</f>
        <v>0</v>
      </c>
      <c r="M200" s="21">
        <f ca="1">_xlfn.LET(
    _xlpm.typ, clc_power!M$195,
    _xlpm.subtyp, clc_power!M$196,
    _xlpm.höhe, clc_power!M$197,
    _xlpm.tiefe, clc_power!M$199,
    SUMIFS(
        INDIRECT("tabelle1[Heizkörperexponent n ]"),
        INDIRECT("tabelle1[Heizkörper_Typ]"), _xlpm.typ,
        INDIRECT("tabelle1[Heizkörper_Subtyp]"), _xlpm.subtyp,
        INDIRECT("tabelle1[Höhe H in mm]"), _xlpm.höhe,
        INDIRECT("tabelle1[Bautiefe T in mm]"), _xlpm.tiefe
    )
)</f>
        <v>0</v>
      </c>
      <c r="N200" s="21">
        <f ca="1">_xlfn.LET(
    _xlpm.typ, clc_power!N$195,
    _xlpm.subtyp, clc_power!N$196,
    _xlpm.höhe, clc_power!N$197,
    _xlpm.tiefe, clc_power!N$199,
    SUMIFS(
        INDIRECT("tabelle1[Heizkörperexponent n ]"),
        INDIRECT("tabelle1[Heizkörper_Typ]"), _xlpm.typ,
        INDIRECT("tabelle1[Heizkörper_Subtyp]"), _xlpm.subtyp,
        INDIRECT("tabelle1[Höhe H in mm]"), _xlpm.höhe,
        INDIRECT("tabelle1[Bautiefe T in mm]"), _xlpm.tiefe
    )
)</f>
        <v>0</v>
      </c>
      <c r="O200" s="21">
        <f ca="1">_xlfn.LET(
    _xlpm.typ, clc_power!O$195,
    _xlpm.subtyp, clc_power!O$196,
    _xlpm.höhe, clc_power!O$197,
    _xlpm.tiefe, clc_power!O$199,
    SUMIFS(
        INDIRECT("tabelle1[Heizkörperexponent n ]"),
        INDIRECT("tabelle1[Heizkörper_Typ]"), _xlpm.typ,
        INDIRECT("tabelle1[Heizkörper_Subtyp]"), _xlpm.subtyp,
        INDIRECT("tabelle1[Höhe H in mm]"), _xlpm.höhe,
        INDIRECT("tabelle1[Bautiefe T in mm]"), _xlpm.tiefe
    )
)</f>
        <v>0</v>
      </c>
      <c r="P200" s="21">
        <f ca="1">_xlfn.LET(
    _xlpm.typ, clc_power!P$195,
    _xlpm.subtyp, clc_power!P$196,
    _xlpm.höhe, clc_power!P$197,
    _xlpm.tiefe, clc_power!P$199,
    SUMIFS(
        INDIRECT("tabelle1[Heizkörperexponent n ]"),
        INDIRECT("tabelle1[Heizkörper_Typ]"), _xlpm.typ,
        INDIRECT("tabelle1[Heizkörper_Subtyp]"), _xlpm.subtyp,
        INDIRECT("tabelle1[Höhe H in mm]"), _xlpm.höhe,
        INDIRECT("tabelle1[Bautiefe T in mm]"), _xlpm.tiefe
    )
)</f>
        <v>0</v>
      </c>
      <c r="Q200" s="21">
        <f ca="1">_xlfn.LET(
    _xlpm.typ, clc_power!Q$195,
    _xlpm.subtyp, clc_power!Q$196,
    _xlpm.höhe, clc_power!Q$197,
    _xlpm.tiefe, clc_power!Q$199,
    SUMIFS(
        INDIRECT("tabelle1[Heizkörperexponent n ]"),
        INDIRECT("tabelle1[Heizkörper_Typ]"), _xlpm.typ,
        INDIRECT("tabelle1[Heizkörper_Subtyp]"), _xlpm.subtyp,
        INDIRECT("tabelle1[Höhe H in mm]"), _xlpm.höhe,
        INDIRECT("tabelle1[Bautiefe T in mm]"), _xlpm.tiefe
    )
)</f>
        <v>0</v>
      </c>
      <c r="R200" s="21">
        <f ca="1">_xlfn.LET(
    _xlpm.typ, clc_power!R$195,
    _xlpm.subtyp, clc_power!R$196,
    _xlpm.höhe, clc_power!R$197,
    _xlpm.tiefe, clc_power!R$199,
    SUMIFS(
        INDIRECT("tabelle1[Heizkörperexponent n ]"),
        INDIRECT("tabelle1[Heizkörper_Typ]"), _xlpm.typ,
        INDIRECT("tabelle1[Heizkörper_Subtyp]"), _xlpm.subtyp,
        INDIRECT("tabelle1[Höhe H in mm]"), _xlpm.höhe,
        INDIRECT("tabelle1[Bautiefe T in mm]"), _xlpm.tiefe
    )
)</f>
        <v>0</v>
      </c>
      <c r="S200" s="21">
        <f ca="1">_xlfn.LET(
    _xlpm.typ, clc_power!S$195,
    _xlpm.subtyp, clc_power!S$196,
    _xlpm.höhe, clc_power!S$197,
    _xlpm.tiefe, clc_power!S$199,
    SUMIFS(
        INDIRECT("tabelle1[Heizkörperexponent n ]"),
        INDIRECT("tabelle1[Heizkörper_Typ]"), _xlpm.typ,
        INDIRECT("tabelle1[Heizkörper_Subtyp]"), _xlpm.subtyp,
        INDIRECT("tabelle1[Höhe H in mm]"), _xlpm.höhe,
        INDIRECT("tabelle1[Bautiefe T in mm]"), _xlpm.tiefe
    )
)</f>
        <v>0</v>
      </c>
      <c r="T200" s="21">
        <f ca="1">_xlfn.LET(
    _xlpm.typ, clc_power!T$195,
    _xlpm.subtyp, clc_power!T$196,
    _xlpm.höhe, clc_power!T$197,
    _xlpm.tiefe, clc_power!T$199,
    SUMIFS(
        INDIRECT("tabelle1[Heizkörperexponent n ]"),
        INDIRECT("tabelle1[Heizkörper_Typ]"), _xlpm.typ,
        INDIRECT("tabelle1[Heizkörper_Subtyp]"), _xlpm.subtyp,
        INDIRECT("tabelle1[Höhe H in mm]"), _xlpm.höhe,
        INDIRECT("tabelle1[Bautiefe T in mm]"), _xlpm.tiefe
    )
)</f>
        <v>0</v>
      </c>
      <c r="U200" s="21">
        <f ca="1">_xlfn.LET(
    _xlpm.typ, clc_power!U$195,
    _xlpm.subtyp, clc_power!U$196,
    _xlpm.höhe, clc_power!U$197,
    _xlpm.tiefe, clc_power!U$199,
    SUMIFS(
        INDIRECT("tabelle1[Heizkörperexponent n ]"),
        INDIRECT("tabelle1[Heizkörper_Typ]"), _xlpm.typ,
        INDIRECT("tabelle1[Heizkörper_Subtyp]"), _xlpm.subtyp,
        INDIRECT("tabelle1[Höhe H in mm]"), _xlpm.höhe,
        INDIRECT("tabelle1[Bautiefe T in mm]"), _xlpm.tiefe
    )
)</f>
        <v>0</v>
      </c>
      <c r="V200" s="21">
        <f ca="1">_xlfn.LET(
    _xlpm.typ, clc_power!V$195,
    _xlpm.subtyp, clc_power!V$196,
    _xlpm.höhe, clc_power!V$197,
    _xlpm.tiefe, clc_power!V$199,
    SUMIFS(
        INDIRECT("tabelle1[Heizkörperexponent n ]"),
        INDIRECT("tabelle1[Heizkörper_Typ]"), _xlpm.typ,
        INDIRECT("tabelle1[Heizkörper_Subtyp]"), _xlpm.subtyp,
        INDIRECT("tabelle1[Höhe H in mm]"), _xlpm.höhe,
        INDIRECT("tabelle1[Bautiefe T in mm]"), _xlpm.tiefe
    )
)</f>
        <v>0</v>
      </c>
      <c r="W200" s="21">
        <f ca="1">_xlfn.LET(
    _xlpm.typ, clc_power!W$195,
    _xlpm.subtyp, clc_power!W$196,
    _xlpm.höhe, clc_power!W$197,
    _xlpm.tiefe, clc_power!W$199,
    SUMIFS(
        INDIRECT("tabelle1[Heizkörperexponent n ]"),
        INDIRECT("tabelle1[Heizkörper_Typ]"), _xlpm.typ,
        INDIRECT("tabelle1[Heizkörper_Subtyp]"), _xlpm.subtyp,
        INDIRECT("tabelle1[Höhe H in mm]"), _xlpm.höhe,
        INDIRECT("tabelle1[Bautiefe T in mm]"), _xlpm.tiefe
    )
)</f>
        <v>0</v>
      </c>
      <c r="X200" s="21">
        <f ca="1">_xlfn.LET(
    _xlpm.typ, clc_power!X$195,
    _xlpm.subtyp, clc_power!X$196,
    _xlpm.höhe, clc_power!X$197,
    _xlpm.tiefe, clc_power!X$199,
    SUMIFS(
        INDIRECT("tabelle1[Heizkörperexponent n ]"),
        INDIRECT("tabelle1[Heizkörper_Typ]"), _xlpm.typ,
        INDIRECT("tabelle1[Heizkörper_Subtyp]"), _xlpm.subtyp,
        INDIRECT("tabelle1[Höhe H in mm]"), _xlpm.höhe,
        INDIRECT("tabelle1[Bautiefe T in mm]"), _xlpm.tiefe
    )
)</f>
        <v>0</v>
      </c>
    </row>
    <row r="201" spans="2:24" ht="15.75" thickBot="1" x14ac:dyDescent="0.3">
      <c r="B201" s="247" t="s">
        <v>783</v>
      </c>
      <c r="C201" s="247" t="s">
        <v>641</v>
      </c>
      <c r="D201" s="247" t="s">
        <v>213</v>
      </c>
      <c r="E201" s="247" t="s">
        <v>930</v>
      </c>
      <c r="F201" s="247" t="s">
        <v>112</v>
      </c>
      <c r="J201" s="21">
        <f ca="1">_xlfn.LET(
    _xlpm.anzahl, IN_rooms!R$69,
    _xlpm.typ, clc_power!J$195,
    _xlpm.subtyp, clc_power!J$196,
    _xlpm.höhe, clc_power!J$197,
    _xlpm.breite, clc_power!J$198,
    _xlpm.tiefe, clc_power!J$199,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K201" s="21">
        <f ca="1">_xlfn.LET(
    _xlpm.anzahl, IN_rooms!S$69,
    _xlpm.typ, clc_power!K$195,
    _xlpm.subtyp, clc_power!K$196,
    _xlpm.höhe, clc_power!K$197,
    _xlpm.breite, clc_power!K$198,
    _xlpm.tiefe, clc_power!K$199,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L201" s="21">
        <f ca="1">_xlfn.LET(
    _xlpm.anzahl, IN_rooms!T$69,
    _xlpm.typ, clc_power!L$195,
    _xlpm.subtyp, clc_power!L$196,
    _xlpm.höhe, clc_power!L$197,
    _xlpm.breite, clc_power!L$198,
    _xlpm.tiefe, clc_power!L$199,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M201" s="21">
        <f ca="1">_xlfn.LET(
    _xlpm.anzahl, IN_rooms!U$69,
    _xlpm.typ, clc_power!M$195,
    _xlpm.subtyp, clc_power!M$196,
    _xlpm.höhe, clc_power!M$197,
    _xlpm.breite, clc_power!M$198,
    _xlpm.tiefe, clc_power!M$199,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N201" s="21">
        <f ca="1">_xlfn.LET(
    _xlpm.anzahl, IN_rooms!V$69,
    _xlpm.typ, clc_power!N$195,
    _xlpm.subtyp, clc_power!N$196,
    _xlpm.höhe, clc_power!N$197,
    _xlpm.breite, clc_power!N$198,
    _xlpm.tiefe, clc_power!N$199,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O201" s="21">
        <f ca="1">_xlfn.LET(
    _xlpm.anzahl, IN_rooms!W$69,
    _xlpm.typ, clc_power!O$195,
    _xlpm.subtyp, clc_power!O$196,
    _xlpm.höhe, clc_power!O$197,
    _xlpm.breite, clc_power!O$198,
    _xlpm.tiefe, clc_power!O$199,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P201" s="21">
        <f ca="1">_xlfn.LET(
    _xlpm.anzahl, IN_rooms!X$69,
    _xlpm.typ, clc_power!P$195,
    _xlpm.subtyp, clc_power!P$196,
    _xlpm.höhe, clc_power!P$197,
    _xlpm.breite, clc_power!P$198,
    _xlpm.tiefe, clc_power!P$199,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Q201" s="21">
        <f ca="1">_xlfn.LET(
    _xlpm.anzahl, IN_rooms!Y$69,
    _xlpm.typ, clc_power!Q$195,
    _xlpm.subtyp, clc_power!Q$196,
    _xlpm.höhe, clc_power!Q$197,
    _xlpm.breite, clc_power!Q$198,
    _xlpm.tiefe, clc_power!Q$199,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R201" s="21">
        <f ca="1">_xlfn.LET(
    _xlpm.anzahl, IN_rooms!Z$69,
    _xlpm.typ, clc_power!R$195,
    _xlpm.subtyp, clc_power!R$196,
    _xlpm.höhe, clc_power!R$197,
    _xlpm.breite, clc_power!R$198,
    _xlpm.tiefe, clc_power!R$199,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S201" s="21">
        <f ca="1">_xlfn.LET(
    _xlpm.anzahl, IN_rooms!AA$69,
    _xlpm.typ, clc_power!S$195,
    _xlpm.subtyp, clc_power!S$196,
    _xlpm.höhe, clc_power!S$197,
    _xlpm.breite, clc_power!S$198,
    _xlpm.tiefe, clc_power!S$199,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T201" s="21">
        <f ca="1">_xlfn.LET(
    _xlpm.anzahl, IN_rooms!AB$69,
    _xlpm.typ, clc_power!T$195,
    _xlpm.subtyp, clc_power!T$196,
    _xlpm.höhe, clc_power!T$197,
    _xlpm.breite, clc_power!T$198,
    _xlpm.tiefe, clc_power!T$199,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U201" s="21">
        <f ca="1">_xlfn.LET(
    _xlpm.anzahl, IN_rooms!AC$69,
    _xlpm.typ, clc_power!U$195,
    _xlpm.subtyp, clc_power!U$196,
    _xlpm.höhe, clc_power!U$197,
    _xlpm.breite, clc_power!U$198,
    _xlpm.tiefe, clc_power!U$199,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V201" s="21">
        <f ca="1">_xlfn.LET(
    _xlpm.anzahl, IN_rooms!AD$69,
    _xlpm.typ, clc_power!V$195,
    _xlpm.subtyp, clc_power!V$196,
    _xlpm.höhe, clc_power!V$197,
    _xlpm.breite, clc_power!V$198,
    _xlpm.tiefe, clc_power!V$199,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W201" s="21">
        <f ca="1">_xlfn.LET(
    _xlpm.anzahl, IN_rooms!AE$69,
    _xlpm.typ, clc_power!W$195,
    _xlpm.subtyp, clc_power!W$196,
    _xlpm.höhe, clc_power!W$197,
    _xlpm.breite, clc_power!W$198,
    _xlpm.tiefe, clc_power!W$199,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c r="X201" s="21">
        <f ca="1">_xlfn.LET(
    _xlpm.anzahl, IN_rooms!AF$69,
    _xlpm.typ, clc_power!X$195,
    _xlpm.subtyp, clc_power!X$196,
    _xlpm.höhe, clc_power!X$197,
    _xlpm.breite, clc_power!X$198,
    _xlpm.tiefe, clc_power!X$199,
    _xlpm.leistung, _xlpm.anzahl *
        SUMIFS(
            INDIRECT("tabelle1[Wärmeleistung (75/65/20)  in W/m]"),
            INDIRECT("tabelle1[Heizkörper_Typ]"), _xlpm.typ,
            INDIRECT("tabelle1[Heizkörper_Subtyp]"), _xlpm.subtyp,
            INDIRECT("tabelle1[Höhe H in mm]"), _xlpm.höhe,
            INDIRECT("tabelle1[Bautiefe T in mm]"), _xlpm.tiefe
        ) * _xlpm.breite / 1000,
    IF(_xlpm.leistung &gt; 0, _xlpm.leistung, 0)
)</f>
        <v>0</v>
      </c>
    </row>
    <row r="202" spans="2:24" ht="15.75" thickBot="1" x14ac:dyDescent="0.3">
      <c r="B202" s="247" t="s">
        <v>785</v>
      </c>
      <c r="C202" s="247" t="s">
        <v>641</v>
      </c>
      <c r="D202" s="247" t="s">
        <v>213</v>
      </c>
      <c r="E202" s="247" t="s">
        <v>832</v>
      </c>
      <c r="F202" s="247" t="s">
        <v>107</v>
      </c>
      <c r="J202" s="21">
        <f>TVL_Ziel</f>
        <v>55</v>
      </c>
      <c r="K202" s="21">
        <f t="shared" ref="K202:X202" si="51">TVL_Ziel</f>
        <v>55</v>
      </c>
      <c r="L202" s="21">
        <f t="shared" si="51"/>
        <v>55</v>
      </c>
      <c r="M202" s="21">
        <f t="shared" si="51"/>
        <v>55</v>
      </c>
      <c r="N202" s="21">
        <f t="shared" si="51"/>
        <v>55</v>
      </c>
      <c r="O202" s="21">
        <f t="shared" si="51"/>
        <v>55</v>
      </c>
      <c r="P202" s="21">
        <f t="shared" si="51"/>
        <v>55</v>
      </c>
      <c r="Q202" s="21">
        <f t="shared" si="51"/>
        <v>55</v>
      </c>
      <c r="R202" s="21">
        <f t="shared" si="51"/>
        <v>55</v>
      </c>
      <c r="S202" s="21">
        <f t="shared" si="51"/>
        <v>55</v>
      </c>
      <c r="T202" s="21">
        <f t="shared" si="51"/>
        <v>55</v>
      </c>
      <c r="U202" s="21">
        <f t="shared" si="51"/>
        <v>55</v>
      </c>
      <c r="V202" s="21">
        <f t="shared" si="51"/>
        <v>55</v>
      </c>
      <c r="W202" s="21">
        <f t="shared" si="51"/>
        <v>55</v>
      </c>
      <c r="X202" s="21">
        <f t="shared" si="51"/>
        <v>55</v>
      </c>
    </row>
    <row r="203" spans="2:24" ht="15.75" thickBot="1" x14ac:dyDescent="0.3">
      <c r="B203" s="247" t="s">
        <v>787</v>
      </c>
      <c r="C203" s="247" t="s">
        <v>641</v>
      </c>
      <c r="D203" s="247" t="s">
        <v>213</v>
      </c>
      <c r="E203" s="247" t="s">
        <v>833</v>
      </c>
      <c r="F203" s="247" t="s">
        <v>107</v>
      </c>
      <c r="J203" s="21">
        <f>TRL_Ziel</f>
        <v>45</v>
      </c>
      <c r="K203" s="21">
        <f t="shared" ref="K203:X203" si="52">TRL_Ziel</f>
        <v>45</v>
      </c>
      <c r="L203" s="21">
        <f t="shared" si="52"/>
        <v>45</v>
      </c>
      <c r="M203" s="21">
        <f t="shared" si="52"/>
        <v>45</v>
      </c>
      <c r="N203" s="21">
        <f t="shared" si="52"/>
        <v>45</v>
      </c>
      <c r="O203" s="21">
        <f t="shared" si="52"/>
        <v>45</v>
      </c>
      <c r="P203" s="21">
        <f t="shared" si="52"/>
        <v>45</v>
      </c>
      <c r="Q203" s="21">
        <f t="shared" si="52"/>
        <v>45</v>
      </c>
      <c r="R203" s="21">
        <f t="shared" si="52"/>
        <v>45</v>
      </c>
      <c r="S203" s="21">
        <f t="shared" si="52"/>
        <v>45</v>
      </c>
      <c r="T203" s="21">
        <f t="shared" si="52"/>
        <v>45</v>
      </c>
      <c r="U203" s="21">
        <f t="shared" si="52"/>
        <v>45</v>
      </c>
      <c r="V203" s="21">
        <f t="shared" si="52"/>
        <v>45</v>
      </c>
      <c r="W203" s="21">
        <f t="shared" si="52"/>
        <v>45</v>
      </c>
      <c r="X203" s="21">
        <f t="shared" si="52"/>
        <v>45</v>
      </c>
    </row>
    <row r="204" spans="2:24" ht="15.75" thickBot="1" x14ac:dyDescent="0.3">
      <c r="B204" s="247" t="s">
        <v>789</v>
      </c>
      <c r="C204" s="247" t="s">
        <v>641</v>
      </c>
      <c r="D204" s="247" t="s">
        <v>213</v>
      </c>
      <c r="E204" s="247" t="s">
        <v>931</v>
      </c>
      <c r="F204" s="247" t="s">
        <v>791</v>
      </c>
      <c r="J204" s="79">
        <f>(J$202-J$203)/(LN((J$202-clc_load!M$10)/(clc_power!J$203-clc_load!M$10)))</f>
        <v>29.720134119884619</v>
      </c>
      <c r="K204" s="79">
        <f>(K$202-K$203)/(LN((K$202-clc_load!N$10)/(clc_power!K$203-clc_load!N$10)))</f>
        <v>29.720134119884619</v>
      </c>
      <c r="L204" s="79">
        <f>(L$202-L$203)/(LN((L$202-clc_load!O$10)/(clc_power!L$203-clc_load!O$10)))</f>
        <v>29.720134119884619</v>
      </c>
      <c r="M204" s="79">
        <f>(M$202-M$203)/(LN((M$202-clc_load!P$10)/(clc_power!M$203-clc_load!P$10)))</f>
        <v>29.720134119884619</v>
      </c>
      <c r="N204" s="79">
        <f>(N$202-N$203)/(LN((N$202-clc_load!Q$10)/(clc_power!N$203-clc_load!Q$10)))</f>
        <v>29.720134119884619</v>
      </c>
      <c r="O204" s="79">
        <f>(O$202-O$203)/(LN((O$202-clc_load!R$10)/(clc_power!O$203-clc_load!R$10)))</f>
        <v>29.720134119884619</v>
      </c>
      <c r="P204" s="79">
        <f>(P$202-P$203)/(LN((P$202-clc_load!S$10)/(clc_power!P$203-clc_load!S$10)))</f>
        <v>29.720134119884619</v>
      </c>
      <c r="Q204" s="79">
        <f>(Q$202-Q$203)/(LN((Q$202-clc_load!T$10)/(clc_power!Q$203-clc_load!T$10)))</f>
        <v>29.720134119884619</v>
      </c>
      <c r="R204" s="79">
        <f>(R$202-R$203)/(LN((R$202-clc_load!U$10)/(clc_power!R$203-clc_load!U$10)))</f>
        <v>29.720134119884619</v>
      </c>
      <c r="S204" s="79">
        <f>(S$202-S$203)/(LN((S$202-clc_load!V$10)/(clc_power!S$203-clc_load!V$10)))</f>
        <v>29.720134119884619</v>
      </c>
      <c r="T204" s="79">
        <f>(T$202-T$203)/(LN((T$202-clc_load!W$10)/(clc_power!T$203-clc_load!W$10)))</f>
        <v>29.720134119884619</v>
      </c>
      <c r="U204" s="79">
        <f>(U$202-U$203)/(LN((U$202-clc_load!X$10)/(clc_power!U$203-clc_load!X$10)))</f>
        <v>29.720134119884619</v>
      </c>
      <c r="V204" s="79">
        <f>(V$202-V$203)/(LN((V$202-clc_load!Y$10)/(clc_power!V$203-clc_load!Y$10)))</f>
        <v>29.720134119884619</v>
      </c>
      <c r="W204" s="79">
        <f>(W$202-W$203)/(LN((W$202-clc_load!Z$10)/(clc_power!W$203-clc_load!Z$10)))</f>
        <v>29.720134119884619</v>
      </c>
      <c r="X204" s="79">
        <f>(X$202-X$203)/(LN((X$202-clc_load!AA$10)/(clc_power!X$203-clc_load!AA$10)))</f>
        <v>29.720134119884619</v>
      </c>
    </row>
    <row r="205" spans="2:24" ht="15.75" thickBot="1" x14ac:dyDescent="0.3">
      <c r="B205" s="247" t="s">
        <v>792</v>
      </c>
      <c r="C205" s="247" t="s">
        <v>641</v>
      </c>
      <c r="D205" s="247" t="s">
        <v>213</v>
      </c>
      <c r="E205" s="247" t="s">
        <v>932</v>
      </c>
      <c r="F205" s="247" t="s">
        <v>112</v>
      </c>
      <c r="J205" s="21">
        <f t="shared" ref="J205:X205" ca="1" si="53">IF(J$201*((J$204/Log_ÜT_Norm)^J$200)&gt;0,
J$201*((J$204/Log_ÜT_Norm)^J$200),0)</f>
        <v>0</v>
      </c>
      <c r="K205" s="21">
        <f t="shared" ca="1" si="53"/>
        <v>0</v>
      </c>
      <c r="L205" s="21">
        <f t="shared" ca="1" si="53"/>
        <v>0</v>
      </c>
      <c r="M205" s="21">
        <f t="shared" ca="1" si="53"/>
        <v>0</v>
      </c>
      <c r="N205" s="21">
        <f t="shared" ca="1" si="53"/>
        <v>0</v>
      </c>
      <c r="O205" s="21">
        <f t="shared" ca="1" si="53"/>
        <v>0</v>
      </c>
      <c r="P205" s="21">
        <f t="shared" ca="1" si="53"/>
        <v>0</v>
      </c>
      <c r="Q205" s="21">
        <f t="shared" ca="1" si="53"/>
        <v>0</v>
      </c>
      <c r="R205" s="21">
        <f t="shared" ca="1" si="53"/>
        <v>0</v>
      </c>
      <c r="S205" s="21">
        <f t="shared" ca="1" si="53"/>
        <v>0</v>
      </c>
      <c r="T205" s="21">
        <f t="shared" ca="1" si="53"/>
        <v>0</v>
      </c>
      <c r="U205" s="21">
        <f t="shared" ca="1" si="53"/>
        <v>0</v>
      </c>
      <c r="V205" s="21">
        <f t="shared" ca="1" si="53"/>
        <v>0</v>
      </c>
      <c r="W205" s="21">
        <f t="shared" ca="1" si="53"/>
        <v>0</v>
      </c>
      <c r="X205" s="21">
        <f t="shared" ca="1" si="53"/>
        <v>0</v>
      </c>
    </row>
    <row r="206" spans="2:24" ht="15.75" thickBot="1" x14ac:dyDescent="0.3">
      <c r="B206" s="248" t="s">
        <v>794</v>
      </c>
      <c r="C206" s="248" t="s">
        <v>641</v>
      </c>
      <c r="D206" s="248" t="s">
        <v>795</v>
      </c>
      <c r="E206" s="248" t="s">
        <v>933</v>
      </c>
      <c r="F206" s="248" t="s">
        <v>112</v>
      </c>
      <c r="J206" s="79">
        <f ca="1">_xlfn.LET(
    _xlpm.typ, "Flachheizkoerper_senkrecht_profiliert",
    _xlpm.subtyp, "Typ_33",
    _xlpm.höhe, _xlfn.XLOOKUP(J$197, Data_radiator!$G$5:$G$32, Data_radiator!$G$5:$G$32, 1000000, 1, 1),
    _xlpm.tiefe, 155,
    _xlpm.breite, J$198 / 1000,
    _xlpm.exponentFaktor, J$204 / Log_ÜT_Norm,
    _xlpm.anzahl, IN_rooms!R$69,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K206" s="79">
        <f ca="1">_xlfn.LET(
    _xlpm.typ, "Flachheizkoerper_senkrecht_profiliert",
    _xlpm.subtyp, "Typ_33",
    _xlpm.höhe, _xlfn.XLOOKUP(K$197, Data_radiator!$G$5:$G$32, Data_radiator!$G$5:$G$32, 1000000, 1, 1),
    _xlpm.tiefe, 155,
    _xlpm.breite, K$198 / 1000,
    _xlpm.exponentFaktor, K$204 / Log_ÜT_Norm,
    _xlpm.anzahl, IN_rooms!S$69,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L206" s="79">
        <f ca="1">_xlfn.LET(
    _xlpm.typ, "Flachheizkoerper_senkrecht_profiliert",
    _xlpm.subtyp, "Typ_33",
    _xlpm.höhe, _xlfn.XLOOKUP(L$197, Data_radiator!$G$5:$G$32, Data_radiator!$G$5:$G$32, 1000000, 1, 1),
    _xlpm.tiefe, 155,
    _xlpm.breite, L$198 / 1000,
    _xlpm.exponentFaktor, L$204 / Log_ÜT_Norm,
    _xlpm.anzahl, IN_rooms!T$69,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M206" s="79">
        <f ca="1">_xlfn.LET(
    _xlpm.typ, "Flachheizkoerper_senkrecht_profiliert",
    _xlpm.subtyp, "Typ_33",
    _xlpm.höhe, _xlfn.XLOOKUP(M$197, Data_radiator!$G$5:$G$32, Data_radiator!$G$5:$G$32, 1000000, 1, 1),
    _xlpm.tiefe, 155,
    _xlpm.breite, M$198 / 1000,
    _xlpm.exponentFaktor, M$204 / Log_ÜT_Norm,
    _xlpm.anzahl, IN_rooms!U$69,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N206" s="79">
        <f ca="1">_xlfn.LET(
    _xlpm.typ, "Flachheizkoerper_senkrecht_profiliert",
    _xlpm.subtyp, "Typ_33",
    _xlpm.höhe, _xlfn.XLOOKUP(N$197, Data_radiator!$G$5:$G$32, Data_radiator!$G$5:$G$32, 1000000, 1, 1),
    _xlpm.tiefe, 155,
    _xlpm.breite, N$198 / 1000,
    _xlpm.exponentFaktor, N$204 / Log_ÜT_Norm,
    _xlpm.anzahl, IN_rooms!V$69,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O206" s="79">
        <f ca="1">_xlfn.LET(
    _xlpm.typ, "Flachheizkoerper_senkrecht_profiliert",
    _xlpm.subtyp, "Typ_33",
    _xlpm.höhe, _xlfn.XLOOKUP(O$197, Data_radiator!$G$5:$G$32, Data_radiator!$G$5:$G$32, 1000000, 1, 1),
    _xlpm.tiefe, 155,
    _xlpm.breite, O$198 / 1000,
    _xlpm.exponentFaktor, O$204 / Log_ÜT_Norm,
    _xlpm.anzahl, IN_rooms!W$69,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P206" s="79">
        <f ca="1">_xlfn.LET(
    _xlpm.typ, "Flachheizkoerper_senkrecht_profiliert",
    _xlpm.subtyp, "Typ_33",
    _xlpm.höhe, _xlfn.XLOOKUP(P$197, Data_radiator!$G$5:$G$32, Data_radiator!$G$5:$G$32, 1000000, 1, 1),
    _xlpm.tiefe, 155,
    _xlpm.breite, P$198 / 1000,
    _xlpm.exponentFaktor, P$204 / Log_ÜT_Norm,
    _xlpm.anzahl, IN_rooms!X$69,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Q206" s="79">
        <f ca="1">_xlfn.LET(
    _xlpm.typ, "Flachheizkoerper_senkrecht_profiliert",
    _xlpm.subtyp, "Typ_33",
    _xlpm.höhe, _xlfn.XLOOKUP(Q$197, Data_radiator!$G$5:$G$32, Data_radiator!$G$5:$G$32, 1000000, 1, 1),
    _xlpm.tiefe, 155,
    _xlpm.breite, Q$198 / 1000,
    _xlpm.exponentFaktor, Q$204 / Log_ÜT_Norm,
    _xlpm.anzahl, IN_rooms!Y$69,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R206" s="79">
        <f ca="1">_xlfn.LET(
    _xlpm.typ, "Flachheizkoerper_senkrecht_profiliert",
    _xlpm.subtyp, "Typ_33",
    _xlpm.höhe, _xlfn.XLOOKUP(R$197, Data_radiator!$G$5:$G$32, Data_radiator!$G$5:$G$32, 1000000, 1, 1),
    _xlpm.tiefe, 155,
    _xlpm.breite, R$198 / 1000,
    _xlpm.exponentFaktor, R$204 / Log_ÜT_Norm,
    _xlpm.anzahl, IN_rooms!Z$69,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S206" s="79">
        <f ca="1">_xlfn.LET(
    _xlpm.typ, "Flachheizkoerper_senkrecht_profiliert",
    _xlpm.subtyp, "Typ_33",
    _xlpm.höhe, _xlfn.XLOOKUP(S$197, Data_radiator!$G$5:$G$32, Data_radiator!$G$5:$G$32, 1000000, 1, 1),
    _xlpm.tiefe, 155,
    _xlpm.breite, S$198 / 1000,
    _xlpm.exponentFaktor, S$204 / Log_ÜT_Norm,
    _xlpm.anzahl, IN_rooms!AA$69,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T206" s="79">
        <f ca="1">_xlfn.LET(
    _xlpm.typ, "Flachheizkoerper_senkrecht_profiliert",
    _xlpm.subtyp, "Typ_33",
    _xlpm.höhe, _xlfn.XLOOKUP(T$197, Data_radiator!$G$5:$G$32, Data_radiator!$G$5:$G$32, 1000000, 1, 1),
    _xlpm.tiefe, 155,
    _xlpm.breite, T$198 / 1000,
    _xlpm.exponentFaktor, T$204 / Log_ÜT_Norm,
    _xlpm.anzahl, IN_rooms!AB$69,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U206" s="79">
        <f ca="1">_xlfn.LET(
    _xlpm.typ, "Flachheizkoerper_senkrecht_profiliert",
    _xlpm.subtyp, "Typ_33",
    _xlpm.höhe, _xlfn.XLOOKUP(U$197, Data_radiator!$G$5:$G$32, Data_radiator!$G$5:$G$32, 1000000, 1, 1),
    _xlpm.tiefe, 155,
    _xlpm.breite, U$198 / 1000,
    _xlpm.exponentFaktor, U$204 / Log_ÜT_Norm,
    _xlpm.anzahl, IN_rooms!AC$69,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V206" s="79">
        <f ca="1">_xlfn.LET(
    _xlpm.typ, "Flachheizkoerper_senkrecht_profiliert",
    _xlpm.subtyp, "Typ_33",
    _xlpm.höhe, _xlfn.XLOOKUP(V$197, Data_radiator!$G$5:$G$32, Data_radiator!$G$5:$G$32, 1000000, 1, 1),
    _xlpm.tiefe, 155,
    _xlpm.breite, V$198 / 1000,
    _xlpm.exponentFaktor, V$204 / Log_ÜT_Norm,
    _xlpm.anzahl, IN_rooms!AD$69,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W206" s="79">
        <f ca="1">_xlfn.LET(
    _xlpm.typ, "Flachheizkoerper_senkrecht_profiliert",
    _xlpm.subtyp, "Typ_33",
    _xlpm.höhe, _xlfn.XLOOKUP(W$197, Data_radiator!$G$5:$G$32, Data_radiator!$G$5:$G$32, 1000000, 1, 1),
    _xlpm.tiefe, 155,
    _xlpm.breite, W$198 / 1000,
    _xlpm.exponentFaktor, W$204 / Log_ÜT_Norm,
    _xlpm.anzahl, IN_rooms!AE$69,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c r="X206" s="79">
        <f ca="1">_xlfn.LET(
    _xlpm.typ, "Flachheizkoerper_senkrecht_profiliert",
    _xlpm.subtyp, "Typ_33",
    _xlpm.höhe, _xlfn.XLOOKUP(X$197, Data_radiator!$G$5:$G$32, Data_radiator!$G$5:$G$32, 1000000, 1, 1),
    _xlpm.tiefe, 155,
    _xlpm.breite, X$198 / 1000,
    _xlpm.exponentFaktor, X$204 / Log_ÜT_Norm,
    _xlpm.anzahl, IN_rooms!AF$69,
    _xlpm.exponent, SUMIFS(
        INDIRECT("tabelle1[Heizkörperexponent n ]"),
        INDIRECT("tabelle1[Heizkörper_Typ]"), _xlpm.typ,
        INDIRECT("tabelle1[Heizkörper_Subtyp]"), _xlpm.subtyp,
        INDIRECT("tabelle1[Höhe H in mm]"), _xlpm.höhe,
        INDIRECT("tabelle1[Bautiefe T in mm]"), _xlpm.tiefe
    ),
    _xlpm.leistung, _xlpm.anzahl *
        SUMIFS(
            INDIRECT("tabelle1[Wärmeleistung (75/65/20)  in W/m]"),
            INDIRECT("tabelle1[Heizkörper_Typ]"), _xlpm.typ,
            INDIRECT("tabelle1[Heizkörper_Subtyp]"), _xlpm.subtyp,
            INDIRECT("tabelle1[Höhe H in mm]"), _xlpm.höhe,
            INDIRECT("tabelle1[Bautiefe T in mm]"), _xlpm.tiefe
        ) * _xlpm.breite * (_xlpm.exponentFaktor ^ _xlpm.exponent),
    IF(_xlpm.leistung &gt; 0, _xlpm.leistung, 0)
)</f>
        <v>0</v>
      </c>
    </row>
    <row r="207" spans="2:24" ht="15.75" thickBot="1" x14ac:dyDescent="0.3">
      <c r="B207" s="251" t="s">
        <v>837</v>
      </c>
      <c r="C207" s="251" t="s">
        <v>641</v>
      </c>
      <c r="D207" s="251"/>
      <c r="E207" s="251" t="s">
        <v>838</v>
      </c>
      <c r="F207" s="251" t="s">
        <v>112</v>
      </c>
      <c r="G207" s="22"/>
      <c r="H207" s="22"/>
      <c r="I207" s="22"/>
      <c r="J207" s="264" t="str">
        <f>IF(J144&gt;"",J154,IF(J156&gt;"",J166,IF(J168&gt;"",J179,IF(J195&gt;"",J205,""))))</f>
        <v/>
      </c>
      <c r="K207" s="264" t="str">
        <f t="shared" ref="K207:O207" si="54">IF(K144&gt;"",K154,IF(K156&gt;"",K166,IF(K168&gt;"",K179,IF(K195&gt;"",K205,""))))</f>
        <v/>
      </c>
      <c r="L207" s="264" t="str">
        <f t="shared" si="54"/>
        <v/>
      </c>
      <c r="M207" s="264" t="str">
        <f t="shared" si="54"/>
        <v/>
      </c>
      <c r="N207" s="264" t="str">
        <f t="shared" si="54"/>
        <v/>
      </c>
      <c r="O207" s="264" t="str">
        <f t="shared" si="54"/>
        <v/>
      </c>
      <c r="P207" s="264" t="str">
        <f t="shared" ref="P207:X207" si="55">IF(P144&gt;"",P154,IF(P156&gt;"",P166,IF(P168&gt;"",P179,IF(P195&gt;"",P205,""))))</f>
        <v/>
      </c>
      <c r="Q207" s="264" t="str">
        <f t="shared" si="55"/>
        <v/>
      </c>
      <c r="R207" s="264" t="str">
        <f t="shared" si="55"/>
        <v/>
      </c>
      <c r="S207" s="264" t="str">
        <f t="shared" si="55"/>
        <v/>
      </c>
      <c r="T207" s="264" t="str">
        <f t="shared" si="55"/>
        <v/>
      </c>
      <c r="U207" s="264" t="str">
        <f t="shared" si="55"/>
        <v/>
      </c>
      <c r="V207" s="264" t="str">
        <f t="shared" si="55"/>
        <v/>
      </c>
      <c r="W207" s="264" t="str">
        <f t="shared" si="55"/>
        <v/>
      </c>
      <c r="X207" s="264" t="str">
        <f t="shared" si="55"/>
        <v/>
      </c>
    </row>
    <row r="208" spans="2:24" ht="15.75" thickBot="1" x14ac:dyDescent="0.3">
      <c r="B208" s="251" t="s">
        <v>839</v>
      </c>
      <c r="C208" s="251" t="s">
        <v>641</v>
      </c>
      <c r="D208" s="251" t="s">
        <v>840</v>
      </c>
      <c r="E208" s="251" t="s">
        <v>841</v>
      </c>
      <c r="F208" s="251" t="s">
        <v>112</v>
      </c>
      <c r="G208" s="22"/>
      <c r="H208" s="22"/>
      <c r="I208" s="22"/>
      <c r="J208" s="264" t="str">
        <f>IF(J144&gt;"",J155,IF(J156&gt;"",J167,IF(J168&gt;"",J180,IF(J195&gt;"",J206,""))))</f>
        <v/>
      </c>
      <c r="K208" s="264" t="str">
        <f t="shared" ref="K208:O208" si="56">IF(K144&gt;"",K155,IF(K156&gt;"",K167,IF(K168&gt;"",K180,IF(K195&gt;"",K206,""))))</f>
        <v/>
      </c>
      <c r="L208" s="264" t="str">
        <f t="shared" si="56"/>
        <v/>
      </c>
      <c r="M208" s="264" t="str">
        <f t="shared" si="56"/>
        <v/>
      </c>
      <c r="N208" s="264" t="str">
        <f t="shared" si="56"/>
        <v/>
      </c>
      <c r="O208" s="264" t="str">
        <f t="shared" si="56"/>
        <v/>
      </c>
      <c r="P208" s="264" t="str">
        <f t="shared" ref="P208:X208" si="57">IF(P144&gt;"",P155,IF(P156&gt;"",P167,IF(P168&gt;"",P180,IF(P195&gt;"",P206,""))))</f>
        <v/>
      </c>
      <c r="Q208" s="264" t="str">
        <f t="shared" si="57"/>
        <v/>
      </c>
      <c r="R208" s="264" t="str">
        <f t="shared" si="57"/>
        <v/>
      </c>
      <c r="S208" s="264" t="str">
        <f t="shared" si="57"/>
        <v/>
      </c>
      <c r="T208" s="264" t="str">
        <f t="shared" si="57"/>
        <v/>
      </c>
      <c r="U208" s="264" t="str">
        <f t="shared" si="57"/>
        <v/>
      </c>
      <c r="V208" s="264" t="str">
        <f t="shared" si="57"/>
        <v/>
      </c>
      <c r="W208" s="264" t="str">
        <f t="shared" si="57"/>
        <v/>
      </c>
      <c r="X208" s="264" t="str">
        <f t="shared" si="57"/>
        <v/>
      </c>
    </row>
    <row r="209" spans="2:24" ht="15.75" thickBot="1" x14ac:dyDescent="0.3"/>
    <row r="210" spans="2:24" x14ac:dyDescent="0.25">
      <c r="B210" s="252" t="s">
        <v>934</v>
      </c>
      <c r="C210" s="253"/>
      <c r="D210" s="253"/>
      <c r="E210" s="253"/>
      <c r="F210" s="253"/>
      <c r="G210" s="254"/>
      <c r="H210" s="254"/>
      <c r="I210" s="254"/>
      <c r="J210" s="255"/>
      <c r="K210" s="255"/>
      <c r="L210" s="255"/>
      <c r="M210" s="255"/>
      <c r="N210" s="255"/>
      <c r="O210" s="255"/>
      <c r="P210" s="255"/>
      <c r="Q210" s="255"/>
      <c r="R210" s="255"/>
      <c r="S210" s="255"/>
      <c r="T210" s="255"/>
      <c r="U210" s="255"/>
      <c r="V210" s="255"/>
      <c r="W210" s="255"/>
      <c r="X210" s="255"/>
    </row>
    <row r="211" spans="2:24" x14ac:dyDescent="0.25">
      <c r="B211" s="256" t="s">
        <v>935</v>
      </c>
      <c r="C211" s="257" t="s">
        <v>182</v>
      </c>
      <c r="D211" s="257"/>
      <c r="E211" s="257"/>
      <c r="F211" s="257" t="s">
        <v>112</v>
      </c>
      <c r="J211" s="265">
        <f t="shared" ref="J211:X211" si="58">SUMIF($B$11:$B$208,$B$207,J$11:J$208)</f>
        <v>0</v>
      </c>
      <c r="K211" s="265">
        <f t="shared" si="58"/>
        <v>0</v>
      </c>
      <c r="L211" s="265">
        <f t="shared" si="58"/>
        <v>0</v>
      </c>
      <c r="M211" s="265">
        <f t="shared" si="58"/>
        <v>0</v>
      </c>
      <c r="N211" s="265">
        <f t="shared" si="58"/>
        <v>0</v>
      </c>
      <c r="O211" s="265">
        <f t="shared" si="58"/>
        <v>0</v>
      </c>
      <c r="P211" s="265">
        <f t="shared" si="58"/>
        <v>0</v>
      </c>
      <c r="Q211" s="265">
        <f t="shared" si="58"/>
        <v>0</v>
      </c>
      <c r="R211" s="265">
        <f t="shared" si="58"/>
        <v>0</v>
      </c>
      <c r="S211" s="265">
        <f t="shared" si="58"/>
        <v>0</v>
      </c>
      <c r="T211" s="265">
        <f t="shared" si="58"/>
        <v>0</v>
      </c>
      <c r="U211" s="265">
        <f t="shared" si="58"/>
        <v>0</v>
      </c>
      <c r="V211" s="265">
        <f t="shared" si="58"/>
        <v>0</v>
      </c>
      <c r="W211" s="265">
        <f t="shared" si="58"/>
        <v>0</v>
      </c>
      <c r="X211" s="265">
        <f t="shared" si="58"/>
        <v>0</v>
      </c>
    </row>
    <row r="212" spans="2:24" x14ac:dyDescent="0.25">
      <c r="B212" s="256" t="s">
        <v>936</v>
      </c>
      <c r="C212" s="257" t="s">
        <v>182</v>
      </c>
      <c r="D212" s="257" t="s">
        <v>795</v>
      </c>
      <c r="E212" s="257"/>
      <c r="F212" s="257" t="s">
        <v>112</v>
      </c>
      <c r="J212" s="265">
        <f t="shared" ref="J212:X212" si="59">SUMIF($B$11:$B$208,$B$208,J$11:J$208)</f>
        <v>0</v>
      </c>
      <c r="K212" s="265">
        <f t="shared" si="59"/>
        <v>0</v>
      </c>
      <c r="L212" s="265">
        <f t="shared" si="59"/>
        <v>0</v>
      </c>
      <c r="M212" s="265">
        <f t="shared" si="59"/>
        <v>0</v>
      </c>
      <c r="N212" s="265">
        <f t="shared" si="59"/>
        <v>0</v>
      </c>
      <c r="O212" s="265">
        <f t="shared" si="59"/>
        <v>0</v>
      </c>
      <c r="P212" s="265">
        <f t="shared" si="59"/>
        <v>0</v>
      </c>
      <c r="Q212" s="265">
        <f t="shared" si="59"/>
        <v>0</v>
      </c>
      <c r="R212" s="265">
        <f t="shared" si="59"/>
        <v>0</v>
      </c>
      <c r="S212" s="265">
        <f t="shared" si="59"/>
        <v>0</v>
      </c>
      <c r="T212" s="265">
        <f t="shared" si="59"/>
        <v>0</v>
      </c>
      <c r="U212" s="265">
        <f t="shared" si="59"/>
        <v>0</v>
      </c>
      <c r="V212" s="265">
        <f t="shared" si="59"/>
        <v>0</v>
      </c>
      <c r="W212" s="265">
        <f t="shared" si="59"/>
        <v>0</v>
      </c>
      <c r="X212" s="265">
        <f t="shared" si="59"/>
        <v>0</v>
      </c>
    </row>
    <row r="213" spans="2:24" x14ac:dyDescent="0.25">
      <c r="B213" s="256" t="s">
        <v>937</v>
      </c>
      <c r="C213" s="257" t="s">
        <v>182</v>
      </c>
      <c r="D213" s="257"/>
      <c r="E213" s="257"/>
      <c r="F213" s="257" t="s">
        <v>111</v>
      </c>
      <c r="J213" s="260">
        <f>J211/clc_load!M74</f>
        <v>0</v>
      </c>
      <c r="K213" s="260">
        <f>K211/clc_load!N74</f>
        <v>0</v>
      </c>
      <c r="L213" s="260">
        <f>L211/clc_load!O74</f>
        <v>0</v>
      </c>
      <c r="M213" s="260">
        <f>M211/clc_load!P74</f>
        <v>0</v>
      </c>
      <c r="N213" s="260">
        <f>N211/clc_load!Q74</f>
        <v>0</v>
      </c>
      <c r="O213" s="260">
        <f>O211/clc_load!R74</f>
        <v>0</v>
      </c>
      <c r="P213" s="260">
        <f>P211/clc_load!S74</f>
        <v>0</v>
      </c>
      <c r="Q213" s="260">
        <f>Q211/clc_load!T74</f>
        <v>0</v>
      </c>
      <c r="R213" s="260">
        <f>R211/clc_load!U74</f>
        <v>0</v>
      </c>
      <c r="S213" s="260">
        <f>S211/clc_load!V74</f>
        <v>0</v>
      </c>
      <c r="T213" s="260">
        <f>T211/clc_load!W74</f>
        <v>0</v>
      </c>
      <c r="U213" s="260">
        <f>U211/clc_load!X74</f>
        <v>0</v>
      </c>
      <c r="V213" s="260">
        <f>V211/clc_load!Y74</f>
        <v>0</v>
      </c>
      <c r="W213" s="260">
        <f>W211/clc_load!Z74</f>
        <v>0</v>
      </c>
      <c r="X213" s="260">
        <f>X211/clc_load!AA74</f>
        <v>0</v>
      </c>
    </row>
    <row r="214" spans="2:24" ht="15.75" thickBot="1" x14ac:dyDescent="0.3">
      <c r="B214" s="258" t="s">
        <v>938</v>
      </c>
      <c r="C214" s="259" t="s">
        <v>182</v>
      </c>
      <c r="D214" s="259" t="s">
        <v>795</v>
      </c>
      <c r="E214" s="259"/>
      <c r="F214" s="259" t="s">
        <v>111</v>
      </c>
      <c r="G214" s="85"/>
      <c r="H214" s="85"/>
      <c r="I214" s="85"/>
      <c r="J214" s="261">
        <f>J212/clc_load!M74</f>
        <v>0</v>
      </c>
      <c r="K214" s="261">
        <f>K212/clc_load!N74</f>
        <v>0</v>
      </c>
      <c r="L214" s="261">
        <f>L212/clc_load!O74</f>
        <v>0</v>
      </c>
      <c r="M214" s="261">
        <f>M212/clc_load!P74</f>
        <v>0</v>
      </c>
      <c r="N214" s="261">
        <f>N212/clc_load!Q74</f>
        <v>0</v>
      </c>
      <c r="O214" s="261">
        <f>O212/clc_load!R74</f>
        <v>0</v>
      </c>
      <c r="P214" s="261">
        <f>P212/clc_load!S74</f>
        <v>0</v>
      </c>
      <c r="Q214" s="261">
        <f>Q212/clc_load!T74</f>
        <v>0</v>
      </c>
      <c r="R214" s="261">
        <f>R212/clc_load!U74</f>
        <v>0</v>
      </c>
      <c r="S214" s="261">
        <f>S212/clc_load!V74</f>
        <v>0</v>
      </c>
      <c r="T214" s="261">
        <f>T212/clc_load!W74</f>
        <v>0</v>
      </c>
      <c r="U214" s="261">
        <f>U212/clc_load!X74</f>
        <v>0</v>
      </c>
      <c r="V214" s="261">
        <f>V212/clc_load!Y74</f>
        <v>0</v>
      </c>
      <c r="W214" s="261">
        <f>W212/clc_load!Z74</f>
        <v>0</v>
      </c>
      <c r="X214" s="261">
        <f>X212/clc_load!AA74</f>
        <v>0</v>
      </c>
    </row>
    <row r="217" spans="2:24" x14ac:dyDescent="0.25">
      <c r="B217" t="s">
        <v>582</v>
      </c>
    </row>
  </sheetData>
  <phoneticPr fontId="25" type="noConversion"/>
  <conditionalFormatting sqref="A2:A9">
    <cfRule type="expression" dxfId="33" priority="21">
      <formula>D11="x"</formula>
    </cfRule>
  </conditionalFormatting>
  <conditionalFormatting sqref="A10">
    <cfRule type="expression" dxfId="32" priority="19">
      <formula>#REF!="x"</formula>
    </cfRule>
  </conditionalFormatting>
  <conditionalFormatting sqref="A1:B1">
    <cfRule type="expression" dxfId="31" priority="1">
      <formula>D1="x"</formula>
    </cfRule>
  </conditionalFormatting>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6426-8384-4274-AC8C-5348387FF7E4}">
  <sheetPr>
    <tabColor theme="7"/>
  </sheetPr>
  <dimension ref="A1:Q64"/>
  <sheetViews>
    <sheetView workbookViewId="0">
      <pane xSplit="2" ySplit="2" topLeftCell="C3" activePane="bottomRight" state="frozen"/>
      <selection pane="topRight" activeCell="C1" sqref="C1"/>
      <selection pane="bottomLeft" activeCell="A3" sqref="A3"/>
      <selection pane="bottomRight" activeCell="G26" sqref="G26"/>
    </sheetView>
  </sheetViews>
  <sheetFormatPr baseColWidth="10" defaultColWidth="11.42578125" defaultRowHeight="15" x14ac:dyDescent="0.25"/>
  <cols>
    <col min="1" max="1" width="43.140625" bestFit="1" customWidth="1"/>
    <col min="2" max="2" width="13.42578125" bestFit="1" customWidth="1"/>
    <col min="3" max="17" width="9.42578125" customWidth="1"/>
  </cols>
  <sheetData>
    <row r="1" spans="1:17" x14ac:dyDescent="0.25">
      <c r="C1" s="274" t="s">
        <v>939</v>
      </c>
      <c r="D1" s="274"/>
      <c r="E1" s="274"/>
      <c r="F1" s="274"/>
      <c r="G1" s="274"/>
      <c r="H1" s="274"/>
      <c r="I1" s="274"/>
      <c r="J1" s="274"/>
      <c r="K1" s="274"/>
      <c r="L1" s="274"/>
      <c r="M1" s="274"/>
      <c r="N1" s="274"/>
      <c r="O1" s="274"/>
      <c r="P1" s="274"/>
      <c r="Q1" s="274"/>
    </row>
    <row r="2" spans="1:17" x14ac:dyDescent="0.25">
      <c r="A2" s="22" t="s">
        <v>940</v>
      </c>
      <c r="B2" s="22" t="s">
        <v>118</v>
      </c>
      <c r="C2" s="22">
        <v>1</v>
      </c>
      <c r="D2" s="22">
        <v>2</v>
      </c>
      <c r="E2" s="22">
        <v>3</v>
      </c>
      <c r="F2" s="22">
        <v>4</v>
      </c>
      <c r="G2" s="22">
        <v>5</v>
      </c>
      <c r="H2" s="22">
        <v>6</v>
      </c>
      <c r="I2" s="22">
        <v>7</v>
      </c>
      <c r="J2" s="22">
        <v>8</v>
      </c>
      <c r="K2" s="22">
        <v>9</v>
      </c>
      <c r="L2" s="22">
        <v>10</v>
      </c>
      <c r="M2" s="22">
        <v>11</v>
      </c>
      <c r="N2" s="22">
        <v>12</v>
      </c>
      <c r="O2" s="22">
        <v>13</v>
      </c>
      <c r="P2" s="22">
        <v>14</v>
      </c>
      <c r="Q2" s="22">
        <v>15</v>
      </c>
    </row>
    <row r="4" spans="1:17" x14ac:dyDescent="0.25">
      <c r="A4" s="269" t="s">
        <v>941</v>
      </c>
      <c r="B4" s="269"/>
    </row>
    <row r="5" spans="1:17" x14ac:dyDescent="0.25">
      <c r="A5" t="s">
        <v>942</v>
      </c>
      <c r="B5" t="s">
        <v>112</v>
      </c>
      <c r="C5" s="196">
        <f>clc_load!M72-clc_valid!C6</f>
        <v>564.35420937513652</v>
      </c>
      <c r="D5" s="196">
        <f>clc_load!N72-clc_valid!D6</f>
        <v>561.82500000000005</v>
      </c>
      <c r="E5" s="196">
        <f>clc_load!O72-clc_valid!E6</f>
        <v>575.47500000000014</v>
      </c>
      <c r="F5" s="196">
        <f>clc_load!P72-clc_valid!F6</f>
        <v>589.125</v>
      </c>
      <c r="G5" s="196">
        <f>clc_load!Q72-clc_valid!G6</f>
        <v>602.77500000000009</v>
      </c>
      <c r="H5" s="196">
        <f>clc_load!R72-clc_valid!H6</f>
        <v>616.42499999999995</v>
      </c>
      <c r="I5" s="196">
        <f>clc_load!S72-clc_valid!I6</f>
        <v>630.07500000000005</v>
      </c>
      <c r="J5" s="196">
        <f>clc_load!T72-clc_valid!J6</f>
        <v>643.72500000000014</v>
      </c>
      <c r="K5" s="196">
        <f>clc_load!U72-clc_valid!K6</f>
        <v>657.375</v>
      </c>
      <c r="L5" s="196">
        <f>clc_load!V72-clc_valid!L6</f>
        <v>671.02500000000009</v>
      </c>
      <c r="M5" s="196">
        <f>clc_load!W72-clc_valid!M6</f>
        <v>684.67499999999995</v>
      </c>
      <c r="N5" s="196">
        <f>clc_load!X72-clc_valid!N6</f>
        <v>698.32500000000005</v>
      </c>
      <c r="O5" s="196">
        <f>clc_load!Y72-clc_valid!O6</f>
        <v>711.97500000000014</v>
      </c>
      <c r="P5" s="196">
        <f>clc_load!Z72-clc_valid!P6</f>
        <v>725.625</v>
      </c>
      <c r="Q5" s="196">
        <f>clc_load!AA72-clc_valid!Q6</f>
        <v>739.27500000000009</v>
      </c>
    </row>
    <row r="6" spans="1:17" x14ac:dyDescent="0.25">
      <c r="A6" t="s">
        <v>943</v>
      </c>
      <c r="B6" t="s">
        <v>112</v>
      </c>
      <c r="C6" s="196">
        <f>clc_load!M12</f>
        <v>255</v>
      </c>
      <c r="D6" s="196">
        <f>clc_load!N12</f>
        <v>267.75</v>
      </c>
      <c r="E6" s="196">
        <f>clc_load!O12</f>
        <v>280.50000000000006</v>
      </c>
      <c r="F6" s="196">
        <f>clc_load!P12</f>
        <v>293.25</v>
      </c>
      <c r="G6" s="196">
        <f>clc_load!Q12</f>
        <v>306.00000000000006</v>
      </c>
      <c r="H6" s="196">
        <f>clc_load!R12</f>
        <v>318.75</v>
      </c>
      <c r="I6" s="196">
        <f>clc_load!S12</f>
        <v>331.5</v>
      </c>
      <c r="J6" s="196">
        <f>clc_load!T12</f>
        <v>344.25000000000006</v>
      </c>
      <c r="K6" s="196">
        <f>clc_load!U12</f>
        <v>357</v>
      </c>
      <c r="L6" s="196">
        <f>clc_load!V12</f>
        <v>369.75000000000006</v>
      </c>
      <c r="M6" s="196">
        <f>clc_load!W12</f>
        <v>382.50000000000006</v>
      </c>
      <c r="N6" s="196">
        <f>clc_load!X12</f>
        <v>395.25</v>
      </c>
      <c r="O6" s="196">
        <f>clc_load!Y12</f>
        <v>408.00000000000006</v>
      </c>
      <c r="P6" s="196">
        <f>clc_load!Z12</f>
        <v>420.75</v>
      </c>
      <c r="Q6" s="196">
        <f>clc_load!AA12</f>
        <v>433.50000000000006</v>
      </c>
    </row>
    <row r="7" spans="1:17" x14ac:dyDescent="0.25">
      <c r="A7" t="s">
        <v>944</v>
      </c>
      <c r="B7" t="s">
        <v>680</v>
      </c>
      <c r="C7" s="196">
        <f>clc_load!M16</f>
        <v>0.8</v>
      </c>
      <c r="D7" s="196">
        <f>clc_load!N16</f>
        <v>0.8</v>
      </c>
      <c r="E7" s="196">
        <f>clc_load!O16</f>
        <v>0.8</v>
      </c>
      <c r="F7" s="196">
        <f>clc_load!P16</f>
        <v>0.8</v>
      </c>
      <c r="G7" s="196">
        <f>clc_load!Q16</f>
        <v>0.8</v>
      </c>
      <c r="H7" s="196">
        <f>clc_load!R16</f>
        <v>0.8</v>
      </c>
      <c r="I7" s="196">
        <f>clc_load!S16</f>
        <v>0.8</v>
      </c>
      <c r="J7" s="196">
        <f>clc_load!T16</f>
        <v>0.8</v>
      </c>
      <c r="K7" s="196">
        <f>clc_load!U16</f>
        <v>0.8</v>
      </c>
      <c r="L7" s="196">
        <f>clc_load!V16</f>
        <v>0.8</v>
      </c>
      <c r="M7" s="196">
        <f>clc_load!W16</f>
        <v>0.8</v>
      </c>
      <c r="N7" s="196">
        <f>clc_load!X16</f>
        <v>0.8</v>
      </c>
      <c r="O7" s="196">
        <f>clc_load!Y16</f>
        <v>0.8</v>
      </c>
      <c r="P7" s="196">
        <f>clc_load!Z16</f>
        <v>0.8</v>
      </c>
      <c r="Q7" s="196">
        <f>clc_load!AA16</f>
        <v>0.8</v>
      </c>
    </row>
    <row r="8" spans="1:17" x14ac:dyDescent="0.25">
      <c r="A8" t="s">
        <v>945</v>
      </c>
      <c r="B8" t="s">
        <v>112</v>
      </c>
      <c r="C8" s="196">
        <f>clc_load!M17</f>
        <v>100.55420937513648</v>
      </c>
      <c r="D8" s="196">
        <f>clc_load!N17</f>
        <v>84.375</v>
      </c>
      <c r="E8" s="196">
        <f>clc_load!O17</f>
        <v>84.375</v>
      </c>
      <c r="F8" s="196">
        <f>clc_load!P17</f>
        <v>84.375</v>
      </c>
      <c r="G8" s="196">
        <f>clc_load!Q17</f>
        <v>84.375</v>
      </c>
      <c r="H8" s="196">
        <f>clc_load!R17</f>
        <v>84.375</v>
      </c>
      <c r="I8" s="196">
        <f>clc_load!S17</f>
        <v>84.375</v>
      </c>
      <c r="J8" s="196">
        <f>clc_load!T17</f>
        <v>84.375</v>
      </c>
      <c r="K8" s="196">
        <f>clc_load!U17</f>
        <v>84.375</v>
      </c>
      <c r="L8" s="196">
        <f>clc_load!V17</f>
        <v>84.375</v>
      </c>
      <c r="M8" s="196">
        <f>clc_load!W17</f>
        <v>84.375</v>
      </c>
      <c r="N8" s="196">
        <f>clc_load!X17</f>
        <v>84.375</v>
      </c>
      <c r="O8" s="196">
        <f>clc_load!Y17</f>
        <v>84.375</v>
      </c>
      <c r="P8" s="196">
        <f>clc_load!Z17</f>
        <v>84.375</v>
      </c>
      <c r="Q8" s="196">
        <f>clc_load!AA17</f>
        <v>84.375</v>
      </c>
    </row>
    <row r="9" spans="1:17" x14ac:dyDescent="0.25">
      <c r="A9" t="s">
        <v>946</v>
      </c>
      <c r="B9" t="s">
        <v>680</v>
      </c>
      <c r="C9" s="196">
        <f>MAX(clc_load!M45,clc_load!M51,clc_load!M57)</f>
        <v>1.1000000000000001</v>
      </c>
      <c r="D9" s="196">
        <f>MAX(clc_load!N45,clc_load!N51,clc_load!N57)</f>
        <v>1.1000000000000001</v>
      </c>
      <c r="E9" s="196">
        <f>MAX(clc_load!O45,clc_load!O51,clc_load!O57)</f>
        <v>1.1000000000000001</v>
      </c>
      <c r="F9" s="196">
        <f>MAX(clc_load!P45,clc_load!P51,clc_load!P57)</f>
        <v>1.1000000000000001</v>
      </c>
      <c r="G9" s="196">
        <f>MAX(clc_load!Q45,clc_load!Q51,clc_load!Q57)</f>
        <v>1.1000000000000001</v>
      </c>
      <c r="H9" s="196">
        <f>MAX(clc_load!R45,clc_load!R51,clc_load!R57)</f>
        <v>1.1000000000000001</v>
      </c>
      <c r="I9" s="196">
        <f>MAX(clc_load!S45,clc_load!S51,clc_load!S57)</f>
        <v>1.1000000000000001</v>
      </c>
      <c r="J9" s="196">
        <f>MAX(clc_load!T45,clc_load!T51,clc_load!T57)</f>
        <v>1.1000000000000001</v>
      </c>
      <c r="K9" s="196">
        <f>MAX(clc_load!U45,clc_load!U51,clc_load!U57)</f>
        <v>1.1000000000000001</v>
      </c>
      <c r="L9" s="196">
        <f>MAX(clc_load!V45,clc_load!V51,clc_load!V57)</f>
        <v>1.1000000000000001</v>
      </c>
      <c r="M9" s="196">
        <f>MAX(clc_load!W45,clc_load!W51,clc_load!W57)</f>
        <v>1.1000000000000001</v>
      </c>
      <c r="N9" s="196">
        <f>MAX(clc_load!X45,clc_load!X51,clc_load!X57)</f>
        <v>1.1000000000000001</v>
      </c>
      <c r="O9" s="196">
        <f>MAX(clc_load!Y45,clc_load!Y51,clc_load!Y57)</f>
        <v>1.1000000000000001</v>
      </c>
      <c r="P9" s="196">
        <f>MAX(clc_load!Z45,clc_load!Z51,clc_load!Z57)</f>
        <v>1.1000000000000001</v>
      </c>
      <c r="Q9" s="196">
        <f>MAX(clc_load!AA45,clc_load!AA51,clc_load!AA57)</f>
        <v>1.1000000000000001</v>
      </c>
    </row>
    <row r="10" spans="1:17" x14ac:dyDescent="0.25">
      <c r="A10" t="s">
        <v>947</v>
      </c>
      <c r="B10" t="s">
        <v>112</v>
      </c>
      <c r="C10" s="196">
        <f>MAX(clc_load!M46,clc_load!M52,clc_load!M58)</f>
        <v>0</v>
      </c>
      <c r="D10" s="196">
        <f>MAX(clc_load!N46,clc_load!N52,clc_load!N58)</f>
        <v>0</v>
      </c>
      <c r="E10" s="196">
        <f>MAX(clc_load!O46,clc_load!O52,clc_load!O58)</f>
        <v>0</v>
      </c>
      <c r="F10" s="196">
        <f>MAX(clc_load!P46,clc_load!P52,clc_load!P58)</f>
        <v>0</v>
      </c>
      <c r="G10" s="196">
        <f>MAX(clc_load!Q46,clc_load!Q52,clc_load!Q58)</f>
        <v>0</v>
      </c>
      <c r="H10" s="196">
        <f>MAX(clc_load!R46,clc_load!R52,clc_load!R58)</f>
        <v>0</v>
      </c>
      <c r="I10" s="196">
        <f>MAX(clc_load!S46,clc_load!S52,clc_load!S58)</f>
        <v>0</v>
      </c>
      <c r="J10" s="196">
        <f>MAX(clc_load!T46,clc_load!T52,clc_load!T58)</f>
        <v>0</v>
      </c>
      <c r="K10" s="196">
        <f>MAX(clc_load!U46,clc_load!U52,clc_load!U58)</f>
        <v>0</v>
      </c>
      <c r="L10" s="196">
        <f>MAX(clc_load!V46,clc_load!V52,clc_load!V58)</f>
        <v>0</v>
      </c>
      <c r="M10" s="196">
        <f>MAX(clc_load!W46,clc_load!W52,clc_load!W58)</f>
        <v>0</v>
      </c>
      <c r="N10" s="196">
        <f>MAX(clc_load!X46,clc_load!X52,clc_load!X58)</f>
        <v>0</v>
      </c>
      <c r="O10" s="196">
        <f>MAX(clc_load!Y46,clc_load!Y52,clc_load!Y58)</f>
        <v>0</v>
      </c>
      <c r="P10" s="196">
        <f>MAX(clc_load!Z46,clc_load!Z52,clc_load!Z58)</f>
        <v>0</v>
      </c>
      <c r="Q10" s="196">
        <f>MAX(clc_load!AA46,clc_load!AA52,clc_load!AA58)</f>
        <v>0</v>
      </c>
    </row>
    <row r="11" spans="1:17" x14ac:dyDescent="0.25">
      <c r="A11" t="s">
        <v>948</v>
      </c>
      <c r="B11" t="s">
        <v>680</v>
      </c>
      <c r="C11" s="196">
        <f>clc_load!M28</f>
        <v>0.43</v>
      </c>
      <c r="D11" s="196">
        <f>clc_load!N28</f>
        <v>0.43</v>
      </c>
      <c r="E11" s="196">
        <f>clc_load!O28</f>
        <v>0.43</v>
      </c>
      <c r="F11" s="196">
        <f>clc_load!P28</f>
        <v>0.43</v>
      </c>
      <c r="G11" s="196">
        <f>clc_load!Q28</f>
        <v>0.43</v>
      </c>
      <c r="H11" s="196">
        <f>clc_load!R28</f>
        <v>0.43</v>
      </c>
      <c r="I11" s="196">
        <f>clc_load!S28</f>
        <v>0.43</v>
      </c>
      <c r="J11" s="196">
        <f>clc_load!T28</f>
        <v>0.43</v>
      </c>
      <c r="K11" s="196">
        <f>clc_load!U28</f>
        <v>0.43</v>
      </c>
      <c r="L11" s="196">
        <f>clc_load!V28</f>
        <v>0.43</v>
      </c>
      <c r="M11" s="196">
        <f>clc_load!W28</f>
        <v>0.43</v>
      </c>
      <c r="N11" s="196">
        <f>clc_load!X28</f>
        <v>0.43</v>
      </c>
      <c r="O11" s="196">
        <f>clc_load!Y28</f>
        <v>0.43</v>
      </c>
      <c r="P11" s="196">
        <f>clc_load!Z28</f>
        <v>0.43</v>
      </c>
      <c r="Q11" s="196">
        <f>clc_load!AA28</f>
        <v>0.43</v>
      </c>
    </row>
    <row r="12" spans="1:17" x14ac:dyDescent="0.25">
      <c r="A12" t="s">
        <v>949</v>
      </c>
      <c r="B12" t="s">
        <v>112</v>
      </c>
      <c r="C12" s="196">
        <f>clc_load!M29</f>
        <v>190.8</v>
      </c>
      <c r="D12" s="196">
        <f>clc_load!N29</f>
        <v>190.8</v>
      </c>
      <c r="E12" s="196">
        <f>clc_load!O29</f>
        <v>190.8</v>
      </c>
      <c r="F12" s="196">
        <f>clc_load!P29</f>
        <v>190.8</v>
      </c>
      <c r="G12" s="196">
        <f>clc_load!Q29</f>
        <v>190.8</v>
      </c>
      <c r="H12" s="196">
        <f>clc_load!R29</f>
        <v>190.8</v>
      </c>
      <c r="I12" s="196">
        <f>clc_load!S29</f>
        <v>190.8</v>
      </c>
      <c r="J12" s="196">
        <f>clc_load!T29</f>
        <v>190.8</v>
      </c>
      <c r="K12" s="196">
        <f>clc_load!U29</f>
        <v>190.8</v>
      </c>
      <c r="L12" s="196">
        <f>clc_load!V29</f>
        <v>190.8</v>
      </c>
      <c r="M12" s="196">
        <f>clc_load!W29</f>
        <v>190.8</v>
      </c>
      <c r="N12" s="196">
        <f>clc_load!X29</f>
        <v>190.8</v>
      </c>
      <c r="O12" s="196">
        <f>clc_load!Y29</f>
        <v>190.8</v>
      </c>
      <c r="P12" s="196">
        <f>clc_load!Z29</f>
        <v>190.8</v>
      </c>
      <c r="Q12" s="196">
        <f>clc_load!AA29</f>
        <v>190.8</v>
      </c>
    </row>
    <row r="13" spans="1:17" x14ac:dyDescent="0.25">
      <c r="A13" t="s">
        <v>950</v>
      </c>
      <c r="B13" t="s">
        <v>680</v>
      </c>
      <c r="C13" s="196">
        <f>clc_load!M39</f>
        <v>0.81</v>
      </c>
      <c r="D13" s="196">
        <f>clc_load!N39</f>
        <v>0.81</v>
      </c>
      <c r="E13" s="196">
        <f>clc_load!O39</f>
        <v>0.81</v>
      </c>
      <c r="F13" s="196">
        <f>clc_load!P39</f>
        <v>0.81</v>
      </c>
      <c r="G13" s="196">
        <f>clc_load!Q39</f>
        <v>0.81</v>
      </c>
      <c r="H13" s="196">
        <f>clc_load!R39</f>
        <v>0.81</v>
      </c>
      <c r="I13" s="196">
        <f>clc_load!S39</f>
        <v>0.81</v>
      </c>
      <c r="J13" s="196">
        <f>clc_load!T39</f>
        <v>0.81</v>
      </c>
      <c r="K13" s="196">
        <f>clc_load!U39</f>
        <v>0.81</v>
      </c>
      <c r="L13" s="196">
        <f>clc_load!V39</f>
        <v>0.81</v>
      </c>
      <c r="M13" s="196">
        <f>clc_load!W39</f>
        <v>0.81</v>
      </c>
      <c r="N13" s="196">
        <f>clc_load!X39</f>
        <v>0.81</v>
      </c>
      <c r="O13" s="196">
        <f>clc_load!Y39</f>
        <v>0.81</v>
      </c>
      <c r="P13" s="196">
        <f>clc_load!Z39</f>
        <v>0.81</v>
      </c>
      <c r="Q13" s="196">
        <f>clc_load!AA39</f>
        <v>0.81</v>
      </c>
    </row>
    <row r="14" spans="1:17" x14ac:dyDescent="0.25">
      <c r="A14" t="s">
        <v>951</v>
      </c>
      <c r="B14" t="s">
        <v>112</v>
      </c>
      <c r="C14" s="196">
        <f>clc_load!M40</f>
        <v>273</v>
      </c>
      <c r="D14" s="196">
        <f>clc_load!N40</f>
        <v>286.64999999999998</v>
      </c>
      <c r="E14" s="196">
        <f>clc_load!O40</f>
        <v>300.3</v>
      </c>
      <c r="F14" s="196">
        <f>clc_load!P40</f>
        <v>313.95</v>
      </c>
      <c r="G14" s="196">
        <f>clc_load!Q40</f>
        <v>327.60000000000002</v>
      </c>
      <c r="H14" s="196">
        <f>clc_load!R40</f>
        <v>341.25</v>
      </c>
      <c r="I14" s="196">
        <f>clc_load!S40</f>
        <v>354.9</v>
      </c>
      <c r="J14" s="196">
        <f>clc_load!T40</f>
        <v>368.55</v>
      </c>
      <c r="K14" s="196">
        <f>clc_load!U40</f>
        <v>382.2</v>
      </c>
      <c r="L14" s="196">
        <f>clc_load!V40</f>
        <v>395.85</v>
      </c>
      <c r="M14" s="196">
        <f>clc_load!W40</f>
        <v>409.5</v>
      </c>
      <c r="N14" s="196">
        <f>clc_load!X40</f>
        <v>423.15000000000003</v>
      </c>
      <c r="O14" s="196">
        <f>clc_load!Y40</f>
        <v>436.8</v>
      </c>
      <c r="P14" s="196">
        <f>clc_load!Z40</f>
        <v>450.45000000000005</v>
      </c>
      <c r="Q14" s="196">
        <f>clc_load!AA40</f>
        <v>464.1</v>
      </c>
    </row>
    <row r="15" spans="1:17" x14ac:dyDescent="0.25">
      <c r="A15" t="s">
        <v>952</v>
      </c>
      <c r="B15" t="s">
        <v>680</v>
      </c>
      <c r="C15" s="196">
        <f>clc_load!M34</f>
        <v>0</v>
      </c>
      <c r="D15" s="196">
        <f>clc_load!N34</f>
        <v>0</v>
      </c>
      <c r="E15" s="196">
        <f>clc_load!O34</f>
        <v>0</v>
      </c>
      <c r="F15" s="196">
        <f>clc_load!P34</f>
        <v>0</v>
      </c>
      <c r="G15" s="196">
        <f>clc_load!Q34</f>
        <v>0</v>
      </c>
      <c r="H15" s="196">
        <f>clc_load!R34</f>
        <v>0</v>
      </c>
      <c r="I15" s="196">
        <f>clc_load!S34</f>
        <v>0</v>
      </c>
      <c r="J15" s="196">
        <f>clc_load!T34</f>
        <v>0</v>
      </c>
      <c r="K15" s="196">
        <f>clc_load!U34</f>
        <v>0</v>
      </c>
      <c r="L15" s="196">
        <f>clc_load!V34</f>
        <v>0</v>
      </c>
      <c r="M15" s="196">
        <f>clc_load!W34</f>
        <v>0</v>
      </c>
      <c r="N15" s="196">
        <f>clc_load!X34</f>
        <v>0</v>
      </c>
      <c r="O15" s="196">
        <f>clc_load!Y34</f>
        <v>0</v>
      </c>
      <c r="P15" s="196">
        <f>clc_load!Z34</f>
        <v>0</v>
      </c>
      <c r="Q15" s="196">
        <f>clc_load!AA34</f>
        <v>0</v>
      </c>
    </row>
    <row r="16" spans="1:17" x14ac:dyDescent="0.25">
      <c r="A16" t="s">
        <v>953</v>
      </c>
      <c r="B16" t="s">
        <v>112</v>
      </c>
      <c r="C16" s="196">
        <f>clc_load!M35</f>
        <v>0</v>
      </c>
      <c r="D16" s="196">
        <f>clc_load!N35</f>
        <v>0</v>
      </c>
      <c r="E16" s="196">
        <f>clc_load!O35</f>
        <v>0</v>
      </c>
      <c r="F16" s="196">
        <f>clc_load!P35</f>
        <v>0</v>
      </c>
      <c r="G16" s="196">
        <f>clc_load!Q35</f>
        <v>0</v>
      </c>
      <c r="H16" s="196">
        <f>clc_load!R35</f>
        <v>0</v>
      </c>
      <c r="I16" s="196">
        <f>clc_load!S35</f>
        <v>0</v>
      </c>
      <c r="J16" s="196">
        <f>clc_load!T35</f>
        <v>0</v>
      </c>
      <c r="K16" s="196">
        <f>clc_load!U35</f>
        <v>0</v>
      </c>
      <c r="L16" s="196">
        <f>clc_load!V35</f>
        <v>0</v>
      </c>
      <c r="M16" s="196">
        <f>clc_load!W35</f>
        <v>0</v>
      </c>
      <c r="N16" s="196">
        <f>clc_load!X35</f>
        <v>0</v>
      </c>
      <c r="O16" s="196">
        <f>clc_load!Y35</f>
        <v>0</v>
      </c>
      <c r="P16" s="196">
        <f>clc_load!Z35</f>
        <v>0</v>
      </c>
      <c r="Q16" s="196">
        <f>clc_load!AA35</f>
        <v>0</v>
      </c>
    </row>
    <row r="17" spans="1:17" x14ac:dyDescent="0.25">
      <c r="A17" t="s">
        <v>954</v>
      </c>
      <c r="B17" t="s">
        <v>112</v>
      </c>
      <c r="C17" s="196">
        <f>clc_power!J211</f>
        <v>0</v>
      </c>
      <c r="D17" s="196">
        <f>clc_power!K211</f>
        <v>0</v>
      </c>
      <c r="E17" s="196">
        <f>clc_power!L211</f>
        <v>0</v>
      </c>
      <c r="F17" s="196">
        <f>clc_power!M211</f>
        <v>0</v>
      </c>
      <c r="G17" s="196">
        <f>clc_power!N211</f>
        <v>0</v>
      </c>
      <c r="H17" s="196">
        <f>clc_power!O211</f>
        <v>0</v>
      </c>
      <c r="I17" s="196">
        <f>clc_power!P211</f>
        <v>0</v>
      </c>
      <c r="J17" s="196">
        <f>clc_power!Q211</f>
        <v>0</v>
      </c>
      <c r="K17" s="196">
        <f>clc_power!R211</f>
        <v>0</v>
      </c>
      <c r="L17" s="196">
        <f>clc_power!S211</f>
        <v>0</v>
      </c>
      <c r="M17" s="196">
        <f>clc_power!T211</f>
        <v>0</v>
      </c>
      <c r="N17" s="196">
        <f>clc_power!U211</f>
        <v>0</v>
      </c>
      <c r="O17" s="196">
        <f>clc_power!V211</f>
        <v>0</v>
      </c>
      <c r="P17" s="196">
        <f>clc_power!W211</f>
        <v>0</v>
      </c>
      <c r="Q17" s="196">
        <f>clc_power!X211</f>
        <v>0</v>
      </c>
    </row>
    <row r="18" spans="1:17" x14ac:dyDescent="0.25">
      <c r="A18" t="s">
        <v>955</v>
      </c>
      <c r="B18" t="s">
        <v>112</v>
      </c>
      <c r="C18" s="196">
        <f>clc_power!J212</f>
        <v>0</v>
      </c>
      <c r="D18" s="196">
        <f>clc_power!K212</f>
        <v>0</v>
      </c>
      <c r="E18" s="196">
        <f>clc_power!L212</f>
        <v>0</v>
      </c>
      <c r="F18" s="196">
        <f>clc_power!M212</f>
        <v>0</v>
      </c>
      <c r="G18" s="196">
        <f>clc_power!N212</f>
        <v>0</v>
      </c>
      <c r="H18" s="196">
        <f>clc_power!O212</f>
        <v>0</v>
      </c>
      <c r="I18" s="196">
        <f>clc_power!P212</f>
        <v>0</v>
      </c>
      <c r="J18" s="196">
        <f>clc_power!Q212</f>
        <v>0</v>
      </c>
      <c r="K18" s="196">
        <f>clc_power!R212</f>
        <v>0</v>
      </c>
      <c r="L18" s="196">
        <f>clc_power!S212</f>
        <v>0</v>
      </c>
      <c r="M18" s="196">
        <f>clc_power!T212</f>
        <v>0</v>
      </c>
      <c r="N18" s="196">
        <f>clc_power!U212</f>
        <v>0</v>
      </c>
      <c r="O18" s="196">
        <f>clc_power!V212</f>
        <v>0</v>
      </c>
      <c r="P18" s="196">
        <f>clc_power!W212</f>
        <v>0</v>
      </c>
      <c r="Q18" s="196">
        <f>clc_power!X212</f>
        <v>0</v>
      </c>
    </row>
    <row r="21" spans="1:17" ht="15.75" thickBot="1" x14ac:dyDescent="0.3">
      <c r="A21" s="269" t="s">
        <v>956</v>
      </c>
      <c r="B21" s="269"/>
    </row>
    <row r="22" spans="1:17" ht="15.75" thickBot="1" x14ac:dyDescent="0.3">
      <c r="A22" t="s">
        <v>942</v>
      </c>
      <c r="B22" t="s">
        <v>112</v>
      </c>
      <c r="C22" s="21"/>
      <c r="D22" s="21"/>
      <c r="E22" s="21"/>
      <c r="F22" s="21"/>
      <c r="G22" s="21"/>
      <c r="H22" s="21"/>
      <c r="I22" s="21"/>
      <c r="J22" s="21"/>
      <c r="K22" s="21"/>
      <c r="L22" s="21"/>
      <c r="M22" s="21"/>
      <c r="N22" s="21"/>
      <c r="O22" s="21"/>
      <c r="P22" s="21"/>
      <c r="Q22" s="21"/>
    </row>
    <row r="23" spans="1:17" ht="15.75" thickBot="1" x14ac:dyDescent="0.3">
      <c r="A23" t="s">
        <v>943</v>
      </c>
      <c r="B23" t="s">
        <v>112</v>
      </c>
      <c r="C23" s="21"/>
      <c r="D23" s="21"/>
      <c r="E23" s="21"/>
      <c r="F23" s="21"/>
      <c r="G23" s="21"/>
      <c r="H23" s="21"/>
      <c r="I23" s="21"/>
      <c r="J23" s="21"/>
      <c r="K23" s="21"/>
      <c r="L23" s="21"/>
      <c r="M23" s="21"/>
      <c r="N23" s="21"/>
      <c r="O23" s="21"/>
      <c r="P23" s="21"/>
      <c r="Q23" s="21"/>
    </row>
    <row r="24" spans="1:17" ht="15.75" thickBot="1" x14ac:dyDescent="0.3">
      <c r="A24" t="s">
        <v>944</v>
      </c>
      <c r="B24" t="s">
        <v>680</v>
      </c>
      <c r="C24" s="21"/>
      <c r="D24" s="21"/>
      <c r="E24" s="21"/>
      <c r="F24" s="21"/>
      <c r="G24" s="21"/>
      <c r="H24" s="21"/>
      <c r="I24" s="21"/>
      <c r="J24" s="21"/>
      <c r="K24" s="21"/>
      <c r="L24" s="21"/>
      <c r="M24" s="21"/>
      <c r="N24" s="21"/>
      <c r="O24" s="21"/>
      <c r="P24" s="21"/>
      <c r="Q24" s="21"/>
    </row>
    <row r="25" spans="1:17" ht="15.75" thickBot="1" x14ac:dyDescent="0.3">
      <c r="A25" t="s">
        <v>945</v>
      </c>
      <c r="B25" t="s">
        <v>112</v>
      </c>
      <c r="C25" s="21"/>
      <c r="D25" s="21"/>
      <c r="E25" s="21"/>
      <c r="F25" s="21"/>
      <c r="G25" s="21"/>
      <c r="H25" s="21"/>
      <c r="I25" s="21"/>
      <c r="J25" s="21"/>
      <c r="K25" s="21"/>
      <c r="L25" s="21"/>
      <c r="M25" s="21"/>
      <c r="N25" s="21"/>
      <c r="O25" s="21"/>
      <c r="P25" s="21"/>
      <c r="Q25" s="21"/>
    </row>
    <row r="26" spans="1:17" ht="15.75" thickBot="1" x14ac:dyDescent="0.3">
      <c r="A26" t="s">
        <v>946</v>
      </c>
      <c r="B26" t="s">
        <v>680</v>
      </c>
      <c r="C26" s="21"/>
      <c r="D26" s="21"/>
      <c r="E26" s="21"/>
      <c r="F26" s="21"/>
      <c r="G26" s="21"/>
      <c r="H26" s="21"/>
      <c r="I26" s="21"/>
      <c r="J26" s="21"/>
      <c r="K26" s="21"/>
      <c r="L26" s="21"/>
      <c r="M26" s="21"/>
      <c r="N26" s="21"/>
      <c r="O26" s="21"/>
      <c r="P26" s="21"/>
      <c r="Q26" s="21"/>
    </row>
    <row r="27" spans="1:17" ht="15.75" thickBot="1" x14ac:dyDescent="0.3">
      <c r="A27" t="s">
        <v>947</v>
      </c>
      <c r="B27" t="s">
        <v>112</v>
      </c>
      <c r="C27" s="21"/>
      <c r="D27" s="21"/>
      <c r="E27" s="21"/>
      <c r="F27" s="21"/>
      <c r="G27" s="21"/>
      <c r="H27" s="21"/>
      <c r="I27" s="21"/>
      <c r="J27" s="21"/>
      <c r="K27" s="21"/>
      <c r="L27" s="21"/>
      <c r="M27" s="21"/>
      <c r="N27" s="21"/>
      <c r="O27" s="21"/>
      <c r="P27" s="21"/>
      <c r="Q27" s="21"/>
    </row>
    <row r="28" spans="1:17" ht="15.75" thickBot="1" x14ac:dyDescent="0.3">
      <c r="A28" t="s">
        <v>948</v>
      </c>
      <c r="B28" t="s">
        <v>680</v>
      </c>
      <c r="C28" s="21"/>
      <c r="D28" s="21"/>
      <c r="E28" s="21"/>
      <c r="F28" s="21"/>
      <c r="G28" s="21"/>
      <c r="H28" s="21"/>
      <c r="I28" s="21"/>
      <c r="J28" s="21"/>
      <c r="K28" s="21"/>
      <c r="L28" s="21"/>
      <c r="M28" s="21"/>
      <c r="N28" s="21"/>
      <c r="O28" s="21"/>
      <c r="P28" s="21"/>
      <c r="Q28" s="21"/>
    </row>
    <row r="29" spans="1:17" ht="15.75" thickBot="1" x14ac:dyDescent="0.3">
      <c r="A29" t="s">
        <v>949</v>
      </c>
      <c r="B29" t="s">
        <v>112</v>
      </c>
      <c r="C29" s="21"/>
      <c r="D29" s="21"/>
      <c r="E29" s="21"/>
      <c r="F29" s="21"/>
      <c r="G29" s="21"/>
      <c r="H29" s="21"/>
      <c r="I29" s="21"/>
      <c r="J29" s="21"/>
      <c r="K29" s="21"/>
      <c r="L29" s="21"/>
      <c r="M29" s="21"/>
      <c r="N29" s="21"/>
      <c r="O29" s="21"/>
      <c r="P29" s="21"/>
      <c r="Q29" s="21"/>
    </row>
    <row r="30" spans="1:17" ht="15.75" thickBot="1" x14ac:dyDescent="0.3">
      <c r="A30" t="s">
        <v>950</v>
      </c>
      <c r="B30" t="s">
        <v>680</v>
      </c>
      <c r="C30" s="21"/>
      <c r="D30" s="21"/>
      <c r="E30" s="21"/>
      <c r="F30" s="21"/>
      <c r="G30" s="21"/>
      <c r="H30" s="21"/>
      <c r="I30" s="21"/>
      <c r="J30" s="21"/>
      <c r="K30" s="21"/>
      <c r="L30" s="21"/>
      <c r="M30" s="21"/>
      <c r="N30" s="21"/>
      <c r="O30" s="21"/>
      <c r="P30" s="21"/>
      <c r="Q30" s="21"/>
    </row>
    <row r="31" spans="1:17" ht="15.75" thickBot="1" x14ac:dyDescent="0.3">
      <c r="A31" t="s">
        <v>951</v>
      </c>
      <c r="B31" t="s">
        <v>112</v>
      </c>
      <c r="C31" s="21"/>
      <c r="D31" s="21"/>
      <c r="E31" s="21"/>
      <c r="F31" s="21"/>
      <c r="G31" s="21"/>
      <c r="H31" s="21"/>
      <c r="I31" s="21"/>
      <c r="J31" s="21"/>
      <c r="K31" s="21"/>
      <c r="L31" s="21"/>
      <c r="M31" s="21"/>
      <c r="N31" s="21"/>
      <c r="O31" s="21"/>
      <c r="P31" s="21"/>
      <c r="Q31" s="21"/>
    </row>
    <row r="32" spans="1:17" ht="15.75" thickBot="1" x14ac:dyDescent="0.3">
      <c r="A32" t="s">
        <v>952</v>
      </c>
      <c r="B32" t="s">
        <v>680</v>
      </c>
      <c r="C32" s="21"/>
      <c r="D32" s="21"/>
      <c r="E32" s="21"/>
      <c r="F32" s="21"/>
      <c r="G32" s="21"/>
      <c r="H32" s="21"/>
      <c r="I32" s="21"/>
      <c r="J32" s="21"/>
      <c r="K32" s="21"/>
      <c r="L32" s="21"/>
      <c r="M32" s="21"/>
      <c r="N32" s="21"/>
      <c r="O32" s="21"/>
      <c r="P32" s="21"/>
      <c r="Q32" s="21"/>
    </row>
    <row r="33" spans="1:17" ht="15.75" thickBot="1" x14ac:dyDescent="0.3">
      <c r="A33" t="s">
        <v>953</v>
      </c>
      <c r="B33" t="s">
        <v>112</v>
      </c>
      <c r="C33" s="21"/>
      <c r="D33" s="21"/>
      <c r="E33" s="21"/>
      <c r="F33" s="21"/>
      <c r="G33" s="21"/>
      <c r="H33" s="21"/>
      <c r="I33" s="21"/>
      <c r="J33" s="21"/>
      <c r="K33" s="21"/>
      <c r="L33" s="21"/>
      <c r="M33" s="21"/>
      <c r="N33" s="21"/>
      <c r="O33" s="21"/>
      <c r="P33" s="21"/>
      <c r="Q33" s="21"/>
    </row>
    <row r="34" spans="1:17" ht="15.75" thickBot="1" x14ac:dyDescent="0.3">
      <c r="A34" t="s">
        <v>954</v>
      </c>
      <c r="B34" t="s">
        <v>112</v>
      </c>
      <c r="C34" s="21"/>
      <c r="D34" s="21"/>
      <c r="E34" s="21"/>
      <c r="F34" s="21"/>
      <c r="G34" s="21"/>
      <c r="H34" s="21"/>
      <c r="I34" s="21"/>
      <c r="J34" s="21"/>
      <c r="K34" s="21"/>
      <c r="L34" s="21"/>
      <c r="M34" s="21"/>
      <c r="N34" s="21"/>
      <c r="O34" s="21"/>
      <c r="P34" s="21"/>
      <c r="Q34" s="21"/>
    </row>
    <row r="35" spans="1:17" ht="15.75" thickBot="1" x14ac:dyDescent="0.3">
      <c r="A35" t="s">
        <v>955</v>
      </c>
      <c r="B35" t="s">
        <v>112</v>
      </c>
      <c r="C35" s="21"/>
      <c r="D35" s="21"/>
      <c r="E35" s="21"/>
      <c r="F35" s="21"/>
      <c r="G35" s="21"/>
      <c r="H35" s="21"/>
      <c r="I35" s="21"/>
      <c r="J35" s="21"/>
      <c r="K35" s="21"/>
      <c r="L35" s="21"/>
      <c r="M35" s="21"/>
      <c r="N35" s="21"/>
      <c r="O35" s="21"/>
      <c r="P35" s="21"/>
      <c r="Q35" s="21"/>
    </row>
    <row r="38" spans="1:17" x14ac:dyDescent="0.25">
      <c r="A38" s="269" t="s">
        <v>957</v>
      </c>
    </row>
    <row r="39" spans="1:17" x14ac:dyDescent="0.25">
      <c r="A39" t="s">
        <v>942</v>
      </c>
      <c r="B39" t="s">
        <v>112</v>
      </c>
      <c r="C39" s="196" t="str">
        <f>IF(C22="","",C5-C22)</f>
        <v/>
      </c>
      <c r="D39" s="196" t="str">
        <f t="shared" ref="D39:Q39" si="0">IF(D22="","",D5-D22)</f>
        <v/>
      </c>
      <c r="E39" s="196" t="str">
        <f t="shared" si="0"/>
        <v/>
      </c>
      <c r="F39" s="196" t="str">
        <f t="shared" si="0"/>
        <v/>
      </c>
      <c r="G39" s="196" t="str">
        <f t="shared" si="0"/>
        <v/>
      </c>
      <c r="H39" s="196" t="str">
        <f t="shared" si="0"/>
        <v/>
      </c>
      <c r="I39" s="196" t="str">
        <f t="shared" si="0"/>
        <v/>
      </c>
      <c r="J39" s="196" t="str">
        <f t="shared" si="0"/>
        <v/>
      </c>
      <c r="K39" s="196" t="str">
        <f t="shared" si="0"/>
        <v/>
      </c>
      <c r="L39" s="196" t="str">
        <f t="shared" si="0"/>
        <v/>
      </c>
      <c r="M39" s="196" t="str">
        <f t="shared" si="0"/>
        <v/>
      </c>
      <c r="N39" s="196" t="str">
        <f t="shared" si="0"/>
        <v/>
      </c>
      <c r="O39" s="196" t="str">
        <f t="shared" si="0"/>
        <v/>
      </c>
      <c r="P39" s="196" t="str">
        <f t="shared" si="0"/>
        <v/>
      </c>
      <c r="Q39" s="196" t="str">
        <f t="shared" si="0"/>
        <v/>
      </c>
    </row>
    <row r="40" spans="1:17" x14ac:dyDescent="0.25">
      <c r="A40" t="s">
        <v>943</v>
      </c>
      <c r="B40" t="s">
        <v>112</v>
      </c>
      <c r="C40" s="196" t="str">
        <f t="shared" ref="C40:Q40" si="1">IF(C23="","",C6-C23)</f>
        <v/>
      </c>
      <c r="D40" s="196" t="str">
        <f t="shared" si="1"/>
        <v/>
      </c>
      <c r="E40" s="196" t="str">
        <f t="shared" si="1"/>
        <v/>
      </c>
      <c r="F40" s="196" t="str">
        <f t="shared" si="1"/>
        <v/>
      </c>
      <c r="G40" s="196" t="str">
        <f t="shared" si="1"/>
        <v/>
      </c>
      <c r="H40" s="196" t="str">
        <f t="shared" si="1"/>
        <v/>
      </c>
      <c r="I40" s="196" t="str">
        <f t="shared" si="1"/>
        <v/>
      </c>
      <c r="J40" s="196" t="str">
        <f t="shared" si="1"/>
        <v/>
      </c>
      <c r="K40" s="196" t="str">
        <f t="shared" si="1"/>
        <v/>
      </c>
      <c r="L40" s="196" t="str">
        <f t="shared" si="1"/>
        <v/>
      </c>
      <c r="M40" s="196" t="str">
        <f t="shared" si="1"/>
        <v/>
      </c>
      <c r="N40" s="196" t="str">
        <f t="shared" si="1"/>
        <v/>
      </c>
      <c r="O40" s="196" t="str">
        <f t="shared" si="1"/>
        <v/>
      </c>
      <c r="P40" s="196" t="str">
        <f t="shared" si="1"/>
        <v/>
      </c>
      <c r="Q40" s="196" t="str">
        <f t="shared" si="1"/>
        <v/>
      </c>
    </row>
    <row r="41" spans="1:17" x14ac:dyDescent="0.25">
      <c r="A41" t="s">
        <v>944</v>
      </c>
      <c r="B41" t="s">
        <v>680</v>
      </c>
      <c r="C41" s="196" t="str">
        <f t="shared" ref="C41:Q41" si="2">IF(C24="","",C7-C24)</f>
        <v/>
      </c>
      <c r="D41" s="196" t="str">
        <f t="shared" si="2"/>
        <v/>
      </c>
      <c r="E41" s="196" t="str">
        <f t="shared" si="2"/>
        <v/>
      </c>
      <c r="F41" s="196" t="str">
        <f t="shared" si="2"/>
        <v/>
      </c>
      <c r="G41" s="196" t="str">
        <f t="shared" si="2"/>
        <v/>
      </c>
      <c r="H41" s="196" t="str">
        <f t="shared" si="2"/>
        <v/>
      </c>
      <c r="I41" s="196" t="str">
        <f t="shared" si="2"/>
        <v/>
      </c>
      <c r="J41" s="196" t="str">
        <f t="shared" si="2"/>
        <v/>
      </c>
      <c r="K41" s="196" t="str">
        <f t="shared" si="2"/>
        <v/>
      </c>
      <c r="L41" s="196" t="str">
        <f t="shared" si="2"/>
        <v/>
      </c>
      <c r="M41" s="196" t="str">
        <f t="shared" si="2"/>
        <v/>
      </c>
      <c r="N41" s="196" t="str">
        <f t="shared" si="2"/>
        <v/>
      </c>
      <c r="O41" s="196" t="str">
        <f t="shared" si="2"/>
        <v/>
      </c>
      <c r="P41" s="196" t="str">
        <f t="shared" si="2"/>
        <v/>
      </c>
      <c r="Q41" s="196" t="str">
        <f t="shared" si="2"/>
        <v/>
      </c>
    </row>
    <row r="42" spans="1:17" x14ac:dyDescent="0.25">
      <c r="A42" t="s">
        <v>945</v>
      </c>
      <c r="B42" t="s">
        <v>112</v>
      </c>
      <c r="C42" s="196" t="str">
        <f t="shared" ref="C42:Q42" si="3">IF(C25="","",C8-C25)</f>
        <v/>
      </c>
      <c r="D42" s="196" t="str">
        <f t="shared" si="3"/>
        <v/>
      </c>
      <c r="E42" s="196" t="str">
        <f t="shared" si="3"/>
        <v/>
      </c>
      <c r="F42" s="196" t="str">
        <f t="shared" si="3"/>
        <v/>
      </c>
      <c r="G42" s="196" t="str">
        <f t="shared" si="3"/>
        <v/>
      </c>
      <c r="H42" s="196" t="str">
        <f t="shared" si="3"/>
        <v/>
      </c>
      <c r="I42" s="196" t="str">
        <f t="shared" si="3"/>
        <v/>
      </c>
      <c r="J42" s="196" t="str">
        <f t="shared" si="3"/>
        <v/>
      </c>
      <c r="K42" s="196" t="str">
        <f t="shared" si="3"/>
        <v/>
      </c>
      <c r="L42" s="196" t="str">
        <f t="shared" si="3"/>
        <v/>
      </c>
      <c r="M42" s="196" t="str">
        <f t="shared" si="3"/>
        <v/>
      </c>
      <c r="N42" s="196" t="str">
        <f t="shared" si="3"/>
        <v/>
      </c>
      <c r="O42" s="196" t="str">
        <f t="shared" si="3"/>
        <v/>
      </c>
      <c r="P42" s="196" t="str">
        <f t="shared" si="3"/>
        <v/>
      </c>
      <c r="Q42" s="196" t="str">
        <f t="shared" si="3"/>
        <v/>
      </c>
    </row>
    <row r="43" spans="1:17" x14ac:dyDescent="0.25">
      <c r="A43" t="s">
        <v>946</v>
      </c>
      <c r="B43" t="s">
        <v>680</v>
      </c>
      <c r="C43" s="196" t="str">
        <f t="shared" ref="C43:Q43" si="4">IF(C26="","",C9-C26)</f>
        <v/>
      </c>
      <c r="D43" s="196" t="str">
        <f t="shared" si="4"/>
        <v/>
      </c>
      <c r="E43" s="196" t="str">
        <f t="shared" si="4"/>
        <v/>
      </c>
      <c r="F43" s="196" t="str">
        <f t="shared" si="4"/>
        <v/>
      </c>
      <c r="G43" s="196" t="str">
        <f t="shared" si="4"/>
        <v/>
      </c>
      <c r="H43" s="196" t="str">
        <f t="shared" si="4"/>
        <v/>
      </c>
      <c r="I43" s="196" t="str">
        <f t="shared" si="4"/>
        <v/>
      </c>
      <c r="J43" s="196" t="str">
        <f t="shared" si="4"/>
        <v/>
      </c>
      <c r="K43" s="196" t="str">
        <f t="shared" si="4"/>
        <v/>
      </c>
      <c r="L43" s="196" t="str">
        <f t="shared" si="4"/>
        <v/>
      </c>
      <c r="M43" s="196" t="str">
        <f t="shared" si="4"/>
        <v/>
      </c>
      <c r="N43" s="196" t="str">
        <f t="shared" si="4"/>
        <v/>
      </c>
      <c r="O43" s="196" t="str">
        <f t="shared" si="4"/>
        <v/>
      </c>
      <c r="P43" s="196" t="str">
        <f t="shared" si="4"/>
        <v/>
      </c>
      <c r="Q43" s="196" t="str">
        <f t="shared" si="4"/>
        <v/>
      </c>
    </row>
    <row r="44" spans="1:17" x14ac:dyDescent="0.25">
      <c r="A44" t="s">
        <v>947</v>
      </c>
      <c r="B44" t="s">
        <v>112</v>
      </c>
      <c r="C44" s="196" t="str">
        <f t="shared" ref="C44:Q44" si="5">IF(C27="","",C10-C27)</f>
        <v/>
      </c>
      <c r="D44" s="196" t="str">
        <f t="shared" si="5"/>
        <v/>
      </c>
      <c r="E44" s="196" t="str">
        <f t="shared" si="5"/>
        <v/>
      </c>
      <c r="F44" s="196" t="str">
        <f t="shared" si="5"/>
        <v/>
      </c>
      <c r="G44" s="196" t="str">
        <f t="shared" si="5"/>
        <v/>
      </c>
      <c r="H44" s="196" t="str">
        <f t="shared" si="5"/>
        <v/>
      </c>
      <c r="I44" s="196" t="str">
        <f t="shared" si="5"/>
        <v/>
      </c>
      <c r="J44" s="196" t="str">
        <f t="shared" si="5"/>
        <v/>
      </c>
      <c r="K44" s="196" t="str">
        <f t="shared" si="5"/>
        <v/>
      </c>
      <c r="L44" s="196" t="str">
        <f t="shared" si="5"/>
        <v/>
      </c>
      <c r="M44" s="196" t="str">
        <f t="shared" si="5"/>
        <v/>
      </c>
      <c r="N44" s="196" t="str">
        <f t="shared" si="5"/>
        <v/>
      </c>
      <c r="O44" s="196" t="str">
        <f t="shared" si="5"/>
        <v/>
      </c>
      <c r="P44" s="196" t="str">
        <f t="shared" si="5"/>
        <v/>
      </c>
      <c r="Q44" s="196" t="str">
        <f t="shared" si="5"/>
        <v/>
      </c>
    </row>
    <row r="45" spans="1:17" x14ac:dyDescent="0.25">
      <c r="A45" t="s">
        <v>948</v>
      </c>
      <c r="B45" t="s">
        <v>680</v>
      </c>
      <c r="C45" s="196" t="str">
        <f t="shared" ref="C45:Q45" si="6">IF(C28="","",C11-C28)</f>
        <v/>
      </c>
      <c r="D45" s="196" t="str">
        <f t="shared" si="6"/>
        <v/>
      </c>
      <c r="E45" s="196" t="str">
        <f t="shared" si="6"/>
        <v/>
      </c>
      <c r="F45" s="196" t="str">
        <f t="shared" si="6"/>
        <v/>
      </c>
      <c r="G45" s="196" t="str">
        <f t="shared" si="6"/>
        <v/>
      </c>
      <c r="H45" s="196" t="str">
        <f t="shared" si="6"/>
        <v/>
      </c>
      <c r="I45" s="196" t="str">
        <f t="shared" si="6"/>
        <v/>
      </c>
      <c r="J45" s="196" t="str">
        <f t="shared" si="6"/>
        <v/>
      </c>
      <c r="K45" s="196" t="str">
        <f t="shared" si="6"/>
        <v/>
      </c>
      <c r="L45" s="196" t="str">
        <f t="shared" si="6"/>
        <v/>
      </c>
      <c r="M45" s="196" t="str">
        <f t="shared" si="6"/>
        <v/>
      </c>
      <c r="N45" s="196" t="str">
        <f t="shared" si="6"/>
        <v/>
      </c>
      <c r="O45" s="196" t="str">
        <f t="shared" si="6"/>
        <v/>
      </c>
      <c r="P45" s="196" t="str">
        <f t="shared" si="6"/>
        <v/>
      </c>
      <c r="Q45" s="196" t="str">
        <f t="shared" si="6"/>
        <v/>
      </c>
    </row>
    <row r="46" spans="1:17" x14ac:dyDescent="0.25">
      <c r="A46" t="s">
        <v>949</v>
      </c>
      <c r="B46" t="s">
        <v>112</v>
      </c>
      <c r="C46" s="196" t="str">
        <f t="shared" ref="C46:Q46" si="7">IF(C29="","",C12-C29)</f>
        <v/>
      </c>
      <c r="D46" s="196" t="str">
        <f t="shared" si="7"/>
        <v/>
      </c>
      <c r="E46" s="196" t="str">
        <f t="shared" si="7"/>
        <v/>
      </c>
      <c r="F46" s="196" t="str">
        <f t="shared" si="7"/>
        <v/>
      </c>
      <c r="G46" s="196" t="str">
        <f t="shared" si="7"/>
        <v/>
      </c>
      <c r="H46" s="196" t="str">
        <f t="shared" si="7"/>
        <v/>
      </c>
      <c r="I46" s="196" t="str">
        <f t="shared" si="7"/>
        <v/>
      </c>
      <c r="J46" s="196" t="str">
        <f t="shared" si="7"/>
        <v/>
      </c>
      <c r="K46" s="196" t="str">
        <f t="shared" si="7"/>
        <v/>
      </c>
      <c r="L46" s="196" t="str">
        <f t="shared" si="7"/>
        <v/>
      </c>
      <c r="M46" s="196" t="str">
        <f t="shared" si="7"/>
        <v/>
      </c>
      <c r="N46" s="196" t="str">
        <f t="shared" si="7"/>
        <v/>
      </c>
      <c r="O46" s="196" t="str">
        <f t="shared" si="7"/>
        <v/>
      </c>
      <c r="P46" s="196" t="str">
        <f t="shared" si="7"/>
        <v/>
      </c>
      <c r="Q46" s="196" t="str">
        <f t="shared" si="7"/>
        <v/>
      </c>
    </row>
    <row r="47" spans="1:17" x14ac:dyDescent="0.25">
      <c r="A47" t="s">
        <v>950</v>
      </c>
      <c r="B47" t="s">
        <v>680</v>
      </c>
      <c r="C47" s="196" t="str">
        <f t="shared" ref="C47:Q47" si="8">IF(C30="","",C13-C30)</f>
        <v/>
      </c>
      <c r="D47" s="196" t="str">
        <f t="shared" si="8"/>
        <v/>
      </c>
      <c r="E47" s="196" t="str">
        <f t="shared" si="8"/>
        <v/>
      </c>
      <c r="F47" s="196" t="str">
        <f t="shared" si="8"/>
        <v/>
      </c>
      <c r="G47" s="196" t="str">
        <f t="shared" si="8"/>
        <v/>
      </c>
      <c r="H47" s="196" t="str">
        <f t="shared" si="8"/>
        <v/>
      </c>
      <c r="I47" s="196" t="str">
        <f t="shared" si="8"/>
        <v/>
      </c>
      <c r="J47" s="196" t="str">
        <f t="shared" si="8"/>
        <v/>
      </c>
      <c r="K47" s="196" t="str">
        <f t="shared" si="8"/>
        <v/>
      </c>
      <c r="L47" s="196" t="str">
        <f t="shared" si="8"/>
        <v/>
      </c>
      <c r="M47" s="196" t="str">
        <f t="shared" si="8"/>
        <v/>
      </c>
      <c r="N47" s="196" t="str">
        <f t="shared" si="8"/>
        <v/>
      </c>
      <c r="O47" s="196" t="str">
        <f t="shared" si="8"/>
        <v/>
      </c>
      <c r="P47" s="196" t="str">
        <f t="shared" si="8"/>
        <v/>
      </c>
      <c r="Q47" s="196" t="str">
        <f t="shared" si="8"/>
        <v/>
      </c>
    </row>
    <row r="48" spans="1:17" x14ac:dyDescent="0.25">
      <c r="A48" t="s">
        <v>951</v>
      </c>
      <c r="B48" t="s">
        <v>112</v>
      </c>
      <c r="C48" s="196" t="str">
        <f t="shared" ref="C48:Q48" si="9">IF(C31="","",C14-C31)</f>
        <v/>
      </c>
      <c r="D48" s="196" t="str">
        <f t="shared" si="9"/>
        <v/>
      </c>
      <c r="E48" s="196" t="str">
        <f t="shared" si="9"/>
        <v/>
      </c>
      <c r="F48" s="196" t="str">
        <f t="shared" si="9"/>
        <v/>
      </c>
      <c r="G48" s="196" t="str">
        <f t="shared" si="9"/>
        <v/>
      </c>
      <c r="H48" s="196" t="str">
        <f t="shared" si="9"/>
        <v/>
      </c>
      <c r="I48" s="196" t="str">
        <f t="shared" si="9"/>
        <v/>
      </c>
      <c r="J48" s="196" t="str">
        <f t="shared" si="9"/>
        <v/>
      </c>
      <c r="K48" s="196" t="str">
        <f t="shared" si="9"/>
        <v/>
      </c>
      <c r="L48" s="196" t="str">
        <f t="shared" si="9"/>
        <v/>
      </c>
      <c r="M48" s="196" t="str">
        <f t="shared" si="9"/>
        <v/>
      </c>
      <c r="N48" s="196" t="str">
        <f t="shared" si="9"/>
        <v/>
      </c>
      <c r="O48" s="196" t="str">
        <f t="shared" si="9"/>
        <v/>
      </c>
      <c r="P48" s="196" t="str">
        <f t="shared" si="9"/>
        <v/>
      </c>
      <c r="Q48" s="196" t="str">
        <f t="shared" si="9"/>
        <v/>
      </c>
    </row>
    <row r="49" spans="1:17" x14ac:dyDescent="0.25">
      <c r="A49" t="s">
        <v>952</v>
      </c>
      <c r="B49" t="s">
        <v>680</v>
      </c>
      <c r="C49" s="196" t="str">
        <f t="shared" ref="C49:Q49" si="10">IF(C32="","",C15-C32)</f>
        <v/>
      </c>
      <c r="D49" s="196" t="str">
        <f t="shared" si="10"/>
        <v/>
      </c>
      <c r="E49" s="196" t="str">
        <f t="shared" si="10"/>
        <v/>
      </c>
      <c r="F49" s="196" t="str">
        <f t="shared" si="10"/>
        <v/>
      </c>
      <c r="G49" s="196" t="str">
        <f t="shared" si="10"/>
        <v/>
      </c>
      <c r="H49" s="196" t="str">
        <f t="shared" si="10"/>
        <v/>
      </c>
      <c r="I49" s="196" t="str">
        <f t="shared" si="10"/>
        <v/>
      </c>
      <c r="J49" s="196" t="str">
        <f t="shared" si="10"/>
        <v/>
      </c>
      <c r="K49" s="196" t="str">
        <f t="shared" si="10"/>
        <v/>
      </c>
      <c r="L49" s="196" t="str">
        <f t="shared" si="10"/>
        <v/>
      </c>
      <c r="M49" s="196" t="str">
        <f t="shared" si="10"/>
        <v/>
      </c>
      <c r="N49" s="196" t="str">
        <f t="shared" si="10"/>
        <v/>
      </c>
      <c r="O49" s="196" t="str">
        <f t="shared" si="10"/>
        <v/>
      </c>
      <c r="P49" s="196" t="str">
        <f t="shared" si="10"/>
        <v/>
      </c>
      <c r="Q49" s="196" t="str">
        <f t="shared" si="10"/>
        <v/>
      </c>
    </row>
    <row r="50" spans="1:17" x14ac:dyDescent="0.25">
      <c r="A50" t="s">
        <v>953</v>
      </c>
      <c r="B50" t="s">
        <v>112</v>
      </c>
      <c r="C50" s="196" t="str">
        <f t="shared" ref="C50:Q50" si="11">IF(C33="","",C16-C33)</f>
        <v/>
      </c>
      <c r="D50" s="196" t="str">
        <f t="shared" si="11"/>
        <v/>
      </c>
      <c r="E50" s="196" t="str">
        <f t="shared" si="11"/>
        <v/>
      </c>
      <c r="F50" s="196" t="str">
        <f t="shared" si="11"/>
        <v/>
      </c>
      <c r="G50" s="196" t="str">
        <f t="shared" si="11"/>
        <v/>
      </c>
      <c r="H50" s="196" t="str">
        <f t="shared" si="11"/>
        <v/>
      </c>
      <c r="I50" s="196" t="str">
        <f t="shared" si="11"/>
        <v/>
      </c>
      <c r="J50" s="196" t="str">
        <f t="shared" si="11"/>
        <v/>
      </c>
      <c r="K50" s="196" t="str">
        <f t="shared" si="11"/>
        <v/>
      </c>
      <c r="L50" s="196" t="str">
        <f t="shared" si="11"/>
        <v/>
      </c>
      <c r="M50" s="196" t="str">
        <f t="shared" si="11"/>
        <v/>
      </c>
      <c r="N50" s="196" t="str">
        <f t="shared" si="11"/>
        <v/>
      </c>
      <c r="O50" s="196" t="str">
        <f t="shared" si="11"/>
        <v/>
      </c>
      <c r="P50" s="196" t="str">
        <f t="shared" si="11"/>
        <v/>
      </c>
      <c r="Q50" s="196" t="str">
        <f t="shared" si="11"/>
        <v/>
      </c>
    </row>
    <row r="51" spans="1:17" x14ac:dyDescent="0.25">
      <c r="A51" t="s">
        <v>954</v>
      </c>
      <c r="B51" t="s">
        <v>112</v>
      </c>
      <c r="C51" s="196" t="str">
        <f t="shared" ref="C51:Q51" si="12">IF(C34="","",C17-C34)</f>
        <v/>
      </c>
      <c r="D51" s="196" t="str">
        <f t="shared" si="12"/>
        <v/>
      </c>
      <c r="E51" s="196" t="str">
        <f t="shared" si="12"/>
        <v/>
      </c>
      <c r="F51" s="196" t="str">
        <f t="shared" si="12"/>
        <v/>
      </c>
      <c r="G51" s="196" t="str">
        <f t="shared" si="12"/>
        <v/>
      </c>
      <c r="H51" s="196" t="str">
        <f t="shared" si="12"/>
        <v/>
      </c>
      <c r="I51" s="196" t="str">
        <f t="shared" si="12"/>
        <v/>
      </c>
      <c r="J51" s="196" t="str">
        <f t="shared" si="12"/>
        <v/>
      </c>
      <c r="K51" s="196" t="str">
        <f t="shared" si="12"/>
        <v/>
      </c>
      <c r="L51" s="196" t="str">
        <f t="shared" si="12"/>
        <v/>
      </c>
      <c r="M51" s="196" t="str">
        <f t="shared" si="12"/>
        <v/>
      </c>
      <c r="N51" s="196" t="str">
        <f t="shared" si="12"/>
        <v/>
      </c>
      <c r="O51" s="196" t="str">
        <f t="shared" si="12"/>
        <v/>
      </c>
      <c r="P51" s="196" t="str">
        <f t="shared" si="12"/>
        <v/>
      </c>
      <c r="Q51" s="196" t="str">
        <f t="shared" si="12"/>
        <v/>
      </c>
    </row>
    <row r="52" spans="1:17" x14ac:dyDescent="0.25">
      <c r="A52" t="s">
        <v>955</v>
      </c>
      <c r="B52" t="s">
        <v>112</v>
      </c>
      <c r="C52" s="196" t="str">
        <f t="shared" ref="C52:Q52" si="13">IF(C35="","",C18-C35)</f>
        <v/>
      </c>
      <c r="D52" s="196" t="str">
        <f t="shared" si="13"/>
        <v/>
      </c>
      <c r="E52" s="196" t="str">
        <f t="shared" si="13"/>
        <v/>
      </c>
      <c r="F52" s="196" t="str">
        <f t="shared" si="13"/>
        <v/>
      </c>
      <c r="G52" s="196" t="str">
        <f t="shared" si="13"/>
        <v/>
      </c>
      <c r="H52" s="196" t="str">
        <f t="shared" si="13"/>
        <v/>
      </c>
      <c r="I52" s="196" t="str">
        <f t="shared" si="13"/>
        <v/>
      </c>
      <c r="J52" s="196" t="str">
        <f t="shared" si="13"/>
        <v/>
      </c>
      <c r="K52" s="196" t="str">
        <f t="shared" si="13"/>
        <v/>
      </c>
      <c r="L52" s="196" t="str">
        <f t="shared" si="13"/>
        <v/>
      </c>
      <c r="M52" s="196" t="str">
        <f t="shared" si="13"/>
        <v/>
      </c>
      <c r="N52" s="196" t="str">
        <f t="shared" si="13"/>
        <v/>
      </c>
      <c r="O52" s="196" t="str">
        <f t="shared" si="13"/>
        <v/>
      </c>
      <c r="P52" s="196" t="str">
        <f t="shared" si="13"/>
        <v/>
      </c>
      <c r="Q52" s="196" t="str">
        <f t="shared" si="13"/>
        <v/>
      </c>
    </row>
    <row r="55" spans="1:17" x14ac:dyDescent="0.25">
      <c r="A55" s="269" t="s">
        <v>958</v>
      </c>
    </row>
    <row r="56" spans="1:17" x14ac:dyDescent="0.25">
      <c r="A56" t="s">
        <v>942</v>
      </c>
      <c r="B56" t="s">
        <v>111</v>
      </c>
      <c r="C56" s="272" t="str">
        <f>IF(C22="","",C39/C22)</f>
        <v/>
      </c>
      <c r="D56" s="272" t="str">
        <f t="shared" ref="D56:Q56" si="14">IF(D22="","",D39/D22)</f>
        <v/>
      </c>
      <c r="E56" s="272" t="str">
        <f t="shared" si="14"/>
        <v/>
      </c>
      <c r="F56" s="272" t="str">
        <f t="shared" si="14"/>
        <v/>
      </c>
      <c r="G56" s="272" t="str">
        <f t="shared" si="14"/>
        <v/>
      </c>
      <c r="H56" s="272" t="str">
        <f t="shared" si="14"/>
        <v/>
      </c>
      <c r="I56" s="272" t="str">
        <f t="shared" si="14"/>
        <v/>
      </c>
      <c r="J56" s="272" t="str">
        <f t="shared" si="14"/>
        <v/>
      </c>
      <c r="K56" s="272" t="str">
        <f t="shared" si="14"/>
        <v/>
      </c>
      <c r="L56" s="272" t="str">
        <f t="shared" si="14"/>
        <v/>
      </c>
      <c r="M56" s="272" t="str">
        <f t="shared" si="14"/>
        <v/>
      </c>
      <c r="N56" s="272" t="str">
        <f t="shared" si="14"/>
        <v/>
      </c>
      <c r="O56" s="272" t="str">
        <f t="shared" si="14"/>
        <v/>
      </c>
      <c r="P56" s="272" t="str">
        <f t="shared" si="14"/>
        <v/>
      </c>
      <c r="Q56" s="272" t="str">
        <f t="shared" si="14"/>
        <v/>
      </c>
    </row>
    <row r="57" spans="1:17" x14ac:dyDescent="0.25">
      <c r="A57" t="s">
        <v>943</v>
      </c>
      <c r="B57" t="s">
        <v>111</v>
      </c>
      <c r="C57" s="272" t="str">
        <f t="shared" ref="C57:Q57" si="15">IF(C23="","",C40/C23)</f>
        <v/>
      </c>
      <c r="D57" s="272" t="str">
        <f t="shared" si="15"/>
        <v/>
      </c>
      <c r="E57" s="272" t="str">
        <f t="shared" si="15"/>
        <v/>
      </c>
      <c r="F57" s="272" t="str">
        <f t="shared" si="15"/>
        <v/>
      </c>
      <c r="G57" s="272" t="str">
        <f t="shared" si="15"/>
        <v/>
      </c>
      <c r="H57" s="272" t="str">
        <f t="shared" si="15"/>
        <v/>
      </c>
      <c r="I57" s="272" t="str">
        <f t="shared" si="15"/>
        <v/>
      </c>
      <c r="J57" s="272" t="str">
        <f t="shared" si="15"/>
        <v/>
      </c>
      <c r="K57" s="272" t="str">
        <f t="shared" si="15"/>
        <v/>
      </c>
      <c r="L57" s="272" t="str">
        <f t="shared" si="15"/>
        <v/>
      </c>
      <c r="M57" s="272" t="str">
        <f t="shared" si="15"/>
        <v/>
      </c>
      <c r="N57" s="272" t="str">
        <f t="shared" si="15"/>
        <v/>
      </c>
      <c r="O57" s="272" t="str">
        <f t="shared" si="15"/>
        <v/>
      </c>
      <c r="P57" s="272" t="str">
        <f t="shared" si="15"/>
        <v/>
      </c>
      <c r="Q57" s="272" t="str">
        <f t="shared" si="15"/>
        <v/>
      </c>
    </row>
    <row r="58" spans="1:17" x14ac:dyDescent="0.25">
      <c r="A58" t="s">
        <v>945</v>
      </c>
      <c r="B58" t="s">
        <v>111</v>
      </c>
      <c r="C58" s="272" t="str">
        <f t="shared" ref="C58:Q58" si="16">IF(C25="","",C42/C25)</f>
        <v/>
      </c>
      <c r="D58" s="272" t="str">
        <f t="shared" si="16"/>
        <v/>
      </c>
      <c r="E58" s="272" t="str">
        <f t="shared" si="16"/>
        <v/>
      </c>
      <c r="F58" s="272" t="str">
        <f t="shared" si="16"/>
        <v/>
      </c>
      <c r="G58" s="272" t="str">
        <f t="shared" si="16"/>
        <v/>
      </c>
      <c r="H58" s="272" t="str">
        <f t="shared" si="16"/>
        <v/>
      </c>
      <c r="I58" s="272" t="str">
        <f t="shared" si="16"/>
        <v/>
      </c>
      <c r="J58" s="272" t="str">
        <f t="shared" si="16"/>
        <v/>
      </c>
      <c r="K58" s="272" t="str">
        <f t="shared" si="16"/>
        <v/>
      </c>
      <c r="L58" s="272" t="str">
        <f t="shared" si="16"/>
        <v/>
      </c>
      <c r="M58" s="272" t="str">
        <f t="shared" si="16"/>
        <v/>
      </c>
      <c r="N58" s="272" t="str">
        <f t="shared" si="16"/>
        <v/>
      </c>
      <c r="O58" s="272" t="str">
        <f t="shared" si="16"/>
        <v/>
      </c>
      <c r="P58" s="272" t="str">
        <f t="shared" si="16"/>
        <v/>
      </c>
      <c r="Q58" s="272" t="str">
        <f t="shared" si="16"/>
        <v/>
      </c>
    </row>
    <row r="59" spans="1:17" x14ac:dyDescent="0.25">
      <c r="A59" t="s">
        <v>947</v>
      </c>
      <c r="B59" t="s">
        <v>111</v>
      </c>
      <c r="C59" s="272" t="str">
        <f t="shared" ref="C59:Q59" si="17">IF(C27="","",C44/C27)</f>
        <v/>
      </c>
      <c r="D59" s="272" t="str">
        <f t="shared" si="17"/>
        <v/>
      </c>
      <c r="E59" s="272" t="str">
        <f t="shared" si="17"/>
        <v/>
      </c>
      <c r="F59" s="272" t="str">
        <f t="shared" si="17"/>
        <v/>
      </c>
      <c r="G59" s="272" t="str">
        <f t="shared" si="17"/>
        <v/>
      </c>
      <c r="H59" s="272" t="str">
        <f t="shared" si="17"/>
        <v/>
      </c>
      <c r="I59" s="272" t="str">
        <f t="shared" si="17"/>
        <v/>
      </c>
      <c r="J59" s="272" t="str">
        <f t="shared" si="17"/>
        <v/>
      </c>
      <c r="K59" s="272" t="str">
        <f t="shared" si="17"/>
        <v/>
      </c>
      <c r="L59" s="272" t="str">
        <f t="shared" si="17"/>
        <v/>
      </c>
      <c r="M59" s="272" t="str">
        <f t="shared" si="17"/>
        <v/>
      </c>
      <c r="N59" s="272" t="str">
        <f t="shared" si="17"/>
        <v/>
      </c>
      <c r="O59" s="272" t="str">
        <f t="shared" si="17"/>
        <v/>
      </c>
      <c r="P59" s="272" t="str">
        <f t="shared" si="17"/>
        <v/>
      </c>
      <c r="Q59" s="272" t="str">
        <f t="shared" si="17"/>
        <v/>
      </c>
    </row>
    <row r="60" spans="1:17" x14ac:dyDescent="0.25">
      <c r="A60" t="s">
        <v>949</v>
      </c>
      <c r="B60" t="s">
        <v>111</v>
      </c>
      <c r="C60" s="272" t="str">
        <f t="shared" ref="C60:Q60" si="18">IF(C29="","",C46/C29)</f>
        <v/>
      </c>
      <c r="D60" s="272" t="str">
        <f t="shared" si="18"/>
        <v/>
      </c>
      <c r="E60" s="272" t="str">
        <f t="shared" si="18"/>
        <v/>
      </c>
      <c r="F60" s="272" t="str">
        <f t="shared" si="18"/>
        <v/>
      </c>
      <c r="G60" s="272" t="str">
        <f t="shared" si="18"/>
        <v/>
      </c>
      <c r="H60" s="272" t="str">
        <f t="shared" si="18"/>
        <v/>
      </c>
      <c r="I60" s="272" t="str">
        <f t="shared" si="18"/>
        <v/>
      </c>
      <c r="J60" s="272" t="str">
        <f t="shared" si="18"/>
        <v/>
      </c>
      <c r="K60" s="272" t="str">
        <f t="shared" si="18"/>
        <v/>
      </c>
      <c r="L60" s="272" t="str">
        <f t="shared" si="18"/>
        <v/>
      </c>
      <c r="M60" s="272" t="str">
        <f t="shared" si="18"/>
        <v/>
      </c>
      <c r="N60" s="272" t="str">
        <f t="shared" si="18"/>
        <v/>
      </c>
      <c r="O60" s="272" t="str">
        <f t="shared" si="18"/>
        <v/>
      </c>
      <c r="P60" s="272" t="str">
        <f t="shared" si="18"/>
        <v/>
      </c>
      <c r="Q60" s="272" t="str">
        <f t="shared" si="18"/>
        <v/>
      </c>
    </row>
    <row r="61" spans="1:17" x14ac:dyDescent="0.25">
      <c r="A61" t="s">
        <v>951</v>
      </c>
      <c r="B61" t="s">
        <v>111</v>
      </c>
      <c r="C61" s="272" t="str">
        <f t="shared" ref="C61:Q61" si="19">IF(C31="","",C48/C31)</f>
        <v/>
      </c>
      <c r="D61" s="272" t="str">
        <f t="shared" si="19"/>
        <v/>
      </c>
      <c r="E61" s="272" t="str">
        <f t="shared" si="19"/>
        <v/>
      </c>
      <c r="F61" s="272" t="str">
        <f t="shared" si="19"/>
        <v/>
      </c>
      <c r="G61" s="272" t="str">
        <f t="shared" si="19"/>
        <v/>
      </c>
      <c r="H61" s="272" t="str">
        <f t="shared" si="19"/>
        <v/>
      </c>
      <c r="I61" s="272" t="str">
        <f t="shared" si="19"/>
        <v/>
      </c>
      <c r="J61" s="272" t="str">
        <f t="shared" si="19"/>
        <v/>
      </c>
      <c r="K61" s="272" t="str">
        <f t="shared" si="19"/>
        <v/>
      </c>
      <c r="L61" s="272" t="str">
        <f t="shared" si="19"/>
        <v/>
      </c>
      <c r="M61" s="272" t="str">
        <f t="shared" si="19"/>
        <v/>
      </c>
      <c r="N61" s="272" t="str">
        <f t="shared" si="19"/>
        <v/>
      </c>
      <c r="O61" s="272" t="str">
        <f t="shared" si="19"/>
        <v/>
      </c>
      <c r="P61" s="272" t="str">
        <f t="shared" si="19"/>
        <v/>
      </c>
      <c r="Q61" s="272" t="str">
        <f t="shared" si="19"/>
        <v/>
      </c>
    </row>
    <row r="62" spans="1:17" x14ac:dyDescent="0.25">
      <c r="A62" t="s">
        <v>953</v>
      </c>
      <c r="B62" t="s">
        <v>111</v>
      </c>
      <c r="C62" s="272" t="str">
        <f t="shared" ref="C62:Q62" si="20">IF(C33="","",C50/C33)</f>
        <v/>
      </c>
      <c r="D62" s="272" t="str">
        <f t="shared" si="20"/>
        <v/>
      </c>
      <c r="E62" s="272" t="str">
        <f t="shared" si="20"/>
        <v/>
      </c>
      <c r="F62" s="272" t="str">
        <f t="shared" si="20"/>
        <v/>
      </c>
      <c r="G62" s="272" t="str">
        <f t="shared" si="20"/>
        <v/>
      </c>
      <c r="H62" s="272" t="str">
        <f t="shared" si="20"/>
        <v/>
      </c>
      <c r="I62" s="272" t="str">
        <f t="shared" si="20"/>
        <v/>
      </c>
      <c r="J62" s="272" t="str">
        <f t="shared" si="20"/>
        <v/>
      </c>
      <c r="K62" s="272" t="str">
        <f t="shared" si="20"/>
        <v/>
      </c>
      <c r="L62" s="272" t="str">
        <f t="shared" si="20"/>
        <v/>
      </c>
      <c r="M62" s="272" t="str">
        <f t="shared" si="20"/>
        <v/>
      </c>
      <c r="N62" s="272" t="str">
        <f t="shared" si="20"/>
        <v/>
      </c>
      <c r="O62" s="272" t="str">
        <f t="shared" si="20"/>
        <v/>
      </c>
      <c r="P62" s="272" t="str">
        <f t="shared" si="20"/>
        <v/>
      </c>
      <c r="Q62" s="272" t="str">
        <f t="shared" si="20"/>
        <v/>
      </c>
    </row>
    <row r="63" spans="1:17" x14ac:dyDescent="0.25">
      <c r="A63" t="s">
        <v>954</v>
      </c>
      <c r="B63" t="s">
        <v>111</v>
      </c>
      <c r="C63" s="272" t="str">
        <f t="shared" ref="C63:Q63" si="21">IF(C34="","",C51/C34)</f>
        <v/>
      </c>
      <c r="D63" s="272" t="str">
        <f t="shared" si="21"/>
        <v/>
      </c>
      <c r="E63" s="272" t="str">
        <f t="shared" si="21"/>
        <v/>
      </c>
      <c r="F63" s="272" t="str">
        <f t="shared" si="21"/>
        <v/>
      </c>
      <c r="G63" s="272" t="str">
        <f t="shared" si="21"/>
        <v/>
      </c>
      <c r="H63" s="272" t="str">
        <f t="shared" si="21"/>
        <v/>
      </c>
      <c r="I63" s="272" t="str">
        <f t="shared" si="21"/>
        <v/>
      </c>
      <c r="J63" s="272" t="str">
        <f t="shared" si="21"/>
        <v/>
      </c>
      <c r="K63" s="272" t="str">
        <f t="shared" si="21"/>
        <v/>
      </c>
      <c r="L63" s="272" t="str">
        <f t="shared" si="21"/>
        <v/>
      </c>
      <c r="M63" s="272" t="str">
        <f t="shared" si="21"/>
        <v/>
      </c>
      <c r="N63" s="272" t="str">
        <f t="shared" si="21"/>
        <v/>
      </c>
      <c r="O63" s="272" t="str">
        <f t="shared" si="21"/>
        <v/>
      </c>
      <c r="P63" s="272" t="str">
        <f t="shared" si="21"/>
        <v/>
      </c>
      <c r="Q63" s="272" t="str">
        <f t="shared" si="21"/>
        <v/>
      </c>
    </row>
    <row r="64" spans="1:17" x14ac:dyDescent="0.25">
      <c r="A64" t="s">
        <v>955</v>
      </c>
      <c r="B64" t="s">
        <v>111</v>
      </c>
      <c r="C64" s="272" t="str">
        <f t="shared" ref="C64:Q64" si="22">IF(C35="","",C52/C35)</f>
        <v/>
      </c>
      <c r="D64" s="272" t="str">
        <f t="shared" si="22"/>
        <v/>
      </c>
      <c r="E64" s="272" t="str">
        <f t="shared" si="22"/>
        <v/>
      </c>
      <c r="F64" s="272" t="str">
        <f t="shared" si="22"/>
        <v/>
      </c>
      <c r="G64" s="272" t="str">
        <f t="shared" si="22"/>
        <v/>
      </c>
      <c r="H64" s="272" t="str">
        <f t="shared" si="22"/>
        <v/>
      </c>
      <c r="I64" s="272" t="str">
        <f t="shared" si="22"/>
        <v/>
      </c>
      <c r="J64" s="272" t="str">
        <f t="shared" si="22"/>
        <v/>
      </c>
      <c r="K64" s="272" t="str">
        <f t="shared" si="22"/>
        <v/>
      </c>
      <c r="L64" s="272" t="str">
        <f t="shared" si="22"/>
        <v/>
      </c>
      <c r="M64" s="272" t="str">
        <f t="shared" si="22"/>
        <v/>
      </c>
      <c r="N64" s="272" t="str">
        <f t="shared" si="22"/>
        <v/>
      </c>
      <c r="O64" s="272" t="str">
        <f t="shared" si="22"/>
        <v/>
      </c>
      <c r="P64" s="272" t="str">
        <f t="shared" si="22"/>
        <v/>
      </c>
      <c r="Q64" s="272" t="str">
        <f t="shared" si="22"/>
        <v/>
      </c>
    </row>
  </sheetData>
  <mergeCells count="1">
    <mergeCell ref="C1:Q1"/>
  </mergeCells>
  <conditionalFormatting sqref="A8 A64">
    <cfRule type="expression" dxfId="30" priority="31">
      <formula>D6="x"</formula>
    </cfRule>
  </conditionalFormatting>
  <conditionalFormatting sqref="A10">
    <cfRule type="expression" dxfId="29" priority="30">
      <formula>D8="x"</formula>
    </cfRule>
  </conditionalFormatting>
  <conditionalFormatting sqref="A12">
    <cfRule type="expression" dxfId="28" priority="29">
      <formula>D10="x"</formula>
    </cfRule>
  </conditionalFormatting>
  <conditionalFormatting sqref="A14">
    <cfRule type="expression" dxfId="27" priority="28">
      <formula>D12="x"</formula>
    </cfRule>
  </conditionalFormatting>
  <conditionalFormatting sqref="A16 A17:B18">
    <cfRule type="expression" dxfId="26" priority="27">
      <formula>D14="x"</formula>
    </cfRule>
  </conditionalFormatting>
  <conditionalFormatting sqref="A25">
    <cfRule type="expression" dxfId="25" priority="19">
      <formula>D23="x"</formula>
    </cfRule>
  </conditionalFormatting>
  <conditionalFormatting sqref="A27">
    <cfRule type="expression" dxfId="24" priority="18">
      <formula>D25="x"</formula>
    </cfRule>
  </conditionalFormatting>
  <conditionalFormatting sqref="A29">
    <cfRule type="expression" dxfId="23" priority="17">
      <formula>D27="x"</formula>
    </cfRule>
  </conditionalFormatting>
  <conditionalFormatting sqref="A31">
    <cfRule type="expression" dxfId="22" priority="16">
      <formula>D29="x"</formula>
    </cfRule>
  </conditionalFormatting>
  <conditionalFormatting sqref="A33 A34:B35">
    <cfRule type="expression" dxfId="21" priority="15">
      <formula>D31="x"</formula>
    </cfRule>
  </conditionalFormatting>
  <conditionalFormatting sqref="A42">
    <cfRule type="expression" dxfId="20" priority="13">
      <formula>D40="x"</formula>
    </cfRule>
  </conditionalFormatting>
  <conditionalFormatting sqref="A44">
    <cfRule type="expression" dxfId="19" priority="12">
      <formula>D42="x"</formula>
    </cfRule>
  </conditionalFormatting>
  <conditionalFormatting sqref="A46">
    <cfRule type="expression" dxfId="18" priority="11">
      <formula>D44="x"</formula>
    </cfRule>
  </conditionalFormatting>
  <conditionalFormatting sqref="A48">
    <cfRule type="expression" dxfId="17" priority="10">
      <formula>D46="x"</formula>
    </cfRule>
  </conditionalFormatting>
  <conditionalFormatting sqref="A50:A52">
    <cfRule type="expression" dxfId="16" priority="9">
      <formula>D48="x"</formula>
    </cfRule>
  </conditionalFormatting>
  <conditionalFormatting sqref="A56:A57">
    <cfRule type="expression" dxfId="15" priority="6">
      <formula>#REF!="x"</formula>
    </cfRule>
  </conditionalFormatting>
  <conditionalFormatting sqref="A58:A62">
    <cfRule type="expression" dxfId="14" priority="2">
      <formula>D57="x"</formula>
    </cfRule>
  </conditionalFormatting>
  <conditionalFormatting sqref="A63">
    <cfRule type="expression" dxfId="13" priority="43">
      <formula>#REF!="x"</formula>
    </cfRule>
  </conditionalFormatting>
  <conditionalFormatting sqref="A5:B6">
    <cfRule type="expression" dxfId="12" priority="32">
      <formula>#REF!="x"</formula>
    </cfRule>
  </conditionalFormatting>
  <conditionalFormatting sqref="A22:B23">
    <cfRule type="expression" dxfId="11" priority="20">
      <formula>#REF!="x"</formula>
    </cfRule>
  </conditionalFormatting>
  <conditionalFormatting sqref="A39:B40">
    <cfRule type="expression" dxfId="10" priority="8">
      <formula>#REF!="x"</formula>
    </cfRule>
  </conditionalFormatting>
  <conditionalFormatting sqref="B51:B52">
    <cfRule type="expression" dxfId="9" priority="7">
      <formula>E49="x"</formula>
    </cfRule>
  </conditionalFormatting>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8D61-C7DD-4501-965E-65F757413D25}">
  <sheetPr>
    <tabColor theme="8"/>
  </sheetPr>
  <dimension ref="A1:W65"/>
  <sheetViews>
    <sheetView topLeftCell="A19" workbookViewId="0">
      <selection activeCell="B1" sqref="B1"/>
    </sheetView>
  </sheetViews>
  <sheetFormatPr baseColWidth="10" defaultColWidth="11.42578125" defaultRowHeight="15" x14ac:dyDescent="0.25"/>
  <cols>
    <col min="1" max="1" width="25" bestFit="1" customWidth="1"/>
    <col min="3" max="3" width="14.85546875" bestFit="1" customWidth="1"/>
    <col min="6" max="6" width="12" customWidth="1"/>
    <col min="7" max="7" width="12.140625" bestFit="1" customWidth="1"/>
  </cols>
  <sheetData>
    <row r="1" spans="1:23" x14ac:dyDescent="0.25">
      <c r="A1" s="22" t="s">
        <v>0</v>
      </c>
      <c r="B1" s="22" t="s">
        <v>959</v>
      </c>
      <c r="C1" s="22" t="s">
        <v>117</v>
      </c>
      <c r="D1" s="22" t="s">
        <v>2</v>
      </c>
      <c r="E1" s="22" t="s">
        <v>653</v>
      </c>
      <c r="F1" s="22" t="s">
        <v>960</v>
      </c>
      <c r="G1" s="22" t="s">
        <v>961</v>
      </c>
      <c r="H1" s="22" t="s">
        <v>961</v>
      </c>
      <c r="I1" s="22" t="s">
        <v>961</v>
      </c>
      <c r="J1" s="22" t="s">
        <v>961</v>
      </c>
      <c r="K1" s="22" t="s">
        <v>961</v>
      </c>
      <c r="L1" s="22" t="s">
        <v>961</v>
      </c>
      <c r="M1" s="22"/>
      <c r="N1" s="22"/>
      <c r="O1" s="22"/>
      <c r="P1" s="22"/>
      <c r="Q1" s="22"/>
      <c r="R1" s="22"/>
      <c r="S1" s="22"/>
      <c r="T1" s="22"/>
      <c r="U1" s="22"/>
      <c r="V1" s="22"/>
      <c r="W1" s="22"/>
    </row>
    <row r="2" spans="1:23" x14ac:dyDescent="0.25">
      <c r="A2" t="s">
        <v>374</v>
      </c>
      <c r="C2" t="s">
        <v>438</v>
      </c>
      <c r="F2" s="22"/>
      <c r="G2">
        <v>1</v>
      </c>
      <c r="H2">
        <v>2</v>
      </c>
      <c r="I2">
        <v>3</v>
      </c>
      <c r="J2">
        <v>4</v>
      </c>
      <c r="K2">
        <v>5</v>
      </c>
      <c r="L2">
        <v>6</v>
      </c>
      <c r="M2" s="22"/>
      <c r="N2" s="22"/>
      <c r="O2" s="22"/>
      <c r="P2" s="22"/>
      <c r="Q2" s="22"/>
      <c r="R2" s="22"/>
      <c r="S2" s="22"/>
      <c r="T2" s="22"/>
      <c r="U2" s="22"/>
      <c r="V2" s="22"/>
      <c r="W2" s="22"/>
    </row>
    <row r="3" spans="1:23" x14ac:dyDescent="0.25">
      <c r="A3" t="s">
        <v>683</v>
      </c>
      <c r="F3" s="22"/>
      <c r="M3" s="22"/>
      <c r="N3" s="22"/>
      <c r="O3" s="22"/>
      <c r="P3" s="22"/>
      <c r="Q3" s="22"/>
      <c r="R3" s="22"/>
      <c r="S3" s="22"/>
      <c r="T3" s="22"/>
      <c r="U3" s="22"/>
      <c r="V3" s="22"/>
      <c r="W3" s="22"/>
    </row>
    <row r="4" spans="1:23" x14ac:dyDescent="0.25">
      <c r="A4" t="s">
        <v>962</v>
      </c>
      <c r="F4" s="22"/>
      <c r="M4" s="22"/>
      <c r="N4" s="22"/>
      <c r="O4" s="22"/>
      <c r="P4" s="22"/>
      <c r="Q4" s="22"/>
      <c r="R4" s="22"/>
      <c r="S4" s="22"/>
      <c r="T4" s="22"/>
      <c r="U4" s="22"/>
      <c r="V4" s="22"/>
      <c r="W4" s="22"/>
    </row>
    <row r="5" spans="1:23" x14ac:dyDescent="0.25">
      <c r="A5" t="s">
        <v>753</v>
      </c>
      <c r="C5" t="s">
        <v>754</v>
      </c>
      <c r="D5" t="s">
        <v>112</v>
      </c>
      <c r="G5">
        <f>ROUND(clc_load!M72/INDEX(PAR[NO_round_Qdot],1),0)*INDEX(PAR[NO_round_Qdot],1)</f>
        <v>800</v>
      </c>
      <c r="H5">
        <f>ROUND(clc_load!N72/INDEX(PAR[NO_round_Qdot_spez],1),0)*INDEX(PAR[NO_round_Qdot_spez],1)</f>
        <v>830</v>
      </c>
      <c r="I5">
        <f>ROUND(clc_load!O72/INDEX(PAR[NO_round_Qdot],1),0)*INDEX(PAR[NO_round_Qdot],1)</f>
        <v>900</v>
      </c>
      <c r="J5">
        <f>ROUND(clc_load!T72/INDEX(PAR[NO_r_nt1],1),0)*INDEX(PAR[NO_r_nt1],1)</f>
        <v>988.19999999999993</v>
      </c>
      <c r="K5">
        <f>ROUND(clc_load!U72/INDEX(PAR[NO_r_nt2],1),0)*INDEX(PAR[NO_r_nt2],1)</f>
        <v>1014.4000000000001</v>
      </c>
      <c r="L5">
        <f>ROUND(clc_load!V72/INDEX(PAR[NO_r_nt3],1),0)*INDEX(PAR[NO_r_nt3],1)</f>
        <v>1041</v>
      </c>
    </row>
    <row r="6" spans="1:23" x14ac:dyDescent="0.25">
      <c r="A6" t="s">
        <v>755</v>
      </c>
      <c r="C6" t="s">
        <v>756</v>
      </c>
      <c r="D6" t="s">
        <v>963</v>
      </c>
      <c r="G6">
        <f>ROUND(clc_load!M73/INDEX(PAR[NO_round_Qdot_spez],1),0)*INDEX(PAR[NO_round_Qdot_spez],1)</f>
        <v>40</v>
      </c>
      <c r="H6">
        <f>ROUND(clc_load!N73/INDEX(PAR[NO_round_rcover],1),0)*INDEX(PAR[NO_round_rcover],1)</f>
        <v>39.5</v>
      </c>
      <c r="I6">
        <f>ROUND(clc_load!O73/INDEX(PAR[NO_round_Qdot_spez],1),0)*INDEX(PAR[NO_round_Qdot_spez],1)</f>
        <v>40</v>
      </c>
      <c r="J6">
        <f>ROUND(clc_load!T73/INDEX(PAR[NO_r_nt2],1),0)*INDEX(PAR[NO_r_nt2],1)</f>
        <v>36.800000000000004</v>
      </c>
      <c r="K6">
        <f>ROUND(clc_load!U73/INDEX(PAR[NO_r_nt3],1),0)*INDEX(PAR[NO_r_nt3],1)</f>
        <v>36</v>
      </c>
      <c r="L6" t="e">
        <f>ROUND(clc_load!V73/INDEX(PAR[Spalte13],1),0)*INDEX(PAR[Spalte13],1)</f>
        <v>#DIV/0!</v>
      </c>
    </row>
    <row r="7" spans="1:23" x14ac:dyDescent="0.25">
      <c r="A7" t="s">
        <v>757</v>
      </c>
      <c r="C7" t="s">
        <v>964</v>
      </c>
      <c r="D7" t="s">
        <v>112</v>
      </c>
      <c r="G7">
        <f>ROUND(clc_load!M74/INDEX(PAR[NO_round_Qdot],1),0)*INDEX(PAR[NO_round_Qdot],1)</f>
        <v>600</v>
      </c>
      <c r="H7">
        <f>ROUND(clc_load!N74/INDEX(PAR[NO_round_Qdot_spez],1),0)*INDEX(PAR[NO_round_Qdot_spez],1)</f>
        <v>580</v>
      </c>
      <c r="I7">
        <f>ROUND(clc_load!O74/INDEX(PAR[NO_round_Qdot],1),0)*INDEX(PAR[NO_round_Qdot],1)</f>
        <v>600</v>
      </c>
      <c r="J7">
        <f>ROUND(clc_load!T74/INDEX(PAR[NO_r_nt1],1),0)*INDEX(PAR[NO_r_nt1],1)</f>
        <v>691.8</v>
      </c>
      <c r="K7">
        <f>ROUND(clc_load!U74/INDEX(PAR[NO_r_nt2],1),0)*INDEX(PAR[NO_r_nt2],1)</f>
        <v>710.40000000000009</v>
      </c>
      <c r="L7">
        <f>ROUND(clc_load!V74/INDEX(PAR[NO_r_nt3],1),0)*INDEX(PAR[NO_r_nt3],1)</f>
        <v>729</v>
      </c>
    </row>
    <row r="8" spans="1:23" x14ac:dyDescent="0.25">
      <c r="A8" t="s">
        <v>759</v>
      </c>
      <c r="C8" t="s">
        <v>760</v>
      </c>
      <c r="D8" t="s">
        <v>963</v>
      </c>
      <c r="G8">
        <f>ROUND(clc_load!M75/INDEX(PAR[NO_round_Qdot_spez],1),0)*INDEX(PAR[NO_round_Qdot_spez],1)</f>
        <v>30</v>
      </c>
      <c r="H8">
        <f>ROUND(clc_load!N75/INDEX(PAR[NO_round_rcover],1),0)*INDEX(PAR[NO_round_rcover],1)</f>
        <v>27.700000000000003</v>
      </c>
      <c r="I8">
        <f>ROUND(clc_load!O75/INDEX(PAR[NO_round_Qdot_spez],1),0)*INDEX(PAR[NO_round_Qdot_spez],1)</f>
        <v>25</v>
      </c>
      <c r="J8">
        <f>ROUND(clc_load!T75/INDEX(PAR[NO_r_nt2],1),0)*INDEX(PAR[NO_r_nt2],1)</f>
        <v>25.6</v>
      </c>
      <c r="K8">
        <f>ROUND(clc_load!U75/INDEX(PAR[NO_r_nt3],1),0)*INDEX(PAR[NO_r_nt3],1)</f>
        <v>25</v>
      </c>
      <c r="L8" t="e">
        <f>ROUND(clc_load!V75/INDEX(PAR[Spalte13],1),0)*INDEX(PAR[Spalte13],1)</f>
        <v>#DIV/0!</v>
      </c>
    </row>
    <row r="10" spans="1:23" x14ac:dyDescent="0.25">
      <c r="A10" s="22" t="s">
        <v>965</v>
      </c>
    </row>
    <row r="11" spans="1:23" x14ac:dyDescent="0.25">
      <c r="A11" t="s">
        <v>966</v>
      </c>
      <c r="B11" t="s">
        <v>184</v>
      </c>
      <c r="D11" t="s">
        <v>680</v>
      </c>
      <c r="G11" s="49">
        <f>clc_load!M16</f>
        <v>0.8</v>
      </c>
      <c r="H11" s="49">
        <f>clc_load!N16</f>
        <v>0.8</v>
      </c>
      <c r="I11" s="49">
        <f>clc_load!O16</f>
        <v>0.8</v>
      </c>
      <c r="J11" s="49">
        <f>clc_load!T16</f>
        <v>0.8</v>
      </c>
      <c r="K11" s="49">
        <f>clc_load!U16</f>
        <v>0.8</v>
      </c>
      <c r="L11" s="49">
        <f>clc_load!V16</f>
        <v>0.8</v>
      </c>
    </row>
    <row r="12" spans="1:23" x14ac:dyDescent="0.25">
      <c r="A12" t="s">
        <v>694</v>
      </c>
      <c r="B12" t="s">
        <v>184</v>
      </c>
      <c r="D12" t="s">
        <v>112</v>
      </c>
      <c r="G12" s="49">
        <f>clc_load!M17</f>
        <v>100.55420937513648</v>
      </c>
      <c r="H12" s="49">
        <f>clc_load!N17</f>
        <v>84.375</v>
      </c>
      <c r="I12" s="49">
        <f>clc_load!O17</f>
        <v>84.375</v>
      </c>
      <c r="J12" s="49">
        <f>clc_load!T17</f>
        <v>84.375</v>
      </c>
      <c r="K12" s="49">
        <f>clc_load!U17</f>
        <v>84.375</v>
      </c>
      <c r="L12" s="49">
        <f>clc_load!V17</f>
        <v>84.375</v>
      </c>
    </row>
    <row r="13" spans="1:23" x14ac:dyDescent="0.25">
      <c r="A13" t="s">
        <v>967</v>
      </c>
      <c r="B13" t="s">
        <v>184</v>
      </c>
      <c r="D13" t="s">
        <v>111</v>
      </c>
      <c r="G13" s="250">
        <f>clc_load!M18</f>
        <v>0.12272373562567289</v>
      </c>
      <c r="H13" s="250">
        <f>clc_load!N18</f>
        <v>0.1017087062652563</v>
      </c>
      <c r="I13" s="250">
        <f>clc_load!O18</f>
        <v>9.8571804083063153E-2</v>
      </c>
      <c r="J13" s="250">
        <f>clc_load!T18</f>
        <v>8.5401958551582766E-2</v>
      </c>
      <c r="K13" s="250">
        <f>clc_load!U18</f>
        <v>8.3179297597042512E-2</v>
      </c>
      <c r="L13" s="250">
        <f>clc_load!V18</f>
        <v>8.1069395402464509E-2</v>
      </c>
    </row>
    <row r="14" spans="1:23" x14ac:dyDescent="0.25">
      <c r="A14" t="s">
        <v>968</v>
      </c>
      <c r="B14" t="s">
        <v>184</v>
      </c>
      <c r="D14" s="138" t="s">
        <v>178</v>
      </c>
      <c r="G14" t="b">
        <f>AND(G$11&gt;=INDEX(PAR[U_opaque_lim],1),G$13&gt;=INDEX(PAR[r_worst_lim],1))</f>
        <v>0</v>
      </c>
      <c r="H14" t="b">
        <f>AND(H$11&gt;=INDEX(PAR[U_win_lim],1),H$13&gt;=INDEX(PAR[NO_round_Qdot],1))</f>
        <v>0</v>
      </c>
      <c r="I14" t="b">
        <f>AND(I$11&gt;=INDEX(PAR[U_opaque_lim],1),I$13&gt;=INDEX(PAR[r_worst_lim],1))</f>
        <v>0</v>
      </c>
      <c r="J14" t="b">
        <f>AND(J$11&gt;=INDEX(PAR[NO_round_Qdot],1),J$13&gt;=INDEX(PAR[NO_round_rcover],1))</f>
        <v>0</v>
      </c>
      <c r="K14" t="b">
        <f>AND(K$11&gt;=INDEX(PAR[NO_round_Qdot_spez],1),K$13&gt;=INDEX(PAR[NO_r_nt1],1))</f>
        <v>0</v>
      </c>
      <c r="L14" t="b">
        <f>AND(L$11&gt;=INDEX(PAR[NO_round_rcover],1),L$13&gt;=INDEX(PAR[NO_r_nt2],1))</f>
        <v>0</v>
      </c>
    </row>
    <row r="15" spans="1:23" x14ac:dyDescent="0.25">
      <c r="A15" t="s">
        <v>966</v>
      </c>
      <c r="B15" t="s">
        <v>190</v>
      </c>
      <c r="D15" t="s">
        <v>680</v>
      </c>
      <c r="G15" s="49">
        <f>MAX(clc_load!M45,clc_load!M51,clc_load!M57)</f>
        <v>1.1000000000000001</v>
      </c>
      <c r="H15" s="49">
        <f>MAX(clc_load!N45,clc_load!N51,clc_load!N57)</f>
        <v>1.1000000000000001</v>
      </c>
      <c r="I15" s="49">
        <f>MAX(clc_load!O45,clc_load!O51,clc_load!O57)</f>
        <v>1.1000000000000001</v>
      </c>
      <c r="J15" s="49">
        <f>MAX(clc_load!T45,clc_load!T51,clc_load!T57)</f>
        <v>1.1000000000000001</v>
      </c>
      <c r="K15" s="49">
        <f>MAX(clc_load!U45,clc_load!U51,clc_load!U57)</f>
        <v>1.1000000000000001</v>
      </c>
      <c r="L15" s="49">
        <f>MAX(clc_load!V45,clc_load!V51,clc_load!V57)</f>
        <v>1.1000000000000001</v>
      </c>
    </row>
    <row r="16" spans="1:23" x14ac:dyDescent="0.25">
      <c r="A16" t="s">
        <v>694</v>
      </c>
      <c r="B16" t="s">
        <v>190</v>
      </c>
      <c r="D16" t="s">
        <v>112</v>
      </c>
      <c r="G16" s="50">
        <f>(clc_load!M46+clc_load!M52+clc_load!M58)</f>
        <v>0</v>
      </c>
      <c r="H16" s="50">
        <f>(clc_load!N46+clc_load!N52+clc_load!N58)</f>
        <v>0</v>
      </c>
      <c r="I16" s="50">
        <f>(clc_load!O46+clc_load!O52+clc_load!O58)</f>
        <v>0</v>
      </c>
      <c r="J16" s="50">
        <f>(clc_load!T46+clc_load!T52+clc_load!T58)</f>
        <v>0</v>
      </c>
      <c r="K16" s="50">
        <f>(clc_load!U46+clc_load!U52+clc_load!U58)</f>
        <v>0</v>
      </c>
      <c r="L16" s="50">
        <f>(clc_load!V46+clc_load!V52+clc_load!V58)</f>
        <v>0</v>
      </c>
    </row>
    <row r="17" spans="1:12" x14ac:dyDescent="0.25">
      <c r="A17" t="s">
        <v>967</v>
      </c>
      <c r="B17" t="s">
        <v>190</v>
      </c>
      <c r="D17" t="s">
        <v>111</v>
      </c>
      <c r="G17" s="134">
        <f>clc_load!M47+clc_load!M53+clc_load!M59</f>
        <v>0</v>
      </c>
      <c r="H17" s="134">
        <f>clc_load!N47+clc_load!N53+clc_load!N59</f>
        <v>0</v>
      </c>
      <c r="I17" s="134">
        <f>clc_load!O47+clc_load!O53+clc_load!O59</f>
        <v>0</v>
      </c>
      <c r="J17" s="134">
        <f>clc_load!T47+clc_load!T53+clc_load!T59</f>
        <v>0</v>
      </c>
      <c r="K17" s="134">
        <f>clc_load!U47+clc_load!U53+clc_load!U59</f>
        <v>0</v>
      </c>
      <c r="L17" s="134">
        <f>clc_load!V47+clc_load!V53+clc_load!V59</f>
        <v>0</v>
      </c>
    </row>
    <row r="18" spans="1:12" x14ac:dyDescent="0.25">
      <c r="A18" t="s">
        <v>968</v>
      </c>
      <c r="B18" t="s">
        <v>190</v>
      </c>
      <c r="D18" s="138" t="s">
        <v>178</v>
      </c>
      <c r="G18" t="b">
        <f>AND(G$15&gt;=INDEX(PAR[U_win_lim],1),G$17&gt;=INDEX(PAR[r_worst_lim],1))</f>
        <v>0</v>
      </c>
      <c r="H18" t="b">
        <f>AND(H$15&gt;=INDEX(PAR[r_worst_lim],1),H$17&gt;=INDEX(PAR[NO_round_Qdot],1))</f>
        <v>0</v>
      </c>
      <c r="I18" t="b">
        <f>AND(I$15&gt;=INDEX(PAR[U_win_lim],1),I$17&gt;=INDEX(PAR[r_worst_lim],1))</f>
        <v>0</v>
      </c>
      <c r="J18" t="b">
        <f>AND(J$15&gt;=INDEX(PAR[NO_round_Qdot_spez],1),J$17&gt;=INDEX(PAR[NO_round_rcover],1))</f>
        <v>0</v>
      </c>
      <c r="K18" t="b">
        <f>AND(K$15&gt;=INDEX(PAR[NO_round_rcover],1),K$17&gt;=INDEX(PAR[NO_r_nt1],1))</f>
        <v>0</v>
      </c>
      <c r="L18" t="b">
        <f>AND(L$15&gt;=INDEX(PAR[NO_r_nt1],1),L$17&gt;=INDEX(PAR[NO_r_nt2],1))</f>
        <v>0</v>
      </c>
    </row>
    <row r="19" spans="1:12" x14ac:dyDescent="0.25">
      <c r="A19" t="s">
        <v>966</v>
      </c>
      <c r="B19" t="s">
        <v>192</v>
      </c>
      <c r="D19" t="s">
        <v>680</v>
      </c>
      <c r="G19" s="49">
        <f>clc_load!M28</f>
        <v>0.43</v>
      </c>
      <c r="H19" s="49">
        <f>clc_load!N28</f>
        <v>0.43</v>
      </c>
      <c r="I19" s="49">
        <f>clc_load!O28</f>
        <v>0.43</v>
      </c>
      <c r="J19" s="49">
        <f>clc_load!T28</f>
        <v>0.43</v>
      </c>
      <c r="K19" s="49">
        <f>clc_load!U28</f>
        <v>0.43</v>
      </c>
      <c r="L19" s="49">
        <f>clc_load!V28</f>
        <v>0.43</v>
      </c>
    </row>
    <row r="20" spans="1:12" x14ac:dyDescent="0.25">
      <c r="A20" t="s">
        <v>694</v>
      </c>
      <c r="B20" t="s">
        <v>192</v>
      </c>
      <c r="D20" t="s">
        <v>112</v>
      </c>
      <c r="G20" s="50">
        <f>clc_load!M29</f>
        <v>190.8</v>
      </c>
      <c r="H20" s="50">
        <f>clc_load!N29</f>
        <v>190.8</v>
      </c>
      <c r="I20" s="50">
        <f>clc_load!O29</f>
        <v>190.8</v>
      </c>
      <c r="J20" s="50">
        <f>clc_load!T29</f>
        <v>190.8</v>
      </c>
      <c r="K20" s="50">
        <f>clc_load!U29</f>
        <v>190.8</v>
      </c>
      <c r="L20" s="50">
        <f>clc_load!V29</f>
        <v>190.8</v>
      </c>
    </row>
    <row r="21" spans="1:12" x14ac:dyDescent="0.25">
      <c r="A21" t="s">
        <v>967</v>
      </c>
      <c r="B21" t="s">
        <v>192</v>
      </c>
      <c r="D21" t="s">
        <v>111</v>
      </c>
      <c r="G21" s="250">
        <f>clc_load!M30</f>
        <v>0.23286632059351922</v>
      </c>
      <c r="H21" s="250">
        <f>clc_load!N30</f>
        <v>0.22999728776783293</v>
      </c>
      <c r="I21" s="250">
        <f>clc_load!O30</f>
        <v>0.2229037062998335</v>
      </c>
      <c r="J21" s="250">
        <f>clc_load!T30</f>
        <v>0.19312229560464586</v>
      </c>
      <c r="K21" s="250">
        <f>clc_load!U30</f>
        <v>0.18809611829944548</v>
      </c>
      <c r="L21" s="250">
        <f>clc_load!V30</f>
        <v>0.18332492613677306</v>
      </c>
    </row>
    <row r="22" spans="1:12" x14ac:dyDescent="0.25">
      <c r="A22" t="s">
        <v>968</v>
      </c>
      <c r="B22" t="s">
        <v>192</v>
      </c>
      <c r="D22" s="138" t="s">
        <v>178</v>
      </c>
      <c r="G22" t="b">
        <f>AND(G$19&gt;=INDEX(PAR[U_opaque_lim],1),G$21&gt;=INDEX(PAR[r_worst_lim],1))</f>
        <v>0</v>
      </c>
      <c r="H22" t="b">
        <f>AND(H$19&gt;=INDEX(PAR[U_win_lim],1),H$21&gt;=INDEX(PAR[NO_round_Qdot],1))</f>
        <v>0</v>
      </c>
      <c r="I22" t="b">
        <f>AND(I$19&gt;=INDEX(PAR[U_opaque_lim],1),I$21&gt;=INDEX(PAR[r_worst_lim],1))</f>
        <v>0</v>
      </c>
      <c r="J22" t="b">
        <f>AND(J$19&gt;=INDEX(PAR[NO_round_Qdot],1),J$21&gt;=INDEX(PAR[NO_round_rcover],1))</f>
        <v>0</v>
      </c>
      <c r="K22" t="b">
        <f>AND(K$19&gt;=INDEX(PAR[NO_round_Qdot_spez],1),K$21&gt;=INDEX(PAR[NO_r_nt1],1))</f>
        <v>0</v>
      </c>
      <c r="L22" t="b">
        <f>AND(L$19&gt;=INDEX(PAR[NO_round_rcover],1),L$21&gt;=INDEX(PAR[NO_r_nt2],1))</f>
        <v>0</v>
      </c>
    </row>
    <row r="23" spans="1:12" x14ac:dyDescent="0.25">
      <c r="A23" t="s">
        <v>966</v>
      </c>
      <c r="B23" t="s">
        <v>196</v>
      </c>
      <c r="D23" t="s">
        <v>680</v>
      </c>
      <c r="G23" s="49">
        <f>clc_load!M39</f>
        <v>0.81</v>
      </c>
      <c r="H23" s="49">
        <f>clc_load!N38</f>
        <v>0.81</v>
      </c>
      <c r="I23" s="49">
        <f>clc_load!O38</f>
        <v>0.81</v>
      </c>
      <c r="J23" s="49">
        <f>clc_load!T38</f>
        <v>0.81</v>
      </c>
      <c r="K23" s="49">
        <f>clc_load!U38</f>
        <v>0.81</v>
      </c>
      <c r="L23" s="49">
        <f>clc_load!V38</f>
        <v>0.81</v>
      </c>
    </row>
    <row r="24" spans="1:12" x14ac:dyDescent="0.25">
      <c r="A24" t="s">
        <v>694</v>
      </c>
      <c r="B24" t="s">
        <v>196</v>
      </c>
      <c r="D24" t="s">
        <v>112</v>
      </c>
      <c r="G24" s="50">
        <f>clc_load!M40</f>
        <v>273</v>
      </c>
      <c r="H24" s="50">
        <f>clc_load!N40</f>
        <v>286.64999999999998</v>
      </c>
      <c r="I24" s="50">
        <f>clc_load!O40</f>
        <v>300.3</v>
      </c>
      <c r="J24" s="50">
        <f>clc_load!T40</f>
        <v>368.55</v>
      </c>
      <c r="K24" s="50">
        <f>clc_load!U40</f>
        <v>382.2</v>
      </c>
      <c r="L24" s="50">
        <f>clc_load!V40</f>
        <v>395.85</v>
      </c>
    </row>
    <row r="25" spans="1:12" x14ac:dyDescent="0.25">
      <c r="A25" t="s">
        <v>967</v>
      </c>
      <c r="B25" t="s">
        <v>196</v>
      </c>
      <c r="D25" t="s">
        <v>111</v>
      </c>
      <c r="G25" s="250">
        <f>clc_load!M41</f>
        <v>0.33318923229575859</v>
      </c>
      <c r="H25" s="250">
        <f>clc_load!N41</f>
        <v>0.34553837808516402</v>
      </c>
      <c r="I25" s="250">
        <f>clc_load!O41</f>
        <v>0.35082800315429769</v>
      </c>
      <c r="J25" s="250">
        <f>clc_load!T41</f>
        <v>0.37303575495331354</v>
      </c>
      <c r="K25" s="250">
        <f>clc_load!U41</f>
        <v>0.37678373382624769</v>
      </c>
      <c r="L25" s="250">
        <f>clc_load!V41</f>
        <v>0.38034157238596239</v>
      </c>
    </row>
    <row r="26" spans="1:12" x14ac:dyDescent="0.25">
      <c r="A26" t="s">
        <v>968</v>
      </c>
      <c r="B26" t="s">
        <v>196</v>
      </c>
      <c r="D26" s="138" t="s">
        <v>178</v>
      </c>
      <c r="G26" t="b">
        <f>AND(G$23&gt;=INDEX(PAR[U_opaque_lim],1),G$25&gt;=INDEX(PAR[r_worst_lim],1))</f>
        <v>1</v>
      </c>
      <c r="H26" t="b">
        <f>AND(H$23&gt;=INDEX(PAR[U_win_lim],1),H$25&gt;=INDEX(PAR[NO_round_Qdot],1))</f>
        <v>0</v>
      </c>
      <c r="I26" t="b">
        <f>AND(I$23&gt;=INDEX(PAR[U_opaque_lim],1),I$25&gt;=INDEX(PAR[r_worst_lim],1))</f>
        <v>1</v>
      </c>
      <c r="J26" t="b">
        <f>AND(J$23&gt;=INDEX(PAR[NO_round_Qdot],1),J$25&gt;=INDEX(PAR[NO_round_rcover],1))</f>
        <v>0</v>
      </c>
      <c r="K26" t="b">
        <f>AND(K$23&gt;=INDEX(PAR[NO_round_Qdot_spez],1),K$25&gt;=INDEX(PAR[NO_r_nt1],1))</f>
        <v>0</v>
      </c>
      <c r="L26" t="b">
        <f>AND(L$23&gt;=INDEX(PAR[NO_round_rcover],1),L$25&gt;=INDEX(PAR[NO_r_nt2],1))</f>
        <v>0</v>
      </c>
    </row>
    <row r="27" spans="1:12" x14ac:dyDescent="0.25">
      <c r="A27" t="s">
        <v>966</v>
      </c>
      <c r="B27" t="s">
        <v>194</v>
      </c>
      <c r="D27" t="s">
        <v>680</v>
      </c>
      <c r="G27" s="49">
        <f>clc_load!M34</f>
        <v>0</v>
      </c>
      <c r="H27" s="49">
        <f>clc_load!N34</f>
        <v>0</v>
      </c>
      <c r="I27" s="49">
        <f>clc_load!O34</f>
        <v>0</v>
      </c>
      <c r="J27" s="49">
        <f>clc_load!T34</f>
        <v>0</v>
      </c>
      <c r="K27" s="49">
        <f>clc_load!U34</f>
        <v>0</v>
      </c>
      <c r="L27" s="49">
        <f>clc_load!V34</f>
        <v>0</v>
      </c>
    </row>
    <row r="28" spans="1:12" x14ac:dyDescent="0.25">
      <c r="A28" t="s">
        <v>694</v>
      </c>
      <c r="B28" t="s">
        <v>194</v>
      </c>
      <c r="D28" t="s">
        <v>112</v>
      </c>
      <c r="G28" s="49">
        <f>clc_load!M35</f>
        <v>0</v>
      </c>
      <c r="H28" s="49">
        <f>clc_load!N35</f>
        <v>0</v>
      </c>
      <c r="I28" s="49">
        <f>clc_load!O35</f>
        <v>0</v>
      </c>
      <c r="J28" s="49">
        <f>clc_load!T35</f>
        <v>0</v>
      </c>
      <c r="K28" s="49">
        <f>clc_load!U35</f>
        <v>0</v>
      </c>
      <c r="L28" s="49">
        <f>clc_load!V35</f>
        <v>0</v>
      </c>
    </row>
    <row r="29" spans="1:12" x14ac:dyDescent="0.25">
      <c r="A29" t="s">
        <v>967</v>
      </c>
      <c r="B29" t="s">
        <v>194</v>
      </c>
      <c r="D29" t="s">
        <v>111</v>
      </c>
      <c r="G29" s="250">
        <f>clc_load!M36</f>
        <v>0</v>
      </c>
      <c r="H29" s="250">
        <f>clc_load!N36</f>
        <v>0</v>
      </c>
      <c r="I29" s="250">
        <f>clc_load!O36</f>
        <v>0</v>
      </c>
      <c r="J29" s="250">
        <f>clc_load!T36</f>
        <v>0</v>
      </c>
      <c r="K29" s="250">
        <f>clc_load!U36</f>
        <v>0</v>
      </c>
      <c r="L29" s="250">
        <f>clc_load!V36</f>
        <v>0</v>
      </c>
    </row>
    <row r="30" spans="1:12" x14ac:dyDescent="0.25">
      <c r="A30" t="s">
        <v>968</v>
      </c>
      <c r="B30" t="s">
        <v>194</v>
      </c>
      <c r="D30" s="138" t="s">
        <v>178</v>
      </c>
      <c r="G30" t="b">
        <f>AND(G$27&gt;=INDEX(PAR[U_opaque_lim],1),G$29&gt;=INDEX(PAR[r_worst_lim],1))</f>
        <v>0</v>
      </c>
      <c r="H30" t="b">
        <f>AND(H$27&gt;=INDEX(PAR[U_win_lim],1),H$29&gt;=INDEX(PAR[NO_round_Qdot],1))</f>
        <v>0</v>
      </c>
      <c r="I30" t="b">
        <f>AND(I$27&gt;=INDEX(PAR[U_opaque_lim],1),I$29&gt;=INDEX(PAR[r_worst_lim],1))</f>
        <v>0</v>
      </c>
      <c r="J30" t="b">
        <f>AND(J$27&gt;=INDEX(PAR[NO_round_Qdot],1),J$29&gt;=INDEX(PAR[NO_round_rcover],1))</f>
        <v>0</v>
      </c>
      <c r="K30" t="b">
        <f>AND(K$27&gt;=INDEX(PAR[NO_round_Qdot_spez],1),K$29&gt;=INDEX(PAR[NO_r_nt1],1))</f>
        <v>0</v>
      </c>
      <c r="L30" t="b">
        <f>AND(L$27&gt;=INDEX(PAR[NO_round_rcover],1),L$29&gt;=INDEX(PAR[NO_r_nt2],1))</f>
        <v>0</v>
      </c>
    </row>
    <row r="32" spans="1:12" x14ac:dyDescent="0.25">
      <c r="A32" s="22" t="s">
        <v>969</v>
      </c>
    </row>
    <row r="33" spans="1:14" x14ac:dyDescent="0.25">
      <c r="A33" t="s">
        <v>970</v>
      </c>
      <c r="D33" t="s">
        <v>112</v>
      </c>
      <c r="G33" s="50">
        <f>ROUND(clc_power!J211/INDEX(PAR[NO_round_Qdot],1),0)*INDEX(PAR[NO_round_Qdot],1)</f>
        <v>0</v>
      </c>
      <c r="H33" s="50">
        <f>ROUND(clc_power!K211/INDEX(PAR[NO_round_Qdot_spez],1),0)*INDEX(PAR[NO_round_Qdot_spez],1)</f>
        <v>0</v>
      </c>
      <c r="I33" s="50">
        <f>ROUND(clc_power!L211/INDEX(PAR[NO_round_Qdot],1),0)*INDEX(PAR[NO_round_Qdot],1)</f>
        <v>0</v>
      </c>
      <c r="J33" s="50">
        <f>ROUND(clc_power!M211/INDEX(PAR[NO_r_nt1],1),0)*INDEX(PAR[NO_r_nt1],1)</f>
        <v>0</v>
      </c>
      <c r="K33" s="50">
        <f>ROUND(clc_power!N211/INDEX(PAR[NO_r_nt2],1),0)*INDEX(PAR[NO_r_nt2],1)</f>
        <v>0</v>
      </c>
      <c r="L33" s="50">
        <f>ROUND(clc_power!O211/INDEX(PAR[NO_r_nt3],1),0)*INDEX(PAR[NO_r_nt3],1)</f>
        <v>0</v>
      </c>
    </row>
    <row r="34" spans="1:14" x14ac:dyDescent="0.25">
      <c r="A34" t="s">
        <v>971</v>
      </c>
      <c r="D34" t="s">
        <v>112</v>
      </c>
      <c r="G34" s="50">
        <f>ROUND(clc_power!J212/INDEX(PAR[NO_round_Qdot],1),0)*INDEX(PAR[NO_round_Qdot],1)</f>
        <v>0</v>
      </c>
      <c r="H34" s="50">
        <f>ROUND(clc_power!K212/INDEX(PAR[NO_round_Qdot_spez],1),0)*INDEX(PAR[NO_round_Qdot_spez],1)</f>
        <v>0</v>
      </c>
      <c r="I34" s="50">
        <f>ROUND(clc_power!L212/INDEX(PAR[NO_round_Qdot],1),0)*INDEX(PAR[NO_round_Qdot],1)</f>
        <v>0</v>
      </c>
      <c r="J34" s="50">
        <f>ROUND(clc_power!M212/INDEX(PAR[NO_r_nt1],1),0)*INDEX(PAR[NO_r_nt1],1)</f>
        <v>0</v>
      </c>
      <c r="K34" s="50">
        <f>ROUND(clc_power!N212/INDEX(PAR[NO_r_nt2],1),0)*INDEX(PAR[NO_r_nt2],1)</f>
        <v>0</v>
      </c>
      <c r="L34" s="50">
        <f>ROUND(clc_power!O212/INDEX(PAR[NO_r_nt3],1),0)*INDEX(PAR[NO_r_nt3],1)</f>
        <v>0</v>
      </c>
    </row>
    <row r="35" spans="1:14" x14ac:dyDescent="0.25">
      <c r="A35" t="s">
        <v>972</v>
      </c>
      <c r="D35" t="s">
        <v>111</v>
      </c>
      <c r="G35" s="250">
        <f>ROUND(clc_power!J213/INDEX(PAR[NO_round_rcover],1),0)*INDEX(PAR[NO_round_rcover],1)</f>
        <v>0</v>
      </c>
      <c r="H35" s="250">
        <f>ROUND(clc_power!K213/INDEX(PAR[NO_r_nt1],1),0)*INDEX(PAR[NO_r_nt1],1)</f>
        <v>0</v>
      </c>
      <c r="I35" s="250">
        <f>ROUND(clc_power!L213/INDEX(PAR[NO_round_rcover],1),0)*INDEX(PAR[NO_round_rcover],1)</f>
        <v>0</v>
      </c>
      <c r="J35" s="250">
        <f>ROUND(clc_power!M213/INDEX(PAR[NO_r_nt3],1),0)*INDEX(PAR[NO_r_nt3],1)</f>
        <v>0</v>
      </c>
      <c r="K35" s="250" t="e">
        <f>ROUND(clc_power!N213/INDEX(PAR[Spalte13],1),0)*INDEX(PAR[Spalte13],1)</f>
        <v>#DIV/0!</v>
      </c>
      <c r="L35" s="250" t="e">
        <f>ROUND(clc_power!O213/INDEX(PAR[Spalte14],1),0)*INDEX(PAR[Spalte14],1)</f>
        <v>#DIV/0!</v>
      </c>
      <c r="M35" s="250"/>
      <c r="N35" s="250"/>
    </row>
    <row r="36" spans="1:14" x14ac:dyDescent="0.25">
      <c r="A36" t="s">
        <v>973</v>
      </c>
      <c r="D36" t="s">
        <v>111</v>
      </c>
      <c r="G36" s="250">
        <f>ROUND(clc_power!J214/INDEX(PAR[NO_round_rcover],1),0)*INDEX(PAR[NO_round_rcover],1)</f>
        <v>0</v>
      </c>
      <c r="H36" s="250">
        <f>ROUND(clc_power!K214/INDEX(PAR[NO_r_nt1],1),0)*INDEX(PAR[NO_r_nt1],1)</f>
        <v>0</v>
      </c>
      <c r="I36" s="250">
        <f>ROUND(clc_power!L214/INDEX(PAR[NO_round_rcover],1),0)*INDEX(PAR[NO_round_rcover],1)</f>
        <v>0</v>
      </c>
      <c r="J36" s="250">
        <f>ROUND(clc_power!M214/INDEX(PAR[NO_r_nt3],1),0)*INDEX(PAR[NO_r_nt3],1)</f>
        <v>0</v>
      </c>
      <c r="K36" s="250" t="e">
        <f>ROUND(clc_power!N214/INDEX(PAR[Spalte13],1),0)*INDEX(PAR[Spalte13],1)</f>
        <v>#DIV/0!</v>
      </c>
      <c r="L36" s="250" t="e">
        <f>ROUND(clc_power!O214/INDEX(PAR[Spalte14],1),0)*INDEX(PAR[Spalte14],1)</f>
        <v>#DIV/0!</v>
      </c>
      <c r="M36" s="250"/>
      <c r="N36" s="250"/>
    </row>
    <row r="37" spans="1:14" x14ac:dyDescent="0.25">
      <c r="A37" t="s">
        <v>974</v>
      </c>
      <c r="G37" t="b">
        <f>G35&gt;1</f>
        <v>0</v>
      </c>
      <c r="H37" t="b">
        <f t="shared" ref="H37:L37" si="0">H35&gt;1</f>
        <v>0</v>
      </c>
      <c r="I37" t="b">
        <f>I35&gt;1</f>
        <v>0</v>
      </c>
      <c r="J37" t="b">
        <f t="shared" si="0"/>
        <v>0</v>
      </c>
      <c r="K37" t="e">
        <f t="shared" si="0"/>
        <v>#DIV/0!</v>
      </c>
      <c r="L37" t="e">
        <f t="shared" si="0"/>
        <v>#DIV/0!</v>
      </c>
    </row>
    <row r="38" spans="1:14" x14ac:dyDescent="0.25">
      <c r="A38" t="s">
        <v>975</v>
      </c>
      <c r="G38" t="b">
        <f>G36&gt;1</f>
        <v>0</v>
      </c>
      <c r="H38" t="b">
        <f t="shared" ref="H38:L38" si="1">H36&gt;1</f>
        <v>0</v>
      </c>
      <c r="I38" t="b">
        <f>I36&gt;1</f>
        <v>0</v>
      </c>
      <c r="J38" t="b">
        <f t="shared" si="1"/>
        <v>0</v>
      </c>
      <c r="K38" t="e">
        <f t="shared" si="1"/>
        <v>#DIV/0!</v>
      </c>
      <c r="L38" t="e">
        <f t="shared" si="1"/>
        <v>#DIV/0!</v>
      </c>
    </row>
    <row r="39" spans="1:14" x14ac:dyDescent="0.25">
      <c r="A39" t="s">
        <v>976</v>
      </c>
      <c r="G39" t="b">
        <f>G36&gt;INDEX(PAR[NO_r_nt2],1)</f>
        <v>0</v>
      </c>
      <c r="H39" t="b">
        <f>H36&gt;INDEX(PAR[NO_r_nt3],1)</f>
        <v>0</v>
      </c>
      <c r="I39" t="b">
        <f>I36&gt;INDEX(PAR[NO_r_nt2],1)</f>
        <v>0</v>
      </c>
      <c r="J39" t="b">
        <f>J36&gt;INDEX(PAR[Spalte14],1)</f>
        <v>0</v>
      </c>
      <c r="K39" t="e">
        <f>K36&gt;INDEX(PAR[Spalte15],1)</f>
        <v>#DIV/0!</v>
      </c>
      <c r="L39" t="e">
        <f>L36&gt;INDEX(PAR[Spalte16],1)</f>
        <v>#DIV/0!</v>
      </c>
    </row>
    <row r="46" spans="1:14" x14ac:dyDescent="0.25">
      <c r="A46" s="263" t="s">
        <v>977</v>
      </c>
      <c r="B46" s="199"/>
      <c r="C46" s="199"/>
      <c r="D46" s="199"/>
      <c r="E46" s="199"/>
      <c r="F46" s="199"/>
      <c r="G46" s="199"/>
    </row>
    <row r="47" spans="1:14" x14ac:dyDescent="0.25">
      <c r="A47" s="22" t="s">
        <v>978</v>
      </c>
      <c r="G47">
        <f>COUNTA(G5:AA5)</f>
        <v>6</v>
      </c>
    </row>
    <row r="48" spans="1:14" x14ac:dyDescent="0.25">
      <c r="A48" s="22" t="s">
        <v>979</v>
      </c>
    </row>
    <row r="49" spans="1:7" x14ac:dyDescent="0.25">
      <c r="A49" t="s">
        <v>980</v>
      </c>
      <c r="B49" t="s">
        <v>184</v>
      </c>
      <c r="G49">
        <f>COUNTIF(G14:AA14,TRUE)</f>
        <v>0</v>
      </c>
    </row>
    <row r="50" spans="1:7" x14ac:dyDescent="0.25">
      <c r="A50" t="s">
        <v>981</v>
      </c>
      <c r="B50" t="s">
        <v>184</v>
      </c>
      <c r="G50" s="250">
        <f>G49/G47</f>
        <v>0</v>
      </c>
    </row>
    <row r="63" spans="1:7" x14ac:dyDescent="0.25">
      <c r="A63" s="22" t="s">
        <v>982</v>
      </c>
    </row>
    <row r="64" spans="1:7" x14ac:dyDescent="0.25">
      <c r="A64" t="s">
        <v>983</v>
      </c>
    </row>
    <row r="65" spans="1:1" x14ac:dyDescent="0.25">
      <c r="A65" t="s">
        <v>984</v>
      </c>
    </row>
  </sheetData>
  <conditionalFormatting sqref="A2:A4 A7:A8">
    <cfRule type="expression" dxfId="8" priority="10">
      <formula>#REF!="x"</formula>
    </cfRule>
  </conditionalFormatting>
  <conditionalFormatting sqref="A12">
    <cfRule type="expression" dxfId="7" priority="6">
      <formula>C10="x"</formula>
    </cfRule>
  </conditionalFormatting>
  <conditionalFormatting sqref="A16">
    <cfRule type="expression" dxfId="6" priority="5">
      <formula>C15="x"</formula>
    </cfRule>
  </conditionalFormatting>
  <conditionalFormatting sqref="A20">
    <cfRule type="expression" dxfId="5" priority="4">
      <formula>C20="x"</formula>
    </cfRule>
  </conditionalFormatting>
  <conditionalFormatting sqref="A24:A25">
    <cfRule type="expression" dxfId="4" priority="3">
      <formula>C24="x"</formula>
    </cfRule>
  </conditionalFormatting>
  <conditionalFormatting sqref="A28:A29">
    <cfRule type="expression" dxfId="3" priority="2">
      <formula>C29="x"</formula>
    </cfRule>
  </conditionalFormatting>
  <conditionalFormatting sqref="B2:B4 A5:A6 B7:B8">
    <cfRule type="expression" dxfId="2" priority="9">
      <formula>C2="x"</formula>
    </cfRule>
  </conditionalFormatting>
  <conditionalFormatting sqref="C5:C6">
    <cfRule type="expression" dxfId="1" priority="7">
      <formula>E5="x"</formula>
    </cfRule>
  </conditionalFormatting>
  <conditionalFormatting sqref="C7:C8">
    <cfRule type="expression" dxfId="0" priority="8">
      <formula>I7="x"</formula>
    </cfRule>
  </conditionalFormatting>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B2AF-CCDC-443F-B621-8C32BC173202}">
  <dimension ref="A1"/>
  <sheetViews>
    <sheetView workbookViewId="0">
      <selection activeCell="J32" sqref="J32"/>
    </sheetView>
  </sheetViews>
  <sheetFormatPr baseColWidth="10" defaultColWidth="11.42578125" defaultRowHeight="15" x14ac:dyDescent="0.25"/>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3F39-0652-4238-B823-D8BFC05B65CE}">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A08A-E678-449C-BF84-668565B564E5}">
  <dimension ref="A1"/>
  <sheetViews>
    <sheetView workbookViewId="0"/>
  </sheetViews>
  <sheetFormatPr baseColWidth="10" defaultColWidth="11.42578125" defaultRowHeight="15" x14ac:dyDescent="0.25"/>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11A9-967C-4B8D-B43B-64204D0E57BD}">
  <dimension ref="A1"/>
  <sheetViews>
    <sheetView workbookViewId="0">
      <selection activeCell="M11" sqref="M11"/>
    </sheetView>
  </sheetViews>
  <sheetFormatPr baseColWidth="10" defaultColWidth="11.42578125"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3B0C-226F-4CA1-9DA4-D3E42AF1A387}">
  <dimension ref="B2:S43"/>
  <sheetViews>
    <sheetView zoomScaleNormal="100" workbookViewId="0">
      <selection activeCell="O20" sqref="O20"/>
    </sheetView>
  </sheetViews>
  <sheetFormatPr baseColWidth="10" defaultColWidth="11.42578125" defaultRowHeight="15" x14ac:dyDescent="0.25"/>
  <cols>
    <col min="2" max="2" width="27.28515625" customWidth="1"/>
    <col min="3" max="3" width="22.140625" customWidth="1"/>
    <col min="4" max="4" width="32.85546875" customWidth="1"/>
    <col min="5" max="19" width="11.28515625" customWidth="1"/>
  </cols>
  <sheetData>
    <row r="2" spans="2:19" ht="15.75" thickBot="1" x14ac:dyDescent="0.3">
      <c r="B2" s="22" t="s">
        <v>985</v>
      </c>
    </row>
    <row r="3" spans="2:19" ht="22.5" customHeight="1" x14ac:dyDescent="0.25">
      <c r="B3" s="141" t="s">
        <v>387</v>
      </c>
      <c r="C3" s="142">
        <f>IN_rooms!R49</f>
        <v>0</v>
      </c>
      <c r="E3" s="277" t="s">
        <v>986</v>
      </c>
      <c r="F3" s="278"/>
      <c r="G3" s="278"/>
      <c r="H3" s="278"/>
      <c r="I3" s="278"/>
      <c r="J3" s="278"/>
      <c r="K3" s="279"/>
      <c r="L3" s="80"/>
      <c r="M3" s="277" t="s">
        <v>987</v>
      </c>
      <c r="N3" s="278"/>
      <c r="O3" s="278"/>
      <c r="P3" s="278"/>
      <c r="Q3" s="278"/>
      <c r="R3" s="278"/>
      <c r="S3" s="279"/>
    </row>
    <row r="4" spans="2:19" ht="22.5" customHeight="1" x14ac:dyDescent="0.25">
      <c r="B4" s="143" t="s">
        <v>388</v>
      </c>
      <c r="C4" s="144">
        <f>IN_rooms!R50</f>
        <v>0</v>
      </c>
      <c r="E4" s="81"/>
      <c r="K4" s="80"/>
      <c r="M4" s="81"/>
      <c r="S4" s="80"/>
    </row>
    <row r="5" spans="2:19" ht="22.5" customHeight="1" thickBot="1" x14ac:dyDescent="0.3">
      <c r="B5" s="143" t="s">
        <v>776</v>
      </c>
      <c r="C5" s="144"/>
      <c r="E5" s="81"/>
      <c r="K5" s="80"/>
      <c r="M5" s="81"/>
      <c r="S5" s="80"/>
    </row>
    <row r="6" spans="2:19" ht="22.5" customHeight="1" x14ac:dyDescent="0.25">
      <c r="B6" s="143" t="s">
        <v>382</v>
      </c>
      <c r="C6" s="144">
        <f>IN_rooms!R51</f>
        <v>0</v>
      </c>
      <c r="D6" t="s">
        <v>431</v>
      </c>
      <c r="E6" s="89" t="s">
        <v>988</v>
      </c>
      <c r="F6" s="82" t="s">
        <v>989</v>
      </c>
      <c r="G6" s="91">
        <v>75</v>
      </c>
      <c r="H6" s="90" t="s">
        <v>107</v>
      </c>
      <c r="I6" s="282" t="s">
        <v>990</v>
      </c>
      <c r="J6" s="282"/>
      <c r="K6" s="283"/>
      <c r="M6" s="89" t="s">
        <v>988</v>
      </c>
      <c r="N6" s="82" t="s">
        <v>989</v>
      </c>
      <c r="O6" s="91">
        <v>55</v>
      </c>
      <c r="P6" s="90" t="s">
        <v>107</v>
      </c>
      <c r="Q6" s="282" t="s">
        <v>991</v>
      </c>
      <c r="R6" s="282"/>
      <c r="S6" s="283"/>
    </row>
    <row r="7" spans="2:19" ht="22.5" customHeight="1" x14ac:dyDescent="0.25">
      <c r="B7" s="143" t="s">
        <v>236</v>
      </c>
      <c r="C7" s="144">
        <f>IN_rooms!R52</f>
        <v>0</v>
      </c>
      <c r="D7" t="s">
        <v>431</v>
      </c>
      <c r="E7" s="92" t="s">
        <v>992</v>
      </c>
      <c r="F7" s="83" t="s">
        <v>989</v>
      </c>
      <c r="G7" s="93">
        <v>65</v>
      </c>
      <c r="H7" s="94" t="s">
        <v>107</v>
      </c>
      <c r="I7" s="282" t="s">
        <v>993</v>
      </c>
      <c r="J7" s="282"/>
      <c r="K7" s="283"/>
      <c r="M7" s="92" t="s">
        <v>992</v>
      </c>
      <c r="N7" s="83" t="s">
        <v>989</v>
      </c>
      <c r="O7" s="93">
        <v>45</v>
      </c>
      <c r="P7" s="94" t="s">
        <v>107</v>
      </c>
      <c r="Q7" s="282" t="s">
        <v>994</v>
      </c>
      <c r="R7" s="282"/>
      <c r="S7" s="283"/>
    </row>
    <row r="8" spans="2:19" ht="22.5" customHeight="1" thickBot="1" x14ac:dyDescent="0.3">
      <c r="B8" s="149" t="s">
        <v>667</v>
      </c>
      <c r="C8" s="150">
        <f>clc_load!M10</f>
        <v>20</v>
      </c>
      <c r="D8" t="s">
        <v>107</v>
      </c>
      <c r="E8" s="95" t="s">
        <v>995</v>
      </c>
      <c r="F8" s="84" t="s">
        <v>989</v>
      </c>
      <c r="G8" s="96">
        <v>20</v>
      </c>
      <c r="H8" s="97" t="s">
        <v>107</v>
      </c>
      <c r="I8" s="282" t="s">
        <v>996</v>
      </c>
      <c r="J8" s="282"/>
      <c r="K8" s="283"/>
      <c r="M8" s="95" t="s">
        <v>995</v>
      </c>
      <c r="N8" s="84" t="s">
        <v>989</v>
      </c>
      <c r="O8" s="96">
        <f>C8</f>
        <v>20</v>
      </c>
      <c r="P8" s="97" t="s">
        <v>107</v>
      </c>
      <c r="Q8" s="282" t="s">
        <v>997</v>
      </c>
      <c r="R8" s="282"/>
      <c r="S8" s="283"/>
    </row>
    <row r="9" spans="2:19" ht="22.5" customHeight="1" x14ac:dyDescent="0.35">
      <c r="B9" s="153" t="s">
        <v>998</v>
      </c>
      <c r="C9" s="154">
        <v>55</v>
      </c>
      <c r="D9" t="s">
        <v>107</v>
      </c>
      <c r="E9" s="81"/>
      <c r="G9" s="83"/>
      <c r="H9" s="83"/>
      <c r="K9" s="80"/>
      <c r="M9" s="81"/>
      <c r="O9" s="83"/>
      <c r="P9" s="83"/>
      <c r="S9" s="80"/>
    </row>
    <row r="10" spans="2:19" ht="22.5" customHeight="1" thickBot="1" x14ac:dyDescent="0.4">
      <c r="B10" s="155" t="s">
        <v>999</v>
      </c>
      <c r="C10" s="156">
        <v>45</v>
      </c>
      <c r="D10" t="s">
        <v>107</v>
      </c>
      <c r="E10" s="95" t="s">
        <v>1000</v>
      </c>
      <c r="F10" s="84" t="s">
        <v>989</v>
      </c>
      <c r="G10" s="98">
        <f>(G6-G7)/(LN((G6-G8)/(G7-G8)))</f>
        <v>49.83288654563971</v>
      </c>
      <c r="H10" s="84" t="s">
        <v>791</v>
      </c>
      <c r="I10" s="85"/>
      <c r="J10" s="85"/>
      <c r="K10" s="86"/>
      <c r="M10" s="95" t="s">
        <v>1001</v>
      </c>
      <c r="N10" s="84" t="s">
        <v>989</v>
      </c>
      <c r="O10" s="98">
        <f>(O6-O7)/(LN((O6-O8)/(O7-O8)))</f>
        <v>29.720134119884619</v>
      </c>
      <c r="P10" s="84" t="s">
        <v>791</v>
      </c>
      <c r="Q10" s="85"/>
      <c r="R10" s="85"/>
      <c r="S10" s="86"/>
    </row>
    <row r="11" spans="2:19" ht="22.5" customHeight="1" x14ac:dyDescent="0.25">
      <c r="B11" s="151" t="s">
        <v>1002</v>
      </c>
      <c r="C11" s="152" t="e">
        <f>IN_rooms!#REF!</f>
        <v>#REF!</v>
      </c>
      <c r="D11" t="s">
        <v>1003</v>
      </c>
    </row>
    <row r="12" spans="2:19" ht="22.5" customHeight="1" thickBot="1" x14ac:dyDescent="0.3">
      <c r="B12" s="147" t="s">
        <v>390</v>
      </c>
      <c r="C12" s="148">
        <f>IN_rooms!R53</f>
        <v>0</v>
      </c>
      <c r="D12" t="s">
        <v>431</v>
      </c>
    </row>
    <row r="13" spans="2:19" ht="22.5" customHeight="1" x14ac:dyDescent="0.25">
      <c r="B13" s="143" t="s">
        <v>781</v>
      </c>
      <c r="C13" s="238">
        <f>SUMIFS(tabelle1[[Heizkörperexponent n ]],tabelle1[Heizkörper_Typ],C3,tabelle1[Heizkörper_Subtyp],C4,tabelle1[Höhe H in mm],C6,tabelle1[Bautiefe T in mm],C12)</f>
        <v>0</v>
      </c>
      <c r="D13" t="s">
        <v>1004</v>
      </c>
      <c r="E13" s="275" t="s">
        <v>1005</v>
      </c>
      <c r="F13" s="276"/>
      <c r="G13" s="276"/>
      <c r="H13" s="276"/>
      <c r="I13" s="276"/>
      <c r="J13" s="276"/>
      <c r="K13" s="110"/>
      <c r="L13" s="87"/>
      <c r="M13" s="277" t="s">
        <v>1006</v>
      </c>
      <c r="N13" s="278"/>
      <c r="O13" s="278"/>
      <c r="P13" s="278"/>
      <c r="Q13" s="278"/>
      <c r="R13" s="278"/>
      <c r="S13" s="279"/>
    </row>
    <row r="14" spans="2:19" ht="22.5" customHeight="1" thickBot="1" x14ac:dyDescent="0.3">
      <c r="B14" s="146" t="s">
        <v>783</v>
      </c>
      <c r="C14" s="239">
        <f>SUMIFS(tabelle1[Wärmeleistung (75/65/20)  in W/m],tabelle1[Heizkörper_Typ],C3,tabelle1[Heizkörper_Subtyp],C4,tabelle1[Höhe H in mm],C6,tabelle1[Bautiefe T in mm],C12)*C7/1000</f>
        <v>0</v>
      </c>
      <c r="D14" t="s">
        <v>112</v>
      </c>
      <c r="E14" s="111"/>
      <c r="F14" s="112"/>
      <c r="G14" s="112"/>
      <c r="H14" s="112"/>
      <c r="I14" s="112"/>
      <c r="J14" s="112"/>
      <c r="K14" s="113"/>
      <c r="L14" s="87"/>
      <c r="M14" s="81"/>
      <c r="S14" s="80"/>
    </row>
    <row r="15" spans="2:19" ht="22.5" customHeight="1" x14ac:dyDescent="0.25">
      <c r="B15" s="141" t="s">
        <v>1007</v>
      </c>
      <c r="C15" s="157" t="e">
        <f>C16/C14</f>
        <v>#DIV/0!</v>
      </c>
      <c r="D15" t="s">
        <v>1004</v>
      </c>
      <c r="E15" s="108" t="s">
        <v>1000</v>
      </c>
      <c r="F15" s="109" t="s">
        <v>989</v>
      </c>
      <c r="G15" s="114">
        <f>G10</f>
        <v>49.83288654563971</v>
      </c>
      <c r="H15" s="110" t="s">
        <v>791</v>
      </c>
      <c r="I15" s="280" t="s">
        <v>986</v>
      </c>
      <c r="J15" s="280"/>
      <c r="K15" s="281"/>
      <c r="M15" s="89" t="s">
        <v>1000</v>
      </c>
      <c r="N15" s="82" t="s">
        <v>989</v>
      </c>
      <c r="O15" s="240">
        <f>G10</f>
        <v>49.83288654563971</v>
      </c>
      <c r="P15" s="90" t="s">
        <v>791</v>
      </c>
      <c r="Q15" s="282" t="s">
        <v>986</v>
      </c>
      <c r="R15" s="282"/>
      <c r="S15" s="283"/>
    </row>
    <row r="16" spans="2:19" ht="22.5" customHeight="1" x14ac:dyDescent="0.35">
      <c r="B16" s="143" t="s">
        <v>1008</v>
      </c>
      <c r="C16" s="145">
        <f>O20</f>
        <v>0</v>
      </c>
      <c r="D16" t="s">
        <v>112</v>
      </c>
      <c r="E16" s="115" t="s">
        <v>1001</v>
      </c>
      <c r="F16" s="116" t="s">
        <v>989</v>
      </c>
      <c r="G16" s="117">
        <f>O10</f>
        <v>29.720134119884619</v>
      </c>
      <c r="H16" s="118" t="s">
        <v>791</v>
      </c>
      <c r="I16" s="280" t="s">
        <v>987</v>
      </c>
      <c r="J16" s="280"/>
      <c r="K16" s="281"/>
      <c r="M16" s="92" t="s">
        <v>1001</v>
      </c>
      <c r="N16" s="83" t="s">
        <v>989</v>
      </c>
      <c r="O16" s="100">
        <f>O10</f>
        <v>29.720134119884619</v>
      </c>
      <c r="P16" s="94" t="s">
        <v>791</v>
      </c>
      <c r="Q16" s="282" t="s">
        <v>987</v>
      </c>
      <c r="R16" s="282"/>
      <c r="S16" s="283"/>
    </row>
    <row r="17" spans="2:19" ht="22.5" customHeight="1" thickBot="1" x14ac:dyDescent="0.3">
      <c r="B17" s="158" t="s">
        <v>1009</v>
      </c>
      <c r="C17" s="239">
        <f>(SUMIFS(tabelle1[Wärmeleistung (75/65/20)  in W/m],tabelle1[Heizkörper_Typ],C3,tabelle1[Heizkörper_Subtyp],"Typ_33",tabelle1[Höhe H in mm],C6,tabelle1[Bautiefe T in mm],155)*C7/1000)*((O16/O15)^SUMIFS(tabelle1[[Heizkörperexponent n ]],tabelle1[Heizkörper_Typ],C3,tabelle1[Heizkörper_Subtyp],"Typ_33",tabelle1[Höhe H in mm],C6,tabelle1[Bautiefe T in mm],155))</f>
        <v>0</v>
      </c>
      <c r="D17" t="s">
        <v>112</v>
      </c>
      <c r="E17" s="119"/>
      <c r="F17" s="116" t="s">
        <v>989</v>
      </c>
      <c r="G17" s="120" t="e">
        <f>clc_load!$M$72/clc_load!#REF!</f>
        <v>#REF!</v>
      </c>
      <c r="H17" s="118" t="s">
        <v>112</v>
      </c>
      <c r="I17" s="280" t="s">
        <v>1010</v>
      </c>
      <c r="J17" s="280"/>
      <c r="K17" s="281"/>
      <c r="M17" s="81"/>
      <c r="N17" s="83" t="s">
        <v>989</v>
      </c>
      <c r="O17" s="101">
        <f>C14</f>
        <v>0</v>
      </c>
      <c r="P17" s="94" t="s">
        <v>112</v>
      </c>
      <c r="Q17" s="282" t="s">
        <v>1011</v>
      </c>
      <c r="R17" s="282"/>
      <c r="S17" s="283"/>
    </row>
    <row r="18" spans="2:19" ht="22.5" customHeight="1" thickBot="1" x14ac:dyDescent="0.3">
      <c r="E18" s="121" t="s">
        <v>137</v>
      </c>
      <c r="F18" s="122" t="s">
        <v>989</v>
      </c>
      <c r="G18" s="122">
        <f>C13</f>
        <v>0</v>
      </c>
      <c r="H18" s="123"/>
      <c r="I18" s="280" t="s">
        <v>781</v>
      </c>
      <c r="J18" s="280"/>
      <c r="K18" s="281"/>
      <c r="M18" s="95" t="s">
        <v>137</v>
      </c>
      <c r="N18" s="84" t="s">
        <v>989</v>
      </c>
      <c r="O18" s="96">
        <f>C13</f>
        <v>0</v>
      </c>
      <c r="P18" s="86"/>
      <c r="Q18" s="282" t="s">
        <v>1012</v>
      </c>
      <c r="R18" s="282"/>
      <c r="S18" s="283"/>
    </row>
    <row r="19" spans="2:19" ht="25.5" customHeight="1" x14ac:dyDescent="0.25">
      <c r="E19" s="119"/>
      <c r="F19" s="124"/>
      <c r="G19" s="116"/>
      <c r="H19" s="116"/>
      <c r="I19" s="124"/>
      <c r="J19" s="124"/>
      <c r="K19" s="125"/>
      <c r="M19" s="81"/>
      <c r="S19" s="80"/>
    </row>
    <row r="20" spans="2:19" ht="25.5" customHeight="1" thickBot="1" x14ac:dyDescent="0.3">
      <c r="E20" s="121"/>
      <c r="F20" s="122" t="s">
        <v>989</v>
      </c>
      <c r="G20" s="126" t="e">
        <f>(G17/((G16/G15)^G18))</f>
        <v>#REF!</v>
      </c>
      <c r="H20" s="122" t="s">
        <v>112</v>
      </c>
      <c r="I20" s="284" t="s">
        <v>1013</v>
      </c>
      <c r="J20" s="284"/>
      <c r="K20" s="285"/>
      <c r="M20" s="88"/>
      <c r="N20" s="84" t="s">
        <v>989</v>
      </c>
      <c r="O20" s="102">
        <f>$O$17*(($O$16/$O$15)^$O$18)</f>
        <v>0</v>
      </c>
      <c r="P20" s="84" t="s">
        <v>112</v>
      </c>
      <c r="Q20" s="286" t="s">
        <v>792</v>
      </c>
      <c r="R20" s="286"/>
      <c r="S20" s="287"/>
    </row>
    <row r="21" spans="2:19" ht="21.75" customHeight="1" x14ac:dyDescent="0.25">
      <c r="E21" s="76"/>
      <c r="F21" s="76"/>
      <c r="G21" s="76"/>
      <c r="H21" s="74"/>
    </row>
    <row r="22" spans="2:19" ht="22.5" customHeight="1" thickBot="1" x14ac:dyDescent="0.3">
      <c r="B22" s="22" t="s">
        <v>1014</v>
      </c>
    </row>
    <row r="23" spans="2:19" ht="15.75" thickBot="1" x14ac:dyDescent="0.3">
      <c r="B23" s="46" t="str">
        <f>B3</f>
        <v>Typ</v>
      </c>
      <c r="C23" s="21" t="str">
        <f>IF(IN_rooms!R56="Flachheizkörper",IN_rooms!R49,"Siehe Berechnungsreiter entsprechend Heizkörpertyp")</f>
        <v>Siehe Berechnungsreiter entsprechend Heizkörpertyp</v>
      </c>
      <c r="E23" s="277" t="s">
        <v>986</v>
      </c>
      <c r="F23" s="278"/>
      <c r="G23" s="278"/>
      <c r="H23" s="278"/>
      <c r="I23" s="278"/>
      <c r="J23" s="278"/>
      <c r="K23" s="279"/>
      <c r="L23" s="80"/>
      <c r="M23" s="277" t="s">
        <v>987</v>
      </c>
      <c r="N23" s="278"/>
      <c r="O23" s="278"/>
      <c r="P23" s="278"/>
      <c r="Q23" s="278"/>
      <c r="R23" s="278"/>
      <c r="S23" s="279"/>
    </row>
    <row r="24" spans="2:19" ht="15.75" thickBot="1" x14ac:dyDescent="0.3">
      <c r="B24" s="46" t="str">
        <f>B4</f>
        <v>Subtyp</v>
      </c>
      <c r="C24" s="21">
        <f>IN_rooms!R57</f>
        <v>0</v>
      </c>
      <c r="E24" s="81"/>
      <c r="K24" s="80"/>
      <c r="M24" s="81"/>
      <c r="S24" s="80"/>
    </row>
    <row r="25" spans="2:19" ht="15.75" thickBot="1" x14ac:dyDescent="0.3">
      <c r="B25" s="46" t="str">
        <f>B5</f>
        <v>Subtyp_2</v>
      </c>
      <c r="C25" s="21" t="e">
        <f>IN_rooms!#REF!</f>
        <v>#REF!</v>
      </c>
      <c r="E25" s="81"/>
      <c r="K25" s="80"/>
      <c r="M25" s="81"/>
      <c r="S25" s="80"/>
    </row>
    <row r="26" spans="2:19" ht="18.75" thickBot="1" x14ac:dyDescent="0.3">
      <c r="B26" s="46" t="str">
        <f t="shared" ref="B26:B27" si="0">B6</f>
        <v>Höhe</v>
      </c>
      <c r="C26" s="21">
        <f>IN_rooms!R58</f>
        <v>0</v>
      </c>
      <c r="D26" t="s">
        <v>431</v>
      </c>
      <c r="E26" s="89" t="s">
        <v>988</v>
      </c>
      <c r="F26" s="82" t="s">
        <v>989</v>
      </c>
      <c r="G26" s="91">
        <v>70</v>
      </c>
      <c r="H26" s="90" t="s">
        <v>107</v>
      </c>
      <c r="I26" s="282" t="s">
        <v>990</v>
      </c>
      <c r="J26" s="282"/>
      <c r="K26" s="283"/>
      <c r="M26" s="89" t="s">
        <v>988</v>
      </c>
      <c r="N26" s="82" t="s">
        <v>989</v>
      </c>
      <c r="O26" s="91">
        <v>55</v>
      </c>
      <c r="P26" s="90" t="s">
        <v>107</v>
      </c>
      <c r="Q26" s="282" t="s">
        <v>991</v>
      </c>
      <c r="R26" s="282"/>
      <c r="S26" s="283"/>
    </row>
    <row r="27" spans="2:19" ht="18.75" thickBot="1" x14ac:dyDescent="0.3">
      <c r="B27" s="46" t="str">
        <f t="shared" si="0"/>
        <v>Breite</v>
      </c>
      <c r="C27" s="21">
        <f>IN_rooms!R59</f>
        <v>0</v>
      </c>
      <c r="D27" t="s">
        <v>431</v>
      </c>
      <c r="E27" s="92" t="s">
        <v>992</v>
      </c>
      <c r="F27" s="83" t="s">
        <v>989</v>
      </c>
      <c r="G27" s="93">
        <v>55</v>
      </c>
      <c r="H27" s="94" t="s">
        <v>107</v>
      </c>
      <c r="I27" s="282" t="s">
        <v>993</v>
      </c>
      <c r="J27" s="282"/>
      <c r="K27" s="283"/>
      <c r="M27" s="92" t="s">
        <v>992</v>
      </c>
      <c r="N27" s="83" t="s">
        <v>989</v>
      </c>
      <c r="O27" s="93">
        <v>45</v>
      </c>
      <c r="P27" s="94" t="s">
        <v>107</v>
      </c>
      <c r="Q27" s="282" t="s">
        <v>994</v>
      </c>
      <c r="R27" s="282"/>
      <c r="S27" s="283"/>
    </row>
    <row r="28" spans="2:19" ht="18.75" thickBot="1" x14ac:dyDescent="0.3">
      <c r="B28" s="46" t="str">
        <f>B12</f>
        <v>Tiefe</v>
      </c>
      <c r="C28" s="21">
        <f>IN_rooms!R60</f>
        <v>0</v>
      </c>
      <c r="D28" t="s">
        <v>431</v>
      </c>
      <c r="E28" s="95" t="s">
        <v>995</v>
      </c>
      <c r="F28" s="84" t="s">
        <v>989</v>
      </c>
      <c r="G28" s="96">
        <v>20</v>
      </c>
      <c r="H28" s="97" t="s">
        <v>107</v>
      </c>
      <c r="I28" s="282" t="s">
        <v>996</v>
      </c>
      <c r="J28" s="282"/>
      <c r="K28" s="283"/>
      <c r="M28" s="95" t="s">
        <v>995</v>
      </c>
      <c r="N28" s="84" t="s">
        <v>989</v>
      </c>
      <c r="O28" s="96">
        <f>C32</f>
        <v>20</v>
      </c>
      <c r="P28" s="97" t="s">
        <v>107</v>
      </c>
      <c r="Q28" s="282" t="s">
        <v>997</v>
      </c>
      <c r="R28" s="282"/>
      <c r="S28" s="283"/>
    </row>
    <row r="29" spans="2:19" ht="15.75" thickBot="1" x14ac:dyDescent="0.3">
      <c r="B29" s="46" t="str">
        <f>B11</f>
        <v>Glieder</v>
      </c>
      <c r="C29" s="21">
        <f>IN_rooms!R61</f>
        <v>0</v>
      </c>
      <c r="D29" t="s">
        <v>1003</v>
      </c>
      <c r="E29" s="81"/>
      <c r="G29" s="83"/>
      <c r="H29" s="83"/>
      <c r="K29" s="80"/>
      <c r="M29" s="81"/>
      <c r="O29" s="83"/>
      <c r="P29" s="83"/>
      <c r="S29" s="80"/>
    </row>
    <row r="30" spans="2:19" ht="18.75" thickBot="1" x14ac:dyDescent="0.3">
      <c r="B30" s="46" t="str">
        <f>B13</f>
        <v>Heizkörperexponent</v>
      </c>
      <c r="C30" s="21" cm="1">
        <f t="array" ref="C30">_xlfn.AGGREGATE(15,6,Data_radiator!$X$5:$X$385/((Data_radiator!$C$5:$C$385=clc_flat!$C$3)*(Data_radiator!$D$5:$D$385=clc_flat!$C$4)*(Data_radiator!$G$5:$G$385=clc_flat!$C$6)*(Data_radiator!$L$5:$L$385=clc_flat!$C$12)),1)</f>
        <v>1.25</v>
      </c>
      <c r="D30" t="s">
        <v>1004</v>
      </c>
      <c r="E30" s="95" t="s">
        <v>1000</v>
      </c>
      <c r="F30" s="84" t="s">
        <v>989</v>
      </c>
      <c r="G30" s="98">
        <f>(G26-G27)/(LN((G26-G28)/(G27-G28)))</f>
        <v>42.055098780856937</v>
      </c>
      <c r="H30" s="84" t="s">
        <v>791</v>
      </c>
      <c r="I30" s="85"/>
      <c r="J30" s="85"/>
      <c r="K30" s="86"/>
      <c r="M30" s="95" t="s">
        <v>1001</v>
      </c>
      <c r="N30" s="84" t="s">
        <v>989</v>
      </c>
      <c r="O30" s="98">
        <f>(O26-O27)/(LN((O26-O28)/(O27-O28)))</f>
        <v>29.720134119884619</v>
      </c>
      <c r="P30" s="84" t="s">
        <v>791</v>
      </c>
      <c r="Q30" s="85"/>
      <c r="R30" s="85"/>
      <c r="S30" s="86"/>
    </row>
    <row r="31" spans="2:19" ht="15.75" thickBot="1" x14ac:dyDescent="0.3">
      <c r="B31" s="46" t="str">
        <f>B14</f>
        <v>Norm-Heizleistung 75/65/20</v>
      </c>
      <c r="C31" s="129" t="str">
        <f>IF(C23="Flachheizkörper",SUMIFS(Data_radiator!$Z$5:$Z$385,Data_radiator!$C$5:$C$385,clc_flat!C23,Data_radiator!$D$5:$D$385,clc_flat!C24,Data_radiator!$F$5:$F$385,clc_flat!C25,Data_radiator!$G$5:$G$385,clc_flat!C26,Data_radiator!$L$5:$L$385,clc_flat!C28)*C27/1000,"Siehe Berechnungsreiter entsprechend Heizkörpertyp")</f>
        <v>Siehe Berechnungsreiter entsprechend Heizkörpertyp</v>
      </c>
      <c r="D31" t="s">
        <v>112</v>
      </c>
    </row>
    <row r="32" spans="2:19" ht="30.75" thickBot="1" x14ac:dyDescent="0.3">
      <c r="B32" s="46" t="str">
        <f>B8</f>
        <v>Berechnungs-Raumtemperatur</v>
      </c>
      <c r="C32" s="21">
        <f>clc_load!$M$10</f>
        <v>20</v>
      </c>
      <c r="D32" t="s">
        <v>107</v>
      </c>
    </row>
    <row r="33" spans="2:19" ht="15.75" thickBot="1" x14ac:dyDescent="0.3">
      <c r="B33" s="46" t="str">
        <f>B9</f>
        <v>θVlneu</v>
      </c>
      <c r="C33" s="21">
        <v>55</v>
      </c>
      <c r="D33" t="s">
        <v>107</v>
      </c>
      <c r="E33" s="275" t="s">
        <v>1005</v>
      </c>
      <c r="F33" s="276"/>
      <c r="G33" s="276"/>
      <c r="H33" s="276"/>
      <c r="I33" s="276"/>
      <c r="J33" s="276"/>
      <c r="K33" s="110"/>
      <c r="L33" s="87"/>
      <c r="M33" s="277" t="s">
        <v>1006</v>
      </c>
      <c r="N33" s="278"/>
      <c r="O33" s="278"/>
      <c r="P33" s="278"/>
      <c r="Q33" s="278"/>
      <c r="R33" s="278"/>
      <c r="S33" s="279"/>
    </row>
    <row r="34" spans="2:19" ht="15.75" thickBot="1" x14ac:dyDescent="0.3">
      <c r="B34" s="46" t="str">
        <f>B10</f>
        <v>θRlneu</v>
      </c>
      <c r="C34" s="21">
        <v>45</v>
      </c>
      <c r="D34" t="s">
        <v>107</v>
      </c>
      <c r="E34" s="111"/>
      <c r="F34" s="112"/>
      <c r="G34" s="112"/>
      <c r="H34" s="112"/>
      <c r="I34" s="112"/>
      <c r="J34" s="112"/>
      <c r="K34" s="113"/>
      <c r="L34" s="87"/>
      <c r="M34" s="81"/>
      <c r="S34" s="80"/>
    </row>
    <row r="35" spans="2:19" ht="18.75" thickBot="1" x14ac:dyDescent="0.3">
      <c r="B35" s="46" t="str">
        <f>B15</f>
        <v xml:space="preserve">Korrekturfaktor </v>
      </c>
      <c r="C35" s="104" t="e">
        <f>C36/C31</f>
        <v>#VALUE!</v>
      </c>
      <c r="D35" t="s">
        <v>1004</v>
      </c>
      <c r="E35" s="108" t="s">
        <v>1000</v>
      </c>
      <c r="F35" s="109" t="s">
        <v>989</v>
      </c>
      <c r="G35" s="114">
        <f>G30</f>
        <v>42.055098780856937</v>
      </c>
      <c r="H35" s="110" t="s">
        <v>791</v>
      </c>
      <c r="I35" s="280" t="s">
        <v>986</v>
      </c>
      <c r="J35" s="280"/>
      <c r="K35" s="281"/>
      <c r="M35" s="89" t="s">
        <v>1000</v>
      </c>
      <c r="N35" s="82" t="s">
        <v>989</v>
      </c>
      <c r="O35" s="99">
        <f>G30</f>
        <v>42.055098780856937</v>
      </c>
      <c r="P35" s="90" t="s">
        <v>791</v>
      </c>
      <c r="Q35" s="282" t="s">
        <v>986</v>
      </c>
      <c r="R35" s="282"/>
      <c r="S35" s="283"/>
    </row>
    <row r="36" spans="2:19" ht="18.75" thickBot="1" x14ac:dyDescent="0.3">
      <c r="B36" s="46" t="str">
        <f>B16</f>
        <v>Heizleistung bei θVlneu</v>
      </c>
      <c r="C36" s="79" t="str">
        <f>IF(C23="Flachheizkörper",O40,"Siehe Berechnungsreiter entsprechend Heizkörpertyp")</f>
        <v>Siehe Berechnungsreiter entsprechend Heizkörpertyp</v>
      </c>
      <c r="D36" t="s">
        <v>112</v>
      </c>
      <c r="E36" s="115" t="s">
        <v>1001</v>
      </c>
      <c r="F36" s="116" t="s">
        <v>989</v>
      </c>
      <c r="G36" s="117">
        <f>O30</f>
        <v>29.720134119884619</v>
      </c>
      <c r="H36" s="118" t="s">
        <v>791</v>
      </c>
      <c r="I36" s="280" t="s">
        <v>987</v>
      </c>
      <c r="J36" s="280"/>
      <c r="K36" s="281"/>
      <c r="M36" s="92" t="s">
        <v>1001</v>
      </c>
      <c r="N36" s="83" t="s">
        <v>989</v>
      </c>
      <c r="O36" s="100">
        <f>O30</f>
        <v>29.720134119884619</v>
      </c>
      <c r="P36" s="94" t="s">
        <v>791</v>
      </c>
      <c r="Q36" s="282" t="s">
        <v>987</v>
      </c>
      <c r="R36" s="282"/>
      <c r="S36" s="283"/>
    </row>
    <row r="37" spans="2:19" x14ac:dyDescent="0.25">
      <c r="E37" s="119"/>
      <c r="F37" s="116" t="s">
        <v>989</v>
      </c>
      <c r="G37" s="120" t="e">
        <f>clc_load!$M$72/clc_load!#REF!</f>
        <v>#REF!</v>
      </c>
      <c r="H37" s="118" t="s">
        <v>112</v>
      </c>
      <c r="I37" s="280" t="s">
        <v>1010</v>
      </c>
      <c r="J37" s="280"/>
      <c r="K37" s="281"/>
      <c r="M37" s="81"/>
      <c r="N37" s="83" t="s">
        <v>989</v>
      </c>
      <c r="O37" s="101" t="str">
        <f>C31</f>
        <v>Siehe Berechnungsreiter entsprechend Heizkörpertyp</v>
      </c>
      <c r="P37" s="94" t="s">
        <v>112</v>
      </c>
      <c r="Q37" s="282" t="s">
        <v>1011</v>
      </c>
      <c r="R37" s="282"/>
      <c r="S37" s="283"/>
    </row>
    <row r="38" spans="2:19" ht="15.75" thickBot="1" x14ac:dyDescent="0.3">
      <c r="E38" s="121" t="s">
        <v>137</v>
      </c>
      <c r="F38" s="122" t="s">
        <v>989</v>
      </c>
      <c r="G38" s="122">
        <f>C30</f>
        <v>1.25</v>
      </c>
      <c r="H38" s="123"/>
      <c r="I38" s="280" t="s">
        <v>781</v>
      </c>
      <c r="J38" s="280"/>
      <c r="K38" s="281"/>
      <c r="M38" s="95" t="s">
        <v>137</v>
      </c>
      <c r="N38" s="84" t="s">
        <v>989</v>
      </c>
      <c r="O38" s="96">
        <f>C30</f>
        <v>1.25</v>
      </c>
      <c r="P38" s="86"/>
      <c r="Q38" s="282" t="s">
        <v>1012</v>
      </c>
      <c r="R38" s="282"/>
      <c r="S38" s="283"/>
    </row>
    <row r="39" spans="2:19" x14ac:dyDescent="0.25">
      <c r="E39" s="119"/>
      <c r="F39" s="124"/>
      <c r="G39" s="116"/>
      <c r="H39" s="116"/>
      <c r="I39" s="124"/>
      <c r="J39" s="124"/>
      <c r="K39" s="125"/>
      <c r="M39" s="81"/>
      <c r="S39" s="80"/>
    </row>
    <row r="40" spans="2:19" ht="15.75" thickBot="1" x14ac:dyDescent="0.3">
      <c r="D40" s="75"/>
      <c r="E40" s="121"/>
      <c r="F40" s="122" t="s">
        <v>989</v>
      </c>
      <c r="G40" s="126" t="e">
        <f>(G37/((G36/G35)^G38))</f>
        <v>#REF!</v>
      </c>
      <c r="H40" s="122" t="s">
        <v>112</v>
      </c>
      <c r="I40" s="284" t="s">
        <v>1013</v>
      </c>
      <c r="J40" s="284"/>
      <c r="K40" s="285"/>
      <c r="M40" s="88"/>
      <c r="N40" s="84" t="s">
        <v>989</v>
      </c>
      <c r="O40" s="102" t="e">
        <f>O37*((O36/O35)^O38)</f>
        <v>#VALUE!</v>
      </c>
      <c r="P40" s="84" t="s">
        <v>112</v>
      </c>
      <c r="Q40" s="286" t="s">
        <v>792</v>
      </c>
      <c r="R40" s="286"/>
      <c r="S40" s="287"/>
    </row>
    <row r="43" spans="2:19" x14ac:dyDescent="0.25">
      <c r="B43" s="22" t="s">
        <v>1015</v>
      </c>
    </row>
  </sheetData>
  <mergeCells count="40">
    <mergeCell ref="I8:K8"/>
    <mergeCell ref="Q8:S8"/>
    <mergeCell ref="E23:K23"/>
    <mergeCell ref="M23:S23"/>
    <mergeCell ref="I26:K26"/>
    <mergeCell ref="Q26:S26"/>
    <mergeCell ref="E13:J13"/>
    <mergeCell ref="M13:S13"/>
    <mergeCell ref="I15:K15"/>
    <mergeCell ref="Q15:S15"/>
    <mergeCell ref="I16:K16"/>
    <mergeCell ref="Q16:S16"/>
    <mergeCell ref="I17:K17"/>
    <mergeCell ref="Q17:S17"/>
    <mergeCell ref="I18:K18"/>
    <mergeCell ref="Q18:S18"/>
    <mergeCell ref="E3:K3"/>
    <mergeCell ref="M3:S3"/>
    <mergeCell ref="I6:K6"/>
    <mergeCell ref="Q6:S6"/>
    <mergeCell ref="I7:K7"/>
    <mergeCell ref="Q7:S7"/>
    <mergeCell ref="I20:K20"/>
    <mergeCell ref="Q20:S20"/>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A796-9A54-4E0D-A9C4-5D78B0E379DD}">
  <dimension ref="B2:H37"/>
  <sheetViews>
    <sheetView zoomScale="130" zoomScaleNormal="130" workbookViewId="0">
      <selection activeCell="O20" sqref="O20"/>
    </sheetView>
  </sheetViews>
  <sheetFormatPr baseColWidth="10" defaultColWidth="11.42578125" defaultRowHeight="15" x14ac:dyDescent="0.25"/>
  <cols>
    <col min="2" max="2" width="28.5703125" bestFit="1" customWidth="1"/>
    <col min="3" max="3" width="35.28515625" bestFit="1" customWidth="1"/>
    <col min="4" max="4" width="32.85546875" customWidth="1"/>
    <col min="5" max="19" width="11.28515625" customWidth="1"/>
  </cols>
  <sheetData>
    <row r="2" spans="2:4" ht="15.75" thickBot="1" x14ac:dyDescent="0.3">
      <c r="B2" s="22" t="e">
        <f>clc_load!#REF!</f>
        <v>#REF!</v>
      </c>
    </row>
    <row r="3" spans="2:4" ht="15.75" thickBot="1" x14ac:dyDescent="0.3">
      <c r="B3" t="s">
        <v>1016</v>
      </c>
      <c r="C3" s="104">
        <f>clc_load!$M$72/1000</f>
        <v>0.81935420937513648</v>
      </c>
      <c r="D3" t="s">
        <v>1017</v>
      </c>
    </row>
    <row r="4" spans="2:4" s="46" customFormat="1" ht="30.75" thickBot="1" x14ac:dyDescent="0.3">
      <c r="B4" s="46" t="s">
        <v>1018</v>
      </c>
      <c r="C4" s="127">
        <f>(clc_flat!$C$14)/1000</f>
        <v>0</v>
      </c>
      <c r="D4" s="46" t="s">
        <v>1017</v>
      </c>
    </row>
    <row r="5" spans="2:4" s="46" customFormat="1" ht="30.75" thickBot="1" x14ac:dyDescent="0.3">
      <c r="B5" s="46" t="s">
        <v>1019</v>
      </c>
      <c r="C5" s="128">
        <f>$C$4/$C$3</f>
        <v>0</v>
      </c>
    </row>
    <row r="6" spans="2:4" s="46" customFormat="1" ht="45.75" thickBot="1" x14ac:dyDescent="0.3">
      <c r="B6" s="46" t="s">
        <v>1020</v>
      </c>
      <c r="C6" s="127">
        <f>(clc_flat!$C$16)/1000</f>
        <v>0</v>
      </c>
      <c r="D6" s="46" t="s">
        <v>1017</v>
      </c>
    </row>
    <row r="7" spans="2:4" ht="30.75" thickBot="1" x14ac:dyDescent="0.3">
      <c r="B7" s="46" t="s">
        <v>1021</v>
      </c>
      <c r="C7" s="128">
        <f>$C$6/$C$3</f>
        <v>0</v>
      </c>
      <c r="D7" s="46"/>
    </row>
    <row r="8" spans="2:4" ht="30.75" thickBot="1" x14ac:dyDescent="0.3">
      <c r="B8" s="46" t="s">
        <v>1022</v>
      </c>
      <c r="C8" s="128">
        <f>clc_flat!C17/1000/$C$3</f>
        <v>0</v>
      </c>
      <c r="D8" s="46"/>
    </row>
    <row r="9" spans="2:4" ht="25.5" customHeight="1" thickBot="1" x14ac:dyDescent="0.3">
      <c r="B9" s="46" t="s">
        <v>1023</v>
      </c>
      <c r="C9" s="128"/>
    </row>
    <row r="10" spans="2:4" ht="25.5" customHeight="1" thickBot="1" x14ac:dyDescent="0.3">
      <c r="C10" s="128"/>
    </row>
    <row r="11" spans="2:4" ht="25.5" customHeight="1" thickBot="1" x14ac:dyDescent="0.3">
      <c r="C11" s="128"/>
    </row>
    <row r="15" spans="2:4" ht="15.75" thickBot="1" x14ac:dyDescent="0.3">
      <c r="B15" s="22" t="s">
        <v>1024</v>
      </c>
      <c r="D15" t="s">
        <v>1017</v>
      </c>
    </row>
    <row r="16" spans="2:4" ht="15.75" thickBot="1" x14ac:dyDescent="0.3">
      <c r="B16" t="str">
        <f>B3</f>
        <v>Heizlast</v>
      </c>
      <c r="C16" s="21"/>
      <c r="D16" t="s">
        <v>1017</v>
      </c>
    </row>
    <row r="17" spans="2:8" ht="30.75" thickBot="1" x14ac:dyDescent="0.3">
      <c r="B17" s="46" t="str">
        <f>B4</f>
        <v>Norm-Heizleistung aller Heizkörper</v>
      </c>
      <c r="C17" s="21"/>
      <c r="D17" t="s">
        <v>1004</v>
      </c>
    </row>
    <row r="18" spans="2:8" ht="30.75" thickBot="1" x14ac:dyDescent="0.3">
      <c r="B18" s="46" t="str">
        <f>B5</f>
        <v>Deckungsgrad total bei Normbedingungen</v>
      </c>
      <c r="C18" s="128"/>
      <c r="D18" t="s">
        <v>1004</v>
      </c>
    </row>
    <row r="19" spans="2:8" ht="30.75" thickBot="1" x14ac:dyDescent="0.3">
      <c r="B19" s="46" t="str">
        <f>B7</f>
        <v>Deckungsgrad total bei NT-ready</v>
      </c>
      <c r="C19" s="128"/>
    </row>
    <row r="21" spans="2:8" ht="15.75" thickBot="1" x14ac:dyDescent="0.3">
      <c r="B21" s="22" t="s">
        <v>1025</v>
      </c>
      <c r="D21" t="s">
        <v>1017</v>
      </c>
    </row>
    <row r="22" spans="2:8" ht="15.75" thickBot="1" x14ac:dyDescent="0.3">
      <c r="B22" t="str">
        <f>B16</f>
        <v>Heizlast</v>
      </c>
      <c r="C22" s="21"/>
      <c r="D22" t="s">
        <v>1017</v>
      </c>
    </row>
    <row r="23" spans="2:8" ht="30.75" thickBot="1" x14ac:dyDescent="0.3">
      <c r="B23" s="46" t="str">
        <f>B17</f>
        <v>Norm-Heizleistung aller Heizkörper</v>
      </c>
      <c r="C23" s="21"/>
      <c r="D23" t="s">
        <v>1004</v>
      </c>
    </row>
    <row r="24" spans="2:8" ht="30.75" thickBot="1" x14ac:dyDescent="0.3">
      <c r="B24" s="46" t="str">
        <f>B18</f>
        <v>Deckungsgrad total bei Normbedingungen</v>
      </c>
      <c r="C24" s="128"/>
      <c r="D24" t="s">
        <v>1004</v>
      </c>
    </row>
    <row r="25" spans="2:8" ht="30.75" thickBot="1" x14ac:dyDescent="0.3">
      <c r="B25" s="46" t="str">
        <f>B19</f>
        <v>Deckungsgrad total bei NT-ready</v>
      </c>
      <c r="C25" s="128"/>
      <c r="E25" s="44"/>
      <c r="F25" s="76"/>
      <c r="G25" s="76"/>
      <c r="H25" s="74"/>
    </row>
    <row r="26" spans="2:8" x14ac:dyDescent="0.25">
      <c r="E26" s="44"/>
      <c r="F26" s="76"/>
      <c r="G26" s="76"/>
      <c r="H26" s="74"/>
    </row>
    <row r="27" spans="2:8" ht="15.75" thickBot="1" x14ac:dyDescent="0.3">
      <c r="B27" s="22" t="s">
        <v>1026</v>
      </c>
      <c r="D27" t="s">
        <v>1017</v>
      </c>
      <c r="E27" s="44"/>
      <c r="F27" s="76"/>
      <c r="G27" s="76"/>
      <c r="H27" s="74"/>
    </row>
    <row r="28" spans="2:8" ht="15.75" thickBot="1" x14ac:dyDescent="0.3">
      <c r="B28" t="str">
        <f>B22</f>
        <v>Heizlast</v>
      </c>
      <c r="C28" s="21"/>
      <c r="D28" t="s">
        <v>1017</v>
      </c>
    </row>
    <row r="29" spans="2:8" ht="30.75" thickBot="1" x14ac:dyDescent="0.3">
      <c r="B29" s="46" t="str">
        <f>B23</f>
        <v>Norm-Heizleistung aller Heizkörper</v>
      </c>
      <c r="C29" s="21"/>
      <c r="D29" t="s">
        <v>1004</v>
      </c>
    </row>
    <row r="30" spans="2:8" ht="30.75" thickBot="1" x14ac:dyDescent="0.3">
      <c r="B30" s="46" t="str">
        <f>B24</f>
        <v>Deckungsgrad total bei Normbedingungen</v>
      </c>
      <c r="C30" s="128"/>
      <c r="D30" t="s">
        <v>1004</v>
      </c>
    </row>
    <row r="31" spans="2:8" ht="30.75" thickBot="1" x14ac:dyDescent="0.3">
      <c r="B31" s="46" t="str">
        <f>B25</f>
        <v>Deckungsgrad total bei NT-ready</v>
      </c>
      <c r="C31" s="128"/>
      <c r="G31" s="77"/>
      <c r="H31" s="77"/>
    </row>
    <row r="33" spans="2:4" ht="15.75" thickBot="1" x14ac:dyDescent="0.3">
      <c r="B33" s="22" t="s">
        <v>1027</v>
      </c>
      <c r="D33" t="s">
        <v>1017</v>
      </c>
    </row>
    <row r="34" spans="2:4" ht="15.75" thickBot="1" x14ac:dyDescent="0.3">
      <c r="B34" t="str">
        <f>B28</f>
        <v>Heizlast</v>
      </c>
      <c r="C34" s="21"/>
      <c r="D34" t="s">
        <v>1017</v>
      </c>
    </row>
    <row r="35" spans="2:4" ht="30.75" thickBot="1" x14ac:dyDescent="0.3">
      <c r="B35" s="46" t="str">
        <f>B29</f>
        <v>Norm-Heizleistung aller Heizkörper</v>
      </c>
      <c r="C35" s="21"/>
      <c r="D35" t="s">
        <v>1004</v>
      </c>
    </row>
    <row r="36" spans="2:4" ht="30.75" thickBot="1" x14ac:dyDescent="0.3">
      <c r="B36" s="46" t="str">
        <f>B30</f>
        <v>Deckungsgrad total bei Normbedingungen</v>
      </c>
      <c r="C36" s="128"/>
      <c r="D36" t="s">
        <v>1004</v>
      </c>
    </row>
    <row r="37" spans="2:4" ht="30.75" thickBot="1" x14ac:dyDescent="0.3">
      <c r="B37" s="46" t="str">
        <f>B31</f>
        <v>Deckungsgrad total bei NT-ready</v>
      </c>
      <c r="C37" s="128"/>
    </row>
  </sheetData>
  <conditionalFormatting sqref="C5">
    <cfRule type="iconSet" priority="10">
      <iconSet iconSet="3Symbols">
        <cfvo type="percent" val="0"/>
        <cfvo type="num" val="0"/>
        <cfvo type="num" val="0.95"/>
      </iconSet>
    </cfRule>
  </conditionalFormatting>
  <conditionalFormatting sqref="C7:C11">
    <cfRule type="iconSet" priority="9">
      <iconSet iconSet="3Symbols">
        <cfvo type="percent" val="0"/>
        <cfvo type="num" val="0"/>
        <cfvo type="num" val="0.95"/>
      </iconSet>
    </cfRule>
  </conditionalFormatting>
  <conditionalFormatting sqref="C18">
    <cfRule type="iconSet" priority="8">
      <iconSet iconSet="3Symbols">
        <cfvo type="percent" val="0"/>
        <cfvo type="num" val="0"/>
        <cfvo type="num" val="0.95"/>
      </iconSet>
    </cfRule>
  </conditionalFormatting>
  <conditionalFormatting sqref="C19">
    <cfRule type="iconSet" priority="7">
      <iconSet iconSet="3Symbols">
        <cfvo type="percent" val="0"/>
        <cfvo type="num" val="0"/>
        <cfvo type="num" val="0.95"/>
      </iconSet>
    </cfRule>
  </conditionalFormatting>
  <conditionalFormatting sqref="C24">
    <cfRule type="iconSet" priority="6">
      <iconSet iconSet="3Symbols">
        <cfvo type="percent" val="0"/>
        <cfvo type="num" val="0"/>
        <cfvo type="num" val="0.95"/>
      </iconSet>
    </cfRule>
  </conditionalFormatting>
  <conditionalFormatting sqref="C25">
    <cfRule type="iconSet" priority="5">
      <iconSet iconSet="3Symbols">
        <cfvo type="percent" val="0"/>
        <cfvo type="num" val="0"/>
        <cfvo type="num" val="0.95"/>
      </iconSet>
    </cfRule>
  </conditionalFormatting>
  <conditionalFormatting sqref="C30">
    <cfRule type="iconSet" priority="4">
      <iconSet iconSet="3Symbols">
        <cfvo type="percent" val="0"/>
        <cfvo type="num" val="0"/>
        <cfvo type="num" val="0.95"/>
      </iconSet>
    </cfRule>
  </conditionalFormatting>
  <conditionalFormatting sqref="C31">
    <cfRule type="iconSet" priority="3">
      <iconSet iconSet="3Symbols">
        <cfvo type="percent" val="0"/>
        <cfvo type="num" val="0"/>
        <cfvo type="num" val="0.95"/>
      </iconSet>
    </cfRule>
  </conditionalFormatting>
  <conditionalFormatting sqref="C36">
    <cfRule type="iconSet" priority="2">
      <iconSet iconSet="3Symbols">
        <cfvo type="percent" val="0"/>
        <cfvo type="num" val="0"/>
        <cfvo type="num" val="0.95"/>
      </iconSet>
    </cfRule>
  </conditionalFormatting>
  <conditionalFormatting sqref="C37">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F56D-6C76-4566-A049-49338EF8C2E1}">
  <dimension ref="B2:T43"/>
  <sheetViews>
    <sheetView zoomScale="85" zoomScaleNormal="85" workbookViewId="0">
      <selection activeCell="I35" sqref="I35:K35"/>
    </sheetView>
  </sheetViews>
  <sheetFormatPr baseColWidth="10" defaultColWidth="11.42578125" defaultRowHeight="15" x14ac:dyDescent="0.25"/>
  <cols>
    <col min="2" max="2" width="26.140625" bestFit="1" customWidth="1"/>
    <col min="3" max="3" width="35.28515625" bestFit="1" customWidth="1"/>
    <col min="4" max="4" width="32.85546875" customWidth="1"/>
    <col min="5" max="19" width="11.28515625" customWidth="1"/>
  </cols>
  <sheetData>
    <row r="2" spans="2:20" ht="15.75" thickBot="1" x14ac:dyDescent="0.3">
      <c r="B2" s="22" t="s">
        <v>985</v>
      </c>
    </row>
    <row r="3" spans="2:20" ht="15.75" thickBot="1" x14ac:dyDescent="0.3">
      <c r="B3" t="e">
        <f>IN_rooms!#REF!</f>
        <v>#REF!</v>
      </c>
      <c r="C3" s="21" t="str">
        <f>IF(IN_rooms!R49="Flachheizkörper",IN_rooms!R49,"Siehe Berechnungsreiter entsprechend Heizkörpertyp")</f>
        <v>Siehe Berechnungsreiter entsprechend Heizkörpertyp</v>
      </c>
      <c r="E3" s="277" t="s">
        <v>986</v>
      </c>
      <c r="F3" s="278"/>
      <c r="G3" s="278"/>
      <c r="H3" s="278"/>
      <c r="I3" s="278"/>
      <c r="J3" s="278"/>
      <c r="K3" s="279"/>
      <c r="L3" s="80"/>
      <c r="M3" s="277" t="s">
        <v>987</v>
      </c>
      <c r="N3" s="278"/>
      <c r="O3" s="278"/>
      <c r="P3" s="278"/>
      <c r="Q3" s="278"/>
      <c r="R3" s="278"/>
      <c r="S3" s="279"/>
    </row>
    <row r="4" spans="2:20" ht="15.75" thickBot="1" x14ac:dyDescent="0.3">
      <c r="B4" t="e">
        <f>IN_rooms!#REF!</f>
        <v>#REF!</v>
      </c>
      <c r="C4" s="21">
        <f>IN_rooms!R50</f>
        <v>0</v>
      </c>
      <c r="E4" s="81"/>
      <c r="K4" s="80"/>
      <c r="M4" s="81"/>
      <c r="S4" s="80"/>
      <c r="T4" t="s">
        <v>1028</v>
      </c>
    </row>
    <row r="5" spans="2:20" ht="15.75" thickBot="1" x14ac:dyDescent="0.3">
      <c r="B5" t="e">
        <f>IN_rooms!#REF!</f>
        <v>#REF!</v>
      </c>
      <c r="C5" s="21">
        <v>20</v>
      </c>
      <c r="E5" s="81"/>
      <c r="K5" s="80"/>
      <c r="M5" s="81"/>
      <c r="S5" s="80"/>
    </row>
    <row r="6" spans="2:20" ht="25.5" customHeight="1" thickBot="1" x14ac:dyDescent="0.3">
      <c r="B6" t="e">
        <f>IN_rooms!#REF!</f>
        <v>#REF!</v>
      </c>
      <c r="C6" s="21">
        <f>IN_rooms!R51</f>
        <v>0</v>
      </c>
      <c r="D6" t="s">
        <v>431</v>
      </c>
      <c r="E6" s="89" t="s">
        <v>988</v>
      </c>
      <c r="F6" s="82" t="s">
        <v>989</v>
      </c>
      <c r="G6" s="91">
        <v>70</v>
      </c>
      <c r="H6" s="90" t="s">
        <v>107</v>
      </c>
      <c r="I6" s="282" t="s">
        <v>990</v>
      </c>
      <c r="J6" s="282"/>
      <c r="K6" s="283"/>
      <c r="M6" s="89" t="s">
        <v>988</v>
      </c>
      <c r="N6" s="82" t="s">
        <v>989</v>
      </c>
      <c r="O6" s="91">
        <v>75</v>
      </c>
      <c r="P6" s="90" t="s">
        <v>107</v>
      </c>
      <c r="Q6" s="282" t="s">
        <v>991</v>
      </c>
      <c r="R6" s="282"/>
      <c r="S6" s="283"/>
    </row>
    <row r="7" spans="2:20" ht="25.5" customHeight="1" thickBot="1" x14ac:dyDescent="0.3">
      <c r="B7" t="e">
        <f>IN_rooms!#REF!</f>
        <v>#REF!</v>
      </c>
      <c r="C7" s="21">
        <f>IF(IN_rooms!R52=0,1000,IN_rooms!R52)</f>
        <v>1000</v>
      </c>
      <c r="D7" t="s">
        <v>431</v>
      </c>
      <c r="E7" s="92" t="s">
        <v>992</v>
      </c>
      <c r="F7" s="83" t="s">
        <v>989</v>
      </c>
      <c r="G7" s="93">
        <v>55</v>
      </c>
      <c r="H7" s="94" t="s">
        <v>107</v>
      </c>
      <c r="I7" s="282" t="s">
        <v>993</v>
      </c>
      <c r="J7" s="282"/>
      <c r="K7" s="283"/>
      <c r="M7" s="92" t="s">
        <v>992</v>
      </c>
      <c r="N7" s="83" t="s">
        <v>989</v>
      </c>
      <c r="O7" s="93">
        <v>65</v>
      </c>
      <c r="P7" s="94" t="s">
        <v>107</v>
      </c>
      <c r="Q7" s="282" t="s">
        <v>994</v>
      </c>
      <c r="R7" s="282"/>
      <c r="S7" s="283"/>
    </row>
    <row r="8" spans="2:20" ht="25.5" customHeight="1" thickBot="1" x14ac:dyDescent="0.3">
      <c r="B8" t="e">
        <f>IN_rooms!#REF!</f>
        <v>#REF!</v>
      </c>
      <c r="C8" s="21">
        <f>IN_rooms!R53</f>
        <v>0</v>
      </c>
      <c r="D8" t="s">
        <v>431</v>
      </c>
      <c r="E8" s="95" t="s">
        <v>995</v>
      </c>
      <c r="F8" s="84" t="s">
        <v>989</v>
      </c>
      <c r="G8" s="96">
        <v>20</v>
      </c>
      <c r="H8" s="97" t="s">
        <v>107</v>
      </c>
      <c r="I8" s="282" t="s">
        <v>996</v>
      </c>
      <c r="J8" s="282"/>
      <c r="K8" s="283"/>
      <c r="M8" s="95" t="s">
        <v>995</v>
      </c>
      <c r="N8" s="84" t="s">
        <v>989</v>
      </c>
      <c r="O8" s="96">
        <f>C12</f>
        <v>20</v>
      </c>
      <c r="P8" s="97" t="s">
        <v>107</v>
      </c>
      <c r="Q8" s="282" t="s">
        <v>997</v>
      </c>
      <c r="R8" s="282"/>
      <c r="S8" s="283"/>
    </row>
    <row r="9" spans="2:20" ht="15.75" thickBot="1" x14ac:dyDescent="0.3">
      <c r="B9" s="46" t="e">
        <f>IN_rooms!#REF!</f>
        <v>#REF!</v>
      </c>
      <c r="C9" s="21">
        <f>IN_rooms!R54</f>
        <v>0</v>
      </c>
      <c r="D9" t="s">
        <v>1003</v>
      </c>
      <c r="E9" s="81"/>
      <c r="G9" s="83"/>
      <c r="H9" s="83"/>
      <c r="K9" s="80"/>
      <c r="M9" s="81"/>
      <c r="O9" s="83"/>
      <c r="P9" s="83"/>
      <c r="S9" s="80"/>
    </row>
    <row r="10" spans="2:20" ht="25.5" customHeight="1" thickBot="1" x14ac:dyDescent="0.3">
      <c r="B10" t="s">
        <v>781</v>
      </c>
      <c r="C10" s="21">
        <f>SUMIFS(Data_radiator!$X$5:$X$385,Data_radiator!$C$5:$C$385,Umrechnungshilfe_705520!$C$3,Data_radiator!$D$5:$D$385,Umrechnungshilfe_705520!$C$4,Data_radiator!$G$5:$G$385,Umrechnungshilfe_705520!$C$6,Data_radiator!$L$5:$L$385,Umrechnungshilfe_705520!$C$8,Data_radiator!$F$5:$F$385,Umrechnungshilfe_705520!$C$5)</f>
        <v>0</v>
      </c>
      <c r="D10" t="s">
        <v>1004</v>
      </c>
      <c r="E10" s="95" t="s">
        <v>1000</v>
      </c>
      <c r="F10" s="84" t="s">
        <v>989</v>
      </c>
      <c r="G10" s="98">
        <f>(G6-G7)/(LN((G6-G8)/(G7-G8)))</f>
        <v>42.055098780856937</v>
      </c>
      <c r="H10" s="84" t="s">
        <v>791</v>
      </c>
      <c r="I10" s="85"/>
      <c r="J10" s="85"/>
      <c r="K10" s="86"/>
      <c r="M10" s="95" t="s">
        <v>1001</v>
      </c>
      <c r="N10" s="84" t="s">
        <v>989</v>
      </c>
      <c r="O10" s="98">
        <f>(O6-O7)/(LN((O6-O8)/(O7-O8)))</f>
        <v>49.83288654563971</v>
      </c>
      <c r="P10" s="84" t="s">
        <v>791</v>
      </c>
      <c r="Q10" s="85"/>
      <c r="R10" s="85"/>
      <c r="S10" s="86"/>
    </row>
    <row r="11" spans="2:20" ht="25.5" customHeight="1" thickBot="1" x14ac:dyDescent="0.3">
      <c r="B11" t="s">
        <v>783</v>
      </c>
      <c r="C11" s="129">
        <v>1497</v>
      </c>
    </row>
    <row r="12" spans="2:20" ht="30.75" thickBot="1" x14ac:dyDescent="0.3">
      <c r="B12" s="103" t="s">
        <v>667</v>
      </c>
      <c r="C12" s="21">
        <v>20</v>
      </c>
      <c r="D12" t="s">
        <v>107</v>
      </c>
    </row>
    <row r="13" spans="2:20" ht="25.5" customHeight="1" thickBot="1" x14ac:dyDescent="0.3">
      <c r="B13" s="78" t="s">
        <v>1029</v>
      </c>
      <c r="C13" s="21">
        <v>55</v>
      </c>
      <c r="D13" t="s">
        <v>107</v>
      </c>
      <c r="E13" s="275" t="s">
        <v>1005</v>
      </c>
      <c r="F13" s="276"/>
      <c r="G13" s="276"/>
      <c r="H13" s="276"/>
      <c r="I13" s="276"/>
      <c r="J13" s="276"/>
      <c r="K13" s="110"/>
      <c r="L13" s="87"/>
      <c r="M13" s="277" t="s">
        <v>1006</v>
      </c>
      <c r="N13" s="278"/>
      <c r="O13" s="278"/>
      <c r="P13" s="278"/>
      <c r="Q13" s="278"/>
      <c r="R13" s="278"/>
      <c r="S13" s="279"/>
    </row>
    <row r="14" spans="2:20" ht="25.5" customHeight="1" thickBot="1" x14ac:dyDescent="0.3">
      <c r="B14" s="78" t="s">
        <v>1030</v>
      </c>
      <c r="C14" s="21">
        <v>45</v>
      </c>
      <c r="D14" t="s">
        <v>107</v>
      </c>
      <c r="E14" s="111"/>
      <c r="F14" s="112"/>
      <c r="G14" s="112"/>
      <c r="H14" s="112"/>
      <c r="I14" s="112"/>
      <c r="J14" s="112"/>
      <c r="K14" s="113"/>
      <c r="L14" s="87"/>
      <c r="M14" s="81"/>
      <c r="S14" s="80"/>
    </row>
    <row r="15" spans="2:20" ht="25.5" customHeight="1" thickBot="1" x14ac:dyDescent="0.3">
      <c r="B15" t="s">
        <v>1007</v>
      </c>
      <c r="C15" s="104">
        <f>C16/C11</f>
        <v>1.2468281612632028</v>
      </c>
      <c r="D15" t="s">
        <v>1004</v>
      </c>
      <c r="E15" s="108" t="s">
        <v>1000</v>
      </c>
      <c r="F15" s="109" t="s">
        <v>989</v>
      </c>
      <c r="G15" s="114">
        <f>G10</f>
        <v>42.055098780856937</v>
      </c>
      <c r="H15" s="110" t="s">
        <v>791</v>
      </c>
      <c r="I15" s="280" t="s">
        <v>986</v>
      </c>
      <c r="J15" s="280"/>
      <c r="K15" s="281"/>
      <c r="M15" s="89" t="s">
        <v>1000</v>
      </c>
      <c r="N15" s="82" t="s">
        <v>989</v>
      </c>
      <c r="O15" s="99">
        <f>G10</f>
        <v>42.055098780856937</v>
      </c>
      <c r="P15" s="90" t="s">
        <v>791</v>
      </c>
      <c r="Q15" s="282" t="s">
        <v>986</v>
      </c>
      <c r="R15" s="282"/>
      <c r="S15" s="283"/>
    </row>
    <row r="16" spans="2:20" ht="25.5" customHeight="1" thickBot="1" x14ac:dyDescent="0.3">
      <c r="B16" t="s">
        <v>1031</v>
      </c>
      <c r="C16" s="129">
        <f>O20</f>
        <v>1866.5017574110148</v>
      </c>
      <c r="D16" t="s">
        <v>112</v>
      </c>
      <c r="E16" s="115" t="s">
        <v>1001</v>
      </c>
      <c r="F16" s="116" t="s">
        <v>989</v>
      </c>
      <c r="G16" s="117">
        <f>O10</f>
        <v>49.83288654563971</v>
      </c>
      <c r="H16" s="118" t="s">
        <v>791</v>
      </c>
      <c r="I16" s="280" t="s">
        <v>987</v>
      </c>
      <c r="J16" s="280"/>
      <c r="K16" s="281"/>
      <c r="M16" s="92" t="s">
        <v>1001</v>
      </c>
      <c r="N16" s="83" t="s">
        <v>989</v>
      </c>
      <c r="O16" s="100">
        <f>O10</f>
        <v>49.83288654563971</v>
      </c>
      <c r="P16" s="94" t="s">
        <v>791</v>
      </c>
      <c r="Q16" s="282" t="s">
        <v>987</v>
      </c>
      <c r="R16" s="282"/>
      <c r="S16" s="283"/>
    </row>
    <row r="17" spans="2:19" ht="25.5" customHeight="1" x14ac:dyDescent="0.25">
      <c r="E17" s="119"/>
      <c r="F17" s="116" t="s">
        <v>989</v>
      </c>
      <c r="G17" s="120" t="e">
        <f>clc_load!$M$72/clc_load!#REF!</f>
        <v>#REF!</v>
      </c>
      <c r="H17" s="118" t="s">
        <v>112</v>
      </c>
      <c r="I17" s="280" t="s">
        <v>1010</v>
      </c>
      <c r="J17" s="280"/>
      <c r="K17" s="281"/>
      <c r="M17" s="81"/>
      <c r="N17" s="83" t="s">
        <v>989</v>
      </c>
      <c r="O17" s="101">
        <f>C11</f>
        <v>1497</v>
      </c>
      <c r="P17" s="94" t="s">
        <v>112</v>
      </c>
      <c r="Q17" s="282" t="s">
        <v>1011</v>
      </c>
      <c r="R17" s="282"/>
      <c r="S17" s="283"/>
    </row>
    <row r="18" spans="2:19" ht="25.5" customHeight="1" thickBot="1" x14ac:dyDescent="0.3">
      <c r="E18" s="121" t="s">
        <v>137</v>
      </c>
      <c r="F18" s="122" t="s">
        <v>989</v>
      </c>
      <c r="G18" s="122">
        <f>C10</f>
        <v>0</v>
      </c>
      <c r="H18" s="123"/>
      <c r="I18" s="280" t="s">
        <v>781</v>
      </c>
      <c r="J18" s="280"/>
      <c r="K18" s="281"/>
      <c r="M18" s="95" t="s">
        <v>137</v>
      </c>
      <c r="N18" s="84" t="s">
        <v>989</v>
      </c>
      <c r="O18" s="96">
        <v>1.3</v>
      </c>
      <c r="P18" s="86"/>
      <c r="Q18" s="282" t="s">
        <v>1012</v>
      </c>
      <c r="R18" s="282"/>
      <c r="S18" s="283"/>
    </row>
    <row r="19" spans="2:19" ht="25.5" customHeight="1" x14ac:dyDescent="0.25">
      <c r="E19" s="119"/>
      <c r="F19" s="124"/>
      <c r="G19" s="116"/>
      <c r="H19" s="116"/>
      <c r="I19" s="124"/>
      <c r="J19" s="124"/>
      <c r="K19" s="125"/>
      <c r="M19" s="81"/>
      <c r="S19" s="80"/>
    </row>
    <row r="20" spans="2:19" ht="25.5" customHeight="1" thickBot="1" x14ac:dyDescent="0.3">
      <c r="D20" s="75"/>
      <c r="E20" s="121"/>
      <c r="F20" s="122" t="s">
        <v>989</v>
      </c>
      <c r="G20" s="126" t="e">
        <f>(G17/((G16/G15)^G18))</f>
        <v>#REF!</v>
      </c>
      <c r="H20" s="122" t="s">
        <v>112</v>
      </c>
      <c r="I20" s="284" t="s">
        <v>1013</v>
      </c>
      <c r="J20" s="284"/>
      <c r="K20" s="285"/>
      <c r="M20" s="88"/>
      <c r="N20" s="84" t="s">
        <v>989</v>
      </c>
      <c r="O20" s="102">
        <f>O17*((O16/O15)^O18)</f>
        <v>1866.5017574110148</v>
      </c>
      <c r="P20" s="84" t="s">
        <v>112</v>
      </c>
      <c r="Q20" s="286" t="s">
        <v>792</v>
      </c>
      <c r="R20" s="286"/>
      <c r="S20" s="287"/>
    </row>
    <row r="21" spans="2:19" ht="21.75" customHeight="1" x14ac:dyDescent="0.25">
      <c r="D21" s="75"/>
      <c r="E21" s="76"/>
      <c r="F21" s="76"/>
      <c r="G21" s="76"/>
      <c r="H21" s="74"/>
    </row>
    <row r="22" spans="2:19" ht="22.5" customHeight="1" thickBot="1" x14ac:dyDescent="0.3">
      <c r="B22" s="22" t="s">
        <v>1014</v>
      </c>
    </row>
    <row r="23" spans="2:19" ht="15.75" thickBot="1" x14ac:dyDescent="0.3">
      <c r="B23" s="46" t="e">
        <f>B3</f>
        <v>#REF!</v>
      </c>
      <c r="C23" s="21" t="str">
        <f>IF(IN_rooms!R56="Flachheizkörper",IN_rooms!R49,"Siehe Berechnungsreiter entsprechend Heizkörpertyp")</f>
        <v>Siehe Berechnungsreiter entsprechend Heizkörpertyp</v>
      </c>
      <c r="E23" s="277" t="s">
        <v>986</v>
      </c>
      <c r="F23" s="278"/>
      <c r="G23" s="278"/>
      <c r="H23" s="278"/>
      <c r="I23" s="278"/>
      <c r="J23" s="278"/>
      <c r="K23" s="279"/>
      <c r="L23" s="80"/>
      <c r="M23" s="277" t="s">
        <v>987</v>
      </c>
      <c r="N23" s="278"/>
      <c r="O23" s="278"/>
      <c r="P23" s="278"/>
      <c r="Q23" s="278"/>
      <c r="R23" s="278"/>
      <c r="S23" s="279"/>
    </row>
    <row r="24" spans="2:19" ht="15.75" thickBot="1" x14ac:dyDescent="0.3">
      <c r="B24" s="46" t="e">
        <f>B4</f>
        <v>#REF!</v>
      </c>
      <c r="C24" s="21">
        <f>IN_rooms!R57</f>
        <v>0</v>
      </c>
      <c r="E24" s="81"/>
      <c r="K24" s="80"/>
      <c r="M24" s="81"/>
      <c r="S24" s="80"/>
    </row>
    <row r="25" spans="2:19" ht="15.75" thickBot="1" x14ac:dyDescent="0.3">
      <c r="B25" s="46" t="e">
        <f>B5</f>
        <v>#REF!</v>
      </c>
      <c r="C25" s="21" t="e">
        <f>IN_rooms!#REF!</f>
        <v>#REF!</v>
      </c>
      <c r="E25" s="81"/>
      <c r="K25" s="80"/>
      <c r="M25" s="81"/>
      <c r="S25" s="80"/>
    </row>
    <row r="26" spans="2:19" ht="18.75" thickBot="1" x14ac:dyDescent="0.3">
      <c r="B26" s="46" t="e">
        <f t="shared" ref="B26:B36" si="0">B6</f>
        <v>#REF!</v>
      </c>
      <c r="C26" s="21">
        <f>IN_rooms!R58</f>
        <v>0</v>
      </c>
      <c r="D26" t="s">
        <v>431</v>
      </c>
      <c r="E26" s="89" t="s">
        <v>988</v>
      </c>
      <c r="F26" s="82" t="s">
        <v>989</v>
      </c>
      <c r="G26" s="91">
        <v>70</v>
      </c>
      <c r="H26" s="90" t="s">
        <v>107</v>
      </c>
      <c r="I26" s="282" t="s">
        <v>990</v>
      </c>
      <c r="J26" s="282"/>
      <c r="K26" s="283"/>
      <c r="M26" s="89" t="s">
        <v>988</v>
      </c>
      <c r="N26" s="82" t="s">
        <v>989</v>
      </c>
      <c r="O26" s="91">
        <v>55</v>
      </c>
      <c r="P26" s="90" t="s">
        <v>107</v>
      </c>
      <c r="Q26" s="282" t="s">
        <v>991</v>
      </c>
      <c r="R26" s="282"/>
      <c r="S26" s="283"/>
    </row>
    <row r="27" spans="2:19" ht="18.75" thickBot="1" x14ac:dyDescent="0.3">
      <c r="B27" s="46" t="e">
        <f t="shared" si="0"/>
        <v>#REF!</v>
      </c>
      <c r="C27" s="21">
        <f>IN_rooms!R59</f>
        <v>0</v>
      </c>
      <c r="D27" t="s">
        <v>431</v>
      </c>
      <c r="E27" s="92" t="s">
        <v>992</v>
      </c>
      <c r="F27" s="83" t="s">
        <v>989</v>
      </c>
      <c r="G27" s="93">
        <v>55</v>
      </c>
      <c r="H27" s="94" t="s">
        <v>107</v>
      </c>
      <c r="I27" s="282" t="s">
        <v>993</v>
      </c>
      <c r="J27" s="282"/>
      <c r="K27" s="283"/>
      <c r="M27" s="92" t="s">
        <v>992</v>
      </c>
      <c r="N27" s="83" t="s">
        <v>989</v>
      </c>
      <c r="O27" s="93">
        <v>45</v>
      </c>
      <c r="P27" s="94" t="s">
        <v>107</v>
      </c>
      <c r="Q27" s="282" t="s">
        <v>994</v>
      </c>
      <c r="R27" s="282"/>
      <c r="S27" s="283"/>
    </row>
    <row r="28" spans="2:19" ht="18.75" thickBot="1" x14ac:dyDescent="0.3">
      <c r="B28" s="46" t="e">
        <f t="shared" si="0"/>
        <v>#REF!</v>
      </c>
      <c r="C28" s="21">
        <f>IN_rooms!R60</f>
        <v>0</v>
      </c>
      <c r="D28" t="s">
        <v>431</v>
      </c>
      <c r="E28" s="95" t="s">
        <v>995</v>
      </c>
      <c r="F28" s="84" t="s">
        <v>989</v>
      </c>
      <c r="G28" s="96">
        <v>20</v>
      </c>
      <c r="H28" s="97" t="s">
        <v>107</v>
      </c>
      <c r="I28" s="282" t="s">
        <v>996</v>
      </c>
      <c r="J28" s="282"/>
      <c r="K28" s="283"/>
      <c r="M28" s="95" t="s">
        <v>995</v>
      </c>
      <c r="N28" s="84" t="s">
        <v>989</v>
      </c>
      <c r="O28" s="96">
        <f>C32</f>
        <v>20</v>
      </c>
      <c r="P28" s="97" t="s">
        <v>107</v>
      </c>
      <c r="Q28" s="282" t="s">
        <v>997</v>
      </c>
      <c r="R28" s="282"/>
      <c r="S28" s="283"/>
    </row>
    <row r="29" spans="2:19" ht="15.75" thickBot="1" x14ac:dyDescent="0.3">
      <c r="B29" s="46" t="e">
        <f t="shared" si="0"/>
        <v>#REF!</v>
      </c>
      <c r="C29" s="21">
        <f>IN_rooms!R61</f>
        <v>0</v>
      </c>
      <c r="D29" t="s">
        <v>1003</v>
      </c>
      <c r="E29" s="81"/>
      <c r="G29" s="83"/>
      <c r="H29" s="83"/>
      <c r="K29" s="80"/>
      <c r="M29" s="81"/>
      <c r="O29" s="83"/>
      <c r="P29" s="83"/>
      <c r="S29" s="80"/>
    </row>
    <row r="30" spans="2:19" ht="18.75" thickBot="1" x14ac:dyDescent="0.3">
      <c r="B30" s="46" t="str">
        <f t="shared" si="0"/>
        <v>Heizkörperexponent</v>
      </c>
      <c r="C30" s="21" t="e" cm="1">
        <f t="array" ref="C30">_xlfn.AGGREGATE(15,6,Data_radiator!$X$5:$X$385/((Data_radiator!$C$5:$C$385=Umrechnungshilfe_705520!$C$3)*(Data_radiator!$D$5:$D$385=Umrechnungshilfe_705520!$C$4)*(Data_radiator!$G$5:$G$385=Umrechnungshilfe_705520!$C$6)*(Data_radiator!$L$5:$L$385=Umrechnungshilfe_705520!$C$8)),1)</f>
        <v>#NUM!</v>
      </c>
      <c r="D30" t="s">
        <v>1004</v>
      </c>
      <c r="E30" s="95" t="s">
        <v>1000</v>
      </c>
      <c r="F30" s="84" t="s">
        <v>989</v>
      </c>
      <c r="G30" s="98">
        <f>(G26-G27)/(LN((G26-G28)/(G27-G28)))</f>
        <v>42.055098780856937</v>
      </c>
      <c r="H30" s="84" t="s">
        <v>791</v>
      </c>
      <c r="I30" s="85"/>
      <c r="J30" s="85"/>
      <c r="K30" s="86"/>
      <c r="M30" s="95" t="s">
        <v>1001</v>
      </c>
      <c r="N30" s="84" t="s">
        <v>989</v>
      </c>
      <c r="O30" s="98">
        <f>(O26-O27)/(LN((O26-O28)/(O27-O28)))</f>
        <v>29.720134119884619</v>
      </c>
      <c r="P30" s="84" t="s">
        <v>791</v>
      </c>
      <c r="Q30" s="85"/>
      <c r="R30" s="85"/>
      <c r="S30" s="86"/>
    </row>
    <row r="31" spans="2:19" ht="15.75" thickBot="1" x14ac:dyDescent="0.3">
      <c r="B31" s="46" t="str">
        <f t="shared" si="0"/>
        <v>Norm-Heizleistung 75/65/20</v>
      </c>
      <c r="C31" s="129" t="str">
        <f>IF(C23="Flachheizkörper",SUMIFS(Data_radiator!$Z$5:$Z$385,Data_radiator!$C$5:$C$385,Umrechnungshilfe_705520!C23,Data_radiator!$D$5:$D$385,Umrechnungshilfe_705520!C24,Data_radiator!$F$5:$F$385,Umrechnungshilfe_705520!C25,Data_radiator!$G$5:$G$385,Umrechnungshilfe_705520!C26,Data_radiator!$L$5:$L$385,Umrechnungshilfe_705520!C28)*C27/1000,"Siehe Berechnungsreiter entsprechend Heizkörpertyp")</f>
        <v>Siehe Berechnungsreiter entsprechend Heizkörpertyp</v>
      </c>
      <c r="D31" t="s">
        <v>112</v>
      </c>
    </row>
    <row r="32" spans="2:19" ht="30.75" thickBot="1" x14ac:dyDescent="0.3">
      <c r="B32" s="46" t="str">
        <f t="shared" si="0"/>
        <v>Berechnungs-Raumtemperatur</v>
      </c>
      <c r="C32" s="21">
        <f>clc_load!$M$10</f>
        <v>20</v>
      </c>
      <c r="D32" t="s">
        <v>107</v>
      </c>
    </row>
    <row r="33" spans="2:19" ht="15.75" thickBot="1" x14ac:dyDescent="0.3">
      <c r="B33" s="46" t="str">
        <f t="shared" si="0"/>
        <v>θ,Vlneu</v>
      </c>
      <c r="C33" s="21">
        <v>55</v>
      </c>
      <c r="D33" t="s">
        <v>107</v>
      </c>
      <c r="E33" s="275" t="s">
        <v>1005</v>
      </c>
      <c r="F33" s="276"/>
      <c r="G33" s="276"/>
      <c r="H33" s="276"/>
      <c r="I33" s="276"/>
      <c r="J33" s="276"/>
      <c r="K33" s="110"/>
      <c r="L33" s="87"/>
      <c r="M33" s="277" t="s">
        <v>1006</v>
      </c>
      <c r="N33" s="278"/>
      <c r="O33" s="278"/>
      <c r="P33" s="278"/>
      <c r="Q33" s="278"/>
      <c r="R33" s="278"/>
      <c r="S33" s="279"/>
    </row>
    <row r="34" spans="2:19" ht="15.75" thickBot="1" x14ac:dyDescent="0.3">
      <c r="B34" s="46" t="str">
        <f t="shared" si="0"/>
        <v>θ,Rlneu</v>
      </c>
      <c r="C34" s="21">
        <v>45</v>
      </c>
      <c r="D34" t="s">
        <v>107</v>
      </c>
      <c r="E34" s="111"/>
      <c r="F34" s="112"/>
      <c r="G34" s="112"/>
      <c r="H34" s="112"/>
      <c r="I34" s="112"/>
      <c r="J34" s="112"/>
      <c r="K34" s="113"/>
      <c r="L34" s="87"/>
      <c r="M34" s="81"/>
      <c r="S34" s="80"/>
    </row>
    <row r="35" spans="2:19" ht="18.75" thickBot="1" x14ac:dyDescent="0.3">
      <c r="B35" s="46" t="str">
        <f t="shared" si="0"/>
        <v xml:space="preserve">Korrekturfaktor </v>
      </c>
      <c r="C35" s="104" t="e">
        <f>C36/C31</f>
        <v>#VALUE!</v>
      </c>
      <c r="D35" t="s">
        <v>1004</v>
      </c>
      <c r="E35" s="108" t="s">
        <v>1000</v>
      </c>
      <c r="F35" s="109" t="s">
        <v>989</v>
      </c>
      <c r="G35" s="114">
        <f>G30</f>
        <v>42.055098780856937</v>
      </c>
      <c r="H35" s="110" t="s">
        <v>791</v>
      </c>
      <c r="I35" s="280" t="s">
        <v>986</v>
      </c>
      <c r="J35" s="280"/>
      <c r="K35" s="281"/>
      <c r="M35" s="89" t="s">
        <v>1000</v>
      </c>
      <c r="N35" s="82" t="s">
        <v>989</v>
      </c>
      <c r="O35" s="99">
        <f>G30</f>
        <v>42.055098780856937</v>
      </c>
      <c r="P35" s="90" t="s">
        <v>791</v>
      </c>
      <c r="Q35" s="282" t="s">
        <v>986</v>
      </c>
      <c r="R35" s="282"/>
      <c r="S35" s="283"/>
    </row>
    <row r="36" spans="2:19" ht="18.75" thickBot="1" x14ac:dyDescent="0.3">
      <c r="B36" s="46" t="str">
        <f t="shared" si="0"/>
        <v>Heizleistung bei θ,VLneu</v>
      </c>
      <c r="C36" s="79" t="str">
        <f>IF(C23="Flachheizkörper",O40,"Siehe Berechnungsreiter entsprechend Heizkörpertyp")</f>
        <v>Siehe Berechnungsreiter entsprechend Heizkörpertyp</v>
      </c>
      <c r="D36" t="s">
        <v>112</v>
      </c>
      <c r="E36" s="115" t="s">
        <v>1001</v>
      </c>
      <c r="F36" s="116" t="s">
        <v>989</v>
      </c>
      <c r="G36" s="117">
        <f>O30</f>
        <v>29.720134119884619</v>
      </c>
      <c r="H36" s="118" t="s">
        <v>791</v>
      </c>
      <c r="I36" s="280" t="s">
        <v>987</v>
      </c>
      <c r="J36" s="280"/>
      <c r="K36" s="281"/>
      <c r="M36" s="92" t="s">
        <v>1001</v>
      </c>
      <c r="N36" s="83" t="s">
        <v>989</v>
      </c>
      <c r="O36" s="100">
        <f>O30</f>
        <v>29.720134119884619</v>
      </c>
      <c r="P36" s="94" t="s">
        <v>791</v>
      </c>
      <c r="Q36" s="282" t="s">
        <v>987</v>
      </c>
      <c r="R36" s="282"/>
      <c r="S36" s="283"/>
    </row>
    <row r="37" spans="2:19" x14ac:dyDescent="0.25">
      <c r="E37" s="119"/>
      <c r="F37" s="116" t="s">
        <v>989</v>
      </c>
      <c r="G37" s="120" t="e">
        <f>clc_load!$M$72/clc_load!#REF!</f>
        <v>#REF!</v>
      </c>
      <c r="H37" s="118" t="s">
        <v>112</v>
      </c>
      <c r="I37" s="280" t="s">
        <v>1010</v>
      </c>
      <c r="J37" s="280"/>
      <c r="K37" s="281"/>
      <c r="M37" s="81"/>
      <c r="N37" s="83" t="s">
        <v>989</v>
      </c>
      <c r="O37" s="101" t="str">
        <f>C31</f>
        <v>Siehe Berechnungsreiter entsprechend Heizkörpertyp</v>
      </c>
      <c r="P37" s="94" t="s">
        <v>112</v>
      </c>
      <c r="Q37" s="282" t="s">
        <v>1011</v>
      </c>
      <c r="R37" s="282"/>
      <c r="S37" s="283"/>
    </row>
    <row r="38" spans="2:19" ht="15.75" thickBot="1" x14ac:dyDescent="0.3">
      <c r="E38" s="121" t="s">
        <v>137</v>
      </c>
      <c r="F38" s="122" t="s">
        <v>989</v>
      </c>
      <c r="G38" s="122" t="e">
        <f>C30</f>
        <v>#NUM!</v>
      </c>
      <c r="H38" s="123"/>
      <c r="I38" s="280" t="s">
        <v>781</v>
      </c>
      <c r="J38" s="280"/>
      <c r="K38" s="281"/>
      <c r="M38" s="95" t="s">
        <v>137</v>
      </c>
      <c r="N38" s="84" t="s">
        <v>989</v>
      </c>
      <c r="O38" s="96" t="e">
        <f>C30</f>
        <v>#NUM!</v>
      </c>
      <c r="P38" s="86"/>
      <c r="Q38" s="282" t="s">
        <v>1012</v>
      </c>
      <c r="R38" s="282"/>
      <c r="S38" s="283"/>
    </row>
    <row r="39" spans="2:19" x14ac:dyDescent="0.25">
      <c r="E39" s="119"/>
      <c r="F39" s="124"/>
      <c r="G39" s="116"/>
      <c r="H39" s="116"/>
      <c r="I39" s="124"/>
      <c r="J39" s="124"/>
      <c r="K39" s="125"/>
      <c r="M39" s="81"/>
      <c r="S39" s="80"/>
    </row>
    <row r="40" spans="2:19" ht="15.75" thickBot="1" x14ac:dyDescent="0.3">
      <c r="D40" s="75"/>
      <c r="E40" s="121"/>
      <c r="F40" s="122" t="s">
        <v>989</v>
      </c>
      <c r="G40" s="126" t="e">
        <f>(G37/((G36/G35)^G38))</f>
        <v>#REF!</v>
      </c>
      <c r="H40" s="122" t="s">
        <v>112</v>
      </c>
      <c r="I40" s="284" t="s">
        <v>1013</v>
      </c>
      <c r="J40" s="284"/>
      <c r="K40" s="285"/>
      <c r="M40" s="88"/>
      <c r="N40" s="84" t="s">
        <v>989</v>
      </c>
      <c r="O40" s="102" t="e">
        <f>O37*((O36/O35)^O38)</f>
        <v>#VALUE!</v>
      </c>
      <c r="P40" s="84" t="s">
        <v>112</v>
      </c>
      <c r="Q40" s="286" t="s">
        <v>792</v>
      </c>
      <c r="R40" s="286"/>
      <c r="S40" s="287"/>
    </row>
    <row r="43" spans="2:19" x14ac:dyDescent="0.25">
      <c r="B43" s="22" t="s">
        <v>1015</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C1AA-C750-4A82-91CF-84064947646D}">
  <dimension ref="B2:T43"/>
  <sheetViews>
    <sheetView zoomScale="85" zoomScaleNormal="85" workbookViewId="0">
      <selection activeCell="O20" sqref="O20"/>
    </sheetView>
  </sheetViews>
  <sheetFormatPr baseColWidth="10" defaultColWidth="11.42578125" defaultRowHeight="15" x14ac:dyDescent="0.25"/>
  <cols>
    <col min="2" max="2" width="27" bestFit="1" customWidth="1"/>
    <col min="3" max="3" width="47.85546875" customWidth="1"/>
    <col min="4" max="4" width="32.85546875" customWidth="1"/>
    <col min="5" max="19" width="11.28515625" customWidth="1"/>
  </cols>
  <sheetData>
    <row r="2" spans="2:20" ht="15.75" thickBot="1" x14ac:dyDescent="0.3">
      <c r="B2" s="22" t="s">
        <v>985</v>
      </c>
    </row>
    <row r="3" spans="2:20" ht="15.75" thickBot="1" x14ac:dyDescent="0.3">
      <c r="B3" t="e">
        <f>IN_rooms!#REF!</f>
        <v>#REF!</v>
      </c>
      <c r="C3" s="21">
        <f>IN_rooms!R56</f>
        <v>0</v>
      </c>
      <c r="E3" s="277" t="s">
        <v>986</v>
      </c>
      <c r="F3" s="278"/>
      <c r="G3" s="278"/>
      <c r="H3" s="278"/>
      <c r="I3" s="278"/>
      <c r="J3" s="278"/>
      <c r="K3" s="279"/>
      <c r="L3" s="80"/>
      <c r="M3" s="277" t="s">
        <v>987</v>
      </c>
      <c r="N3" s="278"/>
      <c r="O3" s="278"/>
      <c r="P3" s="278"/>
      <c r="Q3" s="278"/>
      <c r="R3" s="278"/>
      <c r="S3" s="279"/>
    </row>
    <row r="4" spans="2:20" ht="15.75" thickBot="1" x14ac:dyDescent="0.3">
      <c r="B4" t="e">
        <f>IN_rooms!#REF!</f>
        <v>#REF!</v>
      </c>
      <c r="C4" s="21">
        <f>IN_rooms!R57</f>
        <v>0</v>
      </c>
      <c r="E4" s="81"/>
      <c r="K4" s="80"/>
      <c r="M4" s="81"/>
      <c r="S4" s="80"/>
      <c r="T4" t="s">
        <v>1028</v>
      </c>
    </row>
    <row r="5" spans="2:20" ht="15.75" thickBot="1" x14ac:dyDescent="0.3">
      <c r="B5" t="e">
        <f>IN_rooms!#REF!</f>
        <v>#REF!</v>
      </c>
      <c r="C5" s="21" t="s">
        <v>1032</v>
      </c>
      <c r="E5" s="81"/>
      <c r="K5" s="80"/>
      <c r="M5" s="81"/>
      <c r="S5" s="80"/>
    </row>
    <row r="6" spans="2:20" ht="25.5" customHeight="1" thickBot="1" x14ac:dyDescent="0.3">
      <c r="B6" t="e">
        <f>IN_rooms!#REF!</f>
        <v>#REF!</v>
      </c>
      <c r="C6" s="21">
        <f>IN_rooms!R51</f>
        <v>0</v>
      </c>
      <c r="D6" t="s">
        <v>431</v>
      </c>
      <c r="E6" s="89" t="s">
        <v>988</v>
      </c>
      <c r="F6" s="82" t="s">
        <v>989</v>
      </c>
      <c r="G6" s="91">
        <v>75</v>
      </c>
      <c r="H6" s="90" t="s">
        <v>107</v>
      </c>
      <c r="I6" s="282" t="s">
        <v>990</v>
      </c>
      <c r="J6" s="282"/>
      <c r="K6" s="283"/>
      <c r="M6" s="89" t="s">
        <v>988</v>
      </c>
      <c r="N6" s="82" t="s">
        <v>989</v>
      </c>
      <c r="O6" s="91">
        <v>55</v>
      </c>
      <c r="P6" s="90" t="s">
        <v>107</v>
      </c>
      <c r="Q6" s="282" t="s">
        <v>991</v>
      </c>
      <c r="R6" s="282"/>
      <c r="S6" s="283"/>
    </row>
    <row r="7" spans="2:20" ht="25.5" customHeight="1" thickBot="1" x14ac:dyDescent="0.3">
      <c r="B7" t="e">
        <f>IN_rooms!#REF!</f>
        <v>#REF!</v>
      </c>
      <c r="C7" s="21">
        <f>IN_rooms!R52</f>
        <v>0</v>
      </c>
      <c r="D7" t="s">
        <v>431</v>
      </c>
      <c r="E7" s="92" t="s">
        <v>992</v>
      </c>
      <c r="F7" s="83" t="s">
        <v>989</v>
      </c>
      <c r="G7" s="93">
        <v>65</v>
      </c>
      <c r="H7" s="94" t="s">
        <v>107</v>
      </c>
      <c r="I7" s="282" t="s">
        <v>993</v>
      </c>
      <c r="J7" s="282"/>
      <c r="K7" s="283"/>
      <c r="M7" s="92" t="s">
        <v>992</v>
      </c>
      <c r="N7" s="83" t="s">
        <v>989</v>
      </c>
      <c r="O7" s="93">
        <v>45</v>
      </c>
      <c r="P7" s="94" t="s">
        <v>107</v>
      </c>
      <c r="Q7" s="282" t="s">
        <v>994</v>
      </c>
      <c r="R7" s="282"/>
      <c r="S7" s="283"/>
    </row>
    <row r="8" spans="2:20" ht="25.5" customHeight="1" thickBot="1" x14ac:dyDescent="0.3">
      <c r="B8" t="e">
        <f>IN_rooms!#REF!</f>
        <v>#REF!</v>
      </c>
      <c r="C8" s="21">
        <f>IN_rooms!R53</f>
        <v>0</v>
      </c>
      <c r="D8" t="s">
        <v>431</v>
      </c>
      <c r="E8" s="95" t="s">
        <v>995</v>
      </c>
      <c r="F8" s="84" t="s">
        <v>989</v>
      </c>
      <c r="G8" s="96">
        <v>20</v>
      </c>
      <c r="H8" s="97" t="s">
        <v>107</v>
      </c>
      <c r="I8" s="282" t="s">
        <v>996</v>
      </c>
      <c r="J8" s="282"/>
      <c r="K8" s="283"/>
      <c r="M8" s="95" t="s">
        <v>995</v>
      </c>
      <c r="N8" s="84" t="s">
        <v>989</v>
      </c>
      <c r="O8" s="96">
        <f>C12</f>
        <v>20</v>
      </c>
      <c r="P8" s="97" t="s">
        <v>107</v>
      </c>
      <c r="Q8" s="282" t="s">
        <v>997</v>
      </c>
      <c r="R8" s="282"/>
      <c r="S8" s="283"/>
    </row>
    <row r="9" spans="2:20" ht="15.75" thickBot="1" x14ac:dyDescent="0.3">
      <c r="B9" s="46" t="e">
        <f>IN_rooms!#REF!</f>
        <v>#REF!</v>
      </c>
      <c r="C9" s="21">
        <f>IN_rooms!R54</f>
        <v>0</v>
      </c>
      <c r="D9" t="s">
        <v>1003</v>
      </c>
      <c r="E9" s="81"/>
      <c r="G9" s="83"/>
      <c r="H9" s="83"/>
      <c r="K9" s="80"/>
      <c r="M9" s="81"/>
      <c r="O9" s="83"/>
      <c r="P9" s="83"/>
      <c r="S9" s="80"/>
    </row>
    <row r="10" spans="2:20" ht="25.5" customHeight="1" thickBot="1" x14ac:dyDescent="0.3">
      <c r="B10" t="s">
        <v>781</v>
      </c>
      <c r="C10" s="21">
        <v>1.3</v>
      </c>
      <c r="D10" t="s">
        <v>1004</v>
      </c>
      <c r="E10" s="95" t="s">
        <v>1000</v>
      </c>
      <c r="F10" s="84" t="s">
        <v>989</v>
      </c>
      <c r="G10" s="98">
        <f>(G6-G7)/(LN((G6-G8)/(G7-G8)))</f>
        <v>49.83288654563971</v>
      </c>
      <c r="H10" s="84" t="s">
        <v>791</v>
      </c>
      <c r="I10" s="85"/>
      <c r="J10" s="85"/>
      <c r="K10" s="86"/>
      <c r="M10" s="95" t="s">
        <v>1001</v>
      </c>
      <c r="N10" s="84" t="s">
        <v>989</v>
      </c>
      <c r="O10" s="98">
        <f>(O6-O7)/(LN((O6-O8)/(O7-O8)))</f>
        <v>29.720134119884619</v>
      </c>
      <c r="P10" s="84" t="s">
        <v>791</v>
      </c>
      <c r="Q10" s="85"/>
      <c r="R10" s="85"/>
      <c r="S10" s="86"/>
    </row>
    <row r="11" spans="2:20" ht="25.5" customHeight="1" thickBot="1" x14ac:dyDescent="0.3">
      <c r="B11" t="s">
        <v>783</v>
      </c>
      <c r="C11" s="129" t="str">
        <f>IF(C3="Gliederheizkörper",(SUMIFS(Data_radiator!$AA$5:$AA$385,Data_radiator!$C$5:$C$385,clc_col!C3,Data_radiator!$D$5:$D$385,clc_col!C4,Data_radiator!$G$5:$G$385,clc_col!C6,Data_radiator!$L$5:$L$385,clc_col!C8))*C9,"Siehe Berechnungsreiter entsprechend Heizkörpertyp")</f>
        <v>Siehe Berechnungsreiter entsprechend Heizkörpertyp</v>
      </c>
    </row>
    <row r="12" spans="2:20" ht="30.75" thickBot="1" x14ac:dyDescent="0.3">
      <c r="B12" s="103" t="s">
        <v>667</v>
      </c>
      <c r="C12" s="21">
        <f>clc_load!$M$10</f>
        <v>20</v>
      </c>
      <c r="D12" t="s">
        <v>107</v>
      </c>
    </row>
    <row r="13" spans="2:20" ht="25.5" customHeight="1" thickBot="1" x14ac:dyDescent="0.3">
      <c r="B13" s="78" t="s">
        <v>1029</v>
      </c>
      <c r="C13" s="21">
        <v>55</v>
      </c>
      <c r="D13" t="s">
        <v>107</v>
      </c>
      <c r="E13" s="275" t="s">
        <v>1005</v>
      </c>
      <c r="F13" s="276"/>
      <c r="G13" s="276"/>
      <c r="H13" s="276"/>
      <c r="I13" s="276"/>
      <c r="J13" s="276"/>
      <c r="K13" s="110"/>
      <c r="L13" s="87"/>
      <c r="M13" s="277" t="s">
        <v>1006</v>
      </c>
      <c r="N13" s="278"/>
      <c r="O13" s="278"/>
      <c r="P13" s="278"/>
      <c r="Q13" s="278"/>
      <c r="R13" s="278"/>
      <c r="S13" s="279"/>
    </row>
    <row r="14" spans="2:20" ht="25.5" customHeight="1" thickBot="1" x14ac:dyDescent="0.3">
      <c r="B14" s="78" t="s">
        <v>1030</v>
      </c>
      <c r="C14" s="21">
        <v>45</v>
      </c>
      <c r="D14" t="s">
        <v>107</v>
      </c>
      <c r="E14" s="111"/>
      <c r="F14" s="112"/>
      <c r="G14" s="112"/>
      <c r="H14" s="112"/>
      <c r="I14" s="112"/>
      <c r="J14" s="112"/>
      <c r="K14" s="113"/>
      <c r="L14" s="87"/>
      <c r="M14" s="81"/>
      <c r="S14" s="80"/>
    </row>
    <row r="15" spans="2:20" ht="25.5" customHeight="1" thickBot="1" x14ac:dyDescent="0.3">
      <c r="B15" t="s">
        <v>1007</v>
      </c>
      <c r="C15" s="104" t="e">
        <f>C16/C11</f>
        <v>#VALUE!</v>
      </c>
      <c r="D15" t="s">
        <v>1004</v>
      </c>
      <c r="E15" s="108" t="s">
        <v>1000</v>
      </c>
      <c r="F15" s="109" t="s">
        <v>989</v>
      </c>
      <c r="G15" s="114">
        <f>G10</f>
        <v>49.83288654563971</v>
      </c>
      <c r="H15" s="110" t="s">
        <v>791</v>
      </c>
      <c r="I15" s="280" t="s">
        <v>986</v>
      </c>
      <c r="J15" s="280"/>
      <c r="K15" s="281"/>
      <c r="M15" s="89" t="s">
        <v>1000</v>
      </c>
      <c r="N15" s="82" t="s">
        <v>989</v>
      </c>
      <c r="O15" s="99">
        <f>G10</f>
        <v>49.83288654563971</v>
      </c>
      <c r="P15" s="90" t="s">
        <v>791</v>
      </c>
      <c r="Q15" s="282" t="s">
        <v>986</v>
      </c>
      <c r="R15" s="282"/>
      <c r="S15" s="283"/>
    </row>
    <row r="16" spans="2:20" ht="25.5" customHeight="1" thickBot="1" x14ac:dyDescent="0.3">
      <c r="B16" t="s">
        <v>1031</v>
      </c>
      <c r="C16" s="129" t="str">
        <f>IF(C3="Gliederheizkörper",O20,"Siehe Berechnungsreiter entsprechend Heizkörpertyp")</f>
        <v>Siehe Berechnungsreiter entsprechend Heizkörpertyp</v>
      </c>
      <c r="D16" t="s">
        <v>112</v>
      </c>
      <c r="E16" s="115" t="s">
        <v>1001</v>
      </c>
      <c r="F16" s="116" t="s">
        <v>989</v>
      </c>
      <c r="G16" s="117">
        <f>O10</f>
        <v>29.720134119884619</v>
      </c>
      <c r="H16" s="118" t="s">
        <v>791</v>
      </c>
      <c r="I16" s="280" t="s">
        <v>987</v>
      </c>
      <c r="J16" s="280"/>
      <c r="K16" s="281"/>
      <c r="M16" s="92" t="s">
        <v>1001</v>
      </c>
      <c r="N16" s="83" t="s">
        <v>989</v>
      </c>
      <c r="O16" s="100">
        <f>O10</f>
        <v>29.720134119884619</v>
      </c>
      <c r="P16" s="94" t="s">
        <v>791</v>
      </c>
      <c r="Q16" s="282" t="s">
        <v>987</v>
      </c>
      <c r="R16" s="282"/>
      <c r="S16" s="283"/>
    </row>
    <row r="17" spans="2:19" ht="25.5" customHeight="1" x14ac:dyDescent="0.25">
      <c r="E17" s="119"/>
      <c r="F17" s="116" t="s">
        <v>989</v>
      </c>
      <c r="G17" s="120" t="e">
        <f>clc_load!$M$72/clc_load!#REF!</f>
        <v>#REF!</v>
      </c>
      <c r="H17" s="118" t="s">
        <v>112</v>
      </c>
      <c r="I17" s="280" t="s">
        <v>1010</v>
      </c>
      <c r="J17" s="280"/>
      <c r="K17" s="281"/>
      <c r="M17" s="81"/>
      <c r="N17" s="83" t="s">
        <v>989</v>
      </c>
      <c r="O17" s="101" t="str">
        <f>C11</f>
        <v>Siehe Berechnungsreiter entsprechend Heizkörpertyp</v>
      </c>
      <c r="P17" s="94" t="s">
        <v>112</v>
      </c>
      <c r="Q17" s="282" t="s">
        <v>1011</v>
      </c>
      <c r="R17" s="282"/>
      <c r="S17" s="283"/>
    </row>
    <row r="18" spans="2:19" ht="25.5" customHeight="1" thickBot="1" x14ac:dyDescent="0.3">
      <c r="E18" s="121" t="s">
        <v>137</v>
      </c>
      <c r="F18" s="122" t="s">
        <v>989</v>
      </c>
      <c r="G18" s="122">
        <f>C10</f>
        <v>1.3</v>
      </c>
      <c r="H18" s="123"/>
      <c r="I18" s="280" t="s">
        <v>781</v>
      </c>
      <c r="J18" s="280"/>
      <c r="K18" s="281"/>
      <c r="M18" s="95" t="s">
        <v>137</v>
      </c>
      <c r="N18" s="84" t="s">
        <v>989</v>
      </c>
      <c r="O18" s="96">
        <f>C10</f>
        <v>1.3</v>
      </c>
      <c r="P18" s="86"/>
      <c r="Q18" s="282" t="s">
        <v>1012</v>
      </c>
      <c r="R18" s="282"/>
      <c r="S18" s="283"/>
    </row>
    <row r="19" spans="2:19" ht="25.5" customHeight="1" x14ac:dyDescent="0.25">
      <c r="E19" s="119"/>
      <c r="F19" s="124"/>
      <c r="G19" s="116"/>
      <c r="H19" s="116"/>
      <c r="I19" s="124"/>
      <c r="J19" s="124"/>
      <c r="K19" s="125"/>
      <c r="M19" s="81"/>
      <c r="S19" s="80"/>
    </row>
    <row r="20" spans="2:19" ht="25.5" customHeight="1" thickBot="1" x14ac:dyDescent="0.3">
      <c r="D20" s="75"/>
      <c r="E20" s="121"/>
      <c r="F20" s="122" t="s">
        <v>989</v>
      </c>
      <c r="G20" s="126" t="e">
        <f>(G17/((G16/G15)^G18))</f>
        <v>#REF!</v>
      </c>
      <c r="H20" s="122" t="s">
        <v>112</v>
      </c>
      <c r="I20" s="284" t="s">
        <v>1013</v>
      </c>
      <c r="J20" s="284"/>
      <c r="K20" s="285"/>
      <c r="M20" s="88"/>
      <c r="N20" s="84" t="s">
        <v>989</v>
      </c>
      <c r="O20" s="102" t="e">
        <f>O17*((O16/O15)^O18)</f>
        <v>#VALUE!</v>
      </c>
      <c r="P20" s="84" t="s">
        <v>112</v>
      </c>
      <c r="Q20" s="286" t="s">
        <v>792</v>
      </c>
      <c r="R20" s="286"/>
      <c r="S20" s="287"/>
    </row>
    <row r="21" spans="2:19" ht="21.75" customHeight="1" x14ac:dyDescent="0.25">
      <c r="D21" s="75"/>
      <c r="E21" s="76"/>
      <c r="F21" s="76"/>
      <c r="G21" s="76"/>
      <c r="H21" s="74"/>
    </row>
    <row r="22" spans="2:19" ht="22.5" customHeight="1" thickBot="1" x14ac:dyDescent="0.3">
      <c r="B22" s="22" t="s">
        <v>1014</v>
      </c>
    </row>
    <row r="23" spans="2:19" ht="15.75" thickBot="1" x14ac:dyDescent="0.3">
      <c r="B23" s="46" t="e">
        <f>B3</f>
        <v>#REF!</v>
      </c>
      <c r="C23" s="21">
        <f>IN_rooms!R56</f>
        <v>0</v>
      </c>
      <c r="E23" s="277" t="s">
        <v>986</v>
      </c>
      <c r="F23" s="278"/>
      <c r="G23" s="278"/>
      <c r="H23" s="278"/>
      <c r="I23" s="278"/>
      <c r="J23" s="278"/>
      <c r="K23" s="279"/>
      <c r="L23" s="80"/>
      <c r="M23" s="277" t="s">
        <v>987</v>
      </c>
      <c r="N23" s="278"/>
      <c r="O23" s="278"/>
      <c r="P23" s="278"/>
      <c r="Q23" s="278"/>
      <c r="R23" s="278"/>
      <c r="S23" s="279"/>
    </row>
    <row r="24" spans="2:19" ht="15.75" thickBot="1" x14ac:dyDescent="0.3">
      <c r="B24" s="46" t="e">
        <f>B4</f>
        <v>#REF!</v>
      </c>
      <c r="C24" s="21">
        <f>IN_rooms!R57</f>
        <v>0</v>
      </c>
      <c r="E24" s="81"/>
      <c r="K24" s="80"/>
      <c r="M24" s="81"/>
      <c r="S24" s="80"/>
    </row>
    <row r="25" spans="2:19" ht="15.75" thickBot="1" x14ac:dyDescent="0.3">
      <c r="B25" s="46" t="e">
        <f>B5</f>
        <v>#REF!</v>
      </c>
      <c r="C25" s="21" t="e">
        <f>IN_rooms!#REF!</f>
        <v>#REF!</v>
      </c>
      <c r="E25" s="81"/>
      <c r="K25" s="80"/>
      <c r="M25" s="81"/>
      <c r="S25" s="80"/>
    </row>
    <row r="26" spans="2:19" ht="18.75" thickBot="1" x14ac:dyDescent="0.3">
      <c r="B26" s="46" t="e">
        <f t="shared" ref="B26:B36" si="0">B6</f>
        <v>#REF!</v>
      </c>
      <c r="C26" s="21">
        <f>IN_rooms!R58</f>
        <v>0</v>
      </c>
      <c r="D26" t="s">
        <v>431</v>
      </c>
      <c r="E26" s="89" t="s">
        <v>988</v>
      </c>
      <c r="F26" s="82" t="s">
        <v>989</v>
      </c>
      <c r="G26" s="91">
        <v>70</v>
      </c>
      <c r="H26" s="90" t="s">
        <v>107</v>
      </c>
      <c r="I26" s="282" t="s">
        <v>990</v>
      </c>
      <c r="J26" s="282"/>
      <c r="K26" s="283"/>
      <c r="M26" s="89" t="s">
        <v>988</v>
      </c>
      <c r="N26" s="82" t="s">
        <v>989</v>
      </c>
      <c r="O26" s="91">
        <v>55</v>
      </c>
      <c r="P26" s="90" t="s">
        <v>107</v>
      </c>
      <c r="Q26" s="282" t="s">
        <v>991</v>
      </c>
      <c r="R26" s="282"/>
      <c r="S26" s="283"/>
    </row>
    <row r="27" spans="2:19" ht="18.75" thickBot="1" x14ac:dyDescent="0.3">
      <c r="B27" s="46" t="e">
        <f t="shared" si="0"/>
        <v>#REF!</v>
      </c>
      <c r="C27" s="21">
        <f>IN_rooms!R59</f>
        <v>0</v>
      </c>
      <c r="D27" t="s">
        <v>431</v>
      </c>
      <c r="E27" s="92" t="s">
        <v>992</v>
      </c>
      <c r="F27" s="83" t="s">
        <v>989</v>
      </c>
      <c r="G27" s="93">
        <v>55</v>
      </c>
      <c r="H27" s="94" t="s">
        <v>107</v>
      </c>
      <c r="I27" s="282" t="s">
        <v>993</v>
      </c>
      <c r="J27" s="282"/>
      <c r="K27" s="283"/>
      <c r="M27" s="92" t="s">
        <v>992</v>
      </c>
      <c r="N27" s="83" t="s">
        <v>989</v>
      </c>
      <c r="O27" s="93">
        <v>45</v>
      </c>
      <c r="P27" s="94" t="s">
        <v>107</v>
      </c>
      <c r="Q27" s="282" t="s">
        <v>994</v>
      </c>
      <c r="R27" s="282"/>
      <c r="S27" s="283"/>
    </row>
    <row r="28" spans="2:19" ht="18.75" thickBot="1" x14ac:dyDescent="0.3">
      <c r="B28" s="46" t="e">
        <f t="shared" si="0"/>
        <v>#REF!</v>
      </c>
      <c r="C28" s="21">
        <f>IN_rooms!R60</f>
        <v>0</v>
      </c>
      <c r="D28" t="s">
        <v>431</v>
      </c>
      <c r="E28" s="95" t="s">
        <v>995</v>
      </c>
      <c r="F28" s="84" t="s">
        <v>989</v>
      </c>
      <c r="G28" s="96">
        <v>20</v>
      </c>
      <c r="H28" s="97" t="s">
        <v>107</v>
      </c>
      <c r="I28" s="282" t="s">
        <v>996</v>
      </c>
      <c r="J28" s="282"/>
      <c r="K28" s="283"/>
      <c r="M28" s="95" t="s">
        <v>995</v>
      </c>
      <c r="N28" s="84" t="s">
        <v>989</v>
      </c>
      <c r="O28" s="96">
        <f>C32</f>
        <v>20</v>
      </c>
      <c r="P28" s="97" t="s">
        <v>107</v>
      </c>
      <c r="Q28" s="282" t="s">
        <v>997</v>
      </c>
      <c r="R28" s="282"/>
      <c r="S28" s="283"/>
    </row>
    <row r="29" spans="2:19" ht="15.75" thickBot="1" x14ac:dyDescent="0.3">
      <c r="B29" s="46" t="e">
        <f t="shared" si="0"/>
        <v>#REF!</v>
      </c>
      <c r="C29" s="21">
        <f>IN_rooms!R61</f>
        <v>0</v>
      </c>
      <c r="D29" t="s">
        <v>1003</v>
      </c>
      <c r="E29" s="81"/>
      <c r="G29" s="83"/>
      <c r="H29" s="83"/>
      <c r="K29" s="80"/>
      <c r="M29" s="81"/>
      <c r="O29" s="83"/>
      <c r="P29" s="83"/>
      <c r="S29" s="80"/>
    </row>
    <row r="30" spans="2:19" ht="18.75" thickBot="1" x14ac:dyDescent="0.3">
      <c r="B30" s="46" t="str">
        <f t="shared" si="0"/>
        <v>Heizkörperexponent</v>
      </c>
      <c r="C30" s="21">
        <v>1.3</v>
      </c>
      <c r="D30" t="s">
        <v>1004</v>
      </c>
      <c r="E30" s="95" t="s">
        <v>1000</v>
      </c>
      <c r="F30" s="84" t="s">
        <v>989</v>
      </c>
      <c r="G30" s="98">
        <f>(G26-G27)/(LN((G26-G28)/(G27-G28)))</f>
        <v>42.055098780856937</v>
      </c>
      <c r="H30" s="84" t="s">
        <v>791</v>
      </c>
      <c r="I30" s="85"/>
      <c r="J30" s="85"/>
      <c r="K30" s="86"/>
      <c r="M30" s="95" t="s">
        <v>1001</v>
      </c>
      <c r="N30" s="84" t="s">
        <v>989</v>
      </c>
      <c r="O30" s="98">
        <f>(O26-O27)/(LN((O26-O28)/(O27-O28)))</f>
        <v>29.720134119884619</v>
      </c>
      <c r="P30" s="84" t="s">
        <v>791</v>
      </c>
      <c r="Q30" s="85"/>
      <c r="R30" s="85"/>
      <c r="S30" s="86"/>
    </row>
    <row r="31" spans="2:19" ht="15.75" thickBot="1" x14ac:dyDescent="0.3">
      <c r="B31" s="46" t="str">
        <f t="shared" si="0"/>
        <v>Norm-Heizleistung 75/65/20</v>
      </c>
      <c r="C31" s="129" t="str">
        <f>IF(C23="Gliederheizkörper",(SUMIFS(Data_radiator!$AA$5:$AA$385,Data_radiator!$C$5:$C$385,clc_col!C23,Data_radiator!$D$5:$D$385,clc_col!C24,Data_radiator!$G$5:$G$385,clc_col!C26,Data_radiator!$L$5:$L$385,clc_col!C28))*C29,"Siehe Berechnungsreiter entsprechend Heizkörpertyp")</f>
        <v>Siehe Berechnungsreiter entsprechend Heizkörpertyp</v>
      </c>
      <c r="D31" t="s">
        <v>112</v>
      </c>
    </row>
    <row r="32" spans="2:19" ht="30.75" thickBot="1" x14ac:dyDescent="0.3">
      <c r="B32" s="46" t="str">
        <f t="shared" si="0"/>
        <v>Berechnungs-Raumtemperatur</v>
      </c>
      <c r="C32" s="21">
        <f>clc_load!$M$10</f>
        <v>20</v>
      </c>
      <c r="D32" t="s">
        <v>107</v>
      </c>
    </row>
    <row r="33" spans="2:19" ht="15.75" thickBot="1" x14ac:dyDescent="0.3">
      <c r="B33" s="46" t="str">
        <f t="shared" si="0"/>
        <v>θ,Vlneu</v>
      </c>
      <c r="C33" s="21">
        <v>55</v>
      </c>
      <c r="D33" t="s">
        <v>107</v>
      </c>
      <c r="E33" s="275" t="s">
        <v>1005</v>
      </c>
      <c r="F33" s="276"/>
      <c r="G33" s="276"/>
      <c r="H33" s="276"/>
      <c r="I33" s="276"/>
      <c r="J33" s="276"/>
      <c r="K33" s="110"/>
      <c r="L33" s="87"/>
      <c r="M33" s="277" t="s">
        <v>1006</v>
      </c>
      <c r="N33" s="278"/>
      <c r="O33" s="278"/>
      <c r="P33" s="278"/>
      <c r="Q33" s="278"/>
      <c r="R33" s="278"/>
      <c r="S33" s="279"/>
    </row>
    <row r="34" spans="2:19" ht="15.75" thickBot="1" x14ac:dyDescent="0.3">
      <c r="B34" s="46" t="str">
        <f t="shared" si="0"/>
        <v>θ,Rlneu</v>
      </c>
      <c r="C34" s="21">
        <v>45</v>
      </c>
      <c r="D34" t="s">
        <v>107</v>
      </c>
      <c r="E34" s="111"/>
      <c r="F34" s="112"/>
      <c r="G34" s="112"/>
      <c r="H34" s="112"/>
      <c r="I34" s="112"/>
      <c r="J34" s="112"/>
      <c r="K34" s="113"/>
      <c r="L34" s="87"/>
      <c r="M34" s="81"/>
      <c r="S34" s="80"/>
    </row>
    <row r="35" spans="2:19" ht="18.75" thickBot="1" x14ac:dyDescent="0.3">
      <c r="B35" s="46" t="str">
        <f t="shared" si="0"/>
        <v xml:space="preserve">Korrekturfaktor </v>
      </c>
      <c r="C35" s="104" t="e">
        <f>C36/C31</f>
        <v>#VALUE!</v>
      </c>
      <c r="D35" t="s">
        <v>1004</v>
      </c>
      <c r="E35" s="108" t="s">
        <v>1000</v>
      </c>
      <c r="F35" s="109" t="s">
        <v>989</v>
      </c>
      <c r="G35" s="114">
        <f>G30</f>
        <v>42.055098780856937</v>
      </c>
      <c r="H35" s="110" t="s">
        <v>791</v>
      </c>
      <c r="I35" s="280" t="s">
        <v>986</v>
      </c>
      <c r="J35" s="280"/>
      <c r="K35" s="281"/>
      <c r="M35" s="89" t="s">
        <v>1000</v>
      </c>
      <c r="N35" s="82" t="s">
        <v>989</v>
      </c>
      <c r="O35" s="99">
        <f>G30</f>
        <v>42.055098780856937</v>
      </c>
      <c r="P35" s="90" t="s">
        <v>791</v>
      </c>
      <c r="Q35" s="282" t="s">
        <v>986</v>
      </c>
      <c r="R35" s="282"/>
      <c r="S35" s="283"/>
    </row>
    <row r="36" spans="2:19" ht="18.75" thickBot="1" x14ac:dyDescent="0.3">
      <c r="B36" s="46" t="str">
        <f t="shared" si="0"/>
        <v>Heizleistung bei θ,VLneu</v>
      </c>
      <c r="C36" s="129" t="str">
        <f>IF(C23="Gliederheizkörper",O40,"Siehe Berechnungsreiter entsprechend Heizkörpertyp")</f>
        <v>Siehe Berechnungsreiter entsprechend Heizkörpertyp</v>
      </c>
      <c r="D36" t="s">
        <v>112</v>
      </c>
      <c r="E36" s="115" t="s">
        <v>1001</v>
      </c>
      <c r="F36" s="116" t="s">
        <v>989</v>
      </c>
      <c r="G36" s="117">
        <f>O30</f>
        <v>29.720134119884619</v>
      </c>
      <c r="H36" s="118" t="s">
        <v>791</v>
      </c>
      <c r="I36" s="280" t="s">
        <v>987</v>
      </c>
      <c r="J36" s="280"/>
      <c r="K36" s="281"/>
      <c r="M36" s="92" t="s">
        <v>1001</v>
      </c>
      <c r="N36" s="83" t="s">
        <v>989</v>
      </c>
      <c r="O36" s="100">
        <f>O30</f>
        <v>29.720134119884619</v>
      </c>
      <c r="P36" s="94" t="s">
        <v>791</v>
      </c>
      <c r="Q36" s="282" t="s">
        <v>987</v>
      </c>
      <c r="R36" s="282"/>
      <c r="S36" s="283"/>
    </row>
    <row r="37" spans="2:19" x14ac:dyDescent="0.25">
      <c r="E37" s="119"/>
      <c r="F37" s="116" t="s">
        <v>989</v>
      </c>
      <c r="G37" s="120" t="e">
        <f>clc_load!$M$72/clc_load!#REF!</f>
        <v>#REF!</v>
      </c>
      <c r="H37" s="118" t="s">
        <v>112</v>
      </c>
      <c r="I37" s="280" t="s">
        <v>1010</v>
      </c>
      <c r="J37" s="280"/>
      <c r="K37" s="281"/>
      <c r="M37" s="81"/>
      <c r="N37" s="83" t="s">
        <v>989</v>
      </c>
      <c r="O37" s="101" t="str">
        <f>C31</f>
        <v>Siehe Berechnungsreiter entsprechend Heizkörpertyp</v>
      </c>
      <c r="P37" s="94" t="s">
        <v>112</v>
      </c>
      <c r="Q37" s="282" t="s">
        <v>1011</v>
      </c>
      <c r="R37" s="282"/>
      <c r="S37" s="283"/>
    </row>
    <row r="38" spans="2:19" ht="15.75" thickBot="1" x14ac:dyDescent="0.3">
      <c r="E38" s="121" t="s">
        <v>137</v>
      </c>
      <c r="F38" s="122" t="s">
        <v>989</v>
      </c>
      <c r="G38" s="122">
        <f>C30</f>
        <v>1.3</v>
      </c>
      <c r="H38" s="123"/>
      <c r="I38" s="280" t="s">
        <v>781</v>
      </c>
      <c r="J38" s="280"/>
      <c r="K38" s="281"/>
      <c r="M38" s="95" t="s">
        <v>137</v>
      </c>
      <c r="N38" s="84" t="s">
        <v>989</v>
      </c>
      <c r="O38" s="96">
        <f>C30</f>
        <v>1.3</v>
      </c>
      <c r="P38" s="86"/>
      <c r="Q38" s="282" t="s">
        <v>1012</v>
      </c>
      <c r="R38" s="282"/>
      <c r="S38" s="283"/>
    </row>
    <row r="39" spans="2:19" x14ac:dyDescent="0.25">
      <c r="E39" s="119"/>
      <c r="F39" s="124"/>
      <c r="G39" s="116"/>
      <c r="H39" s="116"/>
      <c r="I39" s="124"/>
      <c r="J39" s="124"/>
      <c r="K39" s="125"/>
      <c r="M39" s="81"/>
      <c r="S39" s="80"/>
    </row>
    <row r="40" spans="2:19" ht="15.75" thickBot="1" x14ac:dyDescent="0.3">
      <c r="D40" s="75"/>
      <c r="E40" s="121"/>
      <c r="F40" s="122" t="s">
        <v>989</v>
      </c>
      <c r="G40" s="126" t="e">
        <f>(G37/((G36/G35)^G38))</f>
        <v>#REF!</v>
      </c>
      <c r="H40" s="122" t="s">
        <v>112</v>
      </c>
      <c r="I40" s="284" t="s">
        <v>1013</v>
      </c>
      <c r="J40" s="284"/>
      <c r="K40" s="285"/>
      <c r="M40" s="88"/>
      <c r="N40" s="84" t="s">
        <v>989</v>
      </c>
      <c r="O40" s="102" t="e">
        <f>O37*((O36/O35)^O38)</f>
        <v>#VALUE!</v>
      </c>
      <c r="P40" s="84" t="s">
        <v>112</v>
      </c>
      <c r="Q40" s="286" t="s">
        <v>792</v>
      </c>
      <c r="R40" s="286"/>
      <c r="S40" s="287"/>
    </row>
    <row r="43" spans="2:19" x14ac:dyDescent="0.25">
      <c r="B43" s="22" t="s">
        <v>1015</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374D3-E8D1-4B37-A3FF-E100FDEE643B}">
  <dimension ref="B2:H36"/>
  <sheetViews>
    <sheetView zoomScale="85" zoomScaleNormal="85" workbookViewId="0">
      <selection activeCell="O20" sqref="O20"/>
    </sheetView>
  </sheetViews>
  <sheetFormatPr baseColWidth="10" defaultColWidth="11.42578125" defaultRowHeight="15" x14ac:dyDescent="0.25"/>
  <cols>
    <col min="2" max="2" width="28.5703125" bestFit="1" customWidth="1"/>
    <col min="3" max="3" width="35.28515625" bestFit="1" customWidth="1"/>
    <col min="4" max="4" width="32.85546875" customWidth="1"/>
    <col min="5" max="19" width="11.28515625" customWidth="1"/>
  </cols>
  <sheetData>
    <row r="2" spans="2:4" ht="15.75" thickBot="1" x14ac:dyDescent="0.3">
      <c r="B2" s="22" t="e">
        <f>clc_load!#REF!</f>
        <v>#REF!</v>
      </c>
    </row>
    <row r="3" spans="2:4" ht="15.75" thickBot="1" x14ac:dyDescent="0.3">
      <c r="B3" t="s">
        <v>1016</v>
      </c>
      <c r="C3" s="104">
        <f>clc_load!$M$72/1000</f>
        <v>0.81935420937513648</v>
      </c>
      <c r="D3" t="s">
        <v>1017</v>
      </c>
    </row>
    <row r="4" spans="2:4" s="46" customFormat="1" ht="30.75" thickBot="1" x14ac:dyDescent="0.3">
      <c r="B4" s="46" t="s">
        <v>1018</v>
      </c>
      <c r="C4" s="127" t="e">
        <f>(clc_col!C11+clc_col!C31)/1000</f>
        <v>#VALUE!</v>
      </c>
      <c r="D4" s="46" t="s">
        <v>1017</v>
      </c>
    </row>
    <row r="5" spans="2:4" s="46" customFormat="1" ht="30.75" thickBot="1" x14ac:dyDescent="0.3">
      <c r="B5" s="46" t="s">
        <v>1019</v>
      </c>
      <c r="C5" s="128" t="e">
        <f>$C$4/$C$3</f>
        <v>#VALUE!</v>
      </c>
      <c r="D5" s="46" t="s">
        <v>1004</v>
      </c>
    </row>
    <row r="6" spans="2:4" s="46" customFormat="1" ht="45.75" thickBot="1" x14ac:dyDescent="0.3">
      <c r="B6" s="46" t="s">
        <v>1020</v>
      </c>
      <c r="C6" s="127" t="e">
        <f>(clc_col!C16+clc_col!C36)/1000</f>
        <v>#VALUE!</v>
      </c>
      <c r="D6" s="46" t="s">
        <v>1017</v>
      </c>
    </row>
    <row r="7" spans="2:4" ht="30.75" thickBot="1" x14ac:dyDescent="0.3">
      <c r="B7" s="46" t="s">
        <v>1021</v>
      </c>
      <c r="C7" s="128" t="e">
        <f>$C$6/$C$3</f>
        <v>#VALUE!</v>
      </c>
      <c r="D7" s="46" t="s">
        <v>1004</v>
      </c>
    </row>
    <row r="8" spans="2:4" ht="25.5" customHeight="1" thickBot="1" x14ac:dyDescent="0.3">
      <c r="B8" s="46" t="s">
        <v>1023</v>
      </c>
      <c r="C8" s="128"/>
    </row>
    <row r="9" spans="2:4" ht="25.5" customHeight="1" thickBot="1" x14ac:dyDescent="0.3">
      <c r="C9" s="128"/>
    </row>
    <row r="10" spans="2:4" ht="25.5" customHeight="1" thickBot="1" x14ac:dyDescent="0.3">
      <c r="C10" s="128"/>
    </row>
    <row r="14" spans="2:4" ht="15.75" thickBot="1" x14ac:dyDescent="0.3">
      <c r="B14" s="22" t="s">
        <v>1024</v>
      </c>
      <c r="D14" t="s">
        <v>1017</v>
      </c>
    </row>
    <row r="15" spans="2:4" ht="15.75" thickBot="1" x14ac:dyDescent="0.3">
      <c r="B15" t="str">
        <f>B3</f>
        <v>Heizlast</v>
      </c>
      <c r="C15" s="21"/>
      <c r="D15" t="s">
        <v>1017</v>
      </c>
    </row>
    <row r="16" spans="2:4" ht="30.75" thickBot="1" x14ac:dyDescent="0.3">
      <c r="B16" s="46" t="str">
        <f>B4</f>
        <v>Norm-Heizleistung aller Heizkörper</v>
      </c>
      <c r="C16" s="21"/>
      <c r="D16" t="s">
        <v>1004</v>
      </c>
    </row>
    <row r="17" spans="2:8" ht="30.75" thickBot="1" x14ac:dyDescent="0.3">
      <c r="B17" s="46" t="str">
        <f>B5</f>
        <v>Deckungsgrad total bei Normbedingungen</v>
      </c>
      <c r="C17" s="128"/>
      <c r="D17" t="s">
        <v>1004</v>
      </c>
    </row>
    <row r="18" spans="2:8" ht="30.75" thickBot="1" x14ac:dyDescent="0.3">
      <c r="B18" s="46" t="str">
        <f>B7</f>
        <v>Deckungsgrad total bei NT-ready</v>
      </c>
      <c r="C18" s="128"/>
    </row>
    <row r="20" spans="2:8" ht="15.75" thickBot="1" x14ac:dyDescent="0.3">
      <c r="B20" s="22" t="s">
        <v>1025</v>
      </c>
      <c r="D20" t="s">
        <v>1017</v>
      </c>
    </row>
    <row r="21" spans="2:8" ht="15.75" thickBot="1" x14ac:dyDescent="0.3">
      <c r="B21" t="str">
        <f>B15</f>
        <v>Heizlast</v>
      </c>
      <c r="C21" s="21"/>
      <c r="D21" t="s">
        <v>1017</v>
      </c>
    </row>
    <row r="22" spans="2:8" ht="30.75" thickBot="1" x14ac:dyDescent="0.3">
      <c r="B22" s="46" t="str">
        <f>B16</f>
        <v>Norm-Heizleistung aller Heizkörper</v>
      </c>
      <c r="C22" s="21"/>
      <c r="D22" t="s">
        <v>1004</v>
      </c>
    </row>
    <row r="23" spans="2:8" ht="30.75" thickBot="1" x14ac:dyDescent="0.3">
      <c r="B23" s="46" t="str">
        <f>B17</f>
        <v>Deckungsgrad total bei Normbedingungen</v>
      </c>
      <c r="C23" s="128"/>
      <c r="D23" t="s">
        <v>1004</v>
      </c>
    </row>
    <row r="24" spans="2:8" ht="30.75" thickBot="1" x14ac:dyDescent="0.3">
      <c r="B24" s="46" t="str">
        <f>B18</f>
        <v>Deckungsgrad total bei NT-ready</v>
      </c>
      <c r="C24" s="128"/>
      <c r="E24" s="44"/>
      <c r="F24" s="76"/>
      <c r="G24" s="76"/>
      <c r="H24" s="74"/>
    </row>
    <row r="25" spans="2:8" x14ac:dyDescent="0.25">
      <c r="E25" s="44"/>
      <c r="F25" s="76"/>
      <c r="G25" s="76"/>
      <c r="H25" s="74"/>
    </row>
    <row r="26" spans="2:8" ht="15.75" thickBot="1" x14ac:dyDescent="0.3">
      <c r="B26" s="22" t="s">
        <v>1026</v>
      </c>
      <c r="D26" t="s">
        <v>1017</v>
      </c>
      <c r="E26" s="44"/>
      <c r="F26" s="76"/>
      <c r="G26" s="76"/>
      <c r="H26" s="74"/>
    </row>
    <row r="27" spans="2:8" ht="15.75" thickBot="1" x14ac:dyDescent="0.3">
      <c r="B27" t="str">
        <f>B21</f>
        <v>Heizlast</v>
      </c>
      <c r="C27" s="21"/>
      <c r="D27" t="s">
        <v>1017</v>
      </c>
    </row>
    <row r="28" spans="2:8" ht="30.75" thickBot="1" x14ac:dyDescent="0.3">
      <c r="B28" s="46" t="str">
        <f>B22</f>
        <v>Norm-Heizleistung aller Heizkörper</v>
      </c>
      <c r="C28" s="21"/>
      <c r="D28" t="s">
        <v>1004</v>
      </c>
    </row>
    <row r="29" spans="2:8" ht="30.75" thickBot="1" x14ac:dyDescent="0.3">
      <c r="B29" s="46" t="str">
        <f>B23</f>
        <v>Deckungsgrad total bei Normbedingungen</v>
      </c>
      <c r="C29" s="128"/>
      <c r="D29" t="s">
        <v>1004</v>
      </c>
    </row>
    <row r="30" spans="2:8" ht="30.75" thickBot="1" x14ac:dyDescent="0.3">
      <c r="B30" s="46" t="str">
        <f>B24</f>
        <v>Deckungsgrad total bei NT-ready</v>
      </c>
      <c r="C30" s="128"/>
      <c r="G30" s="77"/>
      <c r="H30" s="77"/>
    </row>
    <row r="32" spans="2:8" ht="15.75" thickBot="1" x14ac:dyDescent="0.3">
      <c r="B32" s="22" t="s">
        <v>1027</v>
      </c>
      <c r="D32" t="s">
        <v>1017</v>
      </c>
    </row>
    <row r="33" spans="2:4" ht="15.75" thickBot="1" x14ac:dyDescent="0.3">
      <c r="B33" t="str">
        <f>B27</f>
        <v>Heizlast</v>
      </c>
      <c r="C33" s="21"/>
      <c r="D33" t="s">
        <v>1017</v>
      </c>
    </row>
    <row r="34" spans="2:4" ht="30.75" thickBot="1" x14ac:dyDescent="0.3">
      <c r="B34" s="46" t="str">
        <f>B28</f>
        <v>Norm-Heizleistung aller Heizkörper</v>
      </c>
      <c r="C34" s="21"/>
      <c r="D34" t="s">
        <v>1004</v>
      </c>
    </row>
    <row r="35" spans="2:4" ht="30.75" thickBot="1" x14ac:dyDescent="0.3">
      <c r="B35" s="46" t="str">
        <f>B29</f>
        <v>Deckungsgrad total bei Normbedingungen</v>
      </c>
      <c r="C35" s="128"/>
      <c r="D35" t="s">
        <v>1004</v>
      </c>
    </row>
    <row r="36" spans="2:4" ht="30.75" thickBot="1" x14ac:dyDescent="0.3">
      <c r="B36" s="46" t="str">
        <f>B30</f>
        <v>Deckungsgrad total bei NT-ready</v>
      </c>
      <c r="C36" s="128"/>
    </row>
  </sheetData>
  <conditionalFormatting sqref="C5">
    <cfRule type="iconSet" priority="10">
      <iconSet iconSet="3Symbols">
        <cfvo type="percent" val="0"/>
        <cfvo type="num" val="0"/>
        <cfvo type="num" val="0.95"/>
      </iconSet>
    </cfRule>
  </conditionalFormatting>
  <conditionalFormatting sqref="C7:C10">
    <cfRule type="iconSet" priority="9">
      <iconSet iconSet="3Symbols">
        <cfvo type="percent" val="0"/>
        <cfvo type="num" val="0"/>
        <cfvo type="num" val="0.95"/>
      </iconSet>
    </cfRule>
  </conditionalFormatting>
  <conditionalFormatting sqref="C17">
    <cfRule type="iconSet" priority="8">
      <iconSet iconSet="3Symbols">
        <cfvo type="percent" val="0"/>
        <cfvo type="num" val="0"/>
        <cfvo type="num" val="0.95"/>
      </iconSet>
    </cfRule>
  </conditionalFormatting>
  <conditionalFormatting sqref="C18">
    <cfRule type="iconSet" priority="7">
      <iconSet iconSet="3Symbols">
        <cfvo type="percent" val="0"/>
        <cfvo type="num" val="0"/>
        <cfvo type="num" val="0.95"/>
      </iconSet>
    </cfRule>
  </conditionalFormatting>
  <conditionalFormatting sqref="C23">
    <cfRule type="iconSet" priority="6">
      <iconSet iconSet="3Symbols">
        <cfvo type="percent" val="0"/>
        <cfvo type="num" val="0"/>
        <cfvo type="num" val="0.95"/>
      </iconSet>
    </cfRule>
  </conditionalFormatting>
  <conditionalFormatting sqref="C24">
    <cfRule type="iconSet" priority="5">
      <iconSet iconSet="3Symbols">
        <cfvo type="percent" val="0"/>
        <cfvo type="num" val="0"/>
        <cfvo type="num" val="0.95"/>
      </iconSet>
    </cfRule>
  </conditionalFormatting>
  <conditionalFormatting sqref="C29">
    <cfRule type="iconSet" priority="4">
      <iconSet iconSet="3Symbols">
        <cfvo type="percent" val="0"/>
        <cfvo type="num" val="0"/>
        <cfvo type="num" val="0.95"/>
      </iconSet>
    </cfRule>
  </conditionalFormatting>
  <conditionalFormatting sqref="C30">
    <cfRule type="iconSet" priority="3">
      <iconSet iconSet="3Symbols">
        <cfvo type="percent" val="0"/>
        <cfvo type="num" val="0"/>
        <cfvo type="num" val="0.95"/>
      </iconSet>
    </cfRule>
  </conditionalFormatting>
  <conditionalFormatting sqref="C35">
    <cfRule type="iconSet" priority="2">
      <iconSet iconSet="3Symbols">
        <cfvo type="percent" val="0"/>
        <cfvo type="num" val="0"/>
        <cfvo type="num" val="0.95"/>
      </iconSet>
    </cfRule>
  </conditionalFormatting>
  <conditionalFormatting sqref="C36">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E94E-A82E-47FF-8CA6-F0EE2A9AE9AE}">
  <dimension ref="B2:T43"/>
  <sheetViews>
    <sheetView topLeftCell="A12" zoomScaleNormal="100" workbookViewId="0">
      <selection activeCell="O20" sqref="O20"/>
    </sheetView>
  </sheetViews>
  <sheetFormatPr baseColWidth="10" defaultColWidth="11.42578125" defaultRowHeight="15" x14ac:dyDescent="0.25"/>
  <cols>
    <col min="2" max="2" width="26.140625" bestFit="1" customWidth="1"/>
    <col min="3" max="3" width="47.85546875" customWidth="1"/>
    <col min="4" max="4" width="32.85546875" customWidth="1"/>
    <col min="5" max="19" width="11.28515625" customWidth="1"/>
  </cols>
  <sheetData>
    <row r="2" spans="2:20" ht="15.75" thickBot="1" x14ac:dyDescent="0.3">
      <c r="B2" s="22" t="s">
        <v>985</v>
      </c>
    </row>
    <row r="3" spans="2:20" ht="15.75" thickBot="1" x14ac:dyDescent="0.3">
      <c r="B3" t="e">
        <f>IN_rooms!#REF!</f>
        <v>#REF!</v>
      </c>
      <c r="C3" s="21">
        <f>IN_rooms!R49</f>
        <v>0</v>
      </c>
      <c r="E3" s="277" t="s">
        <v>986</v>
      </c>
      <c r="F3" s="278"/>
      <c r="G3" s="278"/>
      <c r="H3" s="278"/>
      <c r="I3" s="278"/>
      <c r="J3" s="278"/>
      <c r="K3" s="279"/>
      <c r="L3" s="80"/>
      <c r="M3" s="277" t="s">
        <v>987</v>
      </c>
      <c r="N3" s="278"/>
      <c r="O3" s="278"/>
      <c r="P3" s="278"/>
      <c r="Q3" s="278"/>
      <c r="R3" s="278"/>
      <c r="S3" s="279"/>
    </row>
    <row r="4" spans="2:20" ht="15.75" thickBot="1" x14ac:dyDescent="0.3">
      <c r="B4" t="e">
        <f>IN_rooms!#REF!</f>
        <v>#REF!</v>
      </c>
      <c r="C4" s="21">
        <f>IN_rooms!R50</f>
        <v>0</v>
      </c>
      <c r="E4" s="81"/>
      <c r="K4" s="80"/>
      <c r="M4" s="81"/>
      <c r="S4" s="80"/>
      <c r="T4" t="s">
        <v>1028</v>
      </c>
    </row>
    <row r="5" spans="2:20" ht="15.75" thickBot="1" x14ac:dyDescent="0.3">
      <c r="B5" t="e">
        <f>IN_rooms!#REF!</f>
        <v>#REF!</v>
      </c>
      <c r="C5" s="21" t="e">
        <f>IN_rooms!#REF!</f>
        <v>#REF!</v>
      </c>
      <c r="E5" s="81"/>
      <c r="K5" s="80"/>
      <c r="M5" s="81"/>
      <c r="S5" s="80"/>
    </row>
    <row r="6" spans="2:20" ht="25.5" customHeight="1" thickBot="1" x14ac:dyDescent="0.3">
      <c r="B6" t="e">
        <f>IN_rooms!#REF!</f>
        <v>#REF!</v>
      </c>
      <c r="C6" s="21">
        <f>IN_rooms!R51</f>
        <v>0</v>
      </c>
      <c r="D6" t="s">
        <v>431</v>
      </c>
      <c r="E6" s="89" t="s">
        <v>988</v>
      </c>
      <c r="F6" s="82" t="s">
        <v>989</v>
      </c>
      <c r="G6" s="91">
        <v>75</v>
      </c>
      <c r="H6" s="90" t="s">
        <v>107</v>
      </c>
      <c r="I6" s="282" t="s">
        <v>990</v>
      </c>
      <c r="J6" s="282"/>
      <c r="K6" s="283"/>
      <c r="M6" s="89" t="s">
        <v>988</v>
      </c>
      <c r="N6" s="82" t="s">
        <v>989</v>
      </c>
      <c r="O6" s="91">
        <v>55</v>
      </c>
      <c r="P6" s="90" t="s">
        <v>107</v>
      </c>
      <c r="Q6" s="282" t="s">
        <v>991</v>
      </c>
      <c r="R6" s="282"/>
      <c r="S6" s="283"/>
    </row>
    <row r="7" spans="2:20" ht="25.5" customHeight="1" thickBot="1" x14ac:dyDescent="0.3">
      <c r="B7" t="e">
        <f>IN_rooms!#REF!</f>
        <v>#REF!</v>
      </c>
      <c r="C7" s="21">
        <f>IN_rooms!R52</f>
        <v>0</v>
      </c>
      <c r="D7" t="s">
        <v>431</v>
      </c>
      <c r="E7" s="92" t="s">
        <v>992</v>
      </c>
      <c r="F7" s="83" t="s">
        <v>989</v>
      </c>
      <c r="G7" s="93">
        <v>65</v>
      </c>
      <c r="H7" s="94" t="s">
        <v>107</v>
      </c>
      <c r="I7" s="282" t="s">
        <v>993</v>
      </c>
      <c r="J7" s="282"/>
      <c r="K7" s="283"/>
      <c r="M7" s="92" t="s">
        <v>992</v>
      </c>
      <c r="N7" s="83" t="s">
        <v>989</v>
      </c>
      <c r="O7" s="93">
        <v>45</v>
      </c>
      <c r="P7" s="94" t="s">
        <v>107</v>
      </c>
      <c r="Q7" s="282" t="s">
        <v>994</v>
      </c>
      <c r="R7" s="282"/>
      <c r="S7" s="283"/>
    </row>
    <row r="8" spans="2:20" ht="25.5" customHeight="1" thickBot="1" x14ac:dyDescent="0.3">
      <c r="B8" t="e">
        <f>IN_rooms!#REF!</f>
        <v>#REF!</v>
      </c>
      <c r="C8" s="21">
        <f>IN_rooms!R53</f>
        <v>0</v>
      </c>
      <c r="D8" t="s">
        <v>431</v>
      </c>
      <c r="E8" s="95" t="s">
        <v>995</v>
      </c>
      <c r="F8" s="84" t="s">
        <v>989</v>
      </c>
      <c r="G8" s="96">
        <v>20</v>
      </c>
      <c r="H8" s="97" t="s">
        <v>107</v>
      </c>
      <c r="I8" s="282" t="s">
        <v>996</v>
      </c>
      <c r="J8" s="282"/>
      <c r="K8" s="283"/>
      <c r="M8" s="95" t="s">
        <v>995</v>
      </c>
      <c r="N8" s="84" t="s">
        <v>989</v>
      </c>
      <c r="O8" s="96">
        <f>C12</f>
        <v>20</v>
      </c>
      <c r="P8" s="97" t="s">
        <v>107</v>
      </c>
      <c r="Q8" s="282" t="s">
        <v>997</v>
      </c>
      <c r="R8" s="282"/>
      <c r="S8" s="283"/>
    </row>
    <row r="9" spans="2:20" ht="15.75" thickBot="1" x14ac:dyDescent="0.3">
      <c r="B9" s="46" t="e">
        <f>IN_rooms!#REF!</f>
        <v>#REF!</v>
      </c>
      <c r="C9" s="21">
        <f>IN_rooms!R54</f>
        <v>0</v>
      </c>
      <c r="D9" t="s">
        <v>1003</v>
      </c>
      <c r="E9" s="81"/>
      <c r="G9" s="83"/>
      <c r="H9" s="83"/>
      <c r="K9" s="80"/>
      <c r="M9" s="81"/>
      <c r="O9" s="83"/>
      <c r="P9" s="83"/>
      <c r="S9" s="80"/>
    </row>
    <row r="10" spans="2:20" ht="25.5" customHeight="1" thickBot="1" x14ac:dyDescent="0.3">
      <c r="B10" t="s">
        <v>781</v>
      </c>
      <c r="C10" s="21">
        <v>1.3</v>
      </c>
      <c r="D10" t="s">
        <v>1004</v>
      </c>
      <c r="E10" s="95" t="s">
        <v>1000</v>
      </c>
      <c r="F10" s="84" t="s">
        <v>989</v>
      </c>
      <c r="G10" s="98">
        <f>(G6-G7)/(LN((G6-G8)/(G7-G8)))</f>
        <v>49.83288654563971</v>
      </c>
      <c r="H10" s="84" t="s">
        <v>791</v>
      </c>
      <c r="I10" s="85"/>
      <c r="J10" s="85"/>
      <c r="K10" s="86"/>
      <c r="M10" s="95" t="s">
        <v>1001</v>
      </c>
      <c r="N10" s="84" t="s">
        <v>989</v>
      </c>
      <c r="O10" s="98">
        <f>(O6-O7)/(LN((O6-O8)/(O7-O8)))</f>
        <v>29.720134119884619</v>
      </c>
      <c r="P10" s="84" t="s">
        <v>791</v>
      </c>
      <c r="Q10" s="85"/>
      <c r="R10" s="85"/>
      <c r="S10" s="86"/>
    </row>
    <row r="11" spans="2:20" ht="25.5" customHeight="1" thickBot="1" x14ac:dyDescent="0.3">
      <c r="B11" t="s">
        <v>783</v>
      </c>
      <c r="C11" s="133" t="str" cm="1">
        <f t="array" ref="C11">_xlfn.IFS(C24="Stahlrohrradiator",
    (SUMIFS(Data_radiator!$AA$5:$AA$385, Data_radiator!$C$5:$C$385, clc_tube!C3, Data_radiator!$D$5:$D$385, clc_tube!C4, Data_radiator!$G$5:$G$385, clc_tube!C6, Data_radiator!$L$5:$L$385, clc_tube!C8)),C4="Fensterbankradiator",(SUMIFS(Data_radiator!$Y$5:$Y$385, Data_radiator!$C$5:$C$385, clc_tube!C3, Data_radiator!$D$5:$D$385, clc_tube!C4, Data_radiator!$G$5:$G$385, clc_tube!C6, Data_radiator!$L$5:$L$385, clc_tube!C8,Data_radiator!$H$5:$H$385,clc_tube!C7)),
    C4="Handtuchradiator",
    919 * ((IN_rooms!R51*IN_rooms!R52) / 10^6) + 76.691,
    AND(C4&lt;&gt;"Stahlrohrradiator", C4&lt;&gt;"Fensterbankradiator", C4&lt;&gt;"Handtuchradiator"),
    "Siehe Berechnungsreiter entsprechend Heizkörpertyp",C4="Fensterbankradiator",
    (SUMIFS(Data_radiator!$Y$5:$Y$385, Data_radiator!$C$5:$C$385, clc_tube!C3, Data_radiator!$D$5:$D$385, clc_tube!C4, Data_radiator!$G$5:$G$385, clc_tube!C6, Data_radiator!$L$5:$L$385, clc_tube!C8,Data_radiator!$H$5:$H$385,clc_tube!C7))
)</f>
        <v>Siehe Berechnungsreiter entsprechend Heizkörpertyp</v>
      </c>
      <c r="D11" s="46" t="s">
        <v>1033</v>
      </c>
    </row>
    <row r="12" spans="2:20" ht="30.75" thickBot="1" x14ac:dyDescent="0.3">
      <c r="B12" s="103" t="s">
        <v>667</v>
      </c>
      <c r="C12" s="21">
        <f>clc_load!$M$10</f>
        <v>20</v>
      </c>
      <c r="D12" t="s">
        <v>107</v>
      </c>
    </row>
    <row r="13" spans="2:20" ht="25.5" customHeight="1" thickBot="1" x14ac:dyDescent="0.3">
      <c r="B13" s="78" t="s">
        <v>1029</v>
      </c>
      <c r="C13" s="21">
        <v>55</v>
      </c>
      <c r="D13" t="s">
        <v>107</v>
      </c>
      <c r="E13" s="275" t="s">
        <v>1005</v>
      </c>
      <c r="F13" s="276"/>
      <c r="G13" s="276"/>
      <c r="H13" s="276"/>
      <c r="I13" s="276"/>
      <c r="J13" s="276"/>
      <c r="K13" s="110"/>
      <c r="L13" s="87"/>
      <c r="M13" s="277" t="s">
        <v>1006</v>
      </c>
      <c r="N13" s="278"/>
      <c r="O13" s="278"/>
      <c r="P13" s="278"/>
      <c r="Q13" s="278"/>
      <c r="R13" s="278"/>
      <c r="S13" s="279"/>
    </row>
    <row r="14" spans="2:20" ht="25.5" customHeight="1" thickBot="1" x14ac:dyDescent="0.3">
      <c r="B14" s="78" t="s">
        <v>1030</v>
      </c>
      <c r="C14" s="21">
        <v>45</v>
      </c>
      <c r="D14" t="s">
        <v>107</v>
      </c>
      <c r="E14" s="111"/>
      <c r="F14" s="112"/>
      <c r="G14" s="112"/>
      <c r="H14" s="112"/>
      <c r="I14" s="112"/>
      <c r="J14" s="112"/>
      <c r="K14" s="113"/>
      <c r="L14" s="87"/>
      <c r="M14" s="81"/>
      <c r="S14" s="80"/>
    </row>
    <row r="15" spans="2:20" ht="25.5" customHeight="1" thickBot="1" x14ac:dyDescent="0.3">
      <c r="B15" t="s">
        <v>1007</v>
      </c>
      <c r="C15" s="104" t="e">
        <f>C16/C11</f>
        <v>#VALUE!</v>
      </c>
      <c r="D15" t="s">
        <v>1004</v>
      </c>
      <c r="E15" s="108" t="s">
        <v>1000</v>
      </c>
      <c r="F15" s="109" t="s">
        <v>989</v>
      </c>
      <c r="G15" s="114">
        <f>G10</f>
        <v>49.83288654563971</v>
      </c>
      <c r="H15" s="110" t="s">
        <v>791</v>
      </c>
      <c r="I15" s="280" t="s">
        <v>986</v>
      </c>
      <c r="J15" s="280"/>
      <c r="K15" s="281"/>
      <c r="M15" s="89" t="s">
        <v>1000</v>
      </c>
      <c r="N15" s="82" t="s">
        <v>989</v>
      </c>
      <c r="O15" s="99">
        <f>G10</f>
        <v>49.83288654563971</v>
      </c>
      <c r="P15" s="90" t="s">
        <v>791</v>
      </c>
      <c r="Q15" s="282" t="s">
        <v>986</v>
      </c>
      <c r="R15" s="282"/>
      <c r="S15" s="283"/>
    </row>
    <row r="16" spans="2:20" ht="25.5" customHeight="1" thickBot="1" x14ac:dyDescent="0.3">
      <c r="B16" t="s">
        <v>1031</v>
      </c>
      <c r="C16" s="129" t="str">
        <f>IF(C3="Rohrradiator",O20,"Siehe Berechnungsreiter entsprechend Heizkörpertyp")</f>
        <v>Siehe Berechnungsreiter entsprechend Heizkörpertyp</v>
      </c>
      <c r="D16" t="s">
        <v>112</v>
      </c>
      <c r="E16" s="115" t="s">
        <v>1001</v>
      </c>
      <c r="F16" s="116" t="s">
        <v>989</v>
      </c>
      <c r="G16" s="117">
        <f>O10</f>
        <v>29.720134119884619</v>
      </c>
      <c r="H16" s="118" t="s">
        <v>791</v>
      </c>
      <c r="I16" s="280" t="s">
        <v>987</v>
      </c>
      <c r="J16" s="280"/>
      <c r="K16" s="281"/>
      <c r="M16" s="92" t="s">
        <v>1001</v>
      </c>
      <c r="N16" s="83" t="s">
        <v>989</v>
      </c>
      <c r="O16" s="100">
        <f>O10</f>
        <v>29.720134119884619</v>
      </c>
      <c r="P16" s="94" t="s">
        <v>791</v>
      </c>
      <c r="Q16" s="282" t="s">
        <v>987</v>
      </c>
      <c r="R16" s="282"/>
      <c r="S16" s="283"/>
    </row>
    <row r="17" spans="2:19" ht="25.5" customHeight="1" x14ac:dyDescent="0.25">
      <c r="E17" s="119"/>
      <c r="F17" s="116" t="s">
        <v>989</v>
      </c>
      <c r="G17" s="120" t="e">
        <f>clc_load!$M$72/clc_load!#REF!</f>
        <v>#REF!</v>
      </c>
      <c r="H17" s="118" t="s">
        <v>112</v>
      </c>
      <c r="I17" s="280" t="s">
        <v>1010</v>
      </c>
      <c r="J17" s="280"/>
      <c r="K17" s="281"/>
      <c r="M17" s="81"/>
      <c r="N17" s="83" t="s">
        <v>989</v>
      </c>
      <c r="O17" s="101" t="str">
        <f>C11</f>
        <v>Siehe Berechnungsreiter entsprechend Heizkörpertyp</v>
      </c>
      <c r="P17" s="94" t="s">
        <v>112</v>
      </c>
      <c r="Q17" s="282" t="s">
        <v>1011</v>
      </c>
      <c r="R17" s="282"/>
      <c r="S17" s="283"/>
    </row>
    <row r="18" spans="2:19" ht="25.5" customHeight="1" thickBot="1" x14ac:dyDescent="0.3">
      <c r="C18" s="130"/>
      <c r="E18" s="121" t="s">
        <v>137</v>
      </c>
      <c r="F18" s="122" t="s">
        <v>989</v>
      </c>
      <c r="G18" s="122">
        <f>C10</f>
        <v>1.3</v>
      </c>
      <c r="H18" s="123"/>
      <c r="I18" s="280" t="s">
        <v>781</v>
      </c>
      <c r="J18" s="280"/>
      <c r="K18" s="281"/>
      <c r="M18" s="95" t="s">
        <v>137</v>
      </c>
      <c r="N18" s="84" t="s">
        <v>989</v>
      </c>
      <c r="O18" s="96">
        <f>C10</f>
        <v>1.3</v>
      </c>
      <c r="P18" s="86"/>
      <c r="Q18" s="282" t="s">
        <v>1012</v>
      </c>
      <c r="R18" s="282"/>
      <c r="S18" s="283"/>
    </row>
    <row r="19" spans="2:19" ht="25.5" customHeight="1" x14ac:dyDescent="0.25">
      <c r="E19" s="119"/>
      <c r="F19" s="124"/>
      <c r="G19" s="116"/>
      <c r="H19" s="116"/>
      <c r="I19" s="124"/>
      <c r="J19" s="124"/>
      <c r="K19" s="125"/>
      <c r="M19" s="81"/>
      <c r="S19" s="80"/>
    </row>
    <row r="20" spans="2:19" ht="25.5" customHeight="1" thickBot="1" x14ac:dyDescent="0.3">
      <c r="D20" s="75"/>
      <c r="E20" s="121"/>
      <c r="F20" s="122" t="s">
        <v>989</v>
      </c>
      <c r="G20" s="126" t="e">
        <f>(G17/((G16/G15)^G18))</f>
        <v>#REF!</v>
      </c>
      <c r="H20" s="122" t="s">
        <v>112</v>
      </c>
      <c r="I20" s="284" t="s">
        <v>1013</v>
      </c>
      <c r="J20" s="284"/>
      <c r="K20" s="285"/>
      <c r="M20" s="88"/>
      <c r="N20" s="84" t="s">
        <v>989</v>
      </c>
      <c r="O20" s="102" t="e">
        <f>O17*((O16/O15)^O18)</f>
        <v>#VALUE!</v>
      </c>
      <c r="P20" s="84" t="s">
        <v>112</v>
      </c>
      <c r="Q20" s="286" t="s">
        <v>792</v>
      </c>
      <c r="R20" s="286"/>
      <c r="S20" s="287"/>
    </row>
    <row r="21" spans="2:19" ht="21.75" customHeight="1" x14ac:dyDescent="0.25">
      <c r="D21" s="75"/>
      <c r="E21" s="76"/>
      <c r="F21" s="76"/>
      <c r="G21" s="76"/>
      <c r="H21" s="74"/>
    </row>
    <row r="22" spans="2:19" ht="22.5" customHeight="1" thickBot="1" x14ac:dyDescent="0.3">
      <c r="B22" s="22" t="s">
        <v>1014</v>
      </c>
    </row>
    <row r="23" spans="2:19" ht="15.75" thickBot="1" x14ac:dyDescent="0.3">
      <c r="B23" s="46" t="e">
        <f>B3</f>
        <v>#REF!</v>
      </c>
      <c r="C23" s="21">
        <f>IN_rooms!R56</f>
        <v>0</v>
      </c>
      <c r="E23" s="277" t="s">
        <v>986</v>
      </c>
      <c r="F23" s="278"/>
      <c r="G23" s="278"/>
      <c r="H23" s="278"/>
      <c r="I23" s="278"/>
      <c r="J23" s="278"/>
      <c r="K23" s="279"/>
      <c r="L23" s="80"/>
      <c r="M23" s="277" t="s">
        <v>987</v>
      </c>
      <c r="N23" s="278"/>
      <c r="O23" s="278"/>
      <c r="P23" s="278"/>
      <c r="Q23" s="278"/>
      <c r="R23" s="278"/>
      <c r="S23" s="279"/>
    </row>
    <row r="24" spans="2:19" ht="15.75" thickBot="1" x14ac:dyDescent="0.3">
      <c r="B24" s="46" t="e">
        <f>B4</f>
        <v>#REF!</v>
      </c>
      <c r="C24" s="21">
        <f>IN_rooms!R57</f>
        <v>0</v>
      </c>
      <c r="E24" s="81"/>
      <c r="K24" s="80"/>
      <c r="M24" s="81"/>
      <c r="S24" s="80"/>
    </row>
    <row r="25" spans="2:19" ht="15.75" thickBot="1" x14ac:dyDescent="0.3">
      <c r="B25" s="46" t="e">
        <f>B5</f>
        <v>#REF!</v>
      </c>
      <c r="C25" s="21" t="e">
        <f>IN_rooms!#REF!</f>
        <v>#REF!</v>
      </c>
      <c r="E25" s="81"/>
      <c r="K25" s="80"/>
      <c r="M25" s="81"/>
      <c r="S25" s="80"/>
    </row>
    <row r="26" spans="2:19" ht="18.75" thickBot="1" x14ac:dyDescent="0.3">
      <c r="B26" s="46" t="e">
        <f t="shared" ref="B26:B36" si="0">B6</f>
        <v>#REF!</v>
      </c>
      <c r="C26" s="21">
        <f>IN_rooms!R58</f>
        <v>0</v>
      </c>
      <c r="D26" t="s">
        <v>431</v>
      </c>
      <c r="E26" s="89" t="s">
        <v>988</v>
      </c>
      <c r="F26" s="82" t="s">
        <v>989</v>
      </c>
      <c r="G26" s="91">
        <v>70</v>
      </c>
      <c r="H26" s="90" t="s">
        <v>107</v>
      </c>
      <c r="I26" s="282" t="s">
        <v>990</v>
      </c>
      <c r="J26" s="282"/>
      <c r="K26" s="283"/>
      <c r="M26" s="89" t="s">
        <v>988</v>
      </c>
      <c r="N26" s="82" t="s">
        <v>989</v>
      </c>
      <c r="O26" s="91">
        <v>55</v>
      </c>
      <c r="P26" s="90" t="s">
        <v>107</v>
      </c>
      <c r="Q26" s="282" t="s">
        <v>991</v>
      </c>
      <c r="R26" s="282"/>
      <c r="S26" s="283"/>
    </row>
    <row r="27" spans="2:19" ht="18.75" thickBot="1" x14ac:dyDescent="0.3">
      <c r="B27" s="46" t="e">
        <f t="shared" si="0"/>
        <v>#REF!</v>
      </c>
      <c r="C27" s="21">
        <f>IN_rooms!R59</f>
        <v>0</v>
      </c>
      <c r="D27" t="s">
        <v>431</v>
      </c>
      <c r="E27" s="92" t="s">
        <v>992</v>
      </c>
      <c r="F27" s="83" t="s">
        <v>989</v>
      </c>
      <c r="G27" s="93">
        <v>55</v>
      </c>
      <c r="H27" s="94" t="s">
        <v>107</v>
      </c>
      <c r="I27" s="282" t="s">
        <v>993</v>
      </c>
      <c r="J27" s="282"/>
      <c r="K27" s="283"/>
      <c r="M27" s="92" t="s">
        <v>992</v>
      </c>
      <c r="N27" s="83" t="s">
        <v>989</v>
      </c>
      <c r="O27" s="93">
        <v>45</v>
      </c>
      <c r="P27" s="94" t="s">
        <v>107</v>
      </c>
      <c r="Q27" s="282" t="s">
        <v>994</v>
      </c>
      <c r="R27" s="282"/>
      <c r="S27" s="283"/>
    </row>
    <row r="28" spans="2:19" ht="18.75" thickBot="1" x14ac:dyDescent="0.3">
      <c r="B28" s="46" t="e">
        <f t="shared" si="0"/>
        <v>#REF!</v>
      </c>
      <c r="C28" s="21">
        <f>IN_rooms!R60</f>
        <v>0</v>
      </c>
      <c r="D28" t="s">
        <v>431</v>
      </c>
      <c r="E28" s="95" t="s">
        <v>995</v>
      </c>
      <c r="F28" s="84" t="s">
        <v>989</v>
      </c>
      <c r="G28" s="96">
        <v>20</v>
      </c>
      <c r="H28" s="97" t="s">
        <v>107</v>
      </c>
      <c r="I28" s="282" t="s">
        <v>996</v>
      </c>
      <c r="J28" s="282"/>
      <c r="K28" s="283"/>
      <c r="M28" s="95" t="s">
        <v>995</v>
      </c>
      <c r="N28" s="84" t="s">
        <v>989</v>
      </c>
      <c r="O28" s="96">
        <f>C32</f>
        <v>20</v>
      </c>
      <c r="P28" s="97" t="s">
        <v>107</v>
      </c>
      <c r="Q28" s="282" t="s">
        <v>997</v>
      </c>
      <c r="R28" s="282"/>
      <c r="S28" s="283"/>
    </row>
    <row r="29" spans="2:19" ht="15.75" thickBot="1" x14ac:dyDescent="0.3">
      <c r="B29" s="46" t="e">
        <f t="shared" si="0"/>
        <v>#REF!</v>
      </c>
      <c r="C29" s="21">
        <f>IN_rooms!R61</f>
        <v>0</v>
      </c>
      <c r="D29" t="s">
        <v>1003</v>
      </c>
      <c r="E29" s="81"/>
      <c r="G29" s="83"/>
      <c r="H29" s="83"/>
      <c r="K29" s="80"/>
      <c r="M29" s="81"/>
      <c r="O29" s="83"/>
      <c r="P29" s="83"/>
      <c r="S29" s="80"/>
    </row>
    <row r="30" spans="2:19" ht="18.75" thickBot="1" x14ac:dyDescent="0.3">
      <c r="B30" s="46" t="str">
        <f t="shared" si="0"/>
        <v>Heizkörperexponent</v>
      </c>
      <c r="C30" s="21">
        <v>1.3</v>
      </c>
      <c r="D30" t="s">
        <v>1004</v>
      </c>
      <c r="E30" s="95" t="s">
        <v>1000</v>
      </c>
      <c r="F30" s="84" t="s">
        <v>989</v>
      </c>
      <c r="G30" s="98">
        <f>(G26-G27)/(LN((G26-G28)/(G27-G28)))</f>
        <v>42.055098780856937</v>
      </c>
      <c r="H30" s="84" t="s">
        <v>791</v>
      </c>
      <c r="I30" s="85"/>
      <c r="J30" s="85"/>
      <c r="K30" s="86"/>
      <c r="M30" s="95" t="s">
        <v>1001</v>
      </c>
      <c r="N30" s="84" t="s">
        <v>989</v>
      </c>
      <c r="O30" s="98">
        <f>(O26-O27)/(LN((O26-O28)/(O27-O28)))</f>
        <v>29.720134119884619</v>
      </c>
      <c r="P30" s="84" t="s">
        <v>791</v>
      </c>
      <c r="Q30" s="85"/>
      <c r="R30" s="85"/>
      <c r="S30" s="86"/>
    </row>
    <row r="31" spans="2:19" ht="15.75" thickBot="1" x14ac:dyDescent="0.3">
      <c r="B31" s="46" t="str">
        <f t="shared" si="0"/>
        <v>Norm-Heizleistung 75/65/20</v>
      </c>
      <c r="C31" s="129" t="str" cm="1">
        <f t="array" ref="C31">_xlfn.IFS(C24="Stahlrohrradiator",
    (SUMIFS(Data_radiator!$AA$5:$AA$385, Data_radiator!$C$5:$C$385, clc_tube!C23, Data_radiator!$D$5:$D$385, clc_tube!C24, Data_radiator!$G$5:$G$385, clc_tube!C26, Data_radiator!$L$5:$L$385, clc_tube!C28)),C24="Fensterbankradiator",(SUMIFS(Data_radiator!$Y$5:$Y$385, Data_radiator!$C$5:$C$385, clc_tube!C23, Data_radiator!$D$5:$D$385, clc_tube!C24, Data_radiator!$G$5:$G$385, clc_tube!C26, Data_radiator!$L$5:$L$385, clc_tube!C28,Data_radiator!$H$5:$H$385,clc_tube!C27)),
    C24="Handtuchradiator",
    919 * ((IN_rooms!R58*IN_rooms!R59) / 10^6) + 76.691,
    AND(C24&lt;&gt;"Stahlrohrradiator", C24&lt;&gt;"Fensterbankradiator", C24&lt;&gt;"Handtuchradiator"),
    "Siehe Berechnungsreiter entsprechend Heizkörpertyp",C4="Fensterbankradiator",
    (SUMIFS(Data_radiator!$Y$5:$Y$385, Data_radiator!$C$5:$C$385, clc_tube!C23, Data_radiator!$D$5:$D$385, clc_tube!C24, Data_radiator!$G$5:$G$385, clc_tube!C26, Data_radiator!$L$5:$L$385, clc_tube!C28,Data_radiator!$H$5:$H$385,clc_tube!C27))
)</f>
        <v>Siehe Berechnungsreiter entsprechend Heizkörpertyp</v>
      </c>
      <c r="D31" t="s">
        <v>112</v>
      </c>
    </row>
    <row r="32" spans="2:19" ht="30.75" thickBot="1" x14ac:dyDescent="0.3">
      <c r="B32" s="46" t="str">
        <f t="shared" si="0"/>
        <v>Berechnungs-Raumtemperatur</v>
      </c>
      <c r="C32" s="21">
        <f>clc_load!$M$10</f>
        <v>20</v>
      </c>
      <c r="D32" t="s">
        <v>107</v>
      </c>
    </row>
    <row r="33" spans="2:19" ht="15.75" thickBot="1" x14ac:dyDescent="0.3">
      <c r="B33" s="46" t="str">
        <f t="shared" si="0"/>
        <v>θ,Vlneu</v>
      </c>
      <c r="C33" s="21">
        <v>55</v>
      </c>
      <c r="D33" t="s">
        <v>107</v>
      </c>
      <c r="E33" s="275" t="s">
        <v>1005</v>
      </c>
      <c r="F33" s="276"/>
      <c r="G33" s="276"/>
      <c r="H33" s="276"/>
      <c r="I33" s="276"/>
      <c r="J33" s="276"/>
      <c r="K33" s="110"/>
      <c r="L33" s="87"/>
      <c r="M33" s="277" t="s">
        <v>1006</v>
      </c>
      <c r="N33" s="278"/>
      <c r="O33" s="278"/>
      <c r="P33" s="278"/>
      <c r="Q33" s="278"/>
      <c r="R33" s="278"/>
      <c r="S33" s="279"/>
    </row>
    <row r="34" spans="2:19" ht="15.75" thickBot="1" x14ac:dyDescent="0.3">
      <c r="B34" s="46" t="str">
        <f t="shared" si="0"/>
        <v>θ,Rlneu</v>
      </c>
      <c r="C34" s="21">
        <v>45</v>
      </c>
      <c r="D34" t="s">
        <v>107</v>
      </c>
      <c r="E34" s="111"/>
      <c r="F34" s="112"/>
      <c r="G34" s="112"/>
      <c r="H34" s="112"/>
      <c r="I34" s="112"/>
      <c r="J34" s="112"/>
      <c r="K34" s="113"/>
      <c r="L34" s="87"/>
      <c r="M34" s="81"/>
      <c r="S34" s="80"/>
    </row>
    <row r="35" spans="2:19" ht="18.75" thickBot="1" x14ac:dyDescent="0.3">
      <c r="B35" s="46" t="str">
        <f t="shared" si="0"/>
        <v xml:space="preserve">Korrekturfaktor </v>
      </c>
      <c r="C35" s="104" t="e">
        <f>C36/C31</f>
        <v>#VALUE!</v>
      </c>
      <c r="D35" t="s">
        <v>1004</v>
      </c>
      <c r="E35" s="108" t="s">
        <v>1000</v>
      </c>
      <c r="F35" s="109" t="s">
        <v>989</v>
      </c>
      <c r="G35" s="114">
        <f>G30</f>
        <v>42.055098780856937</v>
      </c>
      <c r="H35" s="110" t="s">
        <v>791</v>
      </c>
      <c r="I35" s="280" t="s">
        <v>986</v>
      </c>
      <c r="J35" s="280"/>
      <c r="K35" s="281"/>
      <c r="M35" s="89" t="s">
        <v>1000</v>
      </c>
      <c r="N35" s="82" t="s">
        <v>989</v>
      </c>
      <c r="O35" s="99">
        <f>G30</f>
        <v>42.055098780856937</v>
      </c>
      <c r="P35" s="90" t="s">
        <v>791</v>
      </c>
      <c r="Q35" s="282" t="s">
        <v>986</v>
      </c>
      <c r="R35" s="282"/>
      <c r="S35" s="283"/>
    </row>
    <row r="36" spans="2:19" ht="18.75" thickBot="1" x14ac:dyDescent="0.3">
      <c r="B36" s="46" t="str">
        <f t="shared" si="0"/>
        <v>Heizleistung bei θ,VLneu</v>
      </c>
      <c r="C36" s="129" t="str">
        <f>IF(C23="Rohrradiator",O40,"Siehe Berechnungsreiter entsprechend Heizkörpertyp")</f>
        <v>Siehe Berechnungsreiter entsprechend Heizkörpertyp</v>
      </c>
      <c r="D36" t="s">
        <v>112</v>
      </c>
      <c r="E36" s="115" t="s">
        <v>1001</v>
      </c>
      <c r="F36" s="116" t="s">
        <v>989</v>
      </c>
      <c r="G36" s="117">
        <f>O30</f>
        <v>29.720134119884619</v>
      </c>
      <c r="H36" s="118" t="s">
        <v>791</v>
      </c>
      <c r="I36" s="280" t="s">
        <v>987</v>
      </c>
      <c r="J36" s="280"/>
      <c r="K36" s="281"/>
      <c r="M36" s="92" t="s">
        <v>1001</v>
      </c>
      <c r="N36" s="83" t="s">
        <v>989</v>
      </c>
      <c r="O36" s="100">
        <f>O30</f>
        <v>29.720134119884619</v>
      </c>
      <c r="P36" s="94" t="s">
        <v>791</v>
      </c>
      <c r="Q36" s="282" t="s">
        <v>987</v>
      </c>
      <c r="R36" s="282"/>
      <c r="S36" s="283"/>
    </row>
    <row r="37" spans="2:19" x14ac:dyDescent="0.25">
      <c r="E37" s="119"/>
      <c r="F37" s="116" t="s">
        <v>989</v>
      </c>
      <c r="G37" s="120" t="e">
        <f>clc_load!$M$72/clc_load!#REF!</f>
        <v>#REF!</v>
      </c>
      <c r="H37" s="118" t="s">
        <v>112</v>
      </c>
      <c r="I37" s="280" t="s">
        <v>1010</v>
      </c>
      <c r="J37" s="280"/>
      <c r="K37" s="281"/>
      <c r="M37" s="81"/>
      <c r="N37" s="83" t="s">
        <v>989</v>
      </c>
      <c r="O37" s="101" t="str">
        <f>C31</f>
        <v>Siehe Berechnungsreiter entsprechend Heizkörpertyp</v>
      </c>
      <c r="P37" s="94" t="s">
        <v>112</v>
      </c>
      <c r="Q37" s="282" t="s">
        <v>1011</v>
      </c>
      <c r="R37" s="282"/>
      <c r="S37" s="283"/>
    </row>
    <row r="38" spans="2:19" ht="15.75" thickBot="1" x14ac:dyDescent="0.3">
      <c r="E38" s="121" t="s">
        <v>137</v>
      </c>
      <c r="F38" s="122" t="s">
        <v>989</v>
      </c>
      <c r="G38" s="122">
        <f>C30</f>
        <v>1.3</v>
      </c>
      <c r="H38" s="123"/>
      <c r="I38" s="280" t="s">
        <v>781</v>
      </c>
      <c r="J38" s="280"/>
      <c r="K38" s="281"/>
      <c r="M38" s="95" t="s">
        <v>137</v>
      </c>
      <c r="N38" s="84" t="s">
        <v>989</v>
      </c>
      <c r="O38" s="96">
        <f>C30</f>
        <v>1.3</v>
      </c>
      <c r="P38" s="86"/>
      <c r="Q38" s="282" t="s">
        <v>1012</v>
      </c>
      <c r="R38" s="282"/>
      <c r="S38" s="283"/>
    </row>
    <row r="39" spans="2:19" x14ac:dyDescent="0.25">
      <c r="E39" s="119"/>
      <c r="F39" s="124"/>
      <c r="G39" s="116"/>
      <c r="H39" s="116"/>
      <c r="I39" s="124"/>
      <c r="J39" s="124"/>
      <c r="K39" s="125"/>
      <c r="M39" s="81"/>
      <c r="S39" s="80"/>
    </row>
    <row r="40" spans="2:19" ht="15.75" thickBot="1" x14ac:dyDescent="0.3">
      <c r="D40" s="75"/>
      <c r="E40" s="121"/>
      <c r="F40" s="122" t="s">
        <v>989</v>
      </c>
      <c r="G40" s="126" t="e">
        <f>(G37/((G36/G35)^G38))</f>
        <v>#REF!</v>
      </c>
      <c r="H40" s="122" t="s">
        <v>112</v>
      </c>
      <c r="I40" s="284" t="s">
        <v>1013</v>
      </c>
      <c r="J40" s="284"/>
      <c r="K40" s="285"/>
      <c r="M40" s="88"/>
      <c r="N40" s="84" t="s">
        <v>989</v>
      </c>
      <c r="O40" s="102" t="e">
        <f>O37*((O36/O35)^O38)</f>
        <v>#VALUE!</v>
      </c>
      <c r="P40" s="84" t="s">
        <v>112</v>
      </c>
      <c r="Q40" s="286" t="s">
        <v>792</v>
      </c>
      <c r="R40" s="286"/>
      <c r="S40" s="287"/>
    </row>
    <row r="43" spans="2:19" x14ac:dyDescent="0.25">
      <c r="B43" s="22" t="s">
        <v>1015</v>
      </c>
    </row>
  </sheetData>
  <mergeCells count="40">
    <mergeCell ref="E3:K3"/>
    <mergeCell ref="M3:S3"/>
    <mergeCell ref="I6:K6"/>
    <mergeCell ref="Q6:S6"/>
    <mergeCell ref="I7:K7"/>
    <mergeCell ref="Q7:S7"/>
    <mergeCell ref="I8:K8"/>
    <mergeCell ref="Q8:S8"/>
    <mergeCell ref="E13:J13"/>
    <mergeCell ref="M13:S13"/>
    <mergeCell ref="I15:K15"/>
    <mergeCell ref="Q15:S15"/>
    <mergeCell ref="I16:K16"/>
    <mergeCell ref="Q16:S16"/>
    <mergeCell ref="I17:K17"/>
    <mergeCell ref="Q17:S17"/>
    <mergeCell ref="I18:K18"/>
    <mergeCell ref="Q18:S18"/>
    <mergeCell ref="I20:K20"/>
    <mergeCell ref="Q20:S20"/>
    <mergeCell ref="E23:K23"/>
    <mergeCell ref="M23:S23"/>
    <mergeCell ref="I26:K26"/>
    <mergeCell ref="Q26:S26"/>
    <mergeCell ref="I27:K27"/>
    <mergeCell ref="Q27:S27"/>
    <mergeCell ref="I28:K28"/>
    <mergeCell ref="Q28:S28"/>
    <mergeCell ref="E33:J33"/>
    <mergeCell ref="M33:S33"/>
    <mergeCell ref="I38:K38"/>
    <mergeCell ref="Q38:S38"/>
    <mergeCell ref="I40:K40"/>
    <mergeCell ref="Q40:S40"/>
    <mergeCell ref="I35:K35"/>
    <mergeCell ref="Q35:S35"/>
    <mergeCell ref="I36:K36"/>
    <mergeCell ref="Q36:S36"/>
    <mergeCell ref="I37:K37"/>
    <mergeCell ref="Q37:S37"/>
  </mergeCells>
  <pageMargins left="0.7" right="0.7" top="0.78740157499999996" bottom="0.78740157499999996"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D15F-2673-45EE-818F-7CAFFA09D6FC}">
  <dimension ref="B2:H36"/>
  <sheetViews>
    <sheetView zoomScale="85" zoomScaleNormal="85" workbookViewId="0">
      <selection activeCell="O20" sqref="O20"/>
    </sheetView>
  </sheetViews>
  <sheetFormatPr baseColWidth="10" defaultColWidth="11.42578125" defaultRowHeight="15" x14ac:dyDescent="0.25"/>
  <cols>
    <col min="2" max="2" width="28.5703125" bestFit="1" customWidth="1"/>
    <col min="3" max="3" width="35.28515625" bestFit="1" customWidth="1"/>
    <col min="4" max="4" width="32.85546875" customWidth="1"/>
    <col min="5" max="19" width="11.28515625" customWidth="1"/>
  </cols>
  <sheetData>
    <row r="2" spans="2:4" ht="15.75" thickBot="1" x14ac:dyDescent="0.3">
      <c r="B2" s="22" t="e">
        <f>clc_load!#REF!</f>
        <v>#REF!</v>
      </c>
    </row>
    <row r="3" spans="2:4" ht="15.75" thickBot="1" x14ac:dyDescent="0.3">
      <c r="B3" t="s">
        <v>1016</v>
      </c>
      <c r="C3" s="104">
        <f>clc_load!$M$72/1000</f>
        <v>0.81935420937513648</v>
      </c>
      <c r="D3" t="s">
        <v>1017</v>
      </c>
    </row>
    <row r="4" spans="2:4" s="46" customFormat="1" ht="30.75" thickBot="1" x14ac:dyDescent="0.3">
      <c r="B4" s="46" t="s">
        <v>1018</v>
      </c>
      <c r="C4" s="127" t="e">
        <f>(clc_tube!C11+clc_tube!C31)/1000</f>
        <v>#VALUE!</v>
      </c>
      <c r="D4" s="46" t="s">
        <v>1017</v>
      </c>
    </row>
    <row r="5" spans="2:4" s="46" customFormat="1" ht="30.75" thickBot="1" x14ac:dyDescent="0.3">
      <c r="B5" s="46" t="s">
        <v>1019</v>
      </c>
      <c r="C5" s="128" t="e">
        <f>$C$4/$C$3</f>
        <v>#VALUE!</v>
      </c>
      <c r="D5" s="46" t="s">
        <v>1004</v>
      </c>
    </row>
    <row r="6" spans="2:4" s="46" customFormat="1" ht="45.75" thickBot="1" x14ac:dyDescent="0.3">
      <c r="B6" s="46" t="s">
        <v>1020</v>
      </c>
      <c r="C6" s="127" t="e">
        <f>(clc_tube!C16+clc_tube!C36)/1000</f>
        <v>#VALUE!</v>
      </c>
      <c r="D6" s="46" t="s">
        <v>1017</v>
      </c>
    </row>
    <row r="7" spans="2:4" ht="30.75" thickBot="1" x14ac:dyDescent="0.3">
      <c r="B7" s="46" t="s">
        <v>1021</v>
      </c>
      <c r="C7" s="128" t="e">
        <f>$C$6/$C$3</f>
        <v>#VALUE!</v>
      </c>
      <c r="D7" s="46" t="s">
        <v>1004</v>
      </c>
    </row>
    <row r="8" spans="2:4" ht="25.5" customHeight="1" thickBot="1" x14ac:dyDescent="0.3">
      <c r="B8" s="46" t="s">
        <v>1023</v>
      </c>
      <c r="C8" s="128"/>
    </row>
    <row r="9" spans="2:4" ht="25.5" customHeight="1" thickBot="1" x14ac:dyDescent="0.3">
      <c r="C9" s="128"/>
    </row>
    <row r="10" spans="2:4" ht="25.5" customHeight="1" thickBot="1" x14ac:dyDescent="0.3">
      <c r="C10" s="128"/>
    </row>
    <row r="14" spans="2:4" ht="15.75" thickBot="1" x14ac:dyDescent="0.3">
      <c r="B14" s="22" t="s">
        <v>1024</v>
      </c>
      <c r="D14" t="s">
        <v>1017</v>
      </c>
    </row>
    <row r="15" spans="2:4" ht="15.75" thickBot="1" x14ac:dyDescent="0.3">
      <c r="B15" t="str">
        <f>B3</f>
        <v>Heizlast</v>
      </c>
      <c r="C15" s="21"/>
      <c r="D15" t="s">
        <v>1017</v>
      </c>
    </row>
    <row r="16" spans="2:4" ht="30.75" thickBot="1" x14ac:dyDescent="0.3">
      <c r="B16" s="46" t="str">
        <f>B4</f>
        <v>Norm-Heizleistung aller Heizkörper</v>
      </c>
      <c r="C16" s="21"/>
      <c r="D16" t="s">
        <v>1004</v>
      </c>
    </row>
    <row r="17" spans="2:8" ht="30.75" thickBot="1" x14ac:dyDescent="0.3">
      <c r="B17" s="46" t="str">
        <f>B5</f>
        <v>Deckungsgrad total bei Normbedingungen</v>
      </c>
      <c r="C17" s="128"/>
      <c r="D17" t="s">
        <v>1004</v>
      </c>
    </row>
    <row r="18" spans="2:8" ht="30.75" thickBot="1" x14ac:dyDescent="0.3">
      <c r="B18" s="46" t="str">
        <f>B7</f>
        <v>Deckungsgrad total bei NT-ready</v>
      </c>
      <c r="C18" s="128"/>
    </row>
    <row r="20" spans="2:8" ht="15.75" thickBot="1" x14ac:dyDescent="0.3">
      <c r="B20" s="22" t="s">
        <v>1025</v>
      </c>
      <c r="D20" t="s">
        <v>1017</v>
      </c>
    </row>
    <row r="21" spans="2:8" ht="15.75" thickBot="1" x14ac:dyDescent="0.3">
      <c r="B21" t="str">
        <f>B15</f>
        <v>Heizlast</v>
      </c>
      <c r="C21" s="21"/>
      <c r="D21" t="s">
        <v>1017</v>
      </c>
    </row>
    <row r="22" spans="2:8" ht="30.75" thickBot="1" x14ac:dyDescent="0.3">
      <c r="B22" s="46" t="str">
        <f>B16</f>
        <v>Norm-Heizleistung aller Heizkörper</v>
      </c>
      <c r="C22" s="21"/>
      <c r="D22" t="s">
        <v>1004</v>
      </c>
    </row>
    <row r="23" spans="2:8" ht="30.75" thickBot="1" x14ac:dyDescent="0.3">
      <c r="B23" s="46" t="str">
        <f>B17</f>
        <v>Deckungsgrad total bei Normbedingungen</v>
      </c>
      <c r="C23" s="128"/>
      <c r="D23" t="s">
        <v>1004</v>
      </c>
    </row>
    <row r="24" spans="2:8" ht="30.75" thickBot="1" x14ac:dyDescent="0.3">
      <c r="B24" s="46" t="str">
        <f>B18</f>
        <v>Deckungsgrad total bei NT-ready</v>
      </c>
      <c r="C24" s="128"/>
      <c r="E24" s="44"/>
      <c r="F24" s="76"/>
      <c r="G24" s="76"/>
      <c r="H24" s="74"/>
    </row>
    <row r="25" spans="2:8" x14ac:dyDescent="0.25">
      <c r="E25" s="44"/>
      <c r="F25" s="76"/>
      <c r="G25" s="76"/>
      <c r="H25" s="74"/>
    </row>
    <row r="26" spans="2:8" ht="15.75" thickBot="1" x14ac:dyDescent="0.3">
      <c r="B26" s="22" t="s">
        <v>1026</v>
      </c>
      <c r="D26" t="s">
        <v>1017</v>
      </c>
      <c r="E26" s="44"/>
      <c r="F26" s="76"/>
      <c r="G26" s="76"/>
      <c r="H26" s="74"/>
    </row>
    <row r="27" spans="2:8" ht="15.75" thickBot="1" x14ac:dyDescent="0.3">
      <c r="B27" t="str">
        <f>B21</f>
        <v>Heizlast</v>
      </c>
      <c r="C27" s="21"/>
      <c r="D27" t="s">
        <v>1017</v>
      </c>
    </row>
    <row r="28" spans="2:8" ht="30.75" thickBot="1" x14ac:dyDescent="0.3">
      <c r="B28" s="46" t="str">
        <f>B22</f>
        <v>Norm-Heizleistung aller Heizkörper</v>
      </c>
      <c r="C28" s="21"/>
      <c r="D28" t="s">
        <v>1004</v>
      </c>
    </row>
    <row r="29" spans="2:8" ht="30.75" thickBot="1" x14ac:dyDescent="0.3">
      <c r="B29" s="46" t="str">
        <f>B23</f>
        <v>Deckungsgrad total bei Normbedingungen</v>
      </c>
      <c r="C29" s="128"/>
      <c r="D29" t="s">
        <v>1004</v>
      </c>
    </row>
    <row r="30" spans="2:8" ht="30.75" thickBot="1" x14ac:dyDescent="0.3">
      <c r="B30" s="46" t="str">
        <f>B24</f>
        <v>Deckungsgrad total bei NT-ready</v>
      </c>
      <c r="C30" s="128"/>
      <c r="G30" s="77"/>
      <c r="H30" s="77"/>
    </row>
    <row r="32" spans="2:8" ht="15.75" thickBot="1" x14ac:dyDescent="0.3">
      <c r="B32" s="22" t="s">
        <v>1027</v>
      </c>
      <c r="D32" t="s">
        <v>1017</v>
      </c>
    </row>
    <row r="33" spans="2:4" ht="15.75" thickBot="1" x14ac:dyDescent="0.3">
      <c r="B33" t="str">
        <f>B27</f>
        <v>Heizlast</v>
      </c>
      <c r="C33" s="21"/>
      <c r="D33" t="s">
        <v>1017</v>
      </c>
    </row>
    <row r="34" spans="2:4" ht="30.75" thickBot="1" x14ac:dyDescent="0.3">
      <c r="B34" s="46" t="str">
        <f>B28</f>
        <v>Norm-Heizleistung aller Heizkörper</v>
      </c>
      <c r="C34" s="21"/>
      <c r="D34" t="s">
        <v>1004</v>
      </c>
    </row>
    <row r="35" spans="2:4" ht="30.75" thickBot="1" x14ac:dyDescent="0.3">
      <c r="B35" s="46" t="str">
        <f>B29</f>
        <v>Deckungsgrad total bei Normbedingungen</v>
      </c>
      <c r="C35" s="128"/>
      <c r="D35" t="s">
        <v>1004</v>
      </c>
    </row>
    <row r="36" spans="2:4" ht="30.75" thickBot="1" x14ac:dyDescent="0.3">
      <c r="B36" s="46" t="str">
        <f>B30</f>
        <v>Deckungsgrad total bei NT-ready</v>
      </c>
      <c r="C36" s="128"/>
    </row>
  </sheetData>
  <conditionalFormatting sqref="C5">
    <cfRule type="iconSet" priority="10">
      <iconSet iconSet="3Symbols">
        <cfvo type="percent" val="0"/>
        <cfvo type="num" val="0"/>
        <cfvo type="num" val="0.95"/>
      </iconSet>
    </cfRule>
  </conditionalFormatting>
  <conditionalFormatting sqref="C7:C10">
    <cfRule type="iconSet" priority="9">
      <iconSet iconSet="3Symbols">
        <cfvo type="percent" val="0"/>
        <cfvo type="num" val="0"/>
        <cfvo type="num" val="0.95"/>
      </iconSet>
    </cfRule>
  </conditionalFormatting>
  <conditionalFormatting sqref="C17">
    <cfRule type="iconSet" priority="8">
      <iconSet iconSet="3Symbols">
        <cfvo type="percent" val="0"/>
        <cfvo type="num" val="0"/>
        <cfvo type="num" val="0.95"/>
      </iconSet>
    </cfRule>
  </conditionalFormatting>
  <conditionalFormatting sqref="C18">
    <cfRule type="iconSet" priority="7">
      <iconSet iconSet="3Symbols">
        <cfvo type="percent" val="0"/>
        <cfvo type="num" val="0"/>
        <cfvo type="num" val="0.95"/>
      </iconSet>
    </cfRule>
  </conditionalFormatting>
  <conditionalFormatting sqref="C23">
    <cfRule type="iconSet" priority="6">
      <iconSet iconSet="3Symbols">
        <cfvo type="percent" val="0"/>
        <cfvo type="num" val="0"/>
        <cfvo type="num" val="0.95"/>
      </iconSet>
    </cfRule>
  </conditionalFormatting>
  <conditionalFormatting sqref="C24">
    <cfRule type="iconSet" priority="5">
      <iconSet iconSet="3Symbols">
        <cfvo type="percent" val="0"/>
        <cfvo type="num" val="0"/>
        <cfvo type="num" val="0.95"/>
      </iconSet>
    </cfRule>
  </conditionalFormatting>
  <conditionalFormatting sqref="C29">
    <cfRule type="iconSet" priority="4">
      <iconSet iconSet="3Symbols">
        <cfvo type="percent" val="0"/>
        <cfvo type="num" val="0"/>
        <cfvo type="num" val="0.95"/>
      </iconSet>
    </cfRule>
  </conditionalFormatting>
  <conditionalFormatting sqref="C30">
    <cfRule type="iconSet" priority="3">
      <iconSet iconSet="3Symbols">
        <cfvo type="percent" val="0"/>
        <cfvo type="num" val="0"/>
        <cfvo type="num" val="0.95"/>
      </iconSet>
    </cfRule>
  </conditionalFormatting>
  <conditionalFormatting sqref="C35">
    <cfRule type="iconSet" priority="2">
      <iconSet iconSet="3Symbols">
        <cfvo type="percent" val="0"/>
        <cfvo type="num" val="0"/>
        <cfvo type="num" val="0.95"/>
      </iconSet>
    </cfRule>
  </conditionalFormatting>
  <conditionalFormatting sqref="C36">
    <cfRule type="iconSet" priority="1">
      <iconSet iconSet="3Symbols">
        <cfvo type="percent" val="0"/>
        <cfvo type="num" val="0"/>
        <cfvo type="num" val="0.95"/>
      </iconSet>
    </cfRule>
  </conditionalFormatting>
  <pageMargins left="0.7" right="0.7" top="0.78740157499999996" bottom="0.78740157499999996"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F437-CB29-4E6E-BEDC-758D3DFDC079}">
  <sheetPr>
    <tabColor rgb="FF9F5987"/>
  </sheetPr>
  <dimension ref="A8:D25"/>
  <sheetViews>
    <sheetView workbookViewId="0">
      <selection activeCell="B16" sqref="B16"/>
    </sheetView>
  </sheetViews>
  <sheetFormatPr baseColWidth="10" defaultColWidth="11.42578125" defaultRowHeight="15" x14ac:dyDescent="0.25"/>
  <cols>
    <col min="1" max="1" width="99.5703125" style="46" customWidth="1"/>
    <col min="3" max="3" width="16.42578125" customWidth="1"/>
    <col min="4" max="4" width="15.85546875" hidden="1" customWidth="1"/>
  </cols>
  <sheetData>
    <row r="8" spans="1:4" x14ac:dyDescent="0.25">
      <c r="C8" t="s">
        <v>1034</v>
      </c>
      <c r="D8" t="s">
        <v>1035</v>
      </c>
    </row>
    <row r="9" spans="1:4" x14ac:dyDescent="0.25">
      <c r="C9" t="s">
        <v>1036</v>
      </c>
      <c r="D9" t="s">
        <v>1036</v>
      </c>
    </row>
    <row r="10" spans="1:4" x14ac:dyDescent="0.25">
      <c r="A10" s="46" t="s">
        <v>1037</v>
      </c>
      <c r="B10" t="s">
        <v>1038</v>
      </c>
      <c r="C10" s="49">
        <v>0.24</v>
      </c>
      <c r="D10" s="49">
        <v>0.35</v>
      </c>
    </row>
    <row r="11" spans="1:4" x14ac:dyDescent="0.25">
      <c r="A11" s="46" t="s">
        <v>1039</v>
      </c>
      <c r="B11" t="s">
        <v>1040</v>
      </c>
      <c r="C11" s="49">
        <v>1.3</v>
      </c>
      <c r="D11" s="49">
        <v>1.9</v>
      </c>
    </row>
    <row r="12" spans="1:4" x14ac:dyDescent="0.25">
      <c r="A12" s="46" t="s">
        <v>1041</v>
      </c>
      <c r="B12" t="s">
        <v>1042</v>
      </c>
      <c r="C12" s="49">
        <v>1.4</v>
      </c>
      <c r="D12" s="49">
        <v>1.9</v>
      </c>
    </row>
    <row r="13" spans="1:4" ht="30" x14ac:dyDescent="0.25">
      <c r="A13" s="46" t="s">
        <v>1043</v>
      </c>
      <c r="B13" t="s">
        <v>1044</v>
      </c>
      <c r="C13" s="49">
        <v>1.1000000000000001</v>
      </c>
      <c r="D13" s="49" t="s">
        <v>1045</v>
      </c>
    </row>
    <row r="14" spans="1:4" x14ac:dyDescent="0.25">
      <c r="A14" s="46" t="s">
        <v>1046</v>
      </c>
      <c r="B14" t="s">
        <v>1047</v>
      </c>
      <c r="C14" s="49">
        <v>1.5</v>
      </c>
      <c r="D14" s="49">
        <v>1.9</v>
      </c>
    </row>
    <row r="15" spans="1:4" x14ac:dyDescent="0.25">
      <c r="A15" s="46" t="s">
        <v>1048</v>
      </c>
      <c r="B15" t="s">
        <v>1049</v>
      </c>
      <c r="C15" s="49">
        <v>2</v>
      </c>
      <c r="D15" s="49">
        <v>2.7</v>
      </c>
    </row>
    <row r="16" spans="1:4" x14ac:dyDescent="0.25">
      <c r="A16" s="46" t="s">
        <v>1050</v>
      </c>
      <c r="B16" t="s">
        <v>1051</v>
      </c>
      <c r="C16" s="49">
        <v>1.6</v>
      </c>
      <c r="D16" s="49">
        <v>1.9</v>
      </c>
    </row>
    <row r="17" spans="1:4" x14ac:dyDescent="0.25">
      <c r="A17" s="46" t="s">
        <v>1052</v>
      </c>
      <c r="B17" t="s">
        <v>1053</v>
      </c>
      <c r="C17" s="49">
        <v>2</v>
      </c>
      <c r="D17" s="49">
        <v>2.8</v>
      </c>
    </row>
    <row r="18" spans="1:4" ht="30" x14ac:dyDescent="0.25">
      <c r="A18" s="46" t="s">
        <v>1054</v>
      </c>
      <c r="B18" t="s">
        <v>1055</v>
      </c>
      <c r="C18" s="49">
        <v>1.6</v>
      </c>
      <c r="D18" s="49" t="s">
        <v>178</v>
      </c>
    </row>
    <row r="19" spans="1:4" ht="30" x14ac:dyDescent="0.25">
      <c r="A19" s="46" t="s">
        <v>1056</v>
      </c>
      <c r="B19" t="s">
        <v>1057</v>
      </c>
      <c r="C19" s="49">
        <v>2.2999999999999998</v>
      </c>
      <c r="D19" s="49">
        <v>3</v>
      </c>
    </row>
    <row r="20" spans="1:4" x14ac:dyDescent="0.25">
      <c r="A20" s="46" t="s">
        <v>1058</v>
      </c>
      <c r="B20" t="s">
        <v>1059</v>
      </c>
      <c r="C20" s="49">
        <v>1.8</v>
      </c>
      <c r="D20" s="49">
        <v>1.8</v>
      </c>
    </row>
    <row r="21" spans="1:4" ht="30" x14ac:dyDescent="0.25">
      <c r="A21" s="46" t="s">
        <v>1060</v>
      </c>
      <c r="B21" t="s">
        <v>1061</v>
      </c>
      <c r="C21" s="49">
        <v>0.24</v>
      </c>
      <c r="D21" s="49">
        <v>0.35</v>
      </c>
    </row>
    <row r="22" spans="1:4" x14ac:dyDescent="0.25">
      <c r="A22" s="46" t="s">
        <v>1062</v>
      </c>
      <c r="B22" t="s">
        <v>1063</v>
      </c>
      <c r="C22" s="49">
        <v>0.2</v>
      </c>
      <c r="D22" s="49">
        <v>0.35</v>
      </c>
    </row>
    <row r="23" spans="1:4" ht="30" x14ac:dyDescent="0.25">
      <c r="A23" s="46" t="s">
        <v>1064</v>
      </c>
      <c r="B23" t="s">
        <v>1065</v>
      </c>
      <c r="C23" s="49">
        <v>0.3</v>
      </c>
      <c r="D23" s="49" t="s">
        <v>178</v>
      </c>
    </row>
    <row r="24" spans="1:4" ht="30" x14ac:dyDescent="0.25">
      <c r="A24" s="46" t="s">
        <v>1066</v>
      </c>
      <c r="B24" t="s">
        <v>1067</v>
      </c>
      <c r="C24" s="49">
        <v>0.5</v>
      </c>
      <c r="D24" s="49" t="s">
        <v>178</v>
      </c>
    </row>
    <row r="25" spans="1:4" x14ac:dyDescent="0.25">
      <c r="A25" s="46" t="s">
        <v>1068</v>
      </c>
      <c r="B25" t="s">
        <v>1069</v>
      </c>
      <c r="C25" s="49">
        <v>0.24</v>
      </c>
      <c r="D25" s="49">
        <v>0.35</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27C9-94E7-4FA5-B449-A9C8E0CC43A1}">
  <sheetPr>
    <tabColor theme="5"/>
  </sheetPr>
  <dimension ref="B2:AB295"/>
  <sheetViews>
    <sheetView topLeftCell="J61" zoomScaleNormal="100" workbookViewId="0">
      <selection activeCell="R91" sqref="R91"/>
    </sheetView>
  </sheetViews>
  <sheetFormatPr baseColWidth="10" defaultColWidth="11.42578125" defaultRowHeight="15" x14ac:dyDescent="0.25"/>
  <cols>
    <col min="2" max="2" width="26.28515625" customWidth="1"/>
    <col min="3" max="3" width="17.28515625" bestFit="1" customWidth="1"/>
    <col min="5" max="5" width="32" customWidth="1"/>
    <col min="6" max="6" width="17.85546875" customWidth="1"/>
    <col min="7" max="7" width="28.140625" customWidth="1"/>
    <col min="9" max="9" width="33.140625" bestFit="1" customWidth="1"/>
    <col min="11" max="11" width="37.85546875" bestFit="1" customWidth="1"/>
    <col min="12" max="12" width="23.85546875" bestFit="1" customWidth="1"/>
    <col min="13" max="13" width="22" bestFit="1" customWidth="1"/>
    <col min="14" max="14" width="19.140625" bestFit="1" customWidth="1"/>
    <col min="15" max="15" width="17" bestFit="1" customWidth="1"/>
    <col min="16" max="16" width="18" bestFit="1" customWidth="1"/>
    <col min="17" max="17" width="18.85546875" bestFit="1" customWidth="1"/>
    <col min="18" max="18" width="21.140625" bestFit="1" customWidth="1"/>
    <col min="19" max="19" width="21.5703125" bestFit="1" customWidth="1"/>
    <col min="20" max="20" width="21.7109375" bestFit="1" customWidth="1"/>
    <col min="21" max="21" width="25.5703125" bestFit="1" customWidth="1"/>
    <col min="22" max="22" width="28.42578125" bestFit="1" customWidth="1"/>
    <col min="23" max="23" width="29.28515625" bestFit="1" customWidth="1"/>
    <col min="24" max="24" width="25.42578125" bestFit="1" customWidth="1"/>
    <col min="25" max="25" width="21.85546875" bestFit="1" customWidth="1"/>
    <col min="26" max="26" width="27.85546875" bestFit="1" customWidth="1"/>
    <col min="27" max="27" width="27.28515625" bestFit="1" customWidth="1"/>
  </cols>
  <sheetData>
    <row r="2" spans="2:27" x14ac:dyDescent="0.25">
      <c r="K2" s="22" t="s">
        <v>1070</v>
      </c>
    </row>
    <row r="3" spans="2:27" x14ac:dyDescent="0.25">
      <c r="E3" s="22" t="s">
        <v>1071</v>
      </c>
      <c r="F3" s="22"/>
      <c r="I3" t="s">
        <v>1072</v>
      </c>
      <c r="K3" t="s">
        <v>1073</v>
      </c>
      <c r="L3" t="s">
        <v>1074</v>
      </c>
      <c r="M3" t="s">
        <v>1075</v>
      </c>
      <c r="N3" t="s">
        <v>1076</v>
      </c>
      <c r="O3" t="s">
        <v>218</v>
      </c>
      <c r="P3" t="s">
        <v>214</v>
      </c>
      <c r="Z3" s="71"/>
    </row>
    <row r="4" spans="2:27" x14ac:dyDescent="0.25">
      <c r="E4" t="s">
        <v>304</v>
      </c>
      <c r="I4" t="s">
        <v>1074</v>
      </c>
      <c r="K4" t="s">
        <v>1077</v>
      </c>
      <c r="L4" t="s">
        <v>1077</v>
      </c>
      <c r="M4" t="s">
        <v>1078</v>
      </c>
      <c r="N4" t="s">
        <v>1079</v>
      </c>
      <c r="O4" t="s">
        <v>1080</v>
      </c>
      <c r="P4" t="s">
        <v>1081</v>
      </c>
      <c r="Z4" s="72"/>
    </row>
    <row r="5" spans="2:27" x14ac:dyDescent="0.25">
      <c r="E5" t="s">
        <v>1082</v>
      </c>
      <c r="I5" t="s">
        <v>1073</v>
      </c>
      <c r="K5" t="s">
        <v>1083</v>
      </c>
      <c r="L5" t="s">
        <v>1083</v>
      </c>
      <c r="M5" t="s">
        <v>1084</v>
      </c>
      <c r="N5" t="s">
        <v>1085</v>
      </c>
      <c r="O5" t="s">
        <v>1086</v>
      </c>
      <c r="Z5" s="71"/>
    </row>
    <row r="6" spans="2:27" x14ac:dyDescent="0.25">
      <c r="E6" t="s">
        <v>1087</v>
      </c>
      <c r="I6" t="s">
        <v>1075</v>
      </c>
      <c r="K6" t="s">
        <v>1088</v>
      </c>
      <c r="L6" t="s">
        <v>1088</v>
      </c>
      <c r="N6" t="s">
        <v>1089</v>
      </c>
      <c r="O6" t="s">
        <v>1090</v>
      </c>
      <c r="Z6" s="72"/>
    </row>
    <row r="7" spans="2:27" x14ac:dyDescent="0.25">
      <c r="E7" t="s">
        <v>1091</v>
      </c>
      <c r="I7" t="s">
        <v>1076</v>
      </c>
      <c r="K7" t="s">
        <v>1092</v>
      </c>
      <c r="L7" t="s">
        <v>1092</v>
      </c>
      <c r="Z7" s="71"/>
    </row>
    <row r="8" spans="2:27" x14ac:dyDescent="0.25">
      <c r="I8" t="s">
        <v>214</v>
      </c>
      <c r="K8" t="s">
        <v>1093</v>
      </c>
      <c r="L8" t="s">
        <v>1093</v>
      </c>
      <c r="Z8" s="72"/>
    </row>
    <row r="9" spans="2:27" x14ac:dyDescent="0.25">
      <c r="B9" t="s">
        <v>1094</v>
      </c>
      <c r="C9" t="s">
        <v>1095</v>
      </c>
      <c r="E9" t="s">
        <v>1096</v>
      </c>
      <c r="K9" t="s">
        <v>1097</v>
      </c>
      <c r="L9" t="s">
        <v>1097</v>
      </c>
      <c r="Z9" s="71"/>
    </row>
    <row r="10" spans="2:27" x14ac:dyDescent="0.25">
      <c r="B10" t="s">
        <v>1098</v>
      </c>
      <c r="C10">
        <v>0</v>
      </c>
      <c r="E10" t="s">
        <v>305</v>
      </c>
      <c r="K10" t="s">
        <v>1099</v>
      </c>
      <c r="L10" t="s">
        <v>1099</v>
      </c>
      <c r="Z10" s="72"/>
    </row>
    <row r="11" spans="2:27" x14ac:dyDescent="0.25">
      <c r="B11" t="s">
        <v>1100</v>
      </c>
      <c r="C11">
        <v>20</v>
      </c>
      <c r="E11" t="s">
        <v>1101</v>
      </c>
      <c r="Z11" s="71"/>
    </row>
    <row r="12" spans="2:27" x14ac:dyDescent="0.25">
      <c r="B12" t="s">
        <v>518</v>
      </c>
      <c r="C12">
        <v>40</v>
      </c>
      <c r="E12" t="s">
        <v>1102</v>
      </c>
    </row>
    <row r="13" spans="2:27" x14ac:dyDescent="0.25">
      <c r="B13" t="s">
        <v>1103</v>
      </c>
      <c r="C13">
        <v>60</v>
      </c>
      <c r="E13" t="s">
        <v>1104</v>
      </c>
      <c r="K13" t="s">
        <v>390</v>
      </c>
    </row>
    <row r="14" spans="2:27" x14ac:dyDescent="0.25">
      <c r="E14" t="s">
        <v>1105</v>
      </c>
      <c r="K14" t="s">
        <v>1106</v>
      </c>
      <c r="L14" t="s">
        <v>1107</v>
      </c>
      <c r="M14" t="s">
        <v>1108</v>
      </c>
      <c r="N14" t="s">
        <v>1109</v>
      </c>
      <c r="O14" t="s">
        <v>1110</v>
      </c>
      <c r="P14" t="s">
        <v>1111</v>
      </c>
      <c r="Q14" t="s">
        <v>1112</v>
      </c>
      <c r="R14" t="s">
        <v>1113</v>
      </c>
      <c r="S14" t="s">
        <v>1114</v>
      </c>
      <c r="T14" t="s">
        <v>1115</v>
      </c>
      <c r="U14" t="s">
        <v>1116</v>
      </c>
      <c r="V14" t="s">
        <v>1117</v>
      </c>
      <c r="W14" t="s">
        <v>1118</v>
      </c>
      <c r="X14" t="s">
        <v>1119</v>
      </c>
      <c r="Y14" t="s">
        <v>1120</v>
      </c>
      <c r="Z14" t="s">
        <v>1121</v>
      </c>
      <c r="AA14" t="s">
        <v>1122</v>
      </c>
    </row>
    <row r="15" spans="2:27" x14ac:dyDescent="0.25">
      <c r="K15">
        <v>65</v>
      </c>
      <c r="L15">
        <v>65</v>
      </c>
      <c r="M15">
        <v>100</v>
      </c>
      <c r="N15">
        <v>100</v>
      </c>
      <c r="O15">
        <v>100</v>
      </c>
      <c r="P15">
        <v>155</v>
      </c>
      <c r="Q15">
        <v>155</v>
      </c>
      <c r="S15" s="235">
        <v>70</v>
      </c>
      <c r="T15" s="235">
        <v>70</v>
      </c>
      <c r="U15" s="235">
        <v>65</v>
      </c>
      <c r="V15" s="235">
        <v>145</v>
      </c>
      <c r="AA15">
        <v>73</v>
      </c>
    </row>
    <row r="16" spans="2:27" x14ac:dyDescent="0.25">
      <c r="E16" t="s">
        <v>1123</v>
      </c>
      <c r="G16" t="s">
        <v>1123</v>
      </c>
      <c r="S16" s="236">
        <v>110</v>
      </c>
      <c r="T16" s="236">
        <v>110</v>
      </c>
      <c r="U16" s="236">
        <v>105</v>
      </c>
      <c r="V16" s="236">
        <v>185</v>
      </c>
      <c r="AA16">
        <v>134</v>
      </c>
    </row>
    <row r="17" spans="2:28" x14ac:dyDescent="0.25">
      <c r="E17" t="s">
        <v>1124</v>
      </c>
      <c r="G17" t="s">
        <v>1125</v>
      </c>
      <c r="S17" s="235">
        <v>160</v>
      </c>
      <c r="T17" s="235">
        <v>160</v>
      </c>
      <c r="U17" s="235">
        <v>145</v>
      </c>
      <c r="V17" s="237">
        <v>225</v>
      </c>
      <c r="AA17">
        <v>196</v>
      </c>
    </row>
    <row r="18" spans="2:28" x14ac:dyDescent="0.25">
      <c r="B18" t="s">
        <v>409</v>
      </c>
      <c r="E18" t="s">
        <v>1126</v>
      </c>
      <c r="G18" t="s">
        <v>1124</v>
      </c>
      <c r="S18" s="236">
        <v>220</v>
      </c>
      <c r="T18" s="236">
        <v>220</v>
      </c>
      <c r="U18" s="236">
        <v>185</v>
      </c>
      <c r="AA18">
        <v>257</v>
      </c>
    </row>
    <row r="19" spans="2:28" x14ac:dyDescent="0.25">
      <c r="B19" t="s">
        <v>1127</v>
      </c>
      <c r="E19" t="s">
        <v>1128</v>
      </c>
      <c r="G19" t="s">
        <v>1129</v>
      </c>
      <c r="S19">
        <v>250</v>
      </c>
      <c r="T19">
        <v>250</v>
      </c>
      <c r="U19" s="237">
        <v>225</v>
      </c>
    </row>
    <row r="20" spans="2:28" x14ac:dyDescent="0.25">
      <c r="B20" t="s">
        <v>1130</v>
      </c>
      <c r="E20" t="s">
        <v>1131</v>
      </c>
      <c r="G20" t="s">
        <v>1128</v>
      </c>
    </row>
    <row r="21" spans="2:28" x14ac:dyDescent="0.25">
      <c r="B21" t="s">
        <v>1132</v>
      </c>
      <c r="E21" t="s">
        <v>1133</v>
      </c>
      <c r="G21" t="s">
        <v>1131</v>
      </c>
    </row>
    <row r="22" spans="2:28" x14ac:dyDescent="0.25">
      <c r="B22" t="s">
        <v>477</v>
      </c>
      <c r="E22" t="s">
        <v>306</v>
      </c>
      <c r="G22" t="s">
        <v>1133</v>
      </c>
      <c r="K22" s="22" t="s">
        <v>382</v>
      </c>
    </row>
    <row r="23" spans="2:28" x14ac:dyDescent="0.25">
      <c r="B23" t="s">
        <v>567</v>
      </c>
      <c r="E23" t="s">
        <v>521</v>
      </c>
      <c r="G23" t="s">
        <v>306</v>
      </c>
      <c r="K23" t="s">
        <v>1134</v>
      </c>
      <c r="L23" t="s">
        <v>1135</v>
      </c>
      <c r="M23" t="s">
        <v>1136</v>
      </c>
      <c r="N23" t="s">
        <v>1137</v>
      </c>
      <c r="O23" t="s">
        <v>1138</v>
      </c>
      <c r="P23" t="s">
        <v>1139</v>
      </c>
      <c r="Q23" t="s">
        <v>1140</v>
      </c>
      <c r="R23" t="s">
        <v>1141</v>
      </c>
      <c r="S23" t="s">
        <v>1142</v>
      </c>
      <c r="T23" t="s">
        <v>1143</v>
      </c>
      <c r="U23" t="s">
        <v>1144</v>
      </c>
      <c r="V23" t="s">
        <v>1145</v>
      </c>
      <c r="W23" t="s">
        <v>1146</v>
      </c>
      <c r="X23" t="s">
        <v>1147</v>
      </c>
      <c r="Y23" t="s">
        <v>1148</v>
      </c>
      <c r="Z23" t="s">
        <v>1149</v>
      </c>
      <c r="AA23" t="s">
        <v>1150</v>
      </c>
      <c r="AB23" t="s">
        <v>1151</v>
      </c>
    </row>
    <row r="24" spans="2:28" x14ac:dyDescent="0.25">
      <c r="B24" t="s">
        <v>1152</v>
      </c>
      <c r="E24" t="s">
        <v>1153</v>
      </c>
      <c r="G24" t="s">
        <v>521</v>
      </c>
      <c r="K24">
        <v>350</v>
      </c>
      <c r="L24">
        <v>350</v>
      </c>
      <c r="M24">
        <v>350</v>
      </c>
      <c r="N24">
        <v>350</v>
      </c>
      <c r="O24">
        <v>350</v>
      </c>
      <c r="P24">
        <v>350</v>
      </c>
      <c r="Q24">
        <v>350</v>
      </c>
      <c r="R24">
        <v>350</v>
      </c>
      <c r="S24">
        <v>280</v>
      </c>
      <c r="T24">
        <v>300</v>
      </c>
      <c r="U24">
        <v>190</v>
      </c>
      <c r="V24">
        <v>180</v>
      </c>
      <c r="W24">
        <v>400</v>
      </c>
      <c r="AA24">
        <v>70</v>
      </c>
    </row>
    <row r="25" spans="2:28" x14ac:dyDescent="0.25">
      <c r="E25" t="s">
        <v>1132</v>
      </c>
      <c r="G25" t="s">
        <v>1153</v>
      </c>
      <c r="K25">
        <v>500</v>
      </c>
      <c r="L25">
        <v>500</v>
      </c>
      <c r="M25">
        <v>500</v>
      </c>
      <c r="N25">
        <v>500</v>
      </c>
      <c r="O25">
        <v>500</v>
      </c>
      <c r="P25">
        <v>500</v>
      </c>
      <c r="Q25">
        <v>500</v>
      </c>
      <c r="R25">
        <v>500</v>
      </c>
      <c r="S25">
        <v>430</v>
      </c>
      <c r="T25">
        <v>450</v>
      </c>
      <c r="U25">
        <v>260</v>
      </c>
      <c r="V25">
        <v>225</v>
      </c>
      <c r="W25">
        <f>W24+100</f>
        <v>500</v>
      </c>
      <c r="AA25">
        <v>140</v>
      </c>
    </row>
    <row r="26" spans="2:28" x14ac:dyDescent="0.25">
      <c r="E26" t="s">
        <v>477</v>
      </c>
      <c r="G26" t="s">
        <v>1132</v>
      </c>
      <c r="K26">
        <v>600</v>
      </c>
      <c r="L26">
        <v>600</v>
      </c>
      <c r="M26">
        <v>600</v>
      </c>
      <c r="N26">
        <v>600</v>
      </c>
      <c r="O26">
        <v>600</v>
      </c>
      <c r="P26">
        <v>600</v>
      </c>
      <c r="Q26">
        <v>600</v>
      </c>
      <c r="R26">
        <v>600</v>
      </c>
      <c r="S26">
        <v>580</v>
      </c>
      <c r="T26">
        <v>600</v>
      </c>
      <c r="U26">
        <v>300</v>
      </c>
      <c r="V26">
        <v>270</v>
      </c>
      <c r="W26">
        <f t="shared" ref="W26:W50" si="0">W25+100</f>
        <v>600</v>
      </c>
      <c r="AA26">
        <v>210</v>
      </c>
    </row>
    <row r="27" spans="2:28" x14ac:dyDescent="0.25">
      <c r="E27" t="s">
        <v>567</v>
      </c>
      <c r="G27" t="s">
        <v>477</v>
      </c>
      <c r="K27">
        <v>900</v>
      </c>
      <c r="L27">
        <v>900</v>
      </c>
      <c r="M27">
        <v>900</v>
      </c>
      <c r="N27">
        <v>900</v>
      </c>
      <c r="O27">
        <v>900</v>
      </c>
      <c r="P27">
        <v>900</v>
      </c>
      <c r="Q27">
        <v>900</v>
      </c>
      <c r="R27">
        <v>900</v>
      </c>
      <c r="S27">
        <v>680</v>
      </c>
      <c r="T27">
        <v>1000</v>
      </c>
      <c r="U27">
        <v>400</v>
      </c>
      <c r="V27">
        <v>315</v>
      </c>
      <c r="W27">
        <f t="shared" si="0"/>
        <v>700</v>
      </c>
      <c r="AA27">
        <v>280</v>
      </c>
    </row>
    <row r="28" spans="2:28" x14ac:dyDescent="0.25">
      <c r="E28" t="s">
        <v>1152</v>
      </c>
      <c r="G28" t="s">
        <v>567</v>
      </c>
      <c r="S28">
        <v>980</v>
      </c>
      <c r="U28">
        <v>500</v>
      </c>
      <c r="W28">
        <f t="shared" si="0"/>
        <v>800</v>
      </c>
    </row>
    <row r="29" spans="2:28" x14ac:dyDescent="0.25">
      <c r="G29" t="s">
        <v>1152</v>
      </c>
      <c r="U29">
        <v>600</v>
      </c>
      <c r="W29">
        <f t="shared" si="0"/>
        <v>900</v>
      </c>
    </row>
    <row r="30" spans="2:28" x14ac:dyDescent="0.25">
      <c r="E30" t="s">
        <v>1156</v>
      </c>
      <c r="U30">
        <v>750</v>
      </c>
      <c r="W30">
        <f t="shared" si="0"/>
        <v>1000</v>
      </c>
    </row>
    <row r="31" spans="2:28" x14ac:dyDescent="0.25">
      <c r="E31" t="s">
        <v>1157</v>
      </c>
      <c r="U31">
        <v>900</v>
      </c>
      <c r="W31">
        <f t="shared" si="0"/>
        <v>1100</v>
      </c>
    </row>
    <row r="32" spans="2:28" x14ac:dyDescent="0.25">
      <c r="E32" t="s">
        <v>120</v>
      </c>
      <c r="U32">
        <v>1000</v>
      </c>
      <c r="W32">
        <f t="shared" si="0"/>
        <v>1200</v>
      </c>
    </row>
    <row r="33" spans="5:28" x14ac:dyDescent="0.25">
      <c r="E33" t="s">
        <v>123</v>
      </c>
      <c r="U33">
        <v>1200</v>
      </c>
      <c r="W33">
        <f t="shared" si="0"/>
        <v>1300</v>
      </c>
    </row>
    <row r="34" spans="5:28" x14ac:dyDescent="0.25">
      <c r="E34" t="s">
        <v>1158</v>
      </c>
      <c r="U34">
        <v>1500</v>
      </c>
      <c r="W34">
        <f t="shared" si="0"/>
        <v>1400</v>
      </c>
    </row>
    <row r="35" spans="5:28" x14ac:dyDescent="0.25">
      <c r="E35" t="s">
        <v>1159</v>
      </c>
      <c r="U35">
        <v>2000</v>
      </c>
      <c r="W35">
        <f t="shared" si="0"/>
        <v>1500</v>
      </c>
    </row>
    <row r="36" spans="5:28" x14ac:dyDescent="0.25">
      <c r="E36" t="s">
        <v>1160</v>
      </c>
      <c r="U36">
        <v>2500</v>
      </c>
      <c r="W36">
        <f t="shared" si="0"/>
        <v>1600</v>
      </c>
    </row>
    <row r="37" spans="5:28" x14ac:dyDescent="0.25">
      <c r="E37" t="s">
        <v>1161</v>
      </c>
      <c r="W37">
        <f t="shared" si="0"/>
        <v>1700</v>
      </c>
    </row>
    <row r="38" spans="5:28" x14ac:dyDescent="0.25">
      <c r="E38" t="s">
        <v>1162</v>
      </c>
      <c r="W38">
        <f t="shared" si="0"/>
        <v>1800</v>
      </c>
    </row>
    <row r="39" spans="5:28" x14ac:dyDescent="0.25">
      <c r="E39" t="s">
        <v>1163</v>
      </c>
      <c r="K39" s="22" t="s">
        <v>1164</v>
      </c>
      <c r="W39">
        <f t="shared" si="0"/>
        <v>1900</v>
      </c>
    </row>
    <row r="40" spans="5:28" x14ac:dyDescent="0.25">
      <c r="E40" t="s">
        <v>307</v>
      </c>
      <c r="K40" t="s">
        <v>479</v>
      </c>
      <c r="R40" t="s">
        <v>1165</v>
      </c>
      <c r="S40" t="s">
        <v>1078</v>
      </c>
      <c r="T40" t="s">
        <v>1084</v>
      </c>
      <c r="U40" t="s">
        <v>1079</v>
      </c>
      <c r="V40" t="s">
        <v>1085</v>
      </c>
      <c r="W40">
        <f t="shared" si="0"/>
        <v>2000</v>
      </c>
      <c r="X40" t="s">
        <v>1080</v>
      </c>
      <c r="Y40" t="s">
        <v>1086</v>
      </c>
      <c r="Z40" t="s">
        <v>1090</v>
      </c>
      <c r="AA40" t="s">
        <v>1081</v>
      </c>
      <c r="AB40" t="s">
        <v>1151</v>
      </c>
    </row>
    <row r="41" spans="5:28" x14ac:dyDescent="0.25">
      <c r="E41" t="s">
        <v>276</v>
      </c>
      <c r="V41">
        <v>1500</v>
      </c>
      <c r="W41">
        <f t="shared" si="0"/>
        <v>2100</v>
      </c>
    </row>
    <row r="42" spans="5:28" x14ac:dyDescent="0.25">
      <c r="E42" t="s">
        <v>1166</v>
      </c>
      <c r="V42">
        <v>2000</v>
      </c>
      <c r="W42">
        <f t="shared" si="0"/>
        <v>2200</v>
      </c>
    </row>
    <row r="43" spans="5:28" x14ac:dyDescent="0.25">
      <c r="E43" t="s">
        <v>1167</v>
      </c>
      <c r="V43">
        <v>2500</v>
      </c>
      <c r="W43">
        <f t="shared" si="0"/>
        <v>2300</v>
      </c>
    </row>
    <row r="44" spans="5:28" x14ac:dyDescent="0.25">
      <c r="E44" t="s">
        <v>1168</v>
      </c>
      <c r="W44">
        <f t="shared" si="0"/>
        <v>2400</v>
      </c>
    </row>
    <row r="45" spans="5:28" x14ac:dyDescent="0.25">
      <c r="E45" t="s">
        <v>1169</v>
      </c>
      <c r="W45">
        <f t="shared" si="0"/>
        <v>2500</v>
      </c>
    </row>
    <row r="46" spans="5:28" x14ac:dyDescent="0.25">
      <c r="E46" t="s">
        <v>309</v>
      </c>
      <c r="K46" s="22" t="s">
        <v>1170</v>
      </c>
      <c r="W46">
        <f t="shared" si="0"/>
        <v>2600</v>
      </c>
    </row>
    <row r="47" spans="5:28" x14ac:dyDescent="0.25">
      <c r="E47" t="s">
        <v>1171</v>
      </c>
      <c r="K47" t="s">
        <v>479</v>
      </c>
      <c r="R47" t="s">
        <v>1165</v>
      </c>
      <c r="S47" t="s">
        <v>1078</v>
      </c>
      <c r="T47" t="s">
        <v>1084</v>
      </c>
      <c r="U47" t="s">
        <v>1079</v>
      </c>
      <c r="V47" t="s">
        <v>1085</v>
      </c>
      <c r="W47">
        <f t="shared" si="0"/>
        <v>2700</v>
      </c>
      <c r="X47" t="s">
        <v>1080</v>
      </c>
      <c r="Y47" t="s">
        <v>1086</v>
      </c>
      <c r="Z47" t="s">
        <v>1090</v>
      </c>
      <c r="AA47" t="s">
        <v>1081</v>
      </c>
      <c r="AB47" t="s">
        <v>1151</v>
      </c>
    </row>
    <row r="48" spans="5:28" x14ac:dyDescent="0.25">
      <c r="E48" t="s">
        <v>1172</v>
      </c>
      <c r="W48">
        <f t="shared" si="0"/>
        <v>2800</v>
      </c>
      <c r="AB48">
        <v>300</v>
      </c>
    </row>
    <row r="49" spans="5:28" x14ac:dyDescent="0.25">
      <c r="E49" t="s">
        <v>1173</v>
      </c>
      <c r="W49">
        <f t="shared" si="0"/>
        <v>2900</v>
      </c>
      <c r="AB49">
        <v>450</v>
      </c>
    </row>
    <row r="50" spans="5:28" x14ac:dyDescent="0.25">
      <c r="E50" t="s">
        <v>1174</v>
      </c>
      <c r="W50">
        <f t="shared" si="0"/>
        <v>3000</v>
      </c>
      <c r="AB50">
        <v>600</v>
      </c>
    </row>
    <row r="51" spans="5:28" x14ac:dyDescent="0.25">
      <c r="AB51">
        <v>750</v>
      </c>
    </row>
    <row r="52" spans="5:28" x14ac:dyDescent="0.25">
      <c r="E52" t="s">
        <v>278</v>
      </c>
      <c r="AB52">
        <v>900</v>
      </c>
    </row>
    <row r="53" spans="5:28" x14ac:dyDescent="0.25">
      <c r="E53" t="s">
        <v>310</v>
      </c>
      <c r="AB53">
        <v>1160</v>
      </c>
    </row>
    <row r="54" spans="5:28" x14ac:dyDescent="0.25">
      <c r="E54" t="s">
        <v>1175</v>
      </c>
      <c r="AB54">
        <v>1310</v>
      </c>
    </row>
    <row r="55" spans="5:28" x14ac:dyDescent="0.25">
      <c r="K55" s="22" t="s">
        <v>1176</v>
      </c>
    </row>
    <row r="56" spans="5:28" x14ac:dyDescent="0.25">
      <c r="E56" t="s">
        <v>1177</v>
      </c>
      <c r="K56" t="s">
        <v>479</v>
      </c>
      <c r="R56" t="s">
        <v>1165</v>
      </c>
      <c r="S56" t="s">
        <v>1078</v>
      </c>
      <c r="T56" t="s">
        <v>1084</v>
      </c>
      <c r="U56" t="s">
        <v>1079</v>
      </c>
      <c r="V56" t="s">
        <v>1085</v>
      </c>
      <c r="X56" t="s">
        <v>1080</v>
      </c>
      <c r="Y56" t="s">
        <v>1086</v>
      </c>
      <c r="Z56" t="s">
        <v>1090</v>
      </c>
      <c r="AA56" t="s">
        <v>1081</v>
      </c>
      <c r="AB56" t="s">
        <v>1151</v>
      </c>
    </row>
    <row r="57" spans="5:28" x14ac:dyDescent="0.25">
      <c r="E57" t="s">
        <v>311</v>
      </c>
      <c r="K57">
        <v>300</v>
      </c>
      <c r="R57" s="71">
        <v>300</v>
      </c>
    </row>
    <row r="58" spans="5:28" x14ac:dyDescent="0.25">
      <c r="E58" t="s">
        <v>1178</v>
      </c>
      <c r="K58">
        <v>450</v>
      </c>
      <c r="R58" s="72">
        <v>450</v>
      </c>
    </row>
    <row r="59" spans="5:28" x14ac:dyDescent="0.25">
      <c r="E59" t="s">
        <v>1179</v>
      </c>
      <c r="K59">
        <v>550</v>
      </c>
      <c r="R59" s="71">
        <v>550</v>
      </c>
    </row>
    <row r="60" spans="5:28" x14ac:dyDescent="0.25">
      <c r="E60" t="s">
        <v>1180</v>
      </c>
      <c r="K60">
        <v>850</v>
      </c>
      <c r="R60" s="73">
        <v>850</v>
      </c>
    </row>
    <row r="61" spans="5:28" x14ac:dyDescent="0.25">
      <c r="E61" t="s">
        <v>1181</v>
      </c>
      <c r="P61" t="s">
        <v>8747</v>
      </c>
    </row>
    <row r="62" spans="5:28" x14ac:dyDescent="0.25">
      <c r="E62" t="s">
        <v>1182</v>
      </c>
      <c r="M62" t="s">
        <v>409</v>
      </c>
      <c r="N62" t="s">
        <v>1183</v>
      </c>
      <c r="O62" t="s">
        <v>1184</v>
      </c>
      <c r="P62" t="s">
        <v>132</v>
      </c>
      <c r="Q62" t="s">
        <v>8744</v>
      </c>
      <c r="R62" t="s">
        <v>8743</v>
      </c>
      <c r="S62" t="s">
        <v>1185</v>
      </c>
    </row>
    <row r="63" spans="5:28" x14ac:dyDescent="0.25">
      <c r="E63" t="s">
        <v>1186</v>
      </c>
      <c r="M63" t="s">
        <v>1127</v>
      </c>
      <c r="N63" s="19">
        <v>0.45</v>
      </c>
      <c r="O63" t="s">
        <v>528</v>
      </c>
      <c r="P63" s="321">
        <v>5.5E-2</v>
      </c>
      <c r="Q63" s="321">
        <v>2</v>
      </c>
      <c r="R63" s="50">
        <f>(1/UWert_Mod[[#This Row],[U-Wert]]-1/UWert_Mod[[#This Row],[U_no_ins]])*INDEX(PAR[lambda_ins_thick],1)*100</f>
        <v>7.75</v>
      </c>
      <c r="S63" t="s">
        <v>1187</v>
      </c>
    </row>
    <row r="64" spans="5:28" x14ac:dyDescent="0.25">
      <c r="M64" t="s">
        <v>1130</v>
      </c>
      <c r="N64" s="19">
        <v>0.45</v>
      </c>
      <c r="O64" t="s">
        <v>528</v>
      </c>
      <c r="P64" s="321">
        <v>0.05</v>
      </c>
      <c r="Q64" s="321">
        <v>2</v>
      </c>
      <c r="R64" s="50">
        <f>(1/UWert_Mod[[#This Row],[U-Wert]]-1/UWert_Mod[[#This Row],[U_no_ins]])*INDEX(PAR[lambda_ins_thick],1)*100</f>
        <v>7.75</v>
      </c>
      <c r="S64" t="s">
        <v>1187</v>
      </c>
    </row>
    <row r="65" spans="5:19" x14ac:dyDescent="0.25">
      <c r="E65" t="s">
        <v>1188</v>
      </c>
      <c r="M65" t="s">
        <v>1132</v>
      </c>
      <c r="N65" s="19">
        <v>0.3</v>
      </c>
      <c r="O65" t="s">
        <v>528</v>
      </c>
      <c r="P65" s="321">
        <v>4.4999999999999998E-2</v>
      </c>
      <c r="Q65" s="321">
        <v>2</v>
      </c>
      <c r="R65" s="50">
        <f>(1/UWert_Mod[[#This Row],[U-Wert]]-1/UWert_Mod[[#This Row],[U_no_ins]])*INDEX(PAR[lambda_ins_thick],1)*100</f>
        <v>12.75</v>
      </c>
      <c r="S65" t="s">
        <v>1189</v>
      </c>
    </row>
    <row r="66" spans="5:19" x14ac:dyDescent="0.25">
      <c r="E66" t="s">
        <v>308</v>
      </c>
      <c r="M66" t="s">
        <v>477</v>
      </c>
      <c r="N66" s="19">
        <v>0.3</v>
      </c>
      <c r="O66" t="s">
        <v>528</v>
      </c>
      <c r="P66" s="321">
        <v>0.04</v>
      </c>
      <c r="Q66" s="321">
        <v>2</v>
      </c>
      <c r="R66" s="50">
        <f>(1/UWert_Mod[[#This Row],[U-Wert]]-1/UWert_Mod[[#This Row],[U_no_ins]])*INDEX(PAR[lambda_ins_thick],1)*100</f>
        <v>12.75</v>
      </c>
      <c r="S66" t="s">
        <v>1190</v>
      </c>
    </row>
    <row r="67" spans="5:19" x14ac:dyDescent="0.25">
      <c r="E67" t="s">
        <v>476</v>
      </c>
      <c r="M67" t="s">
        <v>567</v>
      </c>
      <c r="N67" s="19">
        <v>0.3</v>
      </c>
      <c r="O67" t="s">
        <v>528</v>
      </c>
      <c r="P67" s="321">
        <v>3.7999999999999999E-2</v>
      </c>
      <c r="Q67" s="321">
        <v>2</v>
      </c>
      <c r="R67" s="50">
        <f>(1/UWert_Mod[[#This Row],[U-Wert]]-1/UWert_Mod[[#This Row],[U_no_ins]])*INDEX(PAR[lambda_ins_thick],1)*100</f>
        <v>12.75</v>
      </c>
      <c r="S67" t="s">
        <v>1191</v>
      </c>
    </row>
    <row r="68" spans="5:19" x14ac:dyDescent="0.25">
      <c r="M68" t="s">
        <v>1152</v>
      </c>
      <c r="N68" s="19">
        <v>0.22</v>
      </c>
      <c r="O68" t="s">
        <v>528</v>
      </c>
      <c r="P68" s="321">
        <v>3.5000000000000003E-2</v>
      </c>
      <c r="Q68" s="321">
        <v>2</v>
      </c>
      <c r="R68" s="50">
        <f>(1/UWert_Mod[[#This Row],[U-Wert]]-1/UWert_Mod[[#This Row],[U_no_ins]])*INDEX(PAR[lambda_ins_thick],1)*100</f>
        <v>18.204545454545457</v>
      </c>
      <c r="S68" t="s">
        <v>1192</v>
      </c>
    </row>
    <row r="69" spans="5:19" x14ac:dyDescent="0.25">
      <c r="E69" t="s">
        <v>1193</v>
      </c>
      <c r="M69" t="s">
        <v>1127</v>
      </c>
      <c r="N69" s="19">
        <v>0.6</v>
      </c>
      <c r="O69" t="s">
        <v>185</v>
      </c>
      <c r="P69" s="321">
        <v>5.5E-2</v>
      </c>
      <c r="Q69" s="321">
        <v>1.5</v>
      </c>
      <c r="R69" s="50">
        <f>(1/UWert_Mod[[#This Row],[U-Wert]]-1/UWert_Mod[[#This Row],[U_no_ins]])*INDEX(PAR[lambda_ins_thick],1)*100</f>
        <v>4.5</v>
      </c>
      <c r="S69" t="s">
        <v>1187</v>
      </c>
    </row>
    <row r="70" spans="5:19" x14ac:dyDescent="0.25">
      <c r="E70" t="s">
        <v>313</v>
      </c>
      <c r="M70" t="s">
        <v>1130</v>
      </c>
      <c r="N70" s="19">
        <v>0.6</v>
      </c>
      <c r="O70" t="s">
        <v>185</v>
      </c>
      <c r="P70" s="321">
        <v>0.05</v>
      </c>
      <c r="Q70" s="321">
        <v>1.5</v>
      </c>
      <c r="R70" s="50">
        <f>(1/UWert_Mod[[#This Row],[U-Wert]]-1/UWert_Mod[[#This Row],[U_no_ins]])*INDEX(PAR[lambda_ins_thick],1)*100</f>
        <v>4.5</v>
      </c>
      <c r="S70" t="s">
        <v>1187</v>
      </c>
    </row>
    <row r="71" spans="5:19" x14ac:dyDescent="0.25">
      <c r="E71" t="s">
        <v>1194</v>
      </c>
      <c r="M71" t="s">
        <v>1132</v>
      </c>
      <c r="N71" s="19">
        <v>0.5</v>
      </c>
      <c r="O71" t="s">
        <v>185</v>
      </c>
      <c r="P71" s="321">
        <v>4.4999999999999998E-2</v>
      </c>
      <c r="Q71" s="321">
        <v>1.5</v>
      </c>
      <c r="R71" s="50">
        <f>(1/UWert_Mod[[#This Row],[U-Wert]]-1/UWert_Mod[[#This Row],[U_no_ins]])*INDEX(PAR[lambda_ins_thick],1)*100</f>
        <v>6.0000000000000009</v>
      </c>
      <c r="S71" t="s">
        <v>1189</v>
      </c>
    </row>
    <row r="72" spans="5:19" x14ac:dyDescent="0.25">
      <c r="M72" t="s">
        <v>477</v>
      </c>
      <c r="N72" s="19">
        <v>0.35</v>
      </c>
      <c r="O72" t="s">
        <v>185</v>
      </c>
      <c r="P72" s="321">
        <v>0.04</v>
      </c>
      <c r="Q72" s="321">
        <v>1.5</v>
      </c>
      <c r="R72" s="50">
        <f>(1/UWert_Mod[[#This Row],[U-Wert]]-1/UWert_Mod[[#This Row],[U_no_ins]])*INDEX(PAR[lambda_ins_thick],1)*100</f>
        <v>9.8571428571428577</v>
      </c>
      <c r="S72" t="s">
        <v>1190</v>
      </c>
    </row>
    <row r="73" spans="5:19" x14ac:dyDescent="0.25">
      <c r="E73" t="s">
        <v>1195</v>
      </c>
      <c r="M73" t="s">
        <v>567</v>
      </c>
      <c r="N73" s="19">
        <v>0.35</v>
      </c>
      <c r="O73" t="s">
        <v>185</v>
      </c>
      <c r="P73" s="321">
        <v>3.7999999999999999E-2</v>
      </c>
      <c r="Q73" s="321">
        <v>1.5</v>
      </c>
      <c r="R73" s="50">
        <f>(1/UWert_Mod[[#This Row],[U-Wert]]-1/UWert_Mod[[#This Row],[U_no_ins]])*INDEX(PAR[lambda_ins_thick],1)*100</f>
        <v>9.8571428571428577</v>
      </c>
      <c r="S73" t="s">
        <v>1191</v>
      </c>
    </row>
    <row r="74" spans="5:19" x14ac:dyDescent="0.25">
      <c r="E74" t="s">
        <v>1196</v>
      </c>
      <c r="M74" t="s">
        <v>1152</v>
      </c>
      <c r="N74" s="19">
        <v>0.24</v>
      </c>
      <c r="O74" t="s">
        <v>185</v>
      </c>
      <c r="P74" s="321">
        <v>3.5000000000000003E-2</v>
      </c>
      <c r="Q74" s="321">
        <v>1.5</v>
      </c>
      <c r="R74" s="50">
        <f>(1/UWert_Mod[[#This Row],[U-Wert]]-1/UWert_Mod[[#This Row],[U_no_ins]])*INDEX(PAR[lambda_ins_thick],1)*100</f>
        <v>15.75</v>
      </c>
      <c r="S74" t="s">
        <v>1192</v>
      </c>
    </row>
    <row r="75" spans="5:19" x14ac:dyDescent="0.25">
      <c r="E75" t="s">
        <v>315</v>
      </c>
      <c r="M75" t="s">
        <v>1127</v>
      </c>
      <c r="N75" s="19">
        <v>0.7</v>
      </c>
      <c r="O75" t="s">
        <v>334</v>
      </c>
      <c r="P75" s="321">
        <v>5.5E-2</v>
      </c>
      <c r="Q75" s="321">
        <v>1.5</v>
      </c>
      <c r="R75" s="50">
        <f>(1/UWert_Mod[[#This Row],[U-Wert]]-1/UWert_Mod[[#This Row],[U_no_ins]])*INDEX(PAR[lambda_ins_thick],1)*100</f>
        <v>3.4285714285714288</v>
      </c>
      <c r="S75" t="s">
        <v>1187</v>
      </c>
    </row>
    <row r="76" spans="5:19" x14ac:dyDescent="0.25">
      <c r="E76" t="s">
        <v>1197</v>
      </c>
      <c r="M76" t="s">
        <v>1130</v>
      </c>
      <c r="N76" s="19">
        <v>0.7</v>
      </c>
      <c r="O76" t="s">
        <v>334</v>
      </c>
      <c r="P76" s="321">
        <v>0.05</v>
      </c>
      <c r="Q76" s="321">
        <v>1.5</v>
      </c>
      <c r="R76" s="50">
        <f>(1/UWert_Mod[[#This Row],[U-Wert]]-1/UWert_Mod[[#This Row],[U_no_ins]])*INDEX(PAR[lambda_ins_thick],1)*100</f>
        <v>3.4285714285714288</v>
      </c>
      <c r="S76" t="s">
        <v>1187</v>
      </c>
    </row>
    <row r="77" spans="5:19" x14ac:dyDescent="0.25">
      <c r="E77" t="s">
        <v>1198</v>
      </c>
      <c r="M77" t="s">
        <v>1132</v>
      </c>
      <c r="N77" s="19">
        <v>0.5</v>
      </c>
      <c r="O77" t="s">
        <v>334</v>
      </c>
      <c r="P77" s="321">
        <v>4.4999999999999998E-2</v>
      </c>
      <c r="Q77" s="321">
        <v>1.5</v>
      </c>
      <c r="R77" s="50">
        <f>(1/UWert_Mod[[#This Row],[U-Wert]]-1/UWert_Mod[[#This Row],[U_no_ins]])*INDEX(PAR[lambda_ins_thick],1)*100</f>
        <v>6.0000000000000009</v>
      </c>
      <c r="S77" t="s">
        <v>1189</v>
      </c>
    </row>
    <row r="78" spans="5:19" x14ac:dyDescent="0.25">
      <c r="E78" t="s">
        <v>1199</v>
      </c>
      <c r="M78" t="s">
        <v>477</v>
      </c>
      <c r="N78" s="19">
        <v>0.45</v>
      </c>
      <c r="O78" t="s">
        <v>334</v>
      </c>
      <c r="P78" s="321">
        <v>0.04</v>
      </c>
      <c r="Q78" s="321">
        <v>1.5</v>
      </c>
      <c r="R78" s="50">
        <f>(1/UWert_Mod[[#This Row],[U-Wert]]-1/UWert_Mod[[#This Row],[U_no_ins]])*INDEX(PAR[lambda_ins_thick],1)*100</f>
        <v>7.0000000000000009</v>
      </c>
      <c r="S78" t="s">
        <v>1190</v>
      </c>
    </row>
    <row r="79" spans="5:19" x14ac:dyDescent="0.25">
      <c r="E79" t="s">
        <v>1200</v>
      </c>
      <c r="M79" t="s">
        <v>567</v>
      </c>
      <c r="N79" s="19">
        <v>0.45</v>
      </c>
      <c r="O79" t="s">
        <v>334</v>
      </c>
      <c r="P79" s="321">
        <v>3.7999999999999999E-2</v>
      </c>
      <c r="Q79" s="321">
        <v>1.5</v>
      </c>
      <c r="R79" s="50">
        <f>(1/UWert_Mod[[#This Row],[U-Wert]]-1/UWert_Mod[[#This Row],[U_no_ins]])*INDEX(PAR[lambda_ins_thick],1)*100</f>
        <v>7.0000000000000009</v>
      </c>
      <c r="S79" t="s">
        <v>1191</v>
      </c>
    </row>
    <row r="80" spans="5:19" x14ac:dyDescent="0.25">
      <c r="E80" t="s">
        <v>1201</v>
      </c>
      <c r="M80" t="s">
        <v>1152</v>
      </c>
      <c r="N80" s="19">
        <v>0.4</v>
      </c>
      <c r="O80" t="s">
        <v>334</v>
      </c>
      <c r="P80" s="321">
        <v>3.5000000000000003E-2</v>
      </c>
      <c r="Q80" s="321">
        <v>1.5</v>
      </c>
      <c r="R80" s="50">
        <f>(1/UWert_Mod[[#This Row],[U-Wert]]-1/UWert_Mod[[#This Row],[U_no_ins]])*INDEX(PAR[lambda_ins_thick],1)*100</f>
        <v>8.25</v>
      </c>
      <c r="S80" t="s">
        <v>1192</v>
      </c>
    </row>
    <row r="81" spans="5:19" x14ac:dyDescent="0.25">
      <c r="E81" t="s">
        <v>1202</v>
      </c>
      <c r="M81" t="s">
        <v>1127</v>
      </c>
      <c r="N81" s="19">
        <v>0.45</v>
      </c>
      <c r="O81" t="s">
        <v>333</v>
      </c>
      <c r="P81" s="321">
        <v>5.5E-2</v>
      </c>
      <c r="Q81" s="321">
        <v>1.5</v>
      </c>
      <c r="R81" s="50">
        <f>(1/UWert_Mod[[#This Row],[U-Wert]]-1/UWert_Mod[[#This Row],[U_no_ins]])*INDEX(PAR[lambda_ins_thick],1)*100</f>
        <v>7.0000000000000009</v>
      </c>
      <c r="S81" t="s">
        <v>1187</v>
      </c>
    </row>
    <row r="82" spans="5:19" x14ac:dyDescent="0.25">
      <c r="E82" t="s">
        <v>314</v>
      </c>
      <c r="M82" t="s">
        <v>1130</v>
      </c>
      <c r="N82" s="19">
        <v>0.45</v>
      </c>
      <c r="O82" t="s">
        <v>333</v>
      </c>
      <c r="P82" s="321">
        <v>0.05</v>
      </c>
      <c r="Q82" s="321">
        <v>1.5</v>
      </c>
      <c r="R82" s="50">
        <f>(1/UWert_Mod[[#This Row],[U-Wert]]-1/UWert_Mod[[#This Row],[U_no_ins]])*INDEX(PAR[lambda_ins_thick],1)*100</f>
        <v>7.0000000000000009</v>
      </c>
      <c r="S82" t="s">
        <v>1187</v>
      </c>
    </row>
    <row r="83" spans="5:19" x14ac:dyDescent="0.25">
      <c r="M83" t="s">
        <v>1132</v>
      </c>
      <c r="N83" s="19">
        <v>0.3</v>
      </c>
      <c r="O83" t="s">
        <v>333</v>
      </c>
      <c r="P83" s="321">
        <v>4.4999999999999998E-2</v>
      </c>
      <c r="Q83" s="321">
        <v>1.5</v>
      </c>
      <c r="R83" s="50">
        <f>(1/UWert_Mod[[#This Row],[U-Wert]]-1/UWert_Mod[[#This Row],[U_no_ins]])*INDEX(PAR[lambda_ins_thick],1)*100</f>
        <v>12.000000000000002</v>
      </c>
      <c r="S83" t="s">
        <v>1189</v>
      </c>
    </row>
    <row r="84" spans="5:19" x14ac:dyDescent="0.25">
      <c r="E84" t="s">
        <v>1203</v>
      </c>
      <c r="M84" t="s">
        <v>477</v>
      </c>
      <c r="N84" s="19">
        <v>0.3</v>
      </c>
      <c r="O84" t="s">
        <v>333</v>
      </c>
      <c r="P84" s="321">
        <v>0.04</v>
      </c>
      <c r="Q84" s="321">
        <v>1.5</v>
      </c>
      <c r="R84" s="50">
        <f>(1/UWert_Mod[[#This Row],[U-Wert]]-1/UWert_Mod[[#This Row],[U_no_ins]])*INDEX(PAR[lambda_ins_thick],1)*100</f>
        <v>12.000000000000002</v>
      </c>
      <c r="S84" t="s">
        <v>1190</v>
      </c>
    </row>
    <row r="85" spans="5:19" x14ac:dyDescent="0.25">
      <c r="E85" t="s">
        <v>1204</v>
      </c>
      <c r="M85" t="s">
        <v>567</v>
      </c>
      <c r="N85" s="19">
        <v>0.3</v>
      </c>
      <c r="O85" t="s">
        <v>333</v>
      </c>
      <c r="P85" s="321">
        <v>3.7999999999999999E-2</v>
      </c>
      <c r="Q85" s="321">
        <v>1.5</v>
      </c>
      <c r="R85" s="50">
        <f>(1/UWert_Mod[[#This Row],[U-Wert]]-1/UWert_Mod[[#This Row],[U_no_ins]])*INDEX(PAR[lambda_ins_thick],1)*100</f>
        <v>12.000000000000002</v>
      </c>
      <c r="S85" t="s">
        <v>1191</v>
      </c>
    </row>
    <row r="86" spans="5:19" x14ac:dyDescent="0.25">
      <c r="E86" t="s">
        <v>312</v>
      </c>
      <c r="M86" t="s">
        <v>1152</v>
      </c>
      <c r="N86" s="19">
        <v>0.22</v>
      </c>
      <c r="O86" t="s">
        <v>333</v>
      </c>
      <c r="P86" s="321">
        <v>3.5000000000000003E-2</v>
      </c>
      <c r="Q86" s="321">
        <v>1.5</v>
      </c>
      <c r="R86" s="50">
        <f>(1/UWert_Mod[[#This Row],[U-Wert]]-1/UWert_Mod[[#This Row],[U_no_ins]])*INDEX(PAR[lambda_ins_thick],1)*100</f>
        <v>17.454545454545457</v>
      </c>
      <c r="S86" t="s">
        <v>1192</v>
      </c>
    </row>
    <row r="87" spans="5:19" x14ac:dyDescent="0.25">
      <c r="N87" s="19"/>
    </row>
    <row r="88" spans="5:19" x14ac:dyDescent="0.25">
      <c r="E88" t="s">
        <v>1205</v>
      </c>
      <c r="G88" s="200" t="s">
        <v>1205</v>
      </c>
      <c r="M88" s="267"/>
      <c r="N88" s="19"/>
    </row>
    <row r="89" spans="5:19" x14ac:dyDescent="0.25">
      <c r="E89">
        <v>10</v>
      </c>
      <c r="G89" s="165">
        <v>10</v>
      </c>
      <c r="M89" s="268"/>
      <c r="N89" s="19"/>
    </row>
    <row r="90" spans="5:19" x14ac:dyDescent="0.25">
      <c r="E90">
        <v>11</v>
      </c>
      <c r="G90" s="181">
        <v>11</v>
      </c>
      <c r="M90" s="268"/>
      <c r="N90" s="19"/>
    </row>
    <row r="91" spans="5:19" x14ac:dyDescent="0.25">
      <c r="E91">
        <v>20</v>
      </c>
      <c r="G91" s="165">
        <v>20</v>
      </c>
      <c r="M91" s="268"/>
      <c r="N91" s="19"/>
    </row>
    <row r="92" spans="5:19" x14ac:dyDescent="0.25">
      <c r="E92">
        <v>21</v>
      </c>
      <c r="G92" s="181">
        <v>21</v>
      </c>
      <c r="M92" s="267"/>
      <c r="N92" s="19"/>
    </row>
    <row r="93" spans="5:19" x14ac:dyDescent="0.25">
      <c r="E93">
        <v>22</v>
      </c>
      <c r="G93" s="165">
        <v>22</v>
      </c>
      <c r="M93" s="267"/>
      <c r="N93" s="19"/>
    </row>
    <row r="94" spans="5:19" x14ac:dyDescent="0.25">
      <c r="E94">
        <v>30</v>
      </c>
      <c r="G94" s="181">
        <v>30</v>
      </c>
      <c r="N94" s="19"/>
    </row>
    <row r="95" spans="5:19" x14ac:dyDescent="0.25">
      <c r="E95">
        <v>33</v>
      </c>
      <c r="G95" s="171">
        <v>33</v>
      </c>
      <c r="N95" s="19"/>
    </row>
    <row r="96" spans="5:19" x14ac:dyDescent="0.25">
      <c r="N96" s="19"/>
    </row>
    <row r="97" spans="5:19" x14ac:dyDescent="0.25">
      <c r="N97" s="19"/>
    </row>
    <row r="98" spans="5:19" x14ac:dyDescent="0.25">
      <c r="E98" s="22" t="s">
        <v>1206</v>
      </c>
      <c r="F98" s="22"/>
      <c r="N98" s="19"/>
    </row>
    <row r="99" spans="5:19" x14ac:dyDescent="0.25">
      <c r="E99">
        <v>65</v>
      </c>
      <c r="N99" s="19"/>
    </row>
    <row r="100" spans="5:19" x14ac:dyDescent="0.25">
      <c r="E100">
        <v>105</v>
      </c>
      <c r="N100" s="19"/>
    </row>
    <row r="101" spans="5:19" x14ac:dyDescent="0.25">
      <c r="E101">
        <v>145</v>
      </c>
      <c r="M101" s="267"/>
      <c r="N101" s="19"/>
    </row>
    <row r="102" spans="5:19" x14ac:dyDescent="0.25">
      <c r="E102">
        <v>185</v>
      </c>
      <c r="M102" s="268"/>
      <c r="N102" s="19"/>
      <c r="S102" s="19"/>
    </row>
    <row r="103" spans="5:19" x14ac:dyDescent="0.25">
      <c r="E103">
        <v>225</v>
      </c>
      <c r="M103" s="268"/>
      <c r="N103" s="19"/>
      <c r="S103" s="19"/>
    </row>
    <row r="104" spans="5:19" x14ac:dyDescent="0.25">
      <c r="M104" s="268"/>
      <c r="N104" s="19"/>
      <c r="S104" s="19"/>
    </row>
    <row r="105" spans="5:19" x14ac:dyDescent="0.25">
      <c r="E105" t="s">
        <v>1207</v>
      </c>
      <c r="F105" t="s">
        <v>1208</v>
      </c>
      <c r="M105" s="267"/>
      <c r="N105" s="19"/>
      <c r="S105" s="19"/>
    </row>
    <row r="106" spans="5:19" x14ac:dyDescent="0.25">
      <c r="E106" t="s">
        <v>220</v>
      </c>
      <c r="F106">
        <v>0</v>
      </c>
      <c r="M106" s="267"/>
      <c r="N106" s="19"/>
      <c r="S106" s="19"/>
    </row>
    <row r="107" spans="5:19" x14ac:dyDescent="0.25">
      <c r="E107" t="s">
        <v>437</v>
      </c>
      <c r="F107">
        <v>0.5</v>
      </c>
      <c r="N107" s="19"/>
      <c r="S107" s="19"/>
    </row>
    <row r="108" spans="5:19" x14ac:dyDescent="0.25">
      <c r="E108" t="s">
        <v>475</v>
      </c>
      <c r="F108">
        <v>1</v>
      </c>
      <c r="N108" s="19"/>
      <c r="S108" s="19"/>
    </row>
    <row r="109" spans="5:19" x14ac:dyDescent="0.25">
      <c r="E109" t="s">
        <v>1209</v>
      </c>
      <c r="F109">
        <v>0.3</v>
      </c>
      <c r="N109" s="19"/>
      <c r="S109" s="19"/>
    </row>
    <row r="110" spans="5:19" x14ac:dyDescent="0.25">
      <c r="N110" s="19"/>
      <c r="S110" s="19"/>
    </row>
    <row r="111" spans="5:19" x14ac:dyDescent="0.25">
      <c r="E111" t="s">
        <v>1210</v>
      </c>
      <c r="F111" t="s">
        <v>1211</v>
      </c>
      <c r="N111" s="19"/>
      <c r="S111" s="19"/>
    </row>
    <row r="112" spans="5:19" x14ac:dyDescent="0.25">
      <c r="E112">
        <v>50</v>
      </c>
      <c r="F112" s="134">
        <v>0.3</v>
      </c>
      <c r="N112" s="19"/>
      <c r="S112" s="19"/>
    </row>
    <row r="113" spans="5:19" x14ac:dyDescent="0.25">
      <c r="E113">
        <v>70</v>
      </c>
      <c r="F113" s="134">
        <v>0.2</v>
      </c>
      <c r="N113" s="19"/>
      <c r="S113" s="19"/>
    </row>
    <row r="114" spans="5:19" x14ac:dyDescent="0.25">
      <c r="E114">
        <v>90</v>
      </c>
      <c r="F114" s="134">
        <v>0.05</v>
      </c>
      <c r="N114" s="19"/>
      <c r="S114" s="19"/>
    </row>
    <row r="115" spans="5:19" x14ac:dyDescent="0.25">
      <c r="N115" s="19"/>
      <c r="S115" s="19"/>
    </row>
    <row r="116" spans="5:19" x14ac:dyDescent="0.25">
      <c r="N116" s="19"/>
      <c r="S116" s="19"/>
    </row>
    <row r="117" spans="5:19" x14ac:dyDescent="0.25">
      <c r="N117" s="19"/>
      <c r="S117" s="19"/>
    </row>
    <row r="118" spans="5:19" x14ac:dyDescent="0.25">
      <c r="N118" s="19"/>
      <c r="S118" s="19"/>
    </row>
    <row r="119" spans="5:19" x14ac:dyDescent="0.25">
      <c r="N119" s="19"/>
      <c r="S119" s="19"/>
    </row>
    <row r="120" spans="5:19" x14ac:dyDescent="0.25">
      <c r="N120" s="19"/>
      <c r="S120" s="19"/>
    </row>
    <row r="121" spans="5:19" x14ac:dyDescent="0.25">
      <c r="N121" s="19"/>
      <c r="S121" s="19"/>
    </row>
    <row r="122" spans="5:19" x14ac:dyDescent="0.25">
      <c r="N122" s="19"/>
      <c r="S122" s="19"/>
    </row>
    <row r="123" spans="5:19" x14ac:dyDescent="0.25">
      <c r="N123" s="19"/>
      <c r="S123" s="19"/>
    </row>
    <row r="124" spans="5:19" x14ac:dyDescent="0.25">
      <c r="N124" s="19"/>
      <c r="S124" s="19"/>
    </row>
    <row r="125" spans="5:19" x14ac:dyDescent="0.25">
      <c r="N125" s="19"/>
      <c r="S125" s="19"/>
    </row>
    <row r="126" spans="5:19" x14ac:dyDescent="0.25">
      <c r="N126" s="19"/>
      <c r="S126" s="19"/>
    </row>
    <row r="127" spans="5:19" x14ac:dyDescent="0.25">
      <c r="N127" s="19"/>
      <c r="S127" s="19"/>
    </row>
    <row r="128" spans="5:19" x14ac:dyDescent="0.25">
      <c r="N128" s="19"/>
      <c r="S128" s="19"/>
    </row>
    <row r="129" spans="14:19" x14ac:dyDescent="0.25">
      <c r="N129" s="19"/>
      <c r="S129" s="19"/>
    </row>
    <row r="130" spans="14:19" x14ac:dyDescent="0.25">
      <c r="N130" s="19"/>
      <c r="S130" s="19"/>
    </row>
    <row r="131" spans="14:19" x14ac:dyDescent="0.25">
      <c r="N131" s="19"/>
      <c r="S131" s="19"/>
    </row>
    <row r="132" spans="14:19" x14ac:dyDescent="0.25">
      <c r="N132" s="19"/>
      <c r="S132" s="19"/>
    </row>
    <row r="133" spans="14:19" x14ac:dyDescent="0.25">
      <c r="N133" s="19"/>
      <c r="S133" s="19"/>
    </row>
    <row r="134" spans="14:19" x14ac:dyDescent="0.25">
      <c r="N134" s="19"/>
      <c r="S134" s="19"/>
    </row>
    <row r="135" spans="14:19" x14ac:dyDescent="0.25">
      <c r="N135" s="19"/>
      <c r="S135" s="19"/>
    </row>
    <row r="136" spans="14:19" x14ac:dyDescent="0.25">
      <c r="N136" s="19"/>
      <c r="S136" s="19"/>
    </row>
    <row r="137" spans="14:19" x14ac:dyDescent="0.25">
      <c r="N137" s="19"/>
      <c r="S137" s="19"/>
    </row>
    <row r="138" spans="14:19" x14ac:dyDescent="0.25">
      <c r="N138" s="19"/>
      <c r="S138" s="19"/>
    </row>
    <row r="139" spans="14:19" x14ac:dyDescent="0.25">
      <c r="N139" s="19"/>
      <c r="S139" s="19"/>
    </row>
    <row r="140" spans="14:19" x14ac:dyDescent="0.25">
      <c r="N140" s="19"/>
      <c r="S140" s="19"/>
    </row>
    <row r="141" spans="14:19" x14ac:dyDescent="0.25">
      <c r="N141" s="19"/>
      <c r="S141" s="19"/>
    </row>
    <row r="142" spans="14:19" x14ac:dyDescent="0.25">
      <c r="N142" s="19"/>
      <c r="S142" s="19"/>
    </row>
    <row r="143" spans="14:19" x14ac:dyDescent="0.25">
      <c r="N143" s="19"/>
      <c r="S143" s="19"/>
    </row>
    <row r="144" spans="14:19" x14ac:dyDescent="0.25">
      <c r="N144" s="19"/>
      <c r="S144" s="19"/>
    </row>
    <row r="145" spans="14:19" x14ac:dyDescent="0.25">
      <c r="N145" s="19"/>
      <c r="S145" s="19"/>
    </row>
    <row r="146" spans="14:19" x14ac:dyDescent="0.25">
      <c r="N146" s="19"/>
      <c r="S146" s="19"/>
    </row>
    <row r="147" spans="14:19" x14ac:dyDescent="0.25">
      <c r="N147" s="19"/>
      <c r="S147" s="19"/>
    </row>
    <row r="148" spans="14:19" x14ac:dyDescent="0.25">
      <c r="N148" s="19"/>
      <c r="S148" s="19"/>
    </row>
    <row r="149" spans="14:19" x14ac:dyDescent="0.25">
      <c r="N149" s="19"/>
      <c r="S149" s="19"/>
    </row>
    <row r="150" spans="14:19" x14ac:dyDescent="0.25">
      <c r="N150" s="19"/>
      <c r="S150" s="19"/>
    </row>
    <row r="151" spans="14:19" x14ac:dyDescent="0.25">
      <c r="N151" s="19"/>
      <c r="S151" s="19"/>
    </row>
    <row r="152" spans="14:19" x14ac:dyDescent="0.25">
      <c r="N152" s="19"/>
      <c r="S152" s="19"/>
    </row>
    <row r="153" spans="14:19" x14ac:dyDescent="0.25">
      <c r="N153" s="19"/>
      <c r="S153" s="19"/>
    </row>
    <row r="154" spans="14:19" x14ac:dyDescent="0.25">
      <c r="N154" s="19"/>
      <c r="S154" s="19"/>
    </row>
    <row r="155" spans="14:19" x14ac:dyDescent="0.25">
      <c r="N155" s="19"/>
      <c r="S155" s="19"/>
    </row>
    <row r="156" spans="14:19" x14ac:dyDescent="0.25">
      <c r="N156" s="19"/>
      <c r="S156" s="19"/>
    </row>
    <row r="157" spans="14:19" x14ac:dyDescent="0.25">
      <c r="N157" s="19"/>
      <c r="S157" s="19"/>
    </row>
    <row r="158" spans="14:19" x14ac:dyDescent="0.25">
      <c r="N158" s="19"/>
      <c r="S158" s="19"/>
    </row>
    <row r="159" spans="14:19" x14ac:dyDescent="0.25">
      <c r="N159" s="19"/>
      <c r="S159" s="19"/>
    </row>
    <row r="160" spans="14:19" x14ac:dyDescent="0.25">
      <c r="N160" s="19"/>
      <c r="S160" s="19"/>
    </row>
    <row r="161" spans="14:19" x14ac:dyDescent="0.25">
      <c r="N161" s="19"/>
      <c r="S161" s="19"/>
    </row>
    <row r="162" spans="14:19" x14ac:dyDescent="0.25">
      <c r="N162" s="19"/>
      <c r="S162" s="19"/>
    </row>
    <row r="163" spans="14:19" x14ac:dyDescent="0.25">
      <c r="N163" s="19"/>
      <c r="S163" s="19"/>
    </row>
    <row r="164" spans="14:19" x14ac:dyDescent="0.25">
      <c r="N164" s="19"/>
      <c r="S164" s="19"/>
    </row>
    <row r="165" spans="14:19" x14ac:dyDescent="0.25">
      <c r="N165" s="19"/>
      <c r="S165" s="19"/>
    </row>
    <row r="166" spans="14:19" x14ac:dyDescent="0.25">
      <c r="N166" s="19"/>
      <c r="S166" s="19"/>
    </row>
    <row r="167" spans="14:19" x14ac:dyDescent="0.25">
      <c r="N167" s="19"/>
      <c r="S167" s="19"/>
    </row>
    <row r="168" spans="14:19" x14ac:dyDescent="0.25">
      <c r="N168" s="19"/>
      <c r="S168" s="19"/>
    </row>
    <row r="169" spans="14:19" x14ac:dyDescent="0.25">
      <c r="N169" s="19"/>
      <c r="S169" s="19"/>
    </row>
    <row r="170" spans="14:19" x14ac:dyDescent="0.25">
      <c r="N170" s="19"/>
      <c r="S170" s="19"/>
    </row>
    <row r="171" spans="14:19" x14ac:dyDescent="0.25">
      <c r="N171" s="19"/>
      <c r="S171" s="19"/>
    </row>
    <row r="172" spans="14:19" x14ac:dyDescent="0.25">
      <c r="N172" s="19"/>
      <c r="S172" s="19"/>
    </row>
    <row r="173" spans="14:19" x14ac:dyDescent="0.25">
      <c r="N173" s="19"/>
      <c r="S173" s="19"/>
    </row>
    <row r="174" spans="14:19" x14ac:dyDescent="0.25">
      <c r="N174" s="19"/>
      <c r="S174" s="19"/>
    </row>
    <row r="175" spans="14:19" x14ac:dyDescent="0.25">
      <c r="N175" s="19"/>
      <c r="S175" s="19"/>
    </row>
    <row r="176" spans="14:19" x14ac:dyDescent="0.25">
      <c r="N176" s="19"/>
      <c r="S176" s="19"/>
    </row>
    <row r="177" spans="14:19" x14ac:dyDescent="0.25">
      <c r="N177" s="19"/>
      <c r="S177" s="19"/>
    </row>
    <row r="178" spans="14:19" x14ac:dyDescent="0.25">
      <c r="N178" s="19"/>
      <c r="S178" s="19"/>
    </row>
    <row r="179" spans="14:19" x14ac:dyDescent="0.25">
      <c r="N179" s="19"/>
      <c r="S179" s="19"/>
    </row>
    <row r="180" spans="14:19" x14ac:dyDescent="0.25">
      <c r="N180" s="19"/>
      <c r="S180" s="19"/>
    </row>
    <row r="181" spans="14:19" x14ac:dyDescent="0.25">
      <c r="N181" s="19"/>
      <c r="S181" s="19"/>
    </row>
    <row r="182" spans="14:19" x14ac:dyDescent="0.25">
      <c r="N182" s="19"/>
      <c r="S182" s="19"/>
    </row>
    <row r="183" spans="14:19" x14ac:dyDescent="0.25">
      <c r="N183" s="19"/>
      <c r="S183" s="19"/>
    </row>
    <row r="184" spans="14:19" x14ac:dyDescent="0.25">
      <c r="N184" s="19"/>
      <c r="S184" s="19"/>
    </row>
    <row r="185" spans="14:19" x14ac:dyDescent="0.25">
      <c r="N185" s="19"/>
      <c r="S185" s="19"/>
    </row>
    <row r="186" spans="14:19" x14ac:dyDescent="0.25">
      <c r="N186" s="19"/>
      <c r="S186" s="19"/>
    </row>
    <row r="187" spans="14:19" x14ac:dyDescent="0.25">
      <c r="N187" s="19"/>
      <c r="S187" s="19"/>
    </row>
    <row r="188" spans="14:19" x14ac:dyDescent="0.25">
      <c r="N188" s="19"/>
      <c r="S188" s="19"/>
    </row>
    <row r="189" spans="14:19" x14ac:dyDescent="0.25">
      <c r="N189" s="19"/>
      <c r="S189" s="19"/>
    </row>
    <row r="190" spans="14:19" x14ac:dyDescent="0.25">
      <c r="N190" s="19"/>
      <c r="S190" s="19"/>
    </row>
    <row r="191" spans="14:19" x14ac:dyDescent="0.25">
      <c r="N191" s="19"/>
      <c r="S191" s="19"/>
    </row>
    <row r="192" spans="14:19" x14ac:dyDescent="0.25">
      <c r="N192" s="19"/>
      <c r="S192" s="19"/>
    </row>
    <row r="193" spans="14:19" x14ac:dyDescent="0.25">
      <c r="N193" s="19"/>
      <c r="S193" s="19"/>
    </row>
    <row r="194" spans="14:19" x14ac:dyDescent="0.25">
      <c r="N194" s="19"/>
      <c r="S194" s="19"/>
    </row>
    <row r="195" spans="14:19" x14ac:dyDescent="0.25">
      <c r="N195" s="19"/>
      <c r="S195" s="19"/>
    </row>
    <row r="196" spans="14:19" x14ac:dyDescent="0.25">
      <c r="N196" s="19"/>
      <c r="S196" s="19"/>
    </row>
    <row r="197" spans="14:19" x14ac:dyDescent="0.25">
      <c r="N197" s="19"/>
      <c r="S197" s="19"/>
    </row>
    <row r="198" spans="14:19" x14ac:dyDescent="0.25">
      <c r="N198" s="19"/>
      <c r="S198" s="19"/>
    </row>
    <row r="199" spans="14:19" x14ac:dyDescent="0.25">
      <c r="N199" s="19"/>
      <c r="S199" s="19"/>
    </row>
    <row r="200" spans="14:19" x14ac:dyDescent="0.25">
      <c r="N200" s="19"/>
      <c r="S200" s="19"/>
    </row>
    <row r="201" spans="14:19" x14ac:dyDescent="0.25">
      <c r="N201" s="19"/>
      <c r="S201" s="19"/>
    </row>
    <row r="202" spans="14:19" x14ac:dyDescent="0.25">
      <c r="N202" s="19"/>
      <c r="S202" s="19"/>
    </row>
    <row r="203" spans="14:19" x14ac:dyDescent="0.25">
      <c r="N203" s="19"/>
      <c r="S203" s="19"/>
    </row>
    <row r="204" spans="14:19" x14ac:dyDescent="0.25">
      <c r="N204" s="19"/>
      <c r="S204" s="19"/>
    </row>
    <row r="205" spans="14:19" x14ac:dyDescent="0.25">
      <c r="N205" s="19"/>
      <c r="S205" s="19"/>
    </row>
    <row r="206" spans="14:19" x14ac:dyDescent="0.25">
      <c r="N206" s="19"/>
      <c r="S206" s="19"/>
    </row>
    <row r="207" spans="14:19" x14ac:dyDescent="0.25">
      <c r="N207" s="19"/>
      <c r="S207" s="19"/>
    </row>
    <row r="208" spans="14:19" x14ac:dyDescent="0.25">
      <c r="N208" s="19"/>
      <c r="S208" s="19"/>
    </row>
    <row r="209" spans="14:19" x14ac:dyDescent="0.25">
      <c r="N209" s="19"/>
      <c r="S209" s="19"/>
    </row>
    <row r="210" spans="14:19" x14ac:dyDescent="0.25">
      <c r="N210" s="19"/>
      <c r="S210" s="19"/>
    </row>
    <row r="211" spans="14:19" x14ac:dyDescent="0.25">
      <c r="N211" s="19"/>
      <c r="S211" s="19"/>
    </row>
    <row r="212" spans="14:19" x14ac:dyDescent="0.25">
      <c r="N212" s="19"/>
      <c r="S212" s="19"/>
    </row>
    <row r="213" spans="14:19" x14ac:dyDescent="0.25">
      <c r="N213" s="19"/>
      <c r="S213" s="19"/>
    </row>
    <row r="214" spans="14:19" x14ac:dyDescent="0.25">
      <c r="N214" s="19"/>
      <c r="S214" s="19"/>
    </row>
    <row r="215" spans="14:19" x14ac:dyDescent="0.25">
      <c r="N215" s="19"/>
      <c r="S215" s="19"/>
    </row>
    <row r="216" spans="14:19" x14ac:dyDescent="0.25">
      <c r="N216" s="19"/>
      <c r="S216" s="19"/>
    </row>
    <row r="217" spans="14:19" x14ac:dyDescent="0.25">
      <c r="N217" s="19"/>
      <c r="S217" s="19"/>
    </row>
    <row r="218" spans="14:19" x14ac:dyDescent="0.25">
      <c r="N218" s="19"/>
      <c r="S218" s="19"/>
    </row>
    <row r="219" spans="14:19" x14ac:dyDescent="0.25">
      <c r="N219" s="19"/>
      <c r="S219" s="19"/>
    </row>
    <row r="220" spans="14:19" x14ac:dyDescent="0.25">
      <c r="N220" s="19"/>
      <c r="S220" s="19"/>
    </row>
    <row r="221" spans="14:19" x14ac:dyDescent="0.25">
      <c r="N221" s="19"/>
      <c r="S221" s="19"/>
    </row>
    <row r="222" spans="14:19" x14ac:dyDescent="0.25">
      <c r="N222" s="19"/>
      <c r="S222" s="19"/>
    </row>
    <row r="223" spans="14:19" x14ac:dyDescent="0.25">
      <c r="N223" s="19"/>
      <c r="S223" s="19"/>
    </row>
    <row r="224" spans="14:19" x14ac:dyDescent="0.25">
      <c r="N224" s="19"/>
      <c r="S224" s="19"/>
    </row>
    <row r="225" spans="14:19" x14ac:dyDescent="0.25">
      <c r="N225" s="19"/>
      <c r="S225" s="19"/>
    </row>
    <row r="226" spans="14:19" x14ac:dyDescent="0.25">
      <c r="N226" s="19"/>
      <c r="S226" s="19"/>
    </row>
    <row r="227" spans="14:19" x14ac:dyDescent="0.25">
      <c r="N227" s="19"/>
      <c r="S227" s="19"/>
    </row>
    <row r="228" spans="14:19" x14ac:dyDescent="0.25">
      <c r="N228" s="19"/>
      <c r="S228" s="19"/>
    </row>
    <row r="229" spans="14:19" x14ac:dyDescent="0.25">
      <c r="N229" s="19"/>
      <c r="S229" s="19"/>
    </row>
    <row r="230" spans="14:19" x14ac:dyDescent="0.25">
      <c r="N230" s="19"/>
      <c r="S230" s="19"/>
    </row>
    <row r="231" spans="14:19" x14ac:dyDescent="0.25">
      <c r="N231" s="19"/>
      <c r="S231" s="19"/>
    </row>
    <row r="232" spans="14:19" x14ac:dyDescent="0.25">
      <c r="N232" s="19"/>
      <c r="S232" s="19"/>
    </row>
    <row r="233" spans="14:19" x14ac:dyDescent="0.25">
      <c r="N233" s="19"/>
      <c r="S233" s="19"/>
    </row>
    <row r="234" spans="14:19" x14ac:dyDescent="0.25">
      <c r="N234" s="19"/>
      <c r="S234" s="19"/>
    </row>
    <row r="235" spans="14:19" x14ac:dyDescent="0.25">
      <c r="N235" s="19"/>
      <c r="S235" s="19"/>
    </row>
    <row r="236" spans="14:19" x14ac:dyDescent="0.25">
      <c r="N236" s="19"/>
      <c r="S236" s="19"/>
    </row>
    <row r="237" spans="14:19" x14ac:dyDescent="0.25">
      <c r="N237" s="19"/>
      <c r="S237" s="19"/>
    </row>
    <row r="238" spans="14:19" x14ac:dyDescent="0.25">
      <c r="N238" s="19"/>
      <c r="S238" s="19"/>
    </row>
    <row r="239" spans="14:19" x14ac:dyDescent="0.25">
      <c r="N239" s="19"/>
      <c r="S239" s="19"/>
    </row>
    <row r="240" spans="14:19" x14ac:dyDescent="0.25">
      <c r="N240" s="19"/>
      <c r="S240" s="19"/>
    </row>
    <row r="241" spans="14:19" x14ac:dyDescent="0.25">
      <c r="N241" s="19"/>
      <c r="S241" s="19"/>
    </row>
    <row r="242" spans="14:19" x14ac:dyDescent="0.25">
      <c r="N242" s="19"/>
      <c r="S242" s="19"/>
    </row>
    <row r="243" spans="14:19" x14ac:dyDescent="0.25">
      <c r="N243" s="19"/>
      <c r="S243" s="19"/>
    </row>
    <row r="244" spans="14:19" x14ac:dyDescent="0.25">
      <c r="N244" s="19"/>
      <c r="S244" s="19"/>
    </row>
    <row r="245" spans="14:19" x14ac:dyDescent="0.25">
      <c r="N245" s="19"/>
      <c r="S245" s="19"/>
    </row>
    <row r="246" spans="14:19" x14ac:dyDescent="0.25">
      <c r="N246" s="19"/>
      <c r="S246" s="19"/>
    </row>
    <row r="247" spans="14:19" x14ac:dyDescent="0.25">
      <c r="N247" s="19"/>
      <c r="S247" s="19"/>
    </row>
    <row r="248" spans="14:19" x14ac:dyDescent="0.25">
      <c r="N248" s="19"/>
      <c r="S248" s="19"/>
    </row>
    <row r="249" spans="14:19" x14ac:dyDescent="0.25">
      <c r="N249" s="19"/>
      <c r="S249" s="19"/>
    </row>
    <row r="250" spans="14:19" x14ac:dyDescent="0.25">
      <c r="N250" s="19"/>
      <c r="S250" s="19"/>
    </row>
    <row r="251" spans="14:19" x14ac:dyDescent="0.25">
      <c r="N251" s="19"/>
      <c r="S251" s="19"/>
    </row>
    <row r="252" spans="14:19" x14ac:dyDescent="0.25">
      <c r="N252" s="19"/>
      <c r="S252" s="19"/>
    </row>
    <row r="253" spans="14:19" x14ac:dyDescent="0.25">
      <c r="N253" s="19"/>
      <c r="S253" s="19"/>
    </row>
    <row r="254" spans="14:19" x14ac:dyDescent="0.25">
      <c r="N254" s="19"/>
      <c r="S254" s="19"/>
    </row>
    <row r="255" spans="14:19" x14ac:dyDescent="0.25">
      <c r="N255" s="19"/>
      <c r="S255" s="19"/>
    </row>
    <row r="256" spans="14:19" x14ac:dyDescent="0.25">
      <c r="N256" s="19"/>
      <c r="S256" s="19"/>
    </row>
    <row r="257" spans="14:19" x14ac:dyDescent="0.25">
      <c r="N257" s="19"/>
      <c r="S257" s="19"/>
    </row>
    <row r="258" spans="14:19" x14ac:dyDescent="0.25">
      <c r="N258" s="19"/>
      <c r="S258" s="19"/>
    </row>
    <row r="259" spans="14:19" x14ac:dyDescent="0.25">
      <c r="N259" s="19"/>
      <c r="S259" s="19"/>
    </row>
    <row r="260" spans="14:19" x14ac:dyDescent="0.25">
      <c r="N260" s="19"/>
      <c r="S260" s="19"/>
    </row>
    <row r="261" spans="14:19" x14ac:dyDescent="0.25">
      <c r="N261" s="19"/>
      <c r="S261" s="19"/>
    </row>
    <row r="262" spans="14:19" x14ac:dyDescent="0.25">
      <c r="N262" s="19"/>
      <c r="S262" s="19"/>
    </row>
    <row r="263" spans="14:19" x14ac:dyDescent="0.25">
      <c r="N263" s="19"/>
      <c r="S263" s="19"/>
    </row>
    <row r="264" spans="14:19" x14ac:dyDescent="0.25">
      <c r="N264" s="19"/>
      <c r="S264" s="19"/>
    </row>
    <row r="265" spans="14:19" x14ac:dyDescent="0.25">
      <c r="N265" s="19"/>
      <c r="S265" s="19"/>
    </row>
    <row r="266" spans="14:19" x14ac:dyDescent="0.25">
      <c r="N266" s="19"/>
      <c r="S266" s="19"/>
    </row>
    <row r="267" spans="14:19" x14ac:dyDescent="0.25">
      <c r="N267" s="19"/>
      <c r="S267" s="19"/>
    </row>
    <row r="268" spans="14:19" x14ac:dyDescent="0.25">
      <c r="N268" s="19"/>
      <c r="S268" s="19"/>
    </row>
    <row r="269" spans="14:19" x14ac:dyDescent="0.25">
      <c r="N269" s="19"/>
      <c r="S269" s="19"/>
    </row>
    <row r="270" spans="14:19" x14ac:dyDescent="0.25">
      <c r="N270" s="19"/>
      <c r="S270" s="19"/>
    </row>
    <row r="271" spans="14:19" x14ac:dyDescent="0.25">
      <c r="N271" s="19"/>
      <c r="S271" s="19"/>
    </row>
    <row r="272" spans="14:19" x14ac:dyDescent="0.25">
      <c r="N272" s="19"/>
      <c r="S272" s="19"/>
    </row>
    <row r="273" spans="14:19" x14ac:dyDescent="0.25">
      <c r="N273" s="19"/>
      <c r="S273" s="19"/>
    </row>
    <row r="274" spans="14:19" x14ac:dyDescent="0.25">
      <c r="N274" s="19"/>
      <c r="S274" s="19"/>
    </row>
    <row r="275" spans="14:19" x14ac:dyDescent="0.25">
      <c r="Q275" t="s">
        <v>1089</v>
      </c>
      <c r="S275" s="19"/>
    </row>
    <row r="276" spans="14:19" x14ac:dyDescent="0.25">
      <c r="Q276">
        <v>516</v>
      </c>
      <c r="S276" s="19"/>
    </row>
    <row r="277" spans="14:19" x14ac:dyDescent="0.25">
      <c r="Q277">
        <v>616</v>
      </c>
      <c r="S277" s="19"/>
    </row>
    <row r="278" spans="14:19" x14ac:dyDescent="0.25">
      <c r="Q278">
        <v>766</v>
      </c>
      <c r="S278" s="19"/>
    </row>
    <row r="279" spans="14:19" x14ac:dyDescent="0.25">
      <c r="Q279">
        <v>1016</v>
      </c>
      <c r="S279" s="19"/>
    </row>
    <row r="280" spans="14:19" x14ac:dyDescent="0.25">
      <c r="S280" s="19"/>
    </row>
    <row r="281" spans="14:19" x14ac:dyDescent="0.25">
      <c r="S281" s="19"/>
    </row>
    <row r="282" spans="14:19" x14ac:dyDescent="0.25">
      <c r="Q282" s="71" t="s">
        <v>1089</v>
      </c>
      <c r="S282" s="19"/>
    </row>
    <row r="283" spans="14:19" x14ac:dyDescent="0.25">
      <c r="S283" s="19"/>
    </row>
    <row r="284" spans="14:19" x14ac:dyDescent="0.25">
      <c r="S284" s="19"/>
    </row>
    <row r="285" spans="14:19" x14ac:dyDescent="0.25">
      <c r="S285" s="19"/>
    </row>
    <row r="286" spans="14:19" x14ac:dyDescent="0.25">
      <c r="S286" s="19"/>
    </row>
    <row r="287" spans="14:19" x14ac:dyDescent="0.25">
      <c r="S287" s="19"/>
    </row>
    <row r="288" spans="14:19" x14ac:dyDescent="0.25">
      <c r="S288" s="19"/>
    </row>
    <row r="289" spans="17:19" x14ac:dyDescent="0.25">
      <c r="S289" s="19"/>
    </row>
    <row r="290" spans="17:19" x14ac:dyDescent="0.25">
      <c r="S290" s="19"/>
    </row>
    <row r="291" spans="17:19" x14ac:dyDescent="0.25">
      <c r="Q291" s="71" t="s">
        <v>1089</v>
      </c>
      <c r="S291" s="19"/>
    </row>
    <row r="292" spans="17:19" x14ac:dyDescent="0.25">
      <c r="S292" s="19"/>
    </row>
    <row r="293" spans="17:19" x14ac:dyDescent="0.25">
      <c r="S293" s="19"/>
    </row>
    <row r="294" spans="17:19" x14ac:dyDescent="0.25">
      <c r="S294" s="19"/>
    </row>
    <row r="295" spans="17:19" x14ac:dyDescent="0.25">
      <c r="S295" s="19"/>
    </row>
  </sheetData>
  <phoneticPr fontId="25" type="noConversion"/>
  <pageMargins left="0.7" right="0.7" top="0.78740157499999996" bottom="0.78740157499999996" header="0.3" footer="0.3"/>
  <legacyDrawing r:id="rId1"/>
  <tableParts count="6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1BA7-7CA3-49E9-A8C0-B4E6B5917005}">
  <sheetPr>
    <tabColor theme="5"/>
  </sheetPr>
  <dimension ref="B1:AY775"/>
  <sheetViews>
    <sheetView topLeftCell="C1" zoomScale="55" zoomScaleNormal="55" workbookViewId="0">
      <selection activeCell="O87" sqref="O87"/>
    </sheetView>
  </sheetViews>
  <sheetFormatPr baseColWidth="10" defaultColWidth="13.42578125" defaultRowHeight="14.25" x14ac:dyDescent="0.2"/>
  <cols>
    <col min="1" max="1" width="13.42578125" style="1" customWidth="1"/>
    <col min="2" max="2" width="10.5703125" style="1" customWidth="1"/>
    <col min="3" max="3" width="28.28515625" style="1" bestFit="1" customWidth="1"/>
    <col min="4" max="4" width="25.28515625" style="1" bestFit="1" customWidth="1"/>
    <col min="5" max="5" width="25.28515625" style="1" customWidth="1"/>
    <col min="6" max="6" width="21.42578125" style="1" customWidth="1"/>
    <col min="7" max="7" width="16.42578125" style="1" customWidth="1"/>
    <col min="8" max="8" width="17.140625" style="1" customWidth="1"/>
    <col min="9" max="9" width="18.140625" style="1" customWidth="1"/>
    <col min="10" max="10" width="20.28515625" style="1" customWidth="1"/>
    <col min="11" max="11" width="25.28515625" style="1" customWidth="1"/>
    <col min="12" max="12" width="19" style="1" customWidth="1"/>
    <col min="13" max="14" width="12.85546875" style="1" hidden="1" customWidth="1"/>
    <col min="15" max="15" width="14" style="1" customWidth="1"/>
    <col min="16" max="17" width="13.5703125" style="1" customWidth="1"/>
    <col min="18" max="20" width="14.42578125" style="1" customWidth="1"/>
    <col min="21" max="22" width="13" style="1" customWidth="1"/>
    <col min="23" max="23" width="13.140625" style="1" customWidth="1"/>
    <col min="24" max="24" width="25" style="1" customWidth="1"/>
    <col min="25" max="25" width="34.28515625" style="1" bestFit="1" customWidth="1"/>
    <col min="26" max="26" width="35.5703125" style="1" customWidth="1"/>
    <col min="27" max="27" width="38.7109375" style="1" customWidth="1"/>
    <col min="28" max="28" width="25.5703125" style="1" customWidth="1"/>
    <col min="29" max="29" width="14" style="1" customWidth="1"/>
    <col min="30" max="16384" width="13.42578125" style="1"/>
  </cols>
  <sheetData>
    <row r="1" spans="2:35" x14ac:dyDescent="0.2">
      <c r="B1" s="8"/>
      <c r="C1" s="8"/>
      <c r="D1" s="8"/>
      <c r="E1" s="8"/>
      <c r="F1" s="8"/>
      <c r="G1" s="8"/>
    </row>
    <row r="3" spans="2:35" ht="15" x14ac:dyDescent="0.25">
      <c r="AD3" s="27"/>
    </row>
    <row r="4" spans="2:35" ht="60" x14ac:dyDescent="0.25">
      <c r="B4" s="233" t="s">
        <v>1212</v>
      </c>
      <c r="C4" s="233" t="s">
        <v>1213</v>
      </c>
      <c r="D4" s="233" t="s">
        <v>1214</v>
      </c>
      <c r="E4" s="233" t="s">
        <v>1215</v>
      </c>
      <c r="F4" s="233" t="s">
        <v>1216</v>
      </c>
      <c r="G4" s="233" t="s">
        <v>1217</v>
      </c>
      <c r="H4" s="233" t="s">
        <v>1218</v>
      </c>
      <c r="I4" s="233" t="s">
        <v>1219</v>
      </c>
      <c r="J4" s="233" t="s">
        <v>1220</v>
      </c>
      <c r="K4" s="233" t="s">
        <v>1221</v>
      </c>
      <c r="L4" s="233" t="s">
        <v>1222</v>
      </c>
      <c r="M4" s="233" t="s">
        <v>1223</v>
      </c>
      <c r="N4" s="233" t="s">
        <v>1224</v>
      </c>
      <c r="O4" s="233" t="s">
        <v>1225</v>
      </c>
      <c r="P4" s="233" t="s">
        <v>1226</v>
      </c>
      <c r="Q4" s="233" t="s">
        <v>1227</v>
      </c>
      <c r="R4" s="233" t="s">
        <v>1228</v>
      </c>
      <c r="S4" s="233" t="s">
        <v>1229</v>
      </c>
      <c r="T4" s="233" t="s">
        <v>1230</v>
      </c>
      <c r="U4" s="233" t="s">
        <v>1231</v>
      </c>
      <c r="V4" s="233" t="s">
        <v>1232</v>
      </c>
      <c r="W4" s="233" t="s">
        <v>1233</v>
      </c>
      <c r="X4" s="233" t="s">
        <v>1234</v>
      </c>
      <c r="Y4" s="233" t="s">
        <v>1235</v>
      </c>
      <c r="Z4" s="233" t="s">
        <v>1236</v>
      </c>
      <c r="AA4" s="233" t="s">
        <v>1237</v>
      </c>
      <c r="AB4" s="233" t="s">
        <v>1238</v>
      </c>
      <c r="AC4" s="233" t="s">
        <v>653</v>
      </c>
      <c r="AF4" s="28"/>
      <c r="AG4" s="28"/>
      <c r="AH4" s="28"/>
      <c r="AI4" s="29"/>
    </row>
    <row r="5" spans="2:35" hidden="1" x14ac:dyDescent="0.2">
      <c r="B5" s="207">
        <v>1</v>
      </c>
      <c r="C5" s="207" t="s">
        <v>1239</v>
      </c>
      <c r="D5" s="208" t="s">
        <v>479</v>
      </c>
      <c r="E5" s="207" t="s">
        <v>1073</v>
      </c>
      <c r="F5" s="209" t="s">
        <v>1077</v>
      </c>
      <c r="G5" s="210">
        <v>350</v>
      </c>
      <c r="H5" s="211">
        <v>1000</v>
      </c>
      <c r="I5" s="211">
        <f>Data_radiator!$G5*Data_radiator!$H5/1000000</f>
        <v>0.35</v>
      </c>
      <c r="J5" s="212"/>
      <c r="K5" s="210">
        <v>300</v>
      </c>
      <c r="L5" s="210">
        <v>65</v>
      </c>
      <c r="M5" s="211"/>
      <c r="N5" s="211"/>
      <c r="O5" s="211"/>
      <c r="P5" s="211"/>
      <c r="Q5" s="211"/>
      <c r="R5" s="211"/>
      <c r="S5" s="211"/>
      <c r="T5" s="211"/>
      <c r="U5" s="211"/>
      <c r="V5" s="211"/>
      <c r="W5" s="211"/>
      <c r="X5" s="211">
        <v>1.25</v>
      </c>
      <c r="Y5" s="210"/>
      <c r="Z5" s="210">
        <v>436</v>
      </c>
      <c r="AA5" s="210"/>
      <c r="AB5" s="210"/>
      <c r="AC5" s="213"/>
      <c r="AF5" s="28"/>
      <c r="AG5" s="28"/>
      <c r="AH5" s="28"/>
      <c r="AI5" s="29"/>
    </row>
    <row r="6" spans="2:35" ht="15" hidden="1" x14ac:dyDescent="0.25">
      <c r="B6" s="1">
        <v>2</v>
      </c>
      <c r="C6" s="1" t="s">
        <v>1239</v>
      </c>
      <c r="D6" s="214" t="s">
        <v>479</v>
      </c>
      <c r="E6" s="1" t="str">
        <f>E5</f>
        <v>Flachheizkoerper_senkrecht_profiliert</v>
      </c>
      <c r="F6" s="215" t="s">
        <v>1083</v>
      </c>
      <c r="G6" s="105">
        <v>350</v>
      </c>
      <c r="H6" s="216">
        <v>1000</v>
      </c>
      <c r="I6" s="216">
        <f>Data_radiator!$G6*Data_radiator!$H6/1000000</f>
        <v>0.35</v>
      </c>
      <c r="J6" s="217"/>
      <c r="K6" s="105">
        <v>300</v>
      </c>
      <c r="L6" s="105">
        <v>65</v>
      </c>
      <c r="M6" s="216"/>
      <c r="N6" s="216"/>
      <c r="O6" s="216"/>
      <c r="P6" s="216"/>
      <c r="Q6" s="216"/>
      <c r="R6" s="216"/>
      <c r="S6" s="216"/>
      <c r="T6" s="216"/>
      <c r="U6" s="216"/>
      <c r="V6" s="216"/>
      <c r="W6" s="216"/>
      <c r="X6" s="216">
        <v>1.25</v>
      </c>
      <c r="Y6" s="105"/>
      <c r="Z6" s="105">
        <v>605</v>
      </c>
      <c r="AA6" s="105"/>
      <c r="AB6" s="105"/>
      <c r="AC6" s="218"/>
      <c r="AD6" s="27" t="s">
        <v>1185</v>
      </c>
      <c r="AF6" s="28"/>
      <c r="AG6" s="28"/>
      <c r="AH6" s="28"/>
      <c r="AI6" s="29"/>
    </row>
    <row r="7" spans="2:35" hidden="1" x14ac:dyDescent="0.2">
      <c r="B7" s="219">
        <v>3</v>
      </c>
      <c r="C7" s="219" t="s">
        <v>1239</v>
      </c>
      <c r="D7" s="220" t="s">
        <v>479</v>
      </c>
      <c r="E7" s="1" t="str">
        <f t="shared" ref="E7:E32" si="0">E6</f>
        <v>Flachheizkoerper_senkrecht_profiliert</v>
      </c>
      <c r="F7" s="221" t="s">
        <v>1088</v>
      </c>
      <c r="G7" s="222">
        <v>350</v>
      </c>
      <c r="H7" s="223">
        <v>1000</v>
      </c>
      <c r="I7" s="223">
        <f>Data_radiator!$G7*Data_radiator!$H7/1000000</f>
        <v>0.35</v>
      </c>
      <c r="J7" s="224"/>
      <c r="K7" s="222">
        <v>300</v>
      </c>
      <c r="L7" s="222">
        <v>100</v>
      </c>
      <c r="M7" s="223"/>
      <c r="N7" s="223"/>
      <c r="O7" s="223"/>
      <c r="P7" s="223"/>
      <c r="Q7" s="223"/>
      <c r="R7" s="223"/>
      <c r="S7" s="223"/>
      <c r="T7" s="223"/>
      <c r="U7" s="223"/>
      <c r="V7" s="223"/>
      <c r="W7" s="223"/>
      <c r="X7" s="223">
        <f>X6</f>
        <v>1.25</v>
      </c>
      <c r="Y7" s="222"/>
      <c r="Z7" s="222">
        <f>MEDIAN(578,724,582,736,630,787)</f>
        <v>677</v>
      </c>
      <c r="AA7" s="222"/>
      <c r="AB7" s="222"/>
      <c r="AC7" s="225" t="s">
        <v>1240</v>
      </c>
      <c r="AD7" s="132" t="s">
        <v>1241</v>
      </c>
      <c r="AF7" s="28"/>
      <c r="AG7" s="28"/>
      <c r="AH7" s="28"/>
      <c r="AI7" s="29"/>
    </row>
    <row r="8" spans="2:35" hidden="1" x14ac:dyDescent="0.2">
      <c r="B8" s="1">
        <v>4</v>
      </c>
      <c r="C8" s="1" t="s">
        <v>1239</v>
      </c>
      <c r="D8" s="214" t="s">
        <v>479</v>
      </c>
      <c r="E8" s="1" t="str">
        <f t="shared" si="0"/>
        <v>Flachheizkoerper_senkrecht_profiliert</v>
      </c>
      <c r="F8" s="215" t="s">
        <v>1092</v>
      </c>
      <c r="G8" s="105">
        <v>350</v>
      </c>
      <c r="H8" s="216">
        <v>1000</v>
      </c>
      <c r="I8" s="216">
        <f>Data_radiator!$G8*Data_radiator!$H8/1000000</f>
        <v>0.35</v>
      </c>
      <c r="J8" s="217"/>
      <c r="K8" s="105">
        <v>300</v>
      </c>
      <c r="L8" s="105">
        <v>100</v>
      </c>
      <c r="M8" s="216"/>
      <c r="N8" s="216"/>
      <c r="O8" s="216"/>
      <c r="P8" s="216"/>
      <c r="Q8" s="216"/>
      <c r="R8" s="216"/>
      <c r="S8" s="216"/>
      <c r="T8" s="216"/>
      <c r="U8" s="216"/>
      <c r="V8" s="216"/>
      <c r="W8" s="216"/>
      <c r="X8" s="216">
        <v>1.27</v>
      </c>
      <c r="Y8" s="105"/>
      <c r="Z8" s="105">
        <v>915</v>
      </c>
      <c r="AA8" s="105"/>
      <c r="AB8" s="105"/>
      <c r="AC8" s="218"/>
      <c r="AF8" s="28"/>
      <c r="AG8" s="28"/>
      <c r="AH8" s="28"/>
      <c r="AI8" s="29"/>
    </row>
    <row r="9" spans="2:35" hidden="1" x14ac:dyDescent="0.2">
      <c r="B9" s="219">
        <v>5</v>
      </c>
      <c r="C9" s="219" t="s">
        <v>1239</v>
      </c>
      <c r="D9" s="220" t="s">
        <v>479</v>
      </c>
      <c r="E9" s="1" t="str">
        <f t="shared" si="0"/>
        <v>Flachheizkoerper_senkrecht_profiliert</v>
      </c>
      <c r="F9" s="221" t="s">
        <v>1093</v>
      </c>
      <c r="G9" s="222">
        <v>350</v>
      </c>
      <c r="H9" s="223">
        <v>1000</v>
      </c>
      <c r="I9" s="223">
        <f>Data_radiator!$G9*Data_radiator!$H9/1000000</f>
        <v>0.35</v>
      </c>
      <c r="J9" s="224"/>
      <c r="K9" s="222">
        <v>300</v>
      </c>
      <c r="L9" s="222">
        <v>100</v>
      </c>
      <c r="M9" s="223"/>
      <c r="N9" s="223"/>
      <c r="O9" s="223"/>
      <c r="P9" s="223"/>
      <c r="Q9" s="223"/>
      <c r="R9" s="223"/>
      <c r="S9" s="223"/>
      <c r="T9" s="223"/>
      <c r="U9" s="223"/>
      <c r="V9" s="223"/>
      <c r="W9" s="223"/>
      <c r="X9" s="223">
        <v>1.28</v>
      </c>
      <c r="Y9" s="222"/>
      <c r="Z9" s="222">
        <v>1102</v>
      </c>
      <c r="AA9" s="222"/>
      <c r="AB9" s="222"/>
      <c r="AC9" s="225"/>
      <c r="AF9" s="28"/>
      <c r="AG9" s="28"/>
      <c r="AH9" s="28"/>
      <c r="AI9" s="29"/>
    </row>
    <row r="10" spans="2:35" hidden="1" x14ac:dyDescent="0.2">
      <c r="B10" s="1">
        <v>6</v>
      </c>
      <c r="C10" s="1" t="s">
        <v>1239</v>
      </c>
      <c r="D10" s="214" t="s">
        <v>479</v>
      </c>
      <c r="E10" s="1" t="str">
        <f t="shared" si="0"/>
        <v>Flachheizkoerper_senkrecht_profiliert</v>
      </c>
      <c r="F10" s="215" t="s">
        <v>1097</v>
      </c>
      <c r="G10" s="105">
        <v>350</v>
      </c>
      <c r="H10" s="216">
        <v>1000</v>
      </c>
      <c r="I10" s="216">
        <f>Data_radiator!$G10*Data_radiator!$H10/1000000</f>
        <v>0.35</v>
      </c>
      <c r="J10" s="217"/>
      <c r="K10" s="105">
        <v>300</v>
      </c>
      <c r="L10" s="105">
        <v>155</v>
      </c>
      <c r="M10" s="216"/>
      <c r="N10" s="216"/>
      <c r="O10" s="216"/>
      <c r="P10" s="216"/>
      <c r="Q10" s="216"/>
      <c r="R10" s="216"/>
      <c r="S10" s="216"/>
      <c r="T10" s="216"/>
      <c r="U10" s="216"/>
      <c r="V10" s="216"/>
      <c r="W10" s="216"/>
      <c r="X10" s="216">
        <f>X8</f>
        <v>1.27</v>
      </c>
      <c r="Y10" s="105"/>
      <c r="Z10" s="105">
        <f>MEDIAN(823,1034,828,1028,874)</f>
        <v>874</v>
      </c>
      <c r="AA10" s="105"/>
      <c r="AB10" s="105"/>
      <c r="AC10" s="218" t="s">
        <v>1242</v>
      </c>
      <c r="AF10" s="28"/>
      <c r="AG10" s="28"/>
      <c r="AH10" s="28"/>
      <c r="AI10" s="29"/>
    </row>
    <row r="11" spans="2:35" hidden="1" x14ac:dyDescent="0.2">
      <c r="B11" s="219">
        <v>7</v>
      </c>
      <c r="C11" s="219" t="s">
        <v>1239</v>
      </c>
      <c r="D11" s="220" t="s">
        <v>479</v>
      </c>
      <c r="E11" s="1" t="str">
        <f t="shared" si="0"/>
        <v>Flachheizkoerper_senkrecht_profiliert</v>
      </c>
      <c r="F11" s="221" t="s">
        <v>1099</v>
      </c>
      <c r="G11" s="222">
        <v>350</v>
      </c>
      <c r="H11" s="223">
        <v>1000</v>
      </c>
      <c r="I11" s="223">
        <f>Data_radiator!$G11*Data_radiator!$H11/1000000</f>
        <v>0.35</v>
      </c>
      <c r="J11" s="224"/>
      <c r="K11" s="222">
        <v>300</v>
      </c>
      <c r="L11" s="222">
        <v>155</v>
      </c>
      <c r="M11" s="223"/>
      <c r="N11" s="223"/>
      <c r="O11" s="223"/>
      <c r="P11" s="223"/>
      <c r="Q11" s="223"/>
      <c r="R11" s="223"/>
      <c r="S11" s="223"/>
      <c r="T11" s="223"/>
      <c r="U11" s="223"/>
      <c r="V11" s="223"/>
      <c r="W11" s="223"/>
      <c r="X11" s="223">
        <v>1.3</v>
      </c>
      <c r="Y11" s="222"/>
      <c r="Z11" s="222">
        <v>1566</v>
      </c>
      <c r="AA11" s="222"/>
      <c r="AB11" s="222"/>
      <c r="AC11" s="225"/>
      <c r="AF11" s="28"/>
      <c r="AG11" s="28"/>
      <c r="AH11" s="28"/>
      <c r="AI11" s="29"/>
    </row>
    <row r="12" spans="2:35" hidden="1" x14ac:dyDescent="0.2">
      <c r="B12" s="1">
        <v>8</v>
      </c>
      <c r="C12" s="1" t="s">
        <v>1239</v>
      </c>
      <c r="D12" s="214" t="s">
        <v>479</v>
      </c>
      <c r="E12" s="1" t="str">
        <f t="shared" si="0"/>
        <v>Flachheizkoerper_senkrecht_profiliert</v>
      </c>
      <c r="F12" s="209" t="s">
        <v>1077</v>
      </c>
      <c r="G12" s="105">
        <v>500</v>
      </c>
      <c r="H12" s="216">
        <v>1000</v>
      </c>
      <c r="I12" s="216">
        <f>Data_radiator!$G12*Data_radiator!$H12/1000000</f>
        <v>0.5</v>
      </c>
      <c r="J12" s="217"/>
      <c r="K12" s="105">
        <v>450</v>
      </c>
      <c r="L12" s="105">
        <v>65</v>
      </c>
      <c r="M12" s="216"/>
      <c r="N12" s="216"/>
      <c r="O12" s="216"/>
      <c r="P12" s="216"/>
      <c r="Q12" s="216"/>
      <c r="R12" s="216"/>
      <c r="S12" s="216"/>
      <c r="T12" s="216"/>
      <c r="U12" s="216"/>
      <c r="V12" s="216"/>
      <c r="W12" s="216"/>
      <c r="X12" s="216">
        <v>1.25</v>
      </c>
      <c r="Y12" s="105"/>
      <c r="Z12" s="105">
        <v>586</v>
      </c>
      <c r="AA12" s="105"/>
      <c r="AB12" s="105"/>
      <c r="AC12" s="218"/>
      <c r="AF12" s="28"/>
      <c r="AG12" s="28"/>
      <c r="AH12" s="28"/>
      <c r="AI12" s="29"/>
    </row>
    <row r="13" spans="2:35" hidden="1" x14ac:dyDescent="0.2">
      <c r="B13" s="219">
        <v>9</v>
      </c>
      <c r="C13" s="219" t="s">
        <v>1239</v>
      </c>
      <c r="D13" s="220" t="s">
        <v>479</v>
      </c>
      <c r="E13" s="1" t="str">
        <f t="shared" si="0"/>
        <v>Flachheizkoerper_senkrecht_profiliert</v>
      </c>
      <c r="F13" s="215" t="s">
        <v>1083</v>
      </c>
      <c r="G13" s="222">
        <v>500</v>
      </c>
      <c r="H13" s="223">
        <v>1000</v>
      </c>
      <c r="I13" s="223">
        <f>Data_radiator!$G13*Data_radiator!$H13/1000000</f>
        <v>0.5</v>
      </c>
      <c r="J13" s="224"/>
      <c r="K13" s="222">
        <v>450</v>
      </c>
      <c r="L13" s="222">
        <v>65</v>
      </c>
      <c r="M13" s="223"/>
      <c r="N13" s="223"/>
      <c r="O13" s="223"/>
      <c r="P13" s="223"/>
      <c r="Q13" s="223"/>
      <c r="R13" s="223"/>
      <c r="S13" s="223"/>
      <c r="T13" s="223"/>
      <c r="U13" s="223"/>
      <c r="V13" s="223"/>
      <c r="W13" s="223"/>
      <c r="X13" s="223">
        <v>1.27</v>
      </c>
      <c r="Y13" s="222"/>
      <c r="Z13" s="222">
        <v>808</v>
      </c>
      <c r="AA13" s="222"/>
      <c r="AB13" s="222"/>
      <c r="AC13" s="225"/>
      <c r="AF13" s="28"/>
      <c r="AG13" s="28"/>
      <c r="AH13" s="28"/>
      <c r="AI13" s="29"/>
    </row>
    <row r="14" spans="2:35" hidden="1" x14ac:dyDescent="0.2">
      <c r="B14" s="1">
        <v>10</v>
      </c>
      <c r="C14" s="1" t="s">
        <v>1239</v>
      </c>
      <c r="D14" s="214" t="s">
        <v>479</v>
      </c>
      <c r="E14" s="1" t="str">
        <f t="shared" si="0"/>
        <v>Flachheizkoerper_senkrecht_profiliert</v>
      </c>
      <c r="F14" s="221" t="s">
        <v>1088</v>
      </c>
      <c r="G14" s="105">
        <v>500</v>
      </c>
      <c r="H14" s="216">
        <v>1000</v>
      </c>
      <c r="I14" s="216">
        <f>Data_radiator!$G14*Data_radiator!$H14/1000000</f>
        <v>0.5</v>
      </c>
      <c r="J14" s="217"/>
      <c r="K14" s="105">
        <v>450</v>
      </c>
      <c r="L14" s="105">
        <v>100</v>
      </c>
      <c r="M14" s="216"/>
      <c r="N14" s="216"/>
      <c r="O14" s="216"/>
      <c r="P14" s="216"/>
      <c r="Q14" s="216"/>
      <c r="R14" s="216"/>
      <c r="S14" s="216"/>
      <c r="T14" s="216"/>
      <c r="U14" s="216"/>
      <c r="V14" s="216"/>
      <c r="W14" s="216"/>
      <c r="X14" s="216">
        <f>X13</f>
        <v>1.27</v>
      </c>
      <c r="Y14" s="105"/>
      <c r="Z14" s="105">
        <f>MEDIAN(883,864,938)</f>
        <v>883</v>
      </c>
      <c r="AA14" s="105"/>
      <c r="AB14" s="105"/>
      <c r="AC14" s="218" t="s">
        <v>1240</v>
      </c>
      <c r="AF14" s="28"/>
      <c r="AG14" s="28"/>
      <c r="AH14" s="28"/>
      <c r="AI14" s="29"/>
    </row>
    <row r="15" spans="2:35" hidden="1" x14ac:dyDescent="0.2">
      <c r="B15" s="219">
        <v>11</v>
      </c>
      <c r="C15" s="219" t="s">
        <v>1239</v>
      </c>
      <c r="D15" s="220" t="s">
        <v>479</v>
      </c>
      <c r="E15" s="1" t="str">
        <f t="shared" si="0"/>
        <v>Flachheizkoerper_senkrecht_profiliert</v>
      </c>
      <c r="F15" s="215" t="s">
        <v>1092</v>
      </c>
      <c r="G15" s="222">
        <v>500</v>
      </c>
      <c r="H15" s="223">
        <v>1000</v>
      </c>
      <c r="I15" s="223">
        <f>Data_radiator!$G15*Data_radiator!$H15/1000000</f>
        <v>0.5</v>
      </c>
      <c r="J15" s="224"/>
      <c r="K15" s="222">
        <v>450</v>
      </c>
      <c r="L15" s="222">
        <v>100</v>
      </c>
      <c r="M15" s="223"/>
      <c r="N15" s="223"/>
      <c r="O15" s="223"/>
      <c r="P15" s="223"/>
      <c r="Q15" s="223"/>
      <c r="R15" s="223"/>
      <c r="S15" s="223"/>
      <c r="T15" s="223"/>
      <c r="U15" s="223"/>
      <c r="V15" s="223"/>
      <c r="W15" s="223"/>
      <c r="X15" s="223">
        <v>1.3</v>
      </c>
      <c r="Y15" s="222"/>
      <c r="Z15" s="222">
        <v>1212</v>
      </c>
      <c r="AA15" s="222"/>
      <c r="AB15" s="222"/>
      <c r="AC15" s="225"/>
      <c r="AF15" s="28"/>
      <c r="AG15" s="28"/>
      <c r="AH15" s="28"/>
      <c r="AI15" s="29"/>
    </row>
    <row r="16" spans="2:35" hidden="1" x14ac:dyDescent="0.2">
      <c r="B16" s="1">
        <v>12</v>
      </c>
      <c r="C16" s="1" t="s">
        <v>1239</v>
      </c>
      <c r="D16" s="214" t="s">
        <v>479</v>
      </c>
      <c r="E16" s="1" t="str">
        <f t="shared" si="0"/>
        <v>Flachheizkoerper_senkrecht_profiliert</v>
      </c>
      <c r="F16" s="221" t="s">
        <v>1093</v>
      </c>
      <c r="G16" s="105">
        <v>500</v>
      </c>
      <c r="H16" s="216">
        <v>1000</v>
      </c>
      <c r="I16" s="216">
        <f>Data_radiator!$G16*Data_radiator!$H16/1000000</f>
        <v>0.5</v>
      </c>
      <c r="J16" s="217"/>
      <c r="K16" s="105">
        <v>450</v>
      </c>
      <c r="L16" s="105">
        <v>100</v>
      </c>
      <c r="M16" s="216"/>
      <c r="N16" s="216"/>
      <c r="O16" s="216"/>
      <c r="P16" s="216"/>
      <c r="Q16" s="216"/>
      <c r="R16" s="216"/>
      <c r="S16" s="216"/>
      <c r="T16" s="216"/>
      <c r="U16" s="216"/>
      <c r="V16" s="216"/>
      <c r="W16" s="216"/>
      <c r="X16" s="216">
        <v>1.29</v>
      </c>
      <c r="Y16" s="105"/>
      <c r="Z16" s="105">
        <v>1461</v>
      </c>
      <c r="AA16" s="105"/>
      <c r="AB16" s="105"/>
      <c r="AC16" s="218"/>
      <c r="AF16" s="28"/>
      <c r="AG16" s="28"/>
      <c r="AH16" s="28"/>
      <c r="AI16" s="29"/>
    </row>
    <row r="17" spans="2:35" hidden="1" x14ac:dyDescent="0.2">
      <c r="B17" s="219">
        <v>13</v>
      </c>
      <c r="C17" s="219" t="s">
        <v>1239</v>
      </c>
      <c r="D17" s="220" t="s">
        <v>479</v>
      </c>
      <c r="E17" s="1" t="str">
        <f t="shared" si="0"/>
        <v>Flachheizkoerper_senkrecht_profiliert</v>
      </c>
      <c r="F17" s="215" t="s">
        <v>1097</v>
      </c>
      <c r="G17" s="222">
        <v>500</v>
      </c>
      <c r="H17" s="223">
        <v>1000</v>
      </c>
      <c r="I17" s="223">
        <f>Data_radiator!$G17*Data_radiator!$H17/1000000</f>
        <v>0.5</v>
      </c>
      <c r="J17" s="224"/>
      <c r="K17" s="222">
        <v>450</v>
      </c>
      <c r="L17" s="222">
        <v>155</v>
      </c>
      <c r="M17" s="223"/>
      <c r="N17" s="223"/>
      <c r="O17" s="223"/>
      <c r="P17" s="223"/>
      <c r="Q17" s="223"/>
      <c r="R17" s="223"/>
      <c r="S17" s="223"/>
      <c r="T17" s="223"/>
      <c r="U17" s="223"/>
      <c r="V17" s="223"/>
      <c r="W17" s="223"/>
      <c r="X17" s="223">
        <f>X15</f>
        <v>1.3</v>
      </c>
      <c r="Y17" s="222"/>
      <c r="Z17" s="222">
        <f>MEDIAN(1309,1228,1236)</f>
        <v>1236</v>
      </c>
      <c r="AA17" s="222"/>
      <c r="AB17" s="222"/>
      <c r="AC17" s="225" t="s">
        <v>1240</v>
      </c>
      <c r="AF17" s="28"/>
      <c r="AG17" s="28"/>
      <c r="AH17" s="28"/>
      <c r="AI17" s="29"/>
    </row>
    <row r="18" spans="2:35" hidden="1" x14ac:dyDescent="0.2">
      <c r="B18" s="1">
        <v>14</v>
      </c>
      <c r="C18" s="1" t="s">
        <v>1239</v>
      </c>
      <c r="D18" s="214" t="s">
        <v>479</v>
      </c>
      <c r="E18" s="1" t="str">
        <f t="shared" si="0"/>
        <v>Flachheizkoerper_senkrecht_profiliert</v>
      </c>
      <c r="F18" s="221" t="s">
        <v>1099</v>
      </c>
      <c r="G18" s="105">
        <v>500</v>
      </c>
      <c r="H18" s="216">
        <v>1000</v>
      </c>
      <c r="I18" s="216">
        <f>Data_radiator!$G18*Data_radiator!$H18/1000000</f>
        <v>0.5</v>
      </c>
      <c r="J18" s="217"/>
      <c r="K18" s="105">
        <v>450</v>
      </c>
      <c r="L18" s="105">
        <v>155</v>
      </c>
      <c r="M18" s="216"/>
      <c r="N18" s="216"/>
      <c r="O18" s="216"/>
      <c r="P18" s="216"/>
      <c r="Q18" s="216"/>
      <c r="R18" s="216"/>
      <c r="S18" s="216"/>
      <c r="T18" s="216"/>
      <c r="U18" s="216"/>
      <c r="V18" s="216"/>
      <c r="W18" s="216"/>
      <c r="X18" s="216">
        <v>1.31</v>
      </c>
      <c r="Y18" s="105"/>
      <c r="Z18" s="105">
        <v>2124</v>
      </c>
      <c r="AA18" s="105"/>
      <c r="AB18" s="105"/>
      <c r="AC18" s="218"/>
      <c r="AF18" s="28"/>
      <c r="AG18" s="28"/>
      <c r="AH18" s="28"/>
      <c r="AI18" s="29"/>
    </row>
    <row r="19" spans="2:35" hidden="1" x14ac:dyDescent="0.2">
      <c r="B19" s="219">
        <v>15</v>
      </c>
      <c r="C19" s="219" t="s">
        <v>1239</v>
      </c>
      <c r="D19" s="220" t="s">
        <v>479</v>
      </c>
      <c r="E19" s="1" t="str">
        <f t="shared" si="0"/>
        <v>Flachheizkoerper_senkrecht_profiliert</v>
      </c>
      <c r="F19" s="209" t="s">
        <v>1077</v>
      </c>
      <c r="G19" s="222">
        <v>600</v>
      </c>
      <c r="H19" s="223">
        <v>1000</v>
      </c>
      <c r="I19" s="223">
        <f>Data_radiator!$G19*Data_radiator!$H19/1000000</f>
        <v>0.6</v>
      </c>
      <c r="J19" s="224"/>
      <c r="K19" s="222">
        <v>550</v>
      </c>
      <c r="L19" s="222">
        <v>65</v>
      </c>
      <c r="M19" s="223"/>
      <c r="N19" s="223"/>
      <c r="O19" s="223"/>
      <c r="P19" s="223"/>
      <c r="Q19" s="223"/>
      <c r="R19" s="223"/>
      <c r="S19" s="223"/>
      <c r="T19" s="223"/>
      <c r="U19" s="223"/>
      <c r="V19" s="223"/>
      <c r="W19" s="223"/>
      <c r="X19" s="223">
        <v>1.27</v>
      </c>
      <c r="Y19" s="222"/>
      <c r="Z19" s="222">
        <v>683</v>
      </c>
      <c r="AA19" s="222"/>
      <c r="AB19" s="222"/>
      <c r="AC19" s="225"/>
      <c r="AF19" s="28"/>
      <c r="AG19" s="28"/>
      <c r="AH19" s="28"/>
      <c r="AI19" s="29"/>
    </row>
    <row r="20" spans="2:35" hidden="1" x14ac:dyDescent="0.2">
      <c r="B20" s="1">
        <v>16</v>
      </c>
      <c r="C20" s="1" t="s">
        <v>1239</v>
      </c>
      <c r="D20" s="214" t="s">
        <v>479</v>
      </c>
      <c r="E20" s="1" t="str">
        <f t="shared" si="0"/>
        <v>Flachheizkoerper_senkrecht_profiliert</v>
      </c>
      <c r="F20" s="215" t="s">
        <v>1083</v>
      </c>
      <c r="G20" s="105">
        <v>600</v>
      </c>
      <c r="H20" s="216">
        <v>1000</v>
      </c>
      <c r="I20" s="216">
        <f>Data_radiator!$G20*Data_radiator!$H20/1000000</f>
        <v>0.6</v>
      </c>
      <c r="J20" s="217"/>
      <c r="K20" s="105">
        <v>550</v>
      </c>
      <c r="L20" s="105">
        <v>65</v>
      </c>
      <c r="M20" s="216"/>
      <c r="N20" s="216"/>
      <c r="O20" s="216"/>
      <c r="P20" s="216"/>
      <c r="Q20" s="216"/>
      <c r="R20" s="216"/>
      <c r="S20" s="216"/>
      <c r="T20" s="216"/>
      <c r="U20" s="216"/>
      <c r="V20" s="216"/>
      <c r="W20" s="216"/>
      <c r="X20" s="216">
        <v>1.28</v>
      </c>
      <c r="Y20" s="105"/>
      <c r="Z20" s="105">
        <v>943</v>
      </c>
      <c r="AA20" s="105"/>
      <c r="AB20" s="105"/>
      <c r="AC20" s="218"/>
      <c r="AF20" s="28"/>
      <c r="AG20" s="28"/>
      <c r="AH20" s="28"/>
      <c r="AI20" s="29"/>
    </row>
    <row r="21" spans="2:35" hidden="1" x14ac:dyDescent="0.2">
      <c r="B21" s="219">
        <v>17</v>
      </c>
      <c r="C21" s="219" t="s">
        <v>1239</v>
      </c>
      <c r="D21" s="220" t="s">
        <v>479</v>
      </c>
      <c r="E21" s="1" t="str">
        <f t="shared" si="0"/>
        <v>Flachheizkoerper_senkrecht_profiliert</v>
      </c>
      <c r="F21" s="221" t="s">
        <v>1088</v>
      </c>
      <c r="G21" s="222">
        <v>600</v>
      </c>
      <c r="H21" s="223">
        <v>1000</v>
      </c>
      <c r="I21" s="223">
        <f>Data_radiator!$G21*Data_radiator!$H21/1000000</f>
        <v>0.6</v>
      </c>
      <c r="J21" s="224"/>
      <c r="K21" s="222">
        <v>550</v>
      </c>
      <c r="L21" s="222">
        <v>100</v>
      </c>
      <c r="M21" s="223"/>
      <c r="N21" s="223"/>
      <c r="O21" s="223"/>
      <c r="P21" s="223"/>
      <c r="Q21" s="223"/>
      <c r="R21" s="223"/>
      <c r="S21" s="223"/>
      <c r="T21" s="223"/>
      <c r="U21" s="223"/>
      <c r="V21" s="223"/>
      <c r="W21" s="223"/>
      <c r="X21" s="223">
        <f>X20</f>
        <v>1.28</v>
      </c>
      <c r="Y21" s="222"/>
      <c r="Z21" s="222">
        <f>MEDIAN(1027,1000,1085)</f>
        <v>1027</v>
      </c>
      <c r="AA21" s="222"/>
      <c r="AB21" s="222"/>
      <c r="AC21" s="225" t="s">
        <v>1240</v>
      </c>
      <c r="AF21" s="28"/>
      <c r="AG21" s="28"/>
      <c r="AH21" s="28"/>
      <c r="AI21" s="29"/>
    </row>
    <row r="22" spans="2:35" hidden="1" x14ac:dyDescent="0.2">
      <c r="B22" s="1">
        <v>18</v>
      </c>
      <c r="C22" s="1" t="s">
        <v>1239</v>
      </c>
      <c r="D22" s="214" t="s">
        <v>479</v>
      </c>
      <c r="E22" s="1" t="str">
        <f t="shared" si="0"/>
        <v>Flachheizkoerper_senkrecht_profiliert</v>
      </c>
      <c r="F22" s="215" t="s">
        <v>1092</v>
      </c>
      <c r="G22" s="105">
        <v>600</v>
      </c>
      <c r="H22" s="216">
        <v>1000</v>
      </c>
      <c r="I22" s="216">
        <f>Data_radiator!$G22*Data_radiator!$H22/1000000</f>
        <v>0.6</v>
      </c>
      <c r="J22" s="217"/>
      <c r="K22" s="105">
        <v>550</v>
      </c>
      <c r="L22" s="105">
        <v>100</v>
      </c>
      <c r="M22" s="216"/>
      <c r="N22" s="216"/>
      <c r="O22" s="216"/>
      <c r="P22" s="216"/>
      <c r="Q22" s="216"/>
      <c r="R22" s="216"/>
      <c r="S22" s="216"/>
      <c r="T22" s="216"/>
      <c r="U22" s="216"/>
      <c r="V22" s="216"/>
      <c r="W22" s="216"/>
      <c r="X22" s="216">
        <v>1.3</v>
      </c>
      <c r="Y22" s="105"/>
      <c r="Z22" s="105">
        <v>1406</v>
      </c>
      <c r="AA22" s="105"/>
      <c r="AB22" s="105"/>
      <c r="AC22" s="218"/>
      <c r="AF22" s="28"/>
      <c r="AG22" s="28"/>
      <c r="AH22" s="28"/>
      <c r="AI22" s="29"/>
    </row>
    <row r="23" spans="2:35" hidden="1" x14ac:dyDescent="0.2">
      <c r="B23" s="219">
        <v>19</v>
      </c>
      <c r="C23" s="219" t="s">
        <v>1239</v>
      </c>
      <c r="D23" s="220" t="s">
        <v>479</v>
      </c>
      <c r="E23" s="1" t="str">
        <f t="shared" si="0"/>
        <v>Flachheizkoerper_senkrecht_profiliert</v>
      </c>
      <c r="F23" s="221" t="s">
        <v>1093</v>
      </c>
      <c r="G23" s="222">
        <v>600</v>
      </c>
      <c r="H23" s="223">
        <v>1000</v>
      </c>
      <c r="I23" s="223">
        <f>Data_radiator!$G23*Data_radiator!$H23/1000000</f>
        <v>0.6</v>
      </c>
      <c r="J23" s="224"/>
      <c r="K23" s="222">
        <v>550</v>
      </c>
      <c r="L23" s="222">
        <v>100</v>
      </c>
      <c r="M23" s="223"/>
      <c r="N23" s="223"/>
      <c r="O23" s="223"/>
      <c r="P23" s="223"/>
      <c r="Q23" s="223"/>
      <c r="R23" s="223"/>
      <c r="S23" s="223"/>
      <c r="T23" s="223"/>
      <c r="U23" s="223"/>
      <c r="V23" s="223"/>
      <c r="W23" s="223"/>
      <c r="X23" s="223">
        <v>1.3</v>
      </c>
      <c r="Y23" s="222"/>
      <c r="Z23" s="222">
        <v>1694</v>
      </c>
      <c r="AA23" s="222"/>
      <c r="AB23" s="222"/>
      <c r="AC23" s="225"/>
      <c r="AF23" s="28"/>
      <c r="AG23" s="28"/>
      <c r="AH23" s="28"/>
      <c r="AI23" s="29"/>
    </row>
    <row r="24" spans="2:35" hidden="1" x14ac:dyDescent="0.2">
      <c r="B24" s="1">
        <v>20</v>
      </c>
      <c r="C24" s="1" t="s">
        <v>1239</v>
      </c>
      <c r="D24" s="214" t="s">
        <v>479</v>
      </c>
      <c r="E24" s="1" t="str">
        <f t="shared" si="0"/>
        <v>Flachheizkoerper_senkrecht_profiliert</v>
      </c>
      <c r="F24" s="215" t="s">
        <v>1097</v>
      </c>
      <c r="G24" s="105">
        <v>600</v>
      </c>
      <c r="H24" s="216">
        <v>1000</v>
      </c>
      <c r="I24" s="216">
        <f>Data_radiator!$G24*Data_radiator!$H24/1000000</f>
        <v>0.6</v>
      </c>
      <c r="J24" s="217"/>
      <c r="K24" s="105">
        <v>550</v>
      </c>
      <c r="L24" s="105">
        <v>155</v>
      </c>
      <c r="M24" s="216"/>
      <c r="N24" s="216"/>
      <c r="O24" s="216"/>
      <c r="P24" s="216"/>
      <c r="Q24" s="216"/>
      <c r="R24" s="216"/>
      <c r="S24" s="216"/>
      <c r="T24" s="216"/>
      <c r="U24" s="216"/>
      <c r="V24" s="216"/>
      <c r="W24" s="216"/>
      <c r="X24" s="216">
        <f>X23</f>
        <v>1.3</v>
      </c>
      <c r="Y24" s="105"/>
      <c r="Z24" s="105">
        <f>MEDIAN(1429,1420,1510)</f>
        <v>1429</v>
      </c>
      <c r="AA24" s="105"/>
      <c r="AB24" s="105"/>
      <c r="AC24" s="218" t="s">
        <v>1240</v>
      </c>
      <c r="AF24" s="28"/>
      <c r="AG24" s="28"/>
      <c r="AH24" s="28"/>
      <c r="AI24" s="29"/>
    </row>
    <row r="25" spans="2:35" hidden="1" x14ac:dyDescent="0.2">
      <c r="B25" s="219">
        <v>21</v>
      </c>
      <c r="C25" s="219" t="s">
        <v>1239</v>
      </c>
      <c r="D25" s="220" t="s">
        <v>479</v>
      </c>
      <c r="E25" s="1" t="str">
        <f t="shared" si="0"/>
        <v>Flachheizkoerper_senkrecht_profiliert</v>
      </c>
      <c r="F25" s="221" t="s">
        <v>1099</v>
      </c>
      <c r="G25" s="222">
        <v>600</v>
      </c>
      <c r="H25" s="223">
        <v>1000</v>
      </c>
      <c r="I25" s="223">
        <f>Data_radiator!$G25*Data_radiator!$H25/1000000</f>
        <v>0.6</v>
      </c>
      <c r="J25" s="224"/>
      <c r="K25" s="222">
        <v>550</v>
      </c>
      <c r="L25" s="222">
        <v>155</v>
      </c>
      <c r="M25" s="223"/>
      <c r="N25" s="223"/>
      <c r="O25" s="223"/>
      <c r="P25" s="223"/>
      <c r="Q25" s="223"/>
      <c r="R25" s="223"/>
      <c r="S25" s="223"/>
      <c r="T25" s="223"/>
      <c r="U25" s="223"/>
      <c r="V25" s="223"/>
      <c r="W25" s="223"/>
      <c r="X25" s="223">
        <v>1.31</v>
      </c>
      <c r="Y25" s="222"/>
      <c r="Z25" s="222">
        <v>2461</v>
      </c>
      <c r="AA25" s="222"/>
      <c r="AB25" s="222"/>
      <c r="AC25" s="225"/>
      <c r="AF25" s="28"/>
      <c r="AG25" s="28"/>
      <c r="AH25" s="28"/>
      <c r="AI25" s="29"/>
    </row>
    <row r="26" spans="2:35" hidden="1" x14ac:dyDescent="0.2">
      <c r="B26" s="1">
        <v>22</v>
      </c>
      <c r="C26" s="1" t="s">
        <v>1239</v>
      </c>
      <c r="D26" s="214" t="s">
        <v>479</v>
      </c>
      <c r="E26" s="1" t="str">
        <f t="shared" si="0"/>
        <v>Flachheizkoerper_senkrecht_profiliert</v>
      </c>
      <c r="F26" s="209" t="s">
        <v>1077</v>
      </c>
      <c r="G26" s="105">
        <v>900</v>
      </c>
      <c r="H26" s="216">
        <v>1000</v>
      </c>
      <c r="I26" s="216">
        <f>Data_radiator!$G26*Data_radiator!$H26/1000000</f>
        <v>0.9</v>
      </c>
      <c r="J26" s="217"/>
      <c r="K26" s="105">
        <v>850</v>
      </c>
      <c r="L26" s="105">
        <v>65</v>
      </c>
      <c r="M26" s="216"/>
      <c r="N26" s="216"/>
      <c r="O26" s="216"/>
      <c r="P26" s="216"/>
      <c r="Q26" s="216"/>
      <c r="R26" s="216"/>
      <c r="S26" s="216"/>
      <c r="T26" s="216"/>
      <c r="U26" s="216"/>
      <c r="V26" s="216"/>
      <c r="W26" s="216"/>
      <c r="X26" s="216">
        <v>1.29</v>
      </c>
      <c r="Y26" s="105"/>
      <c r="Z26" s="105">
        <v>978</v>
      </c>
      <c r="AA26" s="105"/>
      <c r="AB26" s="105"/>
      <c r="AC26" s="218"/>
      <c r="AF26" s="28"/>
      <c r="AG26" s="28"/>
      <c r="AH26" s="28"/>
      <c r="AI26" s="29"/>
    </row>
    <row r="27" spans="2:35" hidden="1" x14ac:dyDescent="0.2">
      <c r="B27" s="219">
        <v>23</v>
      </c>
      <c r="C27" s="219" t="s">
        <v>1239</v>
      </c>
      <c r="D27" s="220" t="s">
        <v>479</v>
      </c>
      <c r="E27" s="1" t="str">
        <f t="shared" si="0"/>
        <v>Flachheizkoerper_senkrecht_profiliert</v>
      </c>
      <c r="F27" s="215" t="s">
        <v>1083</v>
      </c>
      <c r="G27" s="222">
        <v>900</v>
      </c>
      <c r="H27" s="223">
        <v>1000</v>
      </c>
      <c r="I27" s="223">
        <f>Data_radiator!$G27*Data_radiator!$H27/1000000</f>
        <v>0.9</v>
      </c>
      <c r="J27" s="224"/>
      <c r="K27" s="222">
        <v>850</v>
      </c>
      <c r="L27" s="222">
        <v>65</v>
      </c>
      <c r="M27" s="223"/>
      <c r="N27" s="223"/>
      <c r="O27" s="223"/>
      <c r="P27" s="223"/>
      <c r="Q27" s="223"/>
      <c r="R27" s="223"/>
      <c r="S27" s="223"/>
      <c r="T27" s="223"/>
      <c r="U27" s="223"/>
      <c r="V27" s="223"/>
      <c r="W27" s="223"/>
      <c r="X27" s="223">
        <v>1.3</v>
      </c>
      <c r="Y27" s="222"/>
      <c r="Z27" s="222">
        <v>1345</v>
      </c>
      <c r="AA27" s="222"/>
      <c r="AB27" s="222"/>
      <c r="AC27" s="225"/>
      <c r="AF27" s="28"/>
      <c r="AG27" s="28"/>
      <c r="AH27" s="28"/>
      <c r="AI27" s="29"/>
    </row>
    <row r="28" spans="2:35" hidden="1" x14ac:dyDescent="0.2">
      <c r="B28" s="1">
        <v>24</v>
      </c>
      <c r="C28" s="1" t="s">
        <v>1239</v>
      </c>
      <c r="D28" s="214" t="s">
        <v>479</v>
      </c>
      <c r="E28" s="1" t="str">
        <f t="shared" si="0"/>
        <v>Flachheizkoerper_senkrecht_profiliert</v>
      </c>
      <c r="F28" s="221" t="s">
        <v>1088</v>
      </c>
      <c r="G28" s="105">
        <v>900</v>
      </c>
      <c r="H28" s="216">
        <v>1000</v>
      </c>
      <c r="I28" s="216">
        <f>Data_radiator!$G28*Data_radiator!$H28/1000000</f>
        <v>0.9</v>
      </c>
      <c r="J28" s="217"/>
      <c r="K28" s="105">
        <v>850</v>
      </c>
      <c r="L28" s="105">
        <v>100</v>
      </c>
      <c r="M28" s="216"/>
      <c r="N28" s="216"/>
      <c r="O28" s="216"/>
      <c r="P28" s="216"/>
      <c r="Q28" s="216"/>
      <c r="R28" s="216"/>
      <c r="S28" s="216"/>
      <c r="T28" s="216"/>
      <c r="U28" s="216"/>
      <c r="V28" s="216"/>
      <c r="W28" s="216"/>
      <c r="X28" s="216">
        <f>X29</f>
        <v>1.3</v>
      </c>
      <c r="Y28" s="105"/>
      <c r="Z28" s="105">
        <f>MEDIAN(1516,1386,1437)</f>
        <v>1437</v>
      </c>
      <c r="AA28" s="105"/>
      <c r="AB28" s="105"/>
      <c r="AC28" s="218" t="s">
        <v>1240</v>
      </c>
      <c r="AF28" s="28"/>
      <c r="AG28" s="28"/>
      <c r="AH28" s="28"/>
      <c r="AI28" s="29"/>
    </row>
    <row r="29" spans="2:35" hidden="1" x14ac:dyDescent="0.2">
      <c r="B29" s="219">
        <v>25</v>
      </c>
      <c r="C29" s="219" t="s">
        <v>1239</v>
      </c>
      <c r="D29" s="220" t="s">
        <v>479</v>
      </c>
      <c r="E29" s="1" t="str">
        <f t="shared" si="0"/>
        <v>Flachheizkoerper_senkrecht_profiliert</v>
      </c>
      <c r="F29" s="215" t="s">
        <v>1092</v>
      </c>
      <c r="G29" s="222">
        <v>900</v>
      </c>
      <c r="H29" s="223">
        <v>1000</v>
      </c>
      <c r="I29" s="223">
        <f>Data_radiator!$G29*Data_radiator!$H29/1000000</f>
        <v>0.9</v>
      </c>
      <c r="J29" s="224"/>
      <c r="K29" s="222">
        <v>850</v>
      </c>
      <c r="L29" s="222">
        <v>100</v>
      </c>
      <c r="M29" s="223"/>
      <c r="N29" s="223"/>
      <c r="O29" s="223"/>
      <c r="P29" s="223"/>
      <c r="Q29" s="223"/>
      <c r="R29" s="223"/>
      <c r="S29" s="223"/>
      <c r="T29" s="223"/>
      <c r="U29" s="223"/>
      <c r="V29" s="223"/>
      <c r="W29" s="223"/>
      <c r="X29" s="223">
        <v>1.3</v>
      </c>
      <c r="Y29" s="222"/>
      <c r="Z29" s="222">
        <v>1961</v>
      </c>
      <c r="AA29" s="222"/>
      <c r="AB29" s="222"/>
      <c r="AC29" s="225"/>
      <c r="AF29" s="28"/>
      <c r="AG29" s="28"/>
      <c r="AH29" s="28"/>
      <c r="AI29" s="29"/>
    </row>
    <row r="30" spans="2:35" hidden="1" x14ac:dyDescent="0.2">
      <c r="B30" s="1">
        <v>26</v>
      </c>
      <c r="C30" s="1" t="s">
        <v>1239</v>
      </c>
      <c r="D30" s="214" t="s">
        <v>479</v>
      </c>
      <c r="E30" s="1" t="str">
        <f t="shared" si="0"/>
        <v>Flachheizkoerper_senkrecht_profiliert</v>
      </c>
      <c r="F30" s="221" t="s">
        <v>1093</v>
      </c>
      <c r="G30" s="105">
        <v>900</v>
      </c>
      <c r="H30" s="216">
        <v>1000</v>
      </c>
      <c r="I30" s="216">
        <f>Data_radiator!$G30*Data_radiator!$H30/1000000</f>
        <v>0.9</v>
      </c>
      <c r="J30" s="217"/>
      <c r="K30" s="105">
        <v>850</v>
      </c>
      <c r="L30" s="105">
        <v>100</v>
      </c>
      <c r="M30" s="216"/>
      <c r="N30" s="216"/>
      <c r="O30" s="216"/>
      <c r="P30" s="216"/>
      <c r="Q30" s="216"/>
      <c r="R30" s="216"/>
      <c r="S30" s="216"/>
      <c r="T30" s="216"/>
      <c r="U30" s="216"/>
      <c r="V30" s="216"/>
      <c r="W30" s="216"/>
      <c r="X30" s="216">
        <v>1.32</v>
      </c>
      <c r="Y30" s="105"/>
      <c r="Z30" s="105">
        <v>2355</v>
      </c>
      <c r="AA30" s="105"/>
      <c r="AB30" s="105"/>
      <c r="AC30" s="218"/>
      <c r="AF30" s="28"/>
      <c r="AG30" s="28"/>
      <c r="AH30" s="28"/>
      <c r="AI30" s="29"/>
    </row>
    <row r="31" spans="2:35" hidden="1" x14ac:dyDescent="0.2">
      <c r="B31" s="219">
        <v>27</v>
      </c>
      <c r="C31" s="219" t="s">
        <v>1239</v>
      </c>
      <c r="D31" s="220" t="s">
        <v>479</v>
      </c>
      <c r="E31" s="1" t="str">
        <f t="shared" si="0"/>
        <v>Flachheizkoerper_senkrecht_profiliert</v>
      </c>
      <c r="F31" s="215" t="s">
        <v>1097</v>
      </c>
      <c r="G31" s="222">
        <v>900</v>
      </c>
      <c r="H31" s="223">
        <v>1000</v>
      </c>
      <c r="I31" s="223">
        <f>Data_radiator!$G31*Data_radiator!$H31/1000000</f>
        <v>0.9</v>
      </c>
      <c r="J31" s="224"/>
      <c r="K31" s="222">
        <v>850</v>
      </c>
      <c r="L31" s="222">
        <v>155</v>
      </c>
      <c r="M31" s="223"/>
      <c r="N31" s="223"/>
      <c r="O31" s="223"/>
      <c r="P31" s="223"/>
      <c r="Q31" s="223"/>
      <c r="R31" s="223"/>
      <c r="S31" s="223"/>
      <c r="T31" s="223"/>
      <c r="U31" s="223"/>
      <c r="V31" s="223"/>
      <c r="W31" s="223"/>
      <c r="X31" s="223">
        <f>X32</f>
        <v>1.32</v>
      </c>
      <c r="Y31" s="222"/>
      <c r="Z31" s="222">
        <f>MEDIAN(1937,1956,2069)</f>
        <v>1956</v>
      </c>
      <c r="AA31" s="222"/>
      <c r="AB31" s="222"/>
      <c r="AC31" s="225" t="s">
        <v>1240</v>
      </c>
      <c r="AF31" s="28"/>
      <c r="AG31" s="28"/>
      <c r="AH31" s="28"/>
      <c r="AI31" s="29"/>
    </row>
    <row r="32" spans="2:35" hidden="1" x14ac:dyDescent="0.2">
      <c r="B32" s="1">
        <v>28</v>
      </c>
      <c r="C32" s="1" t="s">
        <v>1239</v>
      </c>
      <c r="D32" s="214" t="s">
        <v>479</v>
      </c>
      <c r="E32" s="1" t="str">
        <f t="shared" si="0"/>
        <v>Flachheizkoerper_senkrecht_profiliert</v>
      </c>
      <c r="F32" s="221" t="s">
        <v>1099</v>
      </c>
      <c r="G32" s="105">
        <v>900</v>
      </c>
      <c r="H32" s="216">
        <v>1000</v>
      </c>
      <c r="I32" s="216">
        <f>Data_radiator!$G32*Data_radiator!$H32/1000000</f>
        <v>0.9</v>
      </c>
      <c r="J32" s="217"/>
      <c r="K32" s="105">
        <v>850</v>
      </c>
      <c r="L32" s="105">
        <v>155</v>
      </c>
      <c r="M32" s="216"/>
      <c r="N32" s="216"/>
      <c r="O32" s="216"/>
      <c r="P32" s="216"/>
      <c r="Q32" s="216"/>
      <c r="R32" s="216"/>
      <c r="S32" s="216"/>
      <c r="T32" s="216"/>
      <c r="U32" s="216"/>
      <c r="V32" s="216"/>
      <c r="W32" s="216"/>
      <c r="X32" s="216">
        <v>1.32</v>
      </c>
      <c r="Y32" s="105"/>
      <c r="Z32" s="105">
        <v>3315</v>
      </c>
      <c r="AA32" s="105"/>
      <c r="AB32" s="105"/>
      <c r="AC32" s="218"/>
      <c r="AF32" s="28"/>
      <c r="AG32" s="28"/>
      <c r="AH32" s="28"/>
      <c r="AI32" s="29"/>
    </row>
    <row r="33" spans="2:51" hidden="1" x14ac:dyDescent="0.2">
      <c r="B33" s="219">
        <v>29</v>
      </c>
      <c r="C33" s="219" t="s">
        <v>1239</v>
      </c>
      <c r="D33" s="220" t="s">
        <v>1165</v>
      </c>
      <c r="E33" s="219" t="s">
        <v>1074</v>
      </c>
      <c r="F33" s="209" t="s">
        <v>1077</v>
      </c>
      <c r="G33" s="222">
        <v>350</v>
      </c>
      <c r="H33" s="223">
        <v>1000</v>
      </c>
      <c r="I33" s="223">
        <f>Data_radiator!$G33*Data_radiator!$H33/1000000</f>
        <v>0.35</v>
      </c>
      <c r="J33" s="224"/>
      <c r="K33" s="222">
        <v>300</v>
      </c>
      <c r="L33" s="222">
        <v>65</v>
      </c>
      <c r="M33" s="223"/>
      <c r="N33" s="223"/>
      <c r="O33" s="223"/>
      <c r="P33" s="223"/>
      <c r="Q33" s="223"/>
      <c r="R33" s="223"/>
      <c r="S33" s="223"/>
      <c r="T33" s="223"/>
      <c r="U33" s="223"/>
      <c r="V33" s="223"/>
      <c r="W33" s="223"/>
      <c r="X33" s="223">
        <v>1.25</v>
      </c>
      <c r="Y33" s="222"/>
      <c r="Z33" s="222">
        <v>368</v>
      </c>
      <c r="AA33" s="222"/>
      <c r="AB33" s="222"/>
      <c r="AC33" s="225"/>
      <c r="AF33" s="28"/>
      <c r="AG33" s="28"/>
      <c r="AH33" s="28"/>
      <c r="AI33" s="29"/>
    </row>
    <row r="34" spans="2:51" hidden="1" x14ac:dyDescent="0.2">
      <c r="B34" s="1">
        <v>30</v>
      </c>
      <c r="C34" s="1" t="s">
        <v>1239</v>
      </c>
      <c r="D34" s="214" t="s">
        <v>1165</v>
      </c>
      <c r="E34" s="1" t="str">
        <f>E33</f>
        <v>Flachheizkoerper_glatt</v>
      </c>
      <c r="F34" s="215" t="s">
        <v>1083</v>
      </c>
      <c r="G34" s="105">
        <v>350</v>
      </c>
      <c r="H34" s="216">
        <v>1000</v>
      </c>
      <c r="I34" s="216">
        <f>Data_radiator!$G34*Data_radiator!$H34/1000000</f>
        <v>0.35</v>
      </c>
      <c r="J34" s="217"/>
      <c r="K34" s="105">
        <v>300</v>
      </c>
      <c r="L34" s="105">
        <v>65</v>
      </c>
      <c r="M34" s="216"/>
      <c r="N34" s="216"/>
      <c r="O34" s="216"/>
      <c r="P34" s="216"/>
      <c r="Q34" s="216"/>
      <c r="R34" s="216"/>
      <c r="S34" s="216"/>
      <c r="T34" s="216"/>
      <c r="U34" s="216"/>
      <c r="V34" s="216"/>
      <c r="W34" s="216"/>
      <c r="X34" s="216">
        <v>1.26</v>
      </c>
      <c r="Y34" s="105"/>
      <c r="Z34" s="105">
        <v>531</v>
      </c>
      <c r="AA34" s="105"/>
      <c r="AB34" s="105"/>
      <c r="AC34" s="218"/>
      <c r="AF34" s="28"/>
      <c r="AG34" s="28"/>
      <c r="AH34" s="28"/>
      <c r="AI34" s="29"/>
    </row>
    <row r="35" spans="2:51" hidden="1" x14ac:dyDescent="0.2">
      <c r="B35" s="219">
        <v>31</v>
      </c>
      <c r="C35" s="219" t="s">
        <v>1239</v>
      </c>
      <c r="D35" s="220" t="s">
        <v>1165</v>
      </c>
      <c r="E35" s="1" t="str">
        <f t="shared" ref="E35:E60" si="1">E34</f>
        <v>Flachheizkoerper_glatt</v>
      </c>
      <c r="F35" s="221" t="s">
        <v>1088</v>
      </c>
      <c r="G35" s="222">
        <v>350</v>
      </c>
      <c r="H35" s="223">
        <v>1000</v>
      </c>
      <c r="I35" s="223">
        <f>Data_radiator!$G35*Data_radiator!$H35/1000000</f>
        <v>0.35</v>
      </c>
      <c r="J35" s="224"/>
      <c r="K35" s="222">
        <v>300</v>
      </c>
      <c r="L35" s="222">
        <v>100</v>
      </c>
      <c r="M35" s="223"/>
      <c r="N35" s="223"/>
      <c r="O35" s="223"/>
      <c r="P35" s="223"/>
      <c r="Q35" s="223"/>
      <c r="R35" s="223"/>
      <c r="S35" s="223"/>
      <c r="T35" s="223"/>
      <c r="U35" s="223"/>
      <c r="V35" s="223"/>
      <c r="W35" s="223"/>
      <c r="X35" s="223">
        <v>1.29</v>
      </c>
      <c r="Y35" s="222"/>
      <c r="Z35" s="222">
        <f>MEDIAN(598,514,642,539,674)</f>
        <v>598</v>
      </c>
      <c r="AA35" s="222"/>
      <c r="AB35" s="222"/>
      <c r="AC35" s="225" t="s">
        <v>1240</v>
      </c>
      <c r="AF35" s="292"/>
      <c r="AG35" s="30"/>
      <c r="AH35" s="31"/>
      <c r="AI35" s="32"/>
      <c r="AN35" s="1" t="s">
        <v>1217</v>
      </c>
      <c r="AY35" s="23" t="s">
        <v>1243</v>
      </c>
    </row>
    <row r="36" spans="2:51" hidden="1" x14ac:dyDescent="0.2">
      <c r="B36" s="1">
        <v>32</v>
      </c>
      <c r="C36" s="1" t="s">
        <v>1239</v>
      </c>
      <c r="D36" s="214" t="s">
        <v>1165</v>
      </c>
      <c r="E36" s="1" t="str">
        <f t="shared" si="1"/>
        <v>Flachheizkoerper_glatt</v>
      </c>
      <c r="F36" s="215" t="s">
        <v>1092</v>
      </c>
      <c r="G36" s="105">
        <v>350</v>
      </c>
      <c r="H36" s="216">
        <v>1000</v>
      </c>
      <c r="I36" s="216">
        <f>Data_radiator!$G36*Data_radiator!$H36/1000000</f>
        <v>0.35</v>
      </c>
      <c r="J36" s="217"/>
      <c r="K36" s="105">
        <v>300</v>
      </c>
      <c r="L36" s="105">
        <v>100</v>
      </c>
      <c r="M36" s="216"/>
      <c r="N36" s="216"/>
      <c r="O36" s="216"/>
      <c r="P36" s="216"/>
      <c r="Q36" s="216"/>
      <c r="R36" s="216"/>
      <c r="S36" s="216"/>
      <c r="T36" s="216"/>
      <c r="U36" s="216"/>
      <c r="V36" s="216"/>
      <c r="W36" s="216"/>
      <c r="X36" s="216">
        <v>1.29</v>
      </c>
      <c r="Y36" s="105"/>
      <c r="Z36" s="105">
        <v>823</v>
      </c>
      <c r="AA36" s="105"/>
      <c r="AB36" s="105"/>
      <c r="AC36" s="218"/>
      <c r="AF36" s="292"/>
      <c r="AG36" s="30"/>
      <c r="AH36" s="31"/>
      <c r="AI36" s="32"/>
      <c r="AY36" s="23"/>
    </row>
    <row r="37" spans="2:51" hidden="1" x14ac:dyDescent="0.2">
      <c r="B37" s="219">
        <v>33</v>
      </c>
      <c r="C37" s="219" t="s">
        <v>1239</v>
      </c>
      <c r="D37" s="220" t="s">
        <v>1165</v>
      </c>
      <c r="E37" s="1" t="str">
        <f t="shared" si="1"/>
        <v>Flachheizkoerper_glatt</v>
      </c>
      <c r="F37" s="221" t="s">
        <v>1093</v>
      </c>
      <c r="G37" s="222">
        <v>350</v>
      </c>
      <c r="H37" s="223">
        <v>1000</v>
      </c>
      <c r="I37" s="223">
        <f>Data_radiator!$G37*Data_radiator!$H37/1000000</f>
        <v>0.35</v>
      </c>
      <c r="J37" s="224"/>
      <c r="K37" s="222">
        <v>300</v>
      </c>
      <c r="L37" s="222">
        <v>100</v>
      </c>
      <c r="M37" s="223"/>
      <c r="N37" s="223"/>
      <c r="O37" s="223"/>
      <c r="P37" s="223"/>
      <c r="Q37" s="223"/>
      <c r="R37" s="223"/>
      <c r="S37" s="223"/>
      <c r="T37" s="223"/>
      <c r="U37" s="223"/>
      <c r="V37" s="223"/>
      <c r="W37" s="223"/>
      <c r="X37" s="223">
        <v>1.28</v>
      </c>
      <c r="Y37" s="222"/>
      <c r="Z37" s="222">
        <v>1018</v>
      </c>
      <c r="AA37" s="222"/>
      <c r="AB37" s="222"/>
      <c r="AC37" s="225"/>
      <c r="AF37" s="292"/>
      <c r="AG37" s="30"/>
      <c r="AH37" s="31"/>
      <c r="AI37" s="32"/>
      <c r="AY37" s="23"/>
    </row>
    <row r="38" spans="2:51" hidden="1" x14ac:dyDescent="0.2">
      <c r="B38" s="1">
        <v>34</v>
      </c>
      <c r="C38" s="1" t="s">
        <v>1239</v>
      </c>
      <c r="D38" s="214" t="s">
        <v>1165</v>
      </c>
      <c r="E38" s="1" t="str">
        <f t="shared" si="1"/>
        <v>Flachheizkoerper_glatt</v>
      </c>
      <c r="F38" s="215" t="s">
        <v>1097</v>
      </c>
      <c r="G38" s="105">
        <v>350</v>
      </c>
      <c r="H38" s="216">
        <v>1000</v>
      </c>
      <c r="I38" s="216">
        <f>Data_radiator!$G38*Data_radiator!$H38/1000000</f>
        <v>0.35</v>
      </c>
      <c r="J38" s="217"/>
      <c r="K38" s="105">
        <v>300</v>
      </c>
      <c r="L38" s="105">
        <v>155</v>
      </c>
      <c r="M38" s="216"/>
      <c r="N38" s="216"/>
      <c r="O38" s="216"/>
      <c r="P38" s="216"/>
      <c r="Q38" s="216"/>
      <c r="R38" s="216"/>
      <c r="S38" s="216"/>
      <c r="T38" s="216"/>
      <c r="U38" s="216"/>
      <c r="V38" s="216"/>
      <c r="W38" s="216"/>
      <c r="X38" s="216">
        <f>X37</f>
        <v>1.28</v>
      </c>
      <c r="Y38" s="105"/>
      <c r="Z38" s="105">
        <f>MEDIAN(775,961,778,974,834,1031)</f>
        <v>897.5</v>
      </c>
      <c r="AA38" s="105"/>
      <c r="AB38" s="105"/>
      <c r="AC38" s="218" t="s">
        <v>1240</v>
      </c>
      <c r="AF38" s="292"/>
      <c r="AG38" s="30"/>
      <c r="AH38" s="31"/>
      <c r="AI38" s="32"/>
      <c r="AY38" s="23"/>
    </row>
    <row r="39" spans="2:51" hidden="1" x14ac:dyDescent="0.2">
      <c r="B39" s="219">
        <v>35</v>
      </c>
      <c r="C39" s="219" t="s">
        <v>1239</v>
      </c>
      <c r="D39" s="220" t="s">
        <v>1165</v>
      </c>
      <c r="E39" s="1" t="str">
        <f t="shared" si="1"/>
        <v>Flachheizkoerper_glatt</v>
      </c>
      <c r="F39" s="221" t="s">
        <v>1099</v>
      </c>
      <c r="G39" s="222">
        <v>350</v>
      </c>
      <c r="H39" s="223">
        <v>1000</v>
      </c>
      <c r="I39" s="223">
        <f>Data_radiator!$G39*Data_radiator!$H39/1000000</f>
        <v>0.35</v>
      </c>
      <c r="J39" s="224"/>
      <c r="K39" s="222">
        <v>300</v>
      </c>
      <c r="L39" s="222">
        <v>155</v>
      </c>
      <c r="M39" s="223"/>
      <c r="N39" s="223"/>
      <c r="O39" s="223"/>
      <c r="P39" s="223"/>
      <c r="Q39" s="223"/>
      <c r="R39" s="223"/>
      <c r="S39" s="223"/>
      <c r="T39" s="223"/>
      <c r="U39" s="223"/>
      <c r="V39" s="223"/>
      <c r="W39" s="223"/>
      <c r="X39" s="223">
        <v>1.29</v>
      </c>
      <c r="Y39" s="222"/>
      <c r="Z39" s="222">
        <v>1488</v>
      </c>
      <c r="AA39" s="222"/>
      <c r="AB39" s="222"/>
      <c r="AC39" s="225"/>
      <c r="AF39" s="292"/>
      <c r="AG39" s="30"/>
      <c r="AH39" s="31"/>
      <c r="AI39" s="32"/>
      <c r="AY39" s="23"/>
    </row>
    <row r="40" spans="2:51" hidden="1" x14ac:dyDescent="0.2">
      <c r="B40" s="1">
        <v>36</v>
      </c>
      <c r="C40" s="1" t="s">
        <v>1239</v>
      </c>
      <c r="D40" s="214" t="s">
        <v>1165</v>
      </c>
      <c r="E40" s="1" t="str">
        <f t="shared" si="1"/>
        <v>Flachheizkoerper_glatt</v>
      </c>
      <c r="F40" s="215" t="s">
        <v>1077</v>
      </c>
      <c r="G40" s="105">
        <v>500</v>
      </c>
      <c r="H40" s="216">
        <v>1000</v>
      </c>
      <c r="I40" s="216">
        <f>Data_radiator!$G40*Data_radiator!$H40/1000000</f>
        <v>0.5</v>
      </c>
      <c r="J40" s="217"/>
      <c r="K40" s="105">
        <v>450</v>
      </c>
      <c r="L40" s="105">
        <v>65</v>
      </c>
      <c r="M40" s="216"/>
      <c r="N40" s="216"/>
      <c r="O40" s="216"/>
      <c r="P40" s="216"/>
      <c r="Q40" s="216"/>
      <c r="R40" s="216"/>
      <c r="S40" s="216"/>
      <c r="T40" s="216"/>
      <c r="U40" s="216"/>
      <c r="V40" s="216"/>
      <c r="W40" s="216"/>
      <c r="X40" s="216">
        <v>1.26</v>
      </c>
      <c r="Y40" s="105"/>
      <c r="Z40" s="105">
        <v>500</v>
      </c>
      <c r="AA40" s="105"/>
      <c r="AB40" s="105"/>
      <c r="AC40" s="218"/>
      <c r="AF40" s="292"/>
      <c r="AG40" s="30"/>
      <c r="AH40" s="31"/>
      <c r="AI40" s="32"/>
      <c r="AY40" s="23"/>
    </row>
    <row r="41" spans="2:51" hidden="1" x14ac:dyDescent="0.2">
      <c r="B41" s="219">
        <v>37</v>
      </c>
      <c r="C41" s="219" t="s">
        <v>1239</v>
      </c>
      <c r="D41" s="220" t="s">
        <v>1165</v>
      </c>
      <c r="E41" s="1" t="str">
        <f t="shared" si="1"/>
        <v>Flachheizkoerper_glatt</v>
      </c>
      <c r="F41" s="221" t="s">
        <v>1083</v>
      </c>
      <c r="G41" s="222">
        <v>500</v>
      </c>
      <c r="H41" s="223">
        <v>1000</v>
      </c>
      <c r="I41" s="223">
        <f>Data_radiator!$G41*Data_radiator!$H41/1000000</f>
        <v>0.5</v>
      </c>
      <c r="J41" s="224"/>
      <c r="K41" s="222">
        <v>450</v>
      </c>
      <c r="L41" s="222">
        <v>65</v>
      </c>
      <c r="M41" s="223"/>
      <c r="N41" s="223"/>
      <c r="O41" s="223"/>
      <c r="P41" s="223"/>
      <c r="Q41" s="223"/>
      <c r="R41" s="223"/>
      <c r="S41" s="223"/>
      <c r="T41" s="223"/>
      <c r="U41" s="223"/>
      <c r="V41" s="223"/>
      <c r="W41" s="223"/>
      <c r="X41" s="223">
        <v>1.28</v>
      </c>
      <c r="Y41" s="222"/>
      <c r="Z41" s="222">
        <v>738</v>
      </c>
      <c r="AA41" s="222"/>
      <c r="AB41" s="222"/>
      <c r="AC41" s="225"/>
      <c r="AF41" s="292"/>
      <c r="AG41" s="30"/>
      <c r="AH41" s="31"/>
      <c r="AI41" s="32"/>
      <c r="AY41" s="23"/>
    </row>
    <row r="42" spans="2:51" hidden="1" x14ac:dyDescent="0.2">
      <c r="B42" s="1">
        <v>38</v>
      </c>
      <c r="C42" s="1" t="s">
        <v>1239</v>
      </c>
      <c r="D42" s="214" t="s">
        <v>1165</v>
      </c>
      <c r="E42" s="1" t="str">
        <f t="shared" si="1"/>
        <v>Flachheizkoerper_glatt</v>
      </c>
      <c r="F42" s="215" t="s">
        <v>1088</v>
      </c>
      <c r="G42" s="105">
        <v>500</v>
      </c>
      <c r="H42" s="216">
        <v>1000</v>
      </c>
      <c r="I42" s="216">
        <f>Data_radiator!$G42*Data_radiator!$H42/1000000</f>
        <v>0.5</v>
      </c>
      <c r="J42" s="217"/>
      <c r="K42" s="105">
        <v>450</v>
      </c>
      <c r="L42" s="105">
        <v>100</v>
      </c>
      <c r="M42" s="216"/>
      <c r="N42" s="216"/>
      <c r="O42" s="216"/>
      <c r="P42" s="216"/>
      <c r="Q42" s="216"/>
      <c r="R42" s="216"/>
      <c r="S42" s="216"/>
      <c r="T42" s="216"/>
      <c r="U42" s="216"/>
      <c r="V42" s="216"/>
      <c r="W42" s="216"/>
      <c r="X42" s="216">
        <v>1.29</v>
      </c>
      <c r="Y42" s="105"/>
      <c r="Z42" s="105">
        <f>MEDIAN(768,880,808)</f>
        <v>808</v>
      </c>
      <c r="AA42" s="105"/>
      <c r="AB42" s="105"/>
      <c r="AC42" s="218" t="s">
        <v>1240</v>
      </c>
      <c r="AF42" s="292"/>
      <c r="AG42" s="30"/>
      <c r="AH42" s="31"/>
      <c r="AI42" s="32"/>
      <c r="AY42" s="23"/>
    </row>
    <row r="43" spans="2:51" hidden="1" x14ac:dyDescent="0.2">
      <c r="B43" s="219">
        <v>39</v>
      </c>
      <c r="C43" s="219" t="s">
        <v>1239</v>
      </c>
      <c r="D43" s="220" t="s">
        <v>1165</v>
      </c>
      <c r="E43" s="1" t="str">
        <f t="shared" si="1"/>
        <v>Flachheizkoerper_glatt</v>
      </c>
      <c r="F43" s="221" t="s">
        <v>1092</v>
      </c>
      <c r="G43" s="222">
        <v>500</v>
      </c>
      <c r="H43" s="223">
        <v>1000</v>
      </c>
      <c r="I43" s="223">
        <f>Data_radiator!$G43*Data_radiator!$H43/1000000</f>
        <v>0.5</v>
      </c>
      <c r="J43" s="224"/>
      <c r="K43" s="222">
        <v>450</v>
      </c>
      <c r="L43" s="222">
        <v>100</v>
      </c>
      <c r="M43" s="223"/>
      <c r="N43" s="223"/>
      <c r="O43" s="223"/>
      <c r="P43" s="223"/>
      <c r="Q43" s="223"/>
      <c r="R43" s="223"/>
      <c r="S43" s="223"/>
      <c r="T43" s="223"/>
      <c r="U43" s="223"/>
      <c r="V43" s="223"/>
      <c r="W43" s="223"/>
      <c r="X43" s="223">
        <v>1.29</v>
      </c>
      <c r="Y43" s="222"/>
      <c r="Z43" s="222">
        <v>1124</v>
      </c>
      <c r="AA43" s="222"/>
      <c r="AB43" s="222"/>
      <c r="AC43" s="225"/>
      <c r="AF43" s="292"/>
      <c r="AG43" s="30"/>
      <c r="AH43" s="31"/>
      <c r="AI43" s="33"/>
      <c r="AN43" s="1">
        <v>721</v>
      </c>
      <c r="AY43" s="23" t="s">
        <v>1244</v>
      </c>
    </row>
    <row r="44" spans="2:51" hidden="1" x14ac:dyDescent="0.2">
      <c r="B44" s="1">
        <v>40</v>
      </c>
      <c r="C44" s="1" t="s">
        <v>1239</v>
      </c>
      <c r="D44" s="214" t="s">
        <v>1165</v>
      </c>
      <c r="E44" s="1" t="str">
        <f t="shared" si="1"/>
        <v>Flachheizkoerper_glatt</v>
      </c>
      <c r="F44" s="215" t="s">
        <v>1093</v>
      </c>
      <c r="G44" s="105">
        <v>500</v>
      </c>
      <c r="H44" s="216">
        <v>1000</v>
      </c>
      <c r="I44" s="216">
        <f>Data_radiator!$G44*Data_radiator!$H44/1000000</f>
        <v>0.5</v>
      </c>
      <c r="J44" s="217"/>
      <c r="K44" s="105">
        <v>450</v>
      </c>
      <c r="L44" s="105">
        <v>100</v>
      </c>
      <c r="M44" s="216"/>
      <c r="N44" s="216"/>
      <c r="O44" s="216"/>
      <c r="P44" s="216"/>
      <c r="Q44" s="216"/>
      <c r="R44" s="216"/>
      <c r="S44" s="216"/>
      <c r="T44" s="216"/>
      <c r="U44" s="216"/>
      <c r="V44" s="216"/>
      <c r="W44" s="216"/>
      <c r="X44" s="216">
        <v>1.29</v>
      </c>
      <c r="Y44" s="105"/>
      <c r="Z44" s="105">
        <v>1432</v>
      </c>
      <c r="AA44" s="105"/>
      <c r="AB44" s="105"/>
      <c r="AC44" s="218"/>
      <c r="AF44" s="292"/>
      <c r="AG44" s="30"/>
      <c r="AH44" s="31"/>
      <c r="AI44" s="33"/>
      <c r="AN44" s="1">
        <v>1098</v>
      </c>
    </row>
    <row r="45" spans="2:51" hidden="1" x14ac:dyDescent="0.2">
      <c r="B45" s="219">
        <v>41</v>
      </c>
      <c r="C45" s="219" t="s">
        <v>1239</v>
      </c>
      <c r="D45" s="220" t="s">
        <v>1165</v>
      </c>
      <c r="E45" s="1" t="str">
        <f t="shared" si="1"/>
        <v>Flachheizkoerper_glatt</v>
      </c>
      <c r="F45" s="221" t="s">
        <v>1097</v>
      </c>
      <c r="G45" s="222">
        <v>500</v>
      </c>
      <c r="H45" s="223">
        <v>1000</v>
      </c>
      <c r="I45" s="223">
        <f>Data_radiator!$G45*Data_radiator!$H45/1000000</f>
        <v>0.5</v>
      </c>
      <c r="J45" s="224"/>
      <c r="K45" s="222">
        <v>450</v>
      </c>
      <c r="L45" s="222">
        <v>155</v>
      </c>
      <c r="M45" s="223"/>
      <c r="N45" s="223"/>
      <c r="O45" s="223"/>
      <c r="P45" s="223"/>
      <c r="Q45" s="223"/>
      <c r="R45" s="223"/>
      <c r="S45" s="223"/>
      <c r="T45" s="223"/>
      <c r="U45" s="223"/>
      <c r="V45" s="223"/>
      <c r="W45" s="223"/>
      <c r="X45" s="223">
        <v>1.29</v>
      </c>
      <c r="Y45" s="222"/>
      <c r="Z45" s="222">
        <f>MEDIAN(1166,1219,1143)</f>
        <v>1166</v>
      </c>
      <c r="AA45" s="222"/>
      <c r="AB45" s="222"/>
      <c r="AC45" s="225" t="s">
        <v>1240</v>
      </c>
      <c r="AF45" s="292"/>
      <c r="AG45" s="30"/>
      <c r="AH45" s="31"/>
      <c r="AI45" s="33"/>
    </row>
    <row r="46" spans="2:51" hidden="1" x14ac:dyDescent="0.2">
      <c r="B46" s="1">
        <v>42</v>
      </c>
      <c r="C46" s="1" t="s">
        <v>1239</v>
      </c>
      <c r="D46" s="214" t="s">
        <v>1165</v>
      </c>
      <c r="E46" s="1" t="str">
        <f t="shared" si="1"/>
        <v>Flachheizkoerper_glatt</v>
      </c>
      <c r="F46" s="215" t="s">
        <v>1099</v>
      </c>
      <c r="G46" s="105">
        <v>500</v>
      </c>
      <c r="H46" s="216">
        <v>1000</v>
      </c>
      <c r="I46" s="216">
        <f>Data_radiator!$G46*Data_radiator!$H46/1000000</f>
        <v>0.5</v>
      </c>
      <c r="J46" s="217"/>
      <c r="K46" s="105">
        <v>450</v>
      </c>
      <c r="L46" s="105">
        <v>155</v>
      </c>
      <c r="M46" s="216"/>
      <c r="N46" s="216"/>
      <c r="O46" s="216"/>
      <c r="P46" s="216"/>
      <c r="Q46" s="216"/>
      <c r="R46" s="216"/>
      <c r="S46" s="216"/>
      <c r="T46" s="216"/>
      <c r="U46" s="216"/>
      <c r="V46" s="216"/>
      <c r="W46" s="216"/>
      <c r="X46" s="216">
        <v>1.3</v>
      </c>
      <c r="Y46" s="105"/>
      <c r="Z46" s="105">
        <v>1981</v>
      </c>
      <c r="AA46" s="105"/>
      <c r="AB46" s="105"/>
      <c r="AC46" s="218"/>
      <c r="AF46" s="292"/>
      <c r="AG46" s="34"/>
      <c r="AH46" s="31"/>
      <c r="AI46" s="33"/>
      <c r="AN46" s="1">
        <v>1475</v>
      </c>
    </row>
    <row r="47" spans="2:51" hidden="1" x14ac:dyDescent="0.2">
      <c r="B47" s="219">
        <v>43</v>
      </c>
      <c r="C47" s="219" t="s">
        <v>1239</v>
      </c>
      <c r="D47" s="220" t="s">
        <v>1165</v>
      </c>
      <c r="E47" s="1" t="str">
        <f t="shared" si="1"/>
        <v>Flachheizkoerper_glatt</v>
      </c>
      <c r="F47" s="221" t="s">
        <v>1077</v>
      </c>
      <c r="G47" s="222">
        <v>600</v>
      </c>
      <c r="H47" s="223">
        <v>1000</v>
      </c>
      <c r="I47" s="223">
        <f>Data_radiator!$G47*Data_radiator!$H47/1000000</f>
        <v>0.6</v>
      </c>
      <c r="J47" s="224"/>
      <c r="K47" s="222">
        <v>550</v>
      </c>
      <c r="L47" s="222">
        <v>65</v>
      </c>
      <c r="M47" s="223"/>
      <c r="N47" s="223"/>
      <c r="O47" s="223"/>
      <c r="P47" s="223"/>
      <c r="Q47" s="223"/>
      <c r="R47" s="223"/>
      <c r="S47" s="223"/>
      <c r="T47" s="223"/>
      <c r="U47" s="223"/>
      <c r="V47" s="223"/>
      <c r="W47" s="223"/>
      <c r="X47" s="223">
        <v>1.26</v>
      </c>
      <c r="Y47" s="222"/>
      <c r="Z47" s="222">
        <v>588</v>
      </c>
      <c r="AA47" s="222"/>
      <c r="AB47" s="222"/>
      <c r="AC47" s="225"/>
      <c r="AF47" s="293"/>
      <c r="AG47" s="30"/>
      <c r="AH47" s="31"/>
      <c r="AI47" s="33"/>
      <c r="AN47" s="1">
        <v>1852</v>
      </c>
    </row>
    <row r="48" spans="2:51" hidden="1" x14ac:dyDescent="0.2">
      <c r="B48" s="1">
        <v>44</v>
      </c>
      <c r="C48" s="1" t="s">
        <v>1239</v>
      </c>
      <c r="D48" s="214" t="s">
        <v>1165</v>
      </c>
      <c r="E48" s="1" t="str">
        <f t="shared" si="1"/>
        <v>Flachheizkoerper_glatt</v>
      </c>
      <c r="F48" s="215" t="s">
        <v>1083</v>
      </c>
      <c r="G48" s="105">
        <v>600</v>
      </c>
      <c r="H48" s="216">
        <v>1000</v>
      </c>
      <c r="I48" s="216">
        <f>Data_radiator!$G48*Data_radiator!$H48/1000000</f>
        <v>0.6</v>
      </c>
      <c r="J48" s="217"/>
      <c r="K48" s="105">
        <v>550</v>
      </c>
      <c r="L48" s="105">
        <v>65</v>
      </c>
      <c r="M48" s="216"/>
      <c r="N48" s="216"/>
      <c r="O48" s="216"/>
      <c r="P48" s="216"/>
      <c r="Q48" s="216"/>
      <c r="R48" s="216"/>
      <c r="S48" s="216"/>
      <c r="T48" s="216"/>
      <c r="U48" s="216"/>
      <c r="V48" s="216"/>
      <c r="W48" s="216"/>
      <c r="X48" s="216">
        <v>1.29</v>
      </c>
      <c r="Y48" s="105"/>
      <c r="Z48" s="105">
        <v>869</v>
      </c>
      <c r="AA48" s="105"/>
      <c r="AB48" s="105"/>
      <c r="AC48" s="218"/>
      <c r="AF48" s="293"/>
      <c r="AG48" s="30"/>
      <c r="AH48" s="31"/>
      <c r="AI48" s="33"/>
    </row>
    <row r="49" spans="2:40" hidden="1" x14ac:dyDescent="0.2">
      <c r="B49" s="219">
        <v>45</v>
      </c>
      <c r="C49" s="219" t="s">
        <v>1239</v>
      </c>
      <c r="D49" s="220" t="s">
        <v>1165</v>
      </c>
      <c r="E49" s="1" t="str">
        <f t="shared" si="1"/>
        <v>Flachheizkoerper_glatt</v>
      </c>
      <c r="F49" s="221" t="s">
        <v>1088</v>
      </c>
      <c r="G49" s="222">
        <v>600</v>
      </c>
      <c r="H49" s="223">
        <v>1000</v>
      </c>
      <c r="I49" s="223">
        <f>Data_radiator!$G49*Data_radiator!$H49/1000000</f>
        <v>0.6</v>
      </c>
      <c r="J49" s="224"/>
      <c r="K49" s="222">
        <v>550</v>
      </c>
      <c r="L49" s="222">
        <v>100</v>
      </c>
      <c r="M49" s="223"/>
      <c r="N49" s="223"/>
      <c r="O49" s="223"/>
      <c r="P49" s="223"/>
      <c r="Q49" s="223"/>
      <c r="R49" s="223"/>
      <c r="S49" s="223"/>
      <c r="T49" s="223"/>
      <c r="U49" s="223"/>
      <c r="V49" s="223"/>
      <c r="W49" s="223"/>
      <c r="X49" s="223">
        <v>1.29</v>
      </c>
      <c r="Y49" s="222"/>
      <c r="Z49" s="222">
        <f>MEDIAN(1015,884,937)</f>
        <v>937</v>
      </c>
      <c r="AA49" s="222"/>
      <c r="AB49" s="222"/>
      <c r="AC49" s="225" t="s">
        <v>1240</v>
      </c>
      <c r="AF49" s="293"/>
      <c r="AG49" s="30"/>
      <c r="AH49" s="31"/>
      <c r="AI49" s="33"/>
    </row>
    <row r="50" spans="2:40" hidden="1" x14ac:dyDescent="0.2">
      <c r="B50" s="1">
        <v>46</v>
      </c>
      <c r="C50" s="1" t="s">
        <v>1239</v>
      </c>
      <c r="D50" s="214" t="s">
        <v>1165</v>
      </c>
      <c r="E50" s="1" t="str">
        <f t="shared" si="1"/>
        <v>Flachheizkoerper_glatt</v>
      </c>
      <c r="F50" s="215" t="s">
        <v>1092</v>
      </c>
      <c r="G50" s="105">
        <v>600</v>
      </c>
      <c r="H50" s="216">
        <v>1000</v>
      </c>
      <c r="I50" s="216">
        <f>Data_radiator!$G50*Data_radiator!$H50/1000000</f>
        <v>0.6</v>
      </c>
      <c r="J50" s="217"/>
      <c r="K50" s="105">
        <v>550</v>
      </c>
      <c r="L50" s="105">
        <v>100</v>
      </c>
      <c r="M50" s="216"/>
      <c r="N50" s="216"/>
      <c r="O50" s="216"/>
      <c r="P50" s="216"/>
      <c r="Q50" s="216"/>
      <c r="R50" s="216"/>
      <c r="S50" s="216"/>
      <c r="T50" s="216"/>
      <c r="U50" s="216"/>
      <c r="V50" s="216"/>
      <c r="W50" s="216"/>
      <c r="X50" s="216">
        <v>1.29</v>
      </c>
      <c r="Y50" s="105"/>
      <c r="Z50" s="105">
        <v>1318</v>
      </c>
      <c r="AA50" s="105"/>
      <c r="AB50" s="105"/>
      <c r="AC50" s="218"/>
      <c r="AF50" s="293"/>
      <c r="AG50" s="30"/>
      <c r="AH50" s="31"/>
      <c r="AI50" s="33"/>
      <c r="AN50" s="1">
        <v>350</v>
      </c>
    </row>
    <row r="51" spans="2:40" ht="15.75" hidden="1" x14ac:dyDescent="0.2">
      <c r="B51" s="219">
        <v>47</v>
      </c>
      <c r="C51" s="219" t="s">
        <v>1239</v>
      </c>
      <c r="D51" s="220" t="s">
        <v>1165</v>
      </c>
      <c r="E51" s="1" t="str">
        <f t="shared" si="1"/>
        <v>Flachheizkoerper_glatt</v>
      </c>
      <c r="F51" s="221" t="s">
        <v>1093</v>
      </c>
      <c r="G51" s="222">
        <v>600</v>
      </c>
      <c r="H51" s="223">
        <v>1000</v>
      </c>
      <c r="I51" s="223">
        <f>Data_radiator!$G51*Data_radiator!$H51/1000000</f>
        <v>0.6</v>
      </c>
      <c r="J51" s="224"/>
      <c r="K51" s="222">
        <v>550</v>
      </c>
      <c r="L51" s="222">
        <v>100</v>
      </c>
      <c r="M51" s="223"/>
      <c r="N51" s="223"/>
      <c r="O51" s="223"/>
      <c r="P51" s="223"/>
      <c r="Q51" s="223"/>
      <c r="R51" s="223"/>
      <c r="S51" s="223"/>
      <c r="T51" s="223"/>
      <c r="U51" s="223"/>
      <c r="V51" s="223"/>
      <c r="W51" s="223"/>
      <c r="X51" s="223">
        <v>1.29</v>
      </c>
      <c r="Y51" s="222"/>
      <c r="Z51" s="222">
        <v>1683</v>
      </c>
      <c r="AA51" s="222"/>
      <c r="AB51" s="222"/>
      <c r="AC51" s="225"/>
      <c r="AF51" s="293"/>
      <c r="AG51" s="30"/>
      <c r="AH51" s="35"/>
      <c r="AI51" s="36"/>
      <c r="AN51" s="1">
        <v>500</v>
      </c>
    </row>
    <row r="52" spans="2:40" ht="15.75" hidden="1" x14ac:dyDescent="0.2">
      <c r="B52" s="1">
        <v>48</v>
      </c>
      <c r="C52" s="1" t="s">
        <v>1239</v>
      </c>
      <c r="D52" s="214" t="s">
        <v>1165</v>
      </c>
      <c r="E52" s="1" t="str">
        <f t="shared" si="1"/>
        <v>Flachheizkoerper_glatt</v>
      </c>
      <c r="F52" s="215" t="s">
        <v>1097</v>
      </c>
      <c r="G52" s="105">
        <v>600</v>
      </c>
      <c r="H52" s="216">
        <v>1000</v>
      </c>
      <c r="I52" s="216">
        <f>Data_radiator!$G52*Data_radiator!$H52/1000000</f>
        <v>0.6</v>
      </c>
      <c r="J52" s="217"/>
      <c r="K52" s="105">
        <v>550</v>
      </c>
      <c r="L52" s="105">
        <v>155</v>
      </c>
      <c r="M52" s="216"/>
      <c r="N52" s="216"/>
      <c r="O52" s="216"/>
      <c r="P52" s="216"/>
      <c r="Q52" s="216"/>
      <c r="R52" s="216"/>
      <c r="S52" s="216"/>
      <c r="T52" s="216"/>
      <c r="U52" s="216"/>
      <c r="V52" s="216"/>
      <c r="W52" s="216"/>
      <c r="X52" s="216">
        <v>1.29</v>
      </c>
      <c r="Y52" s="105"/>
      <c r="Z52" s="105">
        <f>MEDIAN(1340,1400,1362)</f>
        <v>1362</v>
      </c>
      <c r="AA52" s="105"/>
      <c r="AB52" s="105"/>
      <c r="AC52" s="218" t="s">
        <v>1240</v>
      </c>
      <c r="AF52" s="293"/>
      <c r="AG52" s="30"/>
      <c r="AH52" s="35"/>
      <c r="AI52" s="36"/>
    </row>
    <row r="53" spans="2:40" hidden="1" x14ac:dyDescent="0.2">
      <c r="B53" s="219">
        <v>49</v>
      </c>
      <c r="C53" s="219" t="s">
        <v>1239</v>
      </c>
      <c r="D53" s="220" t="s">
        <v>1165</v>
      </c>
      <c r="E53" s="1" t="str">
        <f t="shared" si="1"/>
        <v>Flachheizkoerper_glatt</v>
      </c>
      <c r="F53" s="221" t="s">
        <v>1099</v>
      </c>
      <c r="G53" s="222">
        <v>600</v>
      </c>
      <c r="H53" s="223">
        <v>1000</v>
      </c>
      <c r="I53" s="223">
        <f>Data_radiator!$G53*Data_radiator!$H53/1000000</f>
        <v>0.6</v>
      </c>
      <c r="J53" s="224"/>
      <c r="K53" s="222">
        <v>550</v>
      </c>
      <c r="L53" s="222">
        <v>155</v>
      </c>
      <c r="M53" s="223"/>
      <c r="N53" s="223"/>
      <c r="O53" s="223"/>
      <c r="P53" s="223"/>
      <c r="Q53" s="223"/>
      <c r="R53" s="223"/>
      <c r="S53" s="223"/>
      <c r="T53" s="223"/>
      <c r="U53" s="223"/>
      <c r="V53" s="223"/>
      <c r="W53" s="223"/>
      <c r="X53" s="223">
        <v>1.3</v>
      </c>
      <c r="Y53" s="222"/>
      <c r="Z53" s="222">
        <v>2303</v>
      </c>
      <c r="AA53" s="222"/>
      <c r="AB53" s="222"/>
      <c r="AC53" s="225"/>
      <c r="AF53" s="293"/>
      <c r="AG53" s="34"/>
      <c r="AH53" s="31"/>
      <c r="AI53" s="32"/>
      <c r="AN53" s="1">
        <v>600</v>
      </c>
    </row>
    <row r="54" spans="2:40" hidden="1" x14ac:dyDescent="0.2">
      <c r="B54" s="1">
        <v>50</v>
      </c>
      <c r="C54" s="1" t="s">
        <v>1239</v>
      </c>
      <c r="D54" s="214" t="s">
        <v>1165</v>
      </c>
      <c r="E54" s="1" t="str">
        <f t="shared" si="1"/>
        <v>Flachheizkoerper_glatt</v>
      </c>
      <c r="F54" s="215" t="s">
        <v>1077</v>
      </c>
      <c r="G54" s="105">
        <v>900</v>
      </c>
      <c r="H54" s="216">
        <v>1000</v>
      </c>
      <c r="I54" s="216">
        <f>Data_radiator!$G54*Data_radiator!$H54/1000000</f>
        <v>0.9</v>
      </c>
      <c r="J54" s="217"/>
      <c r="K54" s="105">
        <v>850</v>
      </c>
      <c r="L54" s="105">
        <v>65</v>
      </c>
      <c r="M54" s="216"/>
      <c r="N54" s="216"/>
      <c r="O54" s="216"/>
      <c r="P54" s="216"/>
      <c r="Q54" s="216"/>
      <c r="R54" s="216"/>
      <c r="S54" s="216"/>
      <c r="T54" s="216"/>
      <c r="U54" s="216"/>
      <c r="V54" s="216"/>
      <c r="W54" s="216"/>
      <c r="X54" s="216">
        <v>1.28</v>
      </c>
      <c r="Y54" s="105"/>
      <c r="Z54" s="105">
        <v>847</v>
      </c>
      <c r="AA54" s="105"/>
      <c r="AB54" s="105"/>
      <c r="AC54" s="218"/>
      <c r="AF54" s="293"/>
      <c r="AG54" s="30"/>
      <c r="AH54" s="31"/>
      <c r="AI54" s="33"/>
      <c r="AN54" s="1">
        <v>900</v>
      </c>
    </row>
    <row r="55" spans="2:40" hidden="1" x14ac:dyDescent="0.2">
      <c r="B55" s="219">
        <v>51</v>
      </c>
      <c r="C55" s="219" t="s">
        <v>1239</v>
      </c>
      <c r="D55" s="220" t="s">
        <v>1165</v>
      </c>
      <c r="E55" s="1" t="str">
        <f t="shared" si="1"/>
        <v>Flachheizkoerper_glatt</v>
      </c>
      <c r="F55" s="221" t="s">
        <v>1083</v>
      </c>
      <c r="G55" s="222">
        <v>900</v>
      </c>
      <c r="H55" s="223">
        <v>1000</v>
      </c>
      <c r="I55" s="223">
        <f>Data_radiator!$G55*Data_radiator!$H55/1000000</f>
        <v>0.9</v>
      </c>
      <c r="J55" s="224"/>
      <c r="K55" s="222">
        <v>850</v>
      </c>
      <c r="L55" s="222">
        <v>65</v>
      </c>
      <c r="M55" s="223"/>
      <c r="N55" s="223"/>
      <c r="O55" s="223"/>
      <c r="P55" s="223"/>
      <c r="Q55" s="223"/>
      <c r="R55" s="223"/>
      <c r="S55" s="223"/>
      <c r="T55" s="223"/>
      <c r="U55" s="223"/>
      <c r="V55" s="223"/>
      <c r="W55" s="223"/>
      <c r="X55" s="223">
        <v>1.3</v>
      </c>
      <c r="Y55" s="222"/>
      <c r="Z55" s="222">
        <v>1199</v>
      </c>
      <c r="AA55" s="222"/>
      <c r="AB55" s="222"/>
      <c r="AC55" s="225"/>
      <c r="AF55" s="293"/>
      <c r="AG55" s="30"/>
      <c r="AH55" s="31"/>
      <c r="AI55" s="33"/>
    </row>
    <row r="56" spans="2:40" hidden="1" x14ac:dyDescent="0.2">
      <c r="B56" s="1">
        <v>52</v>
      </c>
      <c r="C56" s="1" t="s">
        <v>1239</v>
      </c>
      <c r="D56" s="214" t="s">
        <v>1165</v>
      </c>
      <c r="E56" s="1" t="str">
        <f t="shared" si="1"/>
        <v>Flachheizkoerper_glatt</v>
      </c>
      <c r="F56" s="215" t="s">
        <v>1088</v>
      </c>
      <c r="G56" s="105">
        <v>900</v>
      </c>
      <c r="H56" s="216">
        <v>1000</v>
      </c>
      <c r="I56" s="216">
        <f>Data_radiator!$G56*Data_radiator!$H56/1000000</f>
        <v>0.9</v>
      </c>
      <c r="J56" s="217"/>
      <c r="K56" s="105">
        <v>852</v>
      </c>
      <c r="L56" s="105">
        <v>100</v>
      </c>
      <c r="M56" s="216"/>
      <c r="N56" s="216"/>
      <c r="O56" s="216"/>
      <c r="P56" s="216"/>
      <c r="Q56" s="216"/>
      <c r="R56" s="216"/>
      <c r="S56" s="216"/>
      <c r="T56" s="216"/>
      <c r="U56" s="216"/>
      <c r="V56" s="216"/>
      <c r="W56" s="216"/>
      <c r="X56" s="216">
        <v>1.3</v>
      </c>
      <c r="Y56" s="105"/>
      <c r="Z56" s="105">
        <f>MEDIAN(1411,1252,1329)</f>
        <v>1329</v>
      </c>
      <c r="AA56" s="105"/>
      <c r="AB56" s="105"/>
      <c r="AC56" s="218" t="s">
        <v>1240</v>
      </c>
      <c r="AF56" s="293"/>
      <c r="AG56" s="30"/>
      <c r="AH56" s="31"/>
      <c r="AI56" s="33"/>
    </row>
    <row r="57" spans="2:40" hidden="1" x14ac:dyDescent="0.2">
      <c r="B57" s="219">
        <v>53</v>
      </c>
      <c r="C57" s="219" t="s">
        <v>1239</v>
      </c>
      <c r="D57" s="220" t="s">
        <v>1165</v>
      </c>
      <c r="E57" s="1" t="str">
        <f t="shared" si="1"/>
        <v>Flachheizkoerper_glatt</v>
      </c>
      <c r="F57" s="221" t="s">
        <v>1092</v>
      </c>
      <c r="G57" s="222">
        <v>900</v>
      </c>
      <c r="H57" s="223">
        <v>1000</v>
      </c>
      <c r="I57" s="223">
        <f>Data_radiator!$G57*Data_radiator!$H57/1000000</f>
        <v>0.9</v>
      </c>
      <c r="J57" s="224"/>
      <c r="K57" s="222">
        <v>850</v>
      </c>
      <c r="L57" s="222">
        <v>100</v>
      </c>
      <c r="M57" s="223"/>
      <c r="N57" s="223"/>
      <c r="O57" s="223"/>
      <c r="P57" s="223"/>
      <c r="Q57" s="223"/>
      <c r="R57" s="223"/>
      <c r="S57" s="223"/>
      <c r="T57" s="223"/>
      <c r="U57" s="223"/>
      <c r="V57" s="223"/>
      <c r="W57" s="223"/>
      <c r="X57" s="223">
        <v>1.33</v>
      </c>
      <c r="Y57" s="222"/>
      <c r="Z57" s="222">
        <v>1843</v>
      </c>
      <c r="AA57" s="222"/>
      <c r="AB57" s="222"/>
      <c r="AC57" s="225"/>
      <c r="AF57" s="293"/>
      <c r="AG57" s="30"/>
      <c r="AH57" s="31"/>
      <c r="AI57" s="32"/>
    </row>
    <row r="58" spans="2:40" hidden="1" x14ac:dyDescent="0.2">
      <c r="B58" s="1">
        <v>54</v>
      </c>
      <c r="C58" s="1" t="s">
        <v>1239</v>
      </c>
      <c r="D58" s="214" t="s">
        <v>1165</v>
      </c>
      <c r="E58" s="1" t="str">
        <f t="shared" si="1"/>
        <v>Flachheizkoerper_glatt</v>
      </c>
      <c r="F58" s="215" t="s">
        <v>1093</v>
      </c>
      <c r="G58" s="105">
        <v>900</v>
      </c>
      <c r="H58" s="216">
        <v>1000</v>
      </c>
      <c r="I58" s="216">
        <f>Data_radiator!$G58*Data_radiator!$H58/1000000</f>
        <v>0.9</v>
      </c>
      <c r="J58" s="217"/>
      <c r="K58" s="105">
        <v>850</v>
      </c>
      <c r="L58" s="105">
        <v>100</v>
      </c>
      <c r="M58" s="216"/>
      <c r="N58" s="216"/>
      <c r="O58" s="216"/>
      <c r="P58" s="216"/>
      <c r="Q58" s="216"/>
      <c r="R58" s="216"/>
      <c r="S58" s="216"/>
      <c r="T58" s="216"/>
      <c r="U58" s="216"/>
      <c r="V58" s="216"/>
      <c r="W58" s="216"/>
      <c r="X58" s="216">
        <v>1.32</v>
      </c>
      <c r="Y58" s="105"/>
      <c r="Z58" s="105">
        <v>2269</v>
      </c>
      <c r="AA58" s="105"/>
      <c r="AB58" s="105"/>
      <c r="AC58" s="218"/>
      <c r="AF58" s="293"/>
      <c r="AG58" s="34"/>
      <c r="AH58" s="31"/>
      <c r="AI58" s="32"/>
    </row>
    <row r="59" spans="2:40" hidden="1" x14ac:dyDescent="0.2">
      <c r="B59" s="219">
        <v>55</v>
      </c>
      <c r="C59" s="219" t="s">
        <v>1239</v>
      </c>
      <c r="D59" s="220" t="s">
        <v>1165</v>
      </c>
      <c r="E59" s="1" t="str">
        <f t="shared" si="1"/>
        <v>Flachheizkoerper_glatt</v>
      </c>
      <c r="F59" s="221" t="s">
        <v>1097</v>
      </c>
      <c r="G59" s="222">
        <v>900</v>
      </c>
      <c r="H59" s="223">
        <v>1000</v>
      </c>
      <c r="I59" s="223">
        <f>Data_radiator!$G59*Data_radiator!$H59/1000000</f>
        <v>0.9</v>
      </c>
      <c r="J59" s="224"/>
      <c r="K59" s="222">
        <v>850</v>
      </c>
      <c r="L59" s="222">
        <v>155</v>
      </c>
      <c r="M59" s="223"/>
      <c r="N59" s="223"/>
      <c r="O59" s="223"/>
      <c r="P59" s="223"/>
      <c r="Q59" s="223"/>
      <c r="R59" s="223"/>
      <c r="S59" s="223"/>
      <c r="T59" s="223"/>
      <c r="U59" s="223"/>
      <c r="V59" s="223"/>
      <c r="W59" s="223"/>
      <c r="X59" s="223">
        <v>1.3</v>
      </c>
      <c r="Y59" s="222"/>
      <c r="Z59" s="222">
        <f>MEDIAN(1878,1927,1867)</f>
        <v>1878</v>
      </c>
      <c r="AA59" s="222"/>
      <c r="AB59" s="222"/>
      <c r="AC59" s="225" t="s">
        <v>1240</v>
      </c>
      <c r="AF59" s="131"/>
      <c r="AG59" s="34"/>
      <c r="AH59" s="31"/>
      <c r="AI59" s="32"/>
    </row>
    <row r="60" spans="2:40" hidden="1" x14ac:dyDescent="0.2">
      <c r="B60" s="1">
        <v>56</v>
      </c>
      <c r="C60" s="1" t="s">
        <v>1239</v>
      </c>
      <c r="D60" s="214" t="s">
        <v>1165</v>
      </c>
      <c r="E60" s="1" t="str">
        <f t="shared" si="1"/>
        <v>Flachheizkoerper_glatt</v>
      </c>
      <c r="F60" s="215" t="s">
        <v>1099</v>
      </c>
      <c r="G60" s="105">
        <v>900</v>
      </c>
      <c r="H60" s="216">
        <v>1000</v>
      </c>
      <c r="I60" s="216">
        <f>Data_radiator!$G60*Data_radiator!$H60/1000000</f>
        <v>0.9</v>
      </c>
      <c r="J60" s="217"/>
      <c r="K60" s="105">
        <v>850</v>
      </c>
      <c r="L60" s="105">
        <v>155</v>
      </c>
      <c r="M60" s="216"/>
      <c r="N60" s="216"/>
      <c r="O60" s="216"/>
      <c r="P60" s="216"/>
      <c r="Q60" s="216"/>
      <c r="R60" s="216"/>
      <c r="S60" s="216"/>
      <c r="T60" s="216"/>
      <c r="U60" s="216"/>
      <c r="V60" s="216"/>
      <c r="W60" s="216"/>
      <c r="X60" s="216">
        <v>1.33</v>
      </c>
      <c r="Y60" s="105"/>
      <c r="Z60" s="105">
        <v>3232</v>
      </c>
      <c r="AA60" s="105"/>
      <c r="AB60" s="105"/>
      <c r="AC60" s="218"/>
      <c r="AF60" s="293"/>
      <c r="AG60" s="30"/>
      <c r="AH60" s="31"/>
      <c r="AI60" s="33"/>
    </row>
    <row r="61" spans="2:40" hidden="1" x14ac:dyDescent="0.2">
      <c r="B61" s="219">
        <v>57</v>
      </c>
      <c r="E61" s="219" t="s">
        <v>1075</v>
      </c>
      <c r="F61" s="220" t="s">
        <v>1078</v>
      </c>
      <c r="G61" s="222">
        <v>280</v>
      </c>
      <c r="H61" s="223"/>
      <c r="I61" s="223"/>
      <c r="J61" s="223"/>
      <c r="K61" s="222">
        <v>200</v>
      </c>
      <c r="L61" s="222">
        <v>250</v>
      </c>
      <c r="M61" s="223"/>
      <c r="N61" s="223"/>
      <c r="O61" s="223"/>
      <c r="P61" s="223"/>
      <c r="Q61" s="223"/>
      <c r="R61" s="223"/>
      <c r="S61" s="223"/>
      <c r="T61" s="223"/>
      <c r="U61" s="223"/>
      <c r="V61" s="223"/>
      <c r="W61" s="223"/>
      <c r="X61" s="223">
        <v>1.3</v>
      </c>
      <c r="Y61" s="222"/>
      <c r="Z61" s="222"/>
      <c r="AA61" s="222">
        <v>69</v>
      </c>
      <c r="AB61" s="222"/>
      <c r="AC61" s="225"/>
      <c r="AF61" s="293"/>
      <c r="AG61" s="30"/>
      <c r="AH61" s="31"/>
      <c r="AI61" s="32"/>
    </row>
    <row r="62" spans="2:40" hidden="1" x14ac:dyDescent="0.2">
      <c r="B62" s="1">
        <v>58</v>
      </c>
      <c r="E62" s="1" t="s">
        <v>1075</v>
      </c>
      <c r="F62" s="214" t="s">
        <v>1078</v>
      </c>
      <c r="G62" s="105">
        <v>430</v>
      </c>
      <c r="H62" s="216"/>
      <c r="I62" s="216"/>
      <c r="J62" s="216"/>
      <c r="K62" s="105">
        <v>350</v>
      </c>
      <c r="L62" s="105">
        <v>70</v>
      </c>
      <c r="M62" s="216"/>
      <c r="N62" s="216"/>
      <c r="O62" s="216"/>
      <c r="P62" s="216"/>
      <c r="Q62" s="216"/>
      <c r="R62" s="216"/>
      <c r="S62" s="216"/>
      <c r="T62" s="216"/>
      <c r="U62" s="216"/>
      <c r="V62" s="216"/>
      <c r="W62" s="216"/>
      <c r="X62" s="216">
        <v>1.3</v>
      </c>
      <c r="Y62" s="105"/>
      <c r="Z62" s="105"/>
      <c r="AA62" s="105">
        <v>41</v>
      </c>
      <c r="AB62" s="105"/>
      <c r="AC62" s="218"/>
      <c r="AF62" s="293"/>
      <c r="AG62" s="30"/>
      <c r="AH62" s="31"/>
      <c r="AI62" s="32"/>
    </row>
    <row r="63" spans="2:40" hidden="1" x14ac:dyDescent="0.2">
      <c r="B63" s="219">
        <v>59</v>
      </c>
      <c r="E63" s="219" t="s">
        <v>1075</v>
      </c>
      <c r="F63" s="220" t="s">
        <v>1078</v>
      </c>
      <c r="G63" s="222">
        <v>430</v>
      </c>
      <c r="H63" s="223"/>
      <c r="I63" s="223"/>
      <c r="J63" s="223"/>
      <c r="K63" s="222">
        <v>350</v>
      </c>
      <c r="L63" s="222">
        <v>110</v>
      </c>
      <c r="M63" s="223"/>
      <c r="N63" s="223"/>
      <c r="O63" s="223"/>
      <c r="P63" s="223"/>
      <c r="Q63" s="223"/>
      <c r="R63" s="223"/>
      <c r="S63" s="223"/>
      <c r="T63" s="223"/>
      <c r="U63" s="223"/>
      <c r="V63" s="223"/>
      <c r="W63" s="223"/>
      <c r="X63" s="223">
        <v>1.3</v>
      </c>
      <c r="Y63" s="222"/>
      <c r="Z63" s="222"/>
      <c r="AA63" s="222">
        <v>53</v>
      </c>
      <c r="AB63" s="222"/>
      <c r="AC63" s="225"/>
      <c r="AF63" s="293"/>
      <c r="AG63" s="34"/>
      <c r="AH63" s="31"/>
      <c r="AI63" s="33"/>
    </row>
    <row r="64" spans="2:40" hidden="1" x14ac:dyDescent="0.2">
      <c r="B64" s="1">
        <v>60</v>
      </c>
      <c r="E64" s="1" t="s">
        <v>1075</v>
      </c>
      <c r="F64" s="214" t="s">
        <v>1078</v>
      </c>
      <c r="G64" s="105">
        <v>430</v>
      </c>
      <c r="H64" s="216"/>
      <c r="I64" s="216"/>
      <c r="J64" s="216"/>
      <c r="K64" s="105">
        <v>350</v>
      </c>
      <c r="L64" s="105">
        <v>160</v>
      </c>
      <c r="M64" s="216"/>
      <c r="N64" s="216"/>
      <c r="O64" s="216"/>
      <c r="P64" s="216"/>
      <c r="Q64" s="216"/>
      <c r="R64" s="216"/>
      <c r="S64" s="216"/>
      <c r="T64" s="216"/>
      <c r="U64" s="216"/>
      <c r="V64" s="216"/>
      <c r="W64" s="216"/>
      <c r="X64" s="216">
        <v>1.3</v>
      </c>
      <c r="Y64" s="105"/>
      <c r="Z64" s="105"/>
      <c r="AA64" s="105">
        <v>70</v>
      </c>
      <c r="AB64" s="105"/>
      <c r="AC64" s="218"/>
    </row>
    <row r="65" spans="2:36" hidden="1" x14ac:dyDescent="0.2">
      <c r="B65" s="219">
        <v>61</v>
      </c>
      <c r="E65" s="219" t="s">
        <v>1075</v>
      </c>
      <c r="F65" s="220" t="s">
        <v>1078</v>
      </c>
      <c r="G65" s="222">
        <v>430</v>
      </c>
      <c r="H65" s="223"/>
      <c r="I65" s="223"/>
      <c r="J65" s="223"/>
      <c r="K65" s="222">
        <v>350</v>
      </c>
      <c r="L65" s="222">
        <v>220</v>
      </c>
      <c r="M65" s="223"/>
      <c r="N65" s="223"/>
      <c r="O65" s="223"/>
      <c r="P65" s="223"/>
      <c r="Q65" s="223"/>
      <c r="R65" s="223"/>
      <c r="S65" s="223"/>
      <c r="T65" s="223"/>
      <c r="U65" s="223"/>
      <c r="V65" s="223"/>
      <c r="W65" s="223"/>
      <c r="X65" s="223">
        <v>1.3</v>
      </c>
      <c r="Y65" s="222"/>
      <c r="Z65" s="222"/>
      <c r="AA65" s="222">
        <v>92</v>
      </c>
      <c r="AB65" s="222"/>
      <c r="AC65" s="225"/>
    </row>
    <row r="66" spans="2:36" hidden="1" x14ac:dyDescent="0.2">
      <c r="B66" s="1">
        <v>62</v>
      </c>
      <c r="E66" s="1" t="s">
        <v>1075</v>
      </c>
      <c r="F66" s="214" t="s">
        <v>1078</v>
      </c>
      <c r="G66" s="105">
        <v>580</v>
      </c>
      <c r="H66" s="216"/>
      <c r="I66" s="216"/>
      <c r="J66" s="216"/>
      <c r="K66" s="105">
        <v>500</v>
      </c>
      <c r="L66" s="105">
        <v>70</v>
      </c>
      <c r="M66" s="216"/>
      <c r="N66" s="216"/>
      <c r="O66" s="216"/>
      <c r="P66" s="216"/>
      <c r="Q66" s="216"/>
      <c r="R66" s="216"/>
      <c r="S66" s="216"/>
      <c r="T66" s="216"/>
      <c r="U66" s="216"/>
      <c r="V66" s="216"/>
      <c r="W66" s="216"/>
      <c r="X66" s="216">
        <v>1.3</v>
      </c>
      <c r="Y66" s="105"/>
      <c r="Z66" s="105"/>
      <c r="AA66" s="105">
        <v>51</v>
      </c>
      <c r="AB66" s="105"/>
      <c r="AC66" s="218"/>
    </row>
    <row r="67" spans="2:36" hidden="1" x14ac:dyDescent="0.2">
      <c r="B67" s="219">
        <v>63</v>
      </c>
      <c r="E67" s="219" t="s">
        <v>1075</v>
      </c>
      <c r="F67" s="220" t="s">
        <v>1078</v>
      </c>
      <c r="G67" s="222">
        <v>580</v>
      </c>
      <c r="H67" s="223"/>
      <c r="I67" s="223"/>
      <c r="J67" s="223"/>
      <c r="K67" s="222">
        <v>500</v>
      </c>
      <c r="L67" s="222">
        <v>110</v>
      </c>
      <c r="M67" s="223"/>
      <c r="N67" s="223"/>
      <c r="O67" s="223"/>
      <c r="P67" s="223"/>
      <c r="Q67" s="223"/>
      <c r="R67" s="223"/>
      <c r="S67" s="223"/>
      <c r="T67" s="223"/>
      <c r="U67" s="223"/>
      <c r="V67" s="223"/>
      <c r="W67" s="223"/>
      <c r="X67" s="223">
        <v>1.3</v>
      </c>
      <c r="Y67" s="222"/>
      <c r="Z67" s="222"/>
      <c r="AA67" s="222">
        <v>69</v>
      </c>
      <c r="AB67" s="222"/>
      <c r="AC67" s="225"/>
    </row>
    <row r="68" spans="2:36" hidden="1" x14ac:dyDescent="0.2">
      <c r="B68" s="1">
        <v>64</v>
      </c>
      <c r="E68" s="1" t="s">
        <v>1075</v>
      </c>
      <c r="F68" s="214" t="s">
        <v>1078</v>
      </c>
      <c r="G68" s="105">
        <v>580</v>
      </c>
      <c r="H68" s="216"/>
      <c r="I68" s="216"/>
      <c r="J68" s="216"/>
      <c r="K68" s="105">
        <v>500</v>
      </c>
      <c r="L68" s="105">
        <v>160</v>
      </c>
      <c r="M68" s="216"/>
      <c r="N68" s="216"/>
      <c r="O68" s="216"/>
      <c r="P68" s="216"/>
      <c r="Q68" s="216"/>
      <c r="R68" s="216"/>
      <c r="S68" s="216"/>
      <c r="T68" s="216"/>
      <c r="U68" s="216"/>
      <c r="V68" s="216"/>
      <c r="W68" s="216"/>
      <c r="X68" s="216">
        <v>1.3</v>
      </c>
      <c r="Y68" s="105"/>
      <c r="Z68" s="105"/>
      <c r="AA68" s="105">
        <v>95</v>
      </c>
      <c r="AB68" s="105"/>
      <c r="AC68" s="218"/>
    </row>
    <row r="69" spans="2:36" hidden="1" x14ac:dyDescent="0.2">
      <c r="B69" s="219">
        <v>65</v>
      </c>
      <c r="E69" s="219" t="s">
        <v>1075</v>
      </c>
      <c r="F69" s="220" t="s">
        <v>1078</v>
      </c>
      <c r="G69" s="222">
        <v>580</v>
      </c>
      <c r="H69" s="223"/>
      <c r="I69" s="223"/>
      <c r="J69" s="223"/>
      <c r="K69" s="222">
        <v>500</v>
      </c>
      <c r="L69" s="222">
        <v>220</v>
      </c>
      <c r="M69" s="223"/>
      <c r="N69" s="223"/>
      <c r="O69" s="223"/>
      <c r="P69" s="223"/>
      <c r="Q69" s="223"/>
      <c r="R69" s="223"/>
      <c r="S69" s="223"/>
      <c r="T69" s="223"/>
      <c r="U69" s="223"/>
      <c r="V69" s="223"/>
      <c r="W69" s="223"/>
      <c r="X69" s="223">
        <v>1.3</v>
      </c>
      <c r="Y69" s="222"/>
      <c r="Z69" s="222"/>
      <c r="AA69" s="222">
        <v>122</v>
      </c>
      <c r="AB69" s="222"/>
      <c r="AC69" s="225"/>
    </row>
    <row r="70" spans="2:36" hidden="1" x14ac:dyDescent="0.2">
      <c r="B70" s="1">
        <v>66</v>
      </c>
      <c r="E70" s="1" t="s">
        <v>1075</v>
      </c>
      <c r="F70" s="214" t="s">
        <v>1078</v>
      </c>
      <c r="G70" s="105">
        <v>680</v>
      </c>
      <c r="H70" s="216"/>
      <c r="I70" s="216"/>
      <c r="J70" s="216"/>
      <c r="K70" s="105">
        <v>600</v>
      </c>
      <c r="L70" s="105">
        <v>160</v>
      </c>
      <c r="M70" s="216"/>
      <c r="N70" s="216"/>
      <c r="O70" s="216"/>
      <c r="P70" s="216"/>
      <c r="Q70" s="216"/>
      <c r="R70" s="216"/>
      <c r="S70" s="216"/>
      <c r="T70" s="216"/>
      <c r="U70" s="216"/>
      <c r="V70" s="216"/>
      <c r="W70" s="216"/>
      <c r="X70" s="216">
        <v>1.3</v>
      </c>
      <c r="Y70" s="105"/>
      <c r="Z70" s="105"/>
      <c r="AA70" s="105">
        <v>111</v>
      </c>
      <c r="AB70" s="105"/>
      <c r="AC70" s="218"/>
    </row>
    <row r="71" spans="2:36" hidden="1" x14ac:dyDescent="0.2">
      <c r="B71" s="219">
        <v>67</v>
      </c>
      <c r="E71" s="219" t="s">
        <v>1075</v>
      </c>
      <c r="F71" s="220" t="s">
        <v>1078</v>
      </c>
      <c r="G71" s="222">
        <v>980</v>
      </c>
      <c r="H71" s="223"/>
      <c r="I71" s="223"/>
      <c r="J71" s="223"/>
      <c r="K71" s="222">
        <v>900</v>
      </c>
      <c r="L71" s="222">
        <v>70</v>
      </c>
      <c r="M71" s="223"/>
      <c r="N71" s="223"/>
      <c r="O71" s="223"/>
      <c r="P71" s="223"/>
      <c r="Q71" s="223"/>
      <c r="R71" s="223"/>
      <c r="S71" s="223"/>
      <c r="T71" s="223"/>
      <c r="U71" s="223"/>
      <c r="V71" s="223"/>
      <c r="W71" s="223"/>
      <c r="X71" s="223">
        <v>1.3</v>
      </c>
      <c r="Y71" s="222"/>
      <c r="Z71" s="222"/>
      <c r="AA71" s="222">
        <v>84</v>
      </c>
      <c r="AB71" s="222"/>
      <c r="AC71" s="225"/>
    </row>
    <row r="72" spans="2:36" hidden="1" x14ac:dyDescent="0.2">
      <c r="B72" s="1">
        <v>68</v>
      </c>
      <c r="E72" s="1" t="s">
        <v>1075</v>
      </c>
      <c r="F72" s="214" t="s">
        <v>1078</v>
      </c>
      <c r="G72" s="105">
        <v>980</v>
      </c>
      <c r="H72" s="216"/>
      <c r="I72" s="216"/>
      <c r="J72" s="216"/>
      <c r="K72" s="105">
        <v>900</v>
      </c>
      <c r="L72" s="105">
        <v>160</v>
      </c>
      <c r="M72" s="216"/>
      <c r="N72" s="216"/>
      <c r="O72" s="216"/>
      <c r="P72" s="216"/>
      <c r="Q72" s="216"/>
      <c r="R72" s="216"/>
      <c r="S72" s="216"/>
      <c r="T72" s="216"/>
      <c r="U72" s="216"/>
      <c r="V72" s="216"/>
      <c r="W72" s="216"/>
      <c r="X72" s="216">
        <v>1.3</v>
      </c>
      <c r="Y72" s="105"/>
      <c r="Z72" s="105"/>
      <c r="AA72" s="105">
        <v>154</v>
      </c>
      <c r="AB72" s="105"/>
      <c r="AC72" s="218"/>
    </row>
    <row r="73" spans="2:36" hidden="1" x14ac:dyDescent="0.2">
      <c r="B73" s="219">
        <v>69</v>
      </c>
      <c r="E73" s="219" t="s">
        <v>1075</v>
      </c>
      <c r="F73" s="220" t="s">
        <v>1078</v>
      </c>
      <c r="G73" s="222">
        <v>980</v>
      </c>
      <c r="H73" s="223"/>
      <c r="I73" s="223"/>
      <c r="J73" s="223"/>
      <c r="K73" s="222">
        <v>900</v>
      </c>
      <c r="L73" s="222">
        <v>220</v>
      </c>
      <c r="M73" s="223"/>
      <c r="N73" s="223"/>
      <c r="O73" s="223"/>
      <c r="P73" s="223"/>
      <c r="Q73" s="223"/>
      <c r="R73" s="223"/>
      <c r="S73" s="223"/>
      <c r="T73" s="223"/>
      <c r="U73" s="223"/>
      <c r="V73" s="223"/>
      <c r="W73" s="223"/>
      <c r="X73" s="223">
        <v>1.3</v>
      </c>
      <c r="Y73" s="222"/>
      <c r="Z73" s="222"/>
      <c r="AA73" s="222">
        <v>196</v>
      </c>
      <c r="AB73" s="222"/>
      <c r="AC73" s="225"/>
    </row>
    <row r="74" spans="2:36" hidden="1" x14ac:dyDescent="0.2">
      <c r="B74" s="1">
        <v>70</v>
      </c>
      <c r="E74" s="1" t="s">
        <v>1075</v>
      </c>
      <c r="F74" s="214" t="s">
        <v>1084</v>
      </c>
      <c r="G74" s="105">
        <v>300</v>
      </c>
      <c r="H74" s="216"/>
      <c r="I74" s="216"/>
      <c r="J74" s="216"/>
      <c r="K74" s="105">
        <v>200</v>
      </c>
      <c r="L74" s="105">
        <v>160</v>
      </c>
      <c r="M74" s="216"/>
      <c r="N74" s="216"/>
      <c r="O74" s="216"/>
      <c r="P74" s="216"/>
      <c r="Q74" s="216"/>
      <c r="R74" s="216"/>
      <c r="S74" s="216"/>
      <c r="T74" s="216"/>
      <c r="U74" s="216"/>
      <c r="V74" s="216"/>
      <c r="W74" s="216"/>
      <c r="X74" s="216">
        <v>1.3</v>
      </c>
      <c r="Y74" s="105"/>
      <c r="Z74" s="105"/>
      <c r="AA74" s="105">
        <v>38</v>
      </c>
      <c r="AB74" s="105"/>
      <c r="AC74" s="218"/>
    </row>
    <row r="75" spans="2:36" hidden="1" x14ac:dyDescent="0.2">
      <c r="B75" s="219">
        <v>71</v>
      </c>
      <c r="E75" s="219" t="s">
        <v>1075</v>
      </c>
      <c r="F75" s="220" t="s">
        <v>1084</v>
      </c>
      <c r="G75" s="222">
        <v>300</v>
      </c>
      <c r="H75" s="223"/>
      <c r="I75" s="223"/>
      <c r="J75" s="223"/>
      <c r="K75" s="222">
        <v>200</v>
      </c>
      <c r="L75" s="222">
        <v>250</v>
      </c>
      <c r="M75" s="223"/>
      <c r="N75" s="223"/>
      <c r="O75" s="223"/>
      <c r="P75" s="223"/>
      <c r="Q75" s="223"/>
      <c r="R75" s="223"/>
      <c r="S75" s="223"/>
      <c r="T75" s="223"/>
      <c r="U75" s="223"/>
      <c r="V75" s="223"/>
      <c r="W75" s="223"/>
      <c r="X75" s="223">
        <v>1.3</v>
      </c>
      <c r="Y75" s="222"/>
      <c r="Z75" s="222"/>
      <c r="AA75" s="222">
        <v>58</v>
      </c>
      <c r="AB75" s="222"/>
      <c r="AC75" s="225"/>
    </row>
    <row r="76" spans="2:36" ht="18.75" hidden="1" customHeight="1" x14ac:dyDescent="0.2">
      <c r="B76" s="1">
        <v>72</v>
      </c>
      <c r="E76" s="1" t="s">
        <v>1075</v>
      </c>
      <c r="F76" s="214" t="s">
        <v>1084</v>
      </c>
      <c r="G76" s="105">
        <v>450</v>
      </c>
      <c r="H76" s="216"/>
      <c r="I76" s="216"/>
      <c r="J76" s="216"/>
      <c r="K76" s="105">
        <v>350</v>
      </c>
      <c r="L76" s="105">
        <v>110</v>
      </c>
      <c r="M76" s="216"/>
      <c r="N76" s="216"/>
      <c r="O76" s="216"/>
      <c r="P76" s="216"/>
      <c r="Q76" s="216"/>
      <c r="R76" s="216"/>
      <c r="S76" s="216"/>
      <c r="T76" s="216"/>
      <c r="U76" s="216"/>
      <c r="V76" s="216"/>
      <c r="W76" s="216"/>
      <c r="X76" s="216">
        <v>1.3</v>
      </c>
      <c r="Y76" s="105"/>
      <c r="Z76" s="105"/>
      <c r="AA76" s="105">
        <v>42</v>
      </c>
      <c r="AB76" s="105"/>
      <c r="AC76" s="218"/>
      <c r="AE76" s="37"/>
      <c r="AF76" s="38"/>
      <c r="AG76" s="37"/>
      <c r="AH76" s="37"/>
      <c r="AI76" s="37"/>
      <c r="AJ76" s="39"/>
    </row>
    <row r="77" spans="2:36" hidden="1" x14ac:dyDescent="0.2">
      <c r="B77" s="219">
        <v>73</v>
      </c>
      <c r="E77" s="219" t="s">
        <v>1075</v>
      </c>
      <c r="F77" s="220" t="s">
        <v>1084</v>
      </c>
      <c r="G77" s="222">
        <v>450</v>
      </c>
      <c r="H77" s="223"/>
      <c r="I77" s="223"/>
      <c r="J77" s="223"/>
      <c r="K77" s="222">
        <v>350</v>
      </c>
      <c r="L77" s="222">
        <v>160</v>
      </c>
      <c r="M77" s="223"/>
      <c r="N77" s="223"/>
      <c r="O77" s="223"/>
      <c r="P77" s="223"/>
      <c r="Q77" s="223"/>
      <c r="R77" s="223"/>
      <c r="S77" s="223"/>
      <c r="T77" s="223"/>
      <c r="U77" s="223"/>
      <c r="V77" s="223"/>
      <c r="W77" s="223"/>
      <c r="X77" s="223">
        <v>1.3</v>
      </c>
      <c r="Y77" s="222"/>
      <c r="Z77" s="222"/>
      <c r="AA77" s="222">
        <v>56</v>
      </c>
      <c r="AB77" s="222"/>
      <c r="AC77" s="225"/>
      <c r="AE77" s="289"/>
      <c r="AF77" s="291"/>
      <c r="AG77" s="40"/>
      <c r="AH77" s="41"/>
      <c r="AI77" s="42"/>
      <c r="AJ77" s="43"/>
    </row>
    <row r="78" spans="2:36" hidden="1" x14ac:dyDescent="0.2">
      <c r="B78" s="1">
        <v>74</v>
      </c>
      <c r="E78" s="1" t="s">
        <v>1075</v>
      </c>
      <c r="F78" s="214" t="s">
        <v>1084</v>
      </c>
      <c r="G78" s="105">
        <v>450</v>
      </c>
      <c r="H78" s="216"/>
      <c r="I78" s="216"/>
      <c r="J78" s="216"/>
      <c r="K78" s="105">
        <v>350</v>
      </c>
      <c r="L78" s="105">
        <v>250</v>
      </c>
      <c r="M78" s="216"/>
      <c r="N78" s="216"/>
      <c r="O78" s="216"/>
      <c r="P78" s="216"/>
      <c r="Q78" s="216"/>
      <c r="R78" s="216"/>
      <c r="S78" s="216"/>
      <c r="T78" s="216"/>
      <c r="U78" s="216"/>
      <c r="V78" s="216"/>
      <c r="W78" s="216"/>
      <c r="X78" s="216">
        <v>1.3</v>
      </c>
      <c r="Y78" s="105"/>
      <c r="Z78" s="105"/>
      <c r="AA78" s="105">
        <v>75</v>
      </c>
      <c r="AB78" s="105"/>
      <c r="AC78" s="218"/>
      <c r="AE78" s="289"/>
      <c r="AF78" s="291"/>
      <c r="AG78" s="40"/>
      <c r="AH78" s="41"/>
      <c r="AI78" s="42"/>
      <c r="AJ78" s="41"/>
    </row>
    <row r="79" spans="2:36" hidden="1" x14ac:dyDescent="0.2">
      <c r="B79" s="219">
        <v>75</v>
      </c>
      <c r="E79" s="219" t="s">
        <v>1075</v>
      </c>
      <c r="F79" s="220" t="s">
        <v>1084</v>
      </c>
      <c r="G79" s="222">
        <v>600</v>
      </c>
      <c r="H79" s="223"/>
      <c r="I79" s="223"/>
      <c r="J79" s="223"/>
      <c r="K79" s="222">
        <v>500</v>
      </c>
      <c r="L79" s="222">
        <v>110</v>
      </c>
      <c r="M79" s="223"/>
      <c r="N79" s="223"/>
      <c r="O79" s="223"/>
      <c r="P79" s="223"/>
      <c r="Q79" s="223"/>
      <c r="R79" s="223"/>
      <c r="S79" s="223"/>
      <c r="T79" s="223"/>
      <c r="U79" s="223"/>
      <c r="V79" s="223"/>
      <c r="W79" s="223"/>
      <c r="X79" s="223">
        <v>1.3</v>
      </c>
      <c r="Y79" s="222"/>
      <c r="Z79" s="222"/>
      <c r="AA79" s="222">
        <v>55</v>
      </c>
      <c r="AB79" s="222"/>
      <c r="AC79" s="225"/>
      <c r="AE79" s="289"/>
      <c r="AF79" s="291"/>
      <c r="AG79" s="40"/>
      <c r="AH79" s="41"/>
      <c r="AI79" s="42"/>
      <c r="AJ79" s="43"/>
    </row>
    <row r="80" spans="2:36" hidden="1" x14ac:dyDescent="0.2">
      <c r="B80" s="1">
        <v>76</v>
      </c>
      <c r="E80" s="1" t="s">
        <v>1075</v>
      </c>
      <c r="F80" s="214" t="s">
        <v>1084</v>
      </c>
      <c r="G80" s="105">
        <v>600</v>
      </c>
      <c r="H80" s="216"/>
      <c r="I80" s="216"/>
      <c r="J80" s="216"/>
      <c r="K80" s="105">
        <v>500</v>
      </c>
      <c r="L80" s="105">
        <v>160</v>
      </c>
      <c r="M80" s="216"/>
      <c r="N80" s="216"/>
      <c r="O80" s="216"/>
      <c r="P80" s="216"/>
      <c r="Q80" s="216"/>
      <c r="R80" s="216"/>
      <c r="S80" s="216"/>
      <c r="T80" s="216"/>
      <c r="U80" s="216"/>
      <c r="V80" s="216"/>
      <c r="W80" s="216"/>
      <c r="X80" s="216">
        <v>1.3</v>
      </c>
      <c r="Y80" s="105"/>
      <c r="Z80" s="105"/>
      <c r="AA80" s="105">
        <v>75</v>
      </c>
      <c r="AB80" s="105"/>
      <c r="AC80" s="218"/>
      <c r="AE80" s="289"/>
      <c r="AF80" s="291"/>
      <c r="AG80" s="40"/>
      <c r="AH80" s="41"/>
      <c r="AI80" s="42"/>
      <c r="AJ80" s="41"/>
    </row>
    <row r="81" spans="2:36" hidden="1" x14ac:dyDescent="0.2">
      <c r="B81" s="219">
        <v>77</v>
      </c>
      <c r="E81" s="219" t="s">
        <v>1075</v>
      </c>
      <c r="F81" s="220" t="s">
        <v>1084</v>
      </c>
      <c r="G81" s="222">
        <v>600</v>
      </c>
      <c r="H81" s="223"/>
      <c r="I81" s="223"/>
      <c r="J81" s="223"/>
      <c r="K81" s="222">
        <v>500</v>
      </c>
      <c r="L81" s="222">
        <v>250</v>
      </c>
      <c r="M81" s="223"/>
      <c r="N81" s="223"/>
      <c r="O81" s="223"/>
      <c r="P81" s="223"/>
      <c r="Q81" s="223"/>
      <c r="R81" s="223"/>
      <c r="S81" s="223"/>
      <c r="T81" s="223"/>
      <c r="U81" s="223"/>
      <c r="V81" s="223"/>
      <c r="W81" s="223"/>
      <c r="X81" s="223">
        <v>1.3</v>
      </c>
      <c r="Y81" s="222"/>
      <c r="Z81" s="222"/>
      <c r="AA81" s="222">
        <v>96</v>
      </c>
      <c r="AB81" s="222"/>
      <c r="AC81" s="225"/>
      <c r="AE81" s="289"/>
      <c r="AF81" s="291"/>
      <c r="AG81" s="40"/>
      <c r="AH81" s="41"/>
      <c r="AI81" s="42"/>
      <c r="AJ81" s="43"/>
    </row>
    <row r="82" spans="2:36" hidden="1" x14ac:dyDescent="0.2">
      <c r="B82" s="1">
        <v>78</v>
      </c>
      <c r="E82" s="1" t="s">
        <v>1075</v>
      </c>
      <c r="F82" s="214" t="s">
        <v>1084</v>
      </c>
      <c r="G82" s="105">
        <v>1000</v>
      </c>
      <c r="H82" s="216"/>
      <c r="I82" s="216"/>
      <c r="J82" s="216"/>
      <c r="K82" s="105">
        <v>900</v>
      </c>
      <c r="L82" s="105">
        <v>110</v>
      </c>
      <c r="M82" s="216"/>
      <c r="N82" s="216"/>
      <c r="O82" s="216"/>
      <c r="P82" s="216"/>
      <c r="Q82" s="216"/>
      <c r="R82" s="216"/>
      <c r="S82" s="216"/>
      <c r="T82" s="216"/>
      <c r="U82" s="216"/>
      <c r="V82" s="216"/>
      <c r="W82" s="216"/>
      <c r="X82" s="216">
        <v>1.3</v>
      </c>
      <c r="Y82" s="105"/>
      <c r="Z82" s="105"/>
      <c r="AA82" s="105">
        <v>92</v>
      </c>
      <c r="AB82" s="105"/>
      <c r="AC82" s="218"/>
      <c r="AE82" s="289"/>
      <c r="AF82" s="290"/>
      <c r="AG82" s="40"/>
      <c r="AH82" s="41"/>
      <c r="AI82" s="42"/>
      <c r="AJ82" s="41"/>
    </row>
    <row r="83" spans="2:36" hidden="1" x14ac:dyDescent="0.2">
      <c r="B83" s="219">
        <v>79</v>
      </c>
      <c r="E83" s="219" t="s">
        <v>1075</v>
      </c>
      <c r="F83" s="220" t="s">
        <v>1084</v>
      </c>
      <c r="G83" s="222">
        <v>1000</v>
      </c>
      <c r="H83" s="223"/>
      <c r="I83" s="223"/>
      <c r="J83" s="223"/>
      <c r="K83" s="222">
        <v>900</v>
      </c>
      <c r="L83" s="222">
        <v>160</v>
      </c>
      <c r="M83" s="223"/>
      <c r="N83" s="223"/>
      <c r="O83" s="223"/>
      <c r="P83" s="223"/>
      <c r="Q83" s="223"/>
      <c r="R83" s="223"/>
      <c r="S83" s="223"/>
      <c r="T83" s="223"/>
      <c r="U83" s="223"/>
      <c r="V83" s="223"/>
      <c r="W83" s="223"/>
      <c r="X83" s="223">
        <v>1.3</v>
      </c>
      <c r="Y83" s="222"/>
      <c r="Z83" s="222"/>
      <c r="AA83" s="222">
        <v>118</v>
      </c>
      <c r="AB83" s="222"/>
      <c r="AC83" s="225"/>
      <c r="AE83" s="289"/>
      <c r="AF83" s="290"/>
      <c r="AG83" s="40"/>
      <c r="AH83" s="41"/>
      <c r="AI83" s="42"/>
      <c r="AJ83" s="43"/>
    </row>
    <row r="84" spans="2:36" hidden="1" x14ac:dyDescent="0.2">
      <c r="B84" s="1">
        <v>80</v>
      </c>
      <c r="E84" s="1" t="s">
        <v>1075</v>
      </c>
      <c r="F84" s="214" t="s">
        <v>1084</v>
      </c>
      <c r="G84" s="105">
        <v>1000</v>
      </c>
      <c r="H84" s="216"/>
      <c r="I84" s="216"/>
      <c r="J84" s="216"/>
      <c r="K84" s="105">
        <v>900</v>
      </c>
      <c r="L84" s="105">
        <v>250</v>
      </c>
      <c r="M84" s="216"/>
      <c r="N84" s="216"/>
      <c r="O84" s="216"/>
      <c r="P84" s="216"/>
      <c r="Q84" s="216"/>
      <c r="R84" s="216"/>
      <c r="S84" s="216"/>
      <c r="T84" s="216"/>
      <c r="U84" s="216"/>
      <c r="V84" s="216"/>
      <c r="W84" s="216"/>
      <c r="X84" s="216">
        <v>1.3</v>
      </c>
      <c r="Y84" s="105"/>
      <c r="Z84" s="105"/>
      <c r="AA84" s="105">
        <v>154</v>
      </c>
      <c r="AB84" s="105"/>
      <c r="AC84" s="218"/>
      <c r="AE84" s="289"/>
      <c r="AF84" s="290"/>
      <c r="AG84" s="40"/>
      <c r="AH84" s="41"/>
      <c r="AI84" s="42"/>
      <c r="AJ84" s="41"/>
    </row>
    <row r="85" spans="2:36" x14ac:dyDescent="0.2">
      <c r="B85" s="219">
        <v>81</v>
      </c>
      <c r="E85" s="219" t="s">
        <v>1076</v>
      </c>
      <c r="F85" s="220" t="s">
        <v>1079</v>
      </c>
      <c r="G85" s="222">
        <v>190</v>
      </c>
      <c r="H85" s="223"/>
      <c r="I85" s="223"/>
      <c r="J85" s="223"/>
      <c r="K85" s="222">
        <v>120</v>
      </c>
      <c r="L85" s="222">
        <v>65</v>
      </c>
      <c r="M85" s="223">
        <v>2</v>
      </c>
      <c r="N85" s="223"/>
      <c r="O85" s="223"/>
      <c r="P85" s="223"/>
      <c r="Q85" s="223"/>
      <c r="R85" s="223"/>
      <c r="S85" s="223"/>
      <c r="T85" s="223"/>
      <c r="U85" s="223"/>
      <c r="V85" s="223"/>
      <c r="W85" s="223"/>
      <c r="X85" s="223">
        <v>1.3</v>
      </c>
      <c r="Y85" s="222"/>
      <c r="Z85" s="222"/>
      <c r="AA85" s="222">
        <v>14</v>
      </c>
      <c r="AB85" s="222"/>
      <c r="AC85" s="225"/>
      <c r="AE85" s="289"/>
      <c r="AF85" s="290"/>
      <c r="AG85" s="40"/>
      <c r="AH85" s="41"/>
      <c r="AI85" s="42"/>
      <c r="AJ85" s="43"/>
    </row>
    <row r="86" spans="2:36" x14ac:dyDescent="0.2">
      <c r="B86" s="1">
        <v>82</v>
      </c>
      <c r="E86" s="1" t="s">
        <v>1076</v>
      </c>
      <c r="F86" s="214" t="s">
        <v>1079</v>
      </c>
      <c r="G86" s="105">
        <v>190</v>
      </c>
      <c r="H86" s="216"/>
      <c r="I86" s="216"/>
      <c r="J86" s="216"/>
      <c r="K86" s="105">
        <v>120</v>
      </c>
      <c r="L86" s="105">
        <v>105</v>
      </c>
      <c r="M86" s="216">
        <v>3</v>
      </c>
      <c r="N86" s="216"/>
      <c r="O86" s="216"/>
      <c r="P86" s="216"/>
      <c r="Q86" s="216"/>
      <c r="R86" s="216"/>
      <c r="S86" s="216"/>
      <c r="T86" s="216"/>
      <c r="U86" s="216"/>
      <c r="V86" s="216"/>
      <c r="W86" s="216"/>
      <c r="X86" s="216">
        <v>1.3</v>
      </c>
      <c r="Y86" s="105"/>
      <c r="Z86" s="105"/>
      <c r="AA86" s="105">
        <v>20</v>
      </c>
      <c r="AB86" s="105"/>
      <c r="AC86" s="218"/>
      <c r="AE86" s="289"/>
      <c r="AF86" s="290"/>
      <c r="AG86" s="40"/>
      <c r="AH86" s="41"/>
      <c r="AI86" s="42"/>
      <c r="AJ86" s="41"/>
    </row>
    <row r="87" spans="2:36" x14ac:dyDescent="0.2">
      <c r="B87" s="219">
        <v>83</v>
      </c>
      <c r="E87" s="219" t="s">
        <v>1076</v>
      </c>
      <c r="F87" s="220" t="s">
        <v>1079</v>
      </c>
      <c r="G87" s="222">
        <v>190</v>
      </c>
      <c r="H87" s="223"/>
      <c r="I87" s="223"/>
      <c r="J87" s="223"/>
      <c r="K87" s="222">
        <v>120</v>
      </c>
      <c r="L87" s="222">
        <v>145</v>
      </c>
      <c r="M87" s="223">
        <v>4</v>
      </c>
      <c r="N87" s="223"/>
      <c r="O87" s="223"/>
      <c r="P87" s="223"/>
      <c r="Q87" s="223"/>
      <c r="R87" s="223"/>
      <c r="S87" s="223"/>
      <c r="T87" s="223"/>
      <c r="U87" s="223"/>
      <c r="V87" s="223"/>
      <c r="W87" s="223"/>
      <c r="X87" s="223">
        <v>1.3</v>
      </c>
      <c r="Y87" s="222"/>
      <c r="Z87" s="222"/>
      <c r="AA87" s="222">
        <v>26</v>
      </c>
      <c r="AB87" s="222"/>
      <c r="AC87" s="225"/>
      <c r="AE87" s="289"/>
      <c r="AF87" s="291"/>
      <c r="AG87" s="40"/>
      <c r="AH87" s="41"/>
      <c r="AI87" s="42"/>
      <c r="AJ87" s="43"/>
    </row>
    <row r="88" spans="2:36" x14ac:dyDescent="0.2">
      <c r="B88" s="1">
        <v>84</v>
      </c>
      <c r="E88" s="1" t="s">
        <v>1076</v>
      </c>
      <c r="F88" s="214" t="s">
        <v>1079</v>
      </c>
      <c r="G88" s="105">
        <v>260</v>
      </c>
      <c r="H88" s="216"/>
      <c r="I88" s="216"/>
      <c r="J88" s="216"/>
      <c r="K88" s="105">
        <v>190</v>
      </c>
      <c r="L88" s="105">
        <v>65</v>
      </c>
      <c r="M88" s="216">
        <v>2</v>
      </c>
      <c r="N88" s="216"/>
      <c r="O88" s="216"/>
      <c r="P88" s="216"/>
      <c r="Q88" s="216"/>
      <c r="R88" s="216"/>
      <c r="S88" s="216"/>
      <c r="T88" s="216"/>
      <c r="U88" s="216"/>
      <c r="V88" s="216"/>
      <c r="W88" s="216"/>
      <c r="X88" s="216">
        <v>1.3</v>
      </c>
      <c r="Y88" s="105"/>
      <c r="Z88" s="105"/>
      <c r="AA88" s="105">
        <v>19</v>
      </c>
      <c r="AB88" s="105"/>
      <c r="AC88" s="218"/>
      <c r="AE88" s="289"/>
      <c r="AF88" s="291"/>
      <c r="AG88" s="40"/>
      <c r="AH88" s="41"/>
      <c r="AI88" s="42"/>
      <c r="AJ88" s="41"/>
    </row>
    <row r="89" spans="2:36" x14ac:dyDescent="0.2">
      <c r="B89" s="219">
        <v>85</v>
      </c>
      <c r="E89" s="219" t="s">
        <v>1076</v>
      </c>
      <c r="F89" s="220" t="s">
        <v>1079</v>
      </c>
      <c r="G89" s="222">
        <v>260</v>
      </c>
      <c r="H89" s="223"/>
      <c r="I89" s="223"/>
      <c r="J89" s="223"/>
      <c r="K89" s="222">
        <v>190</v>
      </c>
      <c r="L89" s="222">
        <v>105</v>
      </c>
      <c r="M89" s="223">
        <v>3</v>
      </c>
      <c r="N89" s="223"/>
      <c r="O89" s="223"/>
      <c r="P89" s="223"/>
      <c r="Q89" s="223"/>
      <c r="R89" s="223"/>
      <c r="S89" s="223"/>
      <c r="T89" s="223"/>
      <c r="U89" s="223"/>
      <c r="V89" s="223"/>
      <c r="W89" s="223"/>
      <c r="X89" s="223">
        <v>1.3</v>
      </c>
      <c r="Y89" s="222"/>
      <c r="Z89" s="222"/>
      <c r="AA89" s="222">
        <v>26</v>
      </c>
      <c r="AB89" s="222"/>
      <c r="AC89" s="225"/>
      <c r="AE89" s="289"/>
      <c r="AF89" s="291"/>
      <c r="AG89" s="40"/>
      <c r="AH89" s="41"/>
      <c r="AI89" s="42"/>
      <c r="AJ89" s="43"/>
    </row>
    <row r="90" spans="2:36" x14ac:dyDescent="0.2">
      <c r="B90" s="1">
        <v>86</v>
      </c>
      <c r="E90" s="1" t="s">
        <v>1076</v>
      </c>
      <c r="F90" s="214" t="s">
        <v>1079</v>
      </c>
      <c r="G90" s="105">
        <v>260</v>
      </c>
      <c r="H90" s="216"/>
      <c r="I90" s="216"/>
      <c r="J90" s="216"/>
      <c r="K90" s="105">
        <v>190</v>
      </c>
      <c r="L90" s="105">
        <v>145</v>
      </c>
      <c r="M90" s="216">
        <v>4</v>
      </c>
      <c r="N90" s="216"/>
      <c r="O90" s="216"/>
      <c r="P90" s="216"/>
      <c r="Q90" s="216"/>
      <c r="R90" s="216"/>
      <c r="S90" s="216"/>
      <c r="T90" s="216"/>
      <c r="U90" s="216"/>
      <c r="V90" s="216"/>
      <c r="W90" s="216"/>
      <c r="X90" s="216">
        <v>1.3</v>
      </c>
      <c r="Y90" s="105"/>
      <c r="Z90" s="105"/>
      <c r="AA90" s="105">
        <v>33</v>
      </c>
      <c r="AB90" s="105"/>
      <c r="AC90" s="218"/>
      <c r="AE90" s="289"/>
      <c r="AF90" s="291"/>
      <c r="AG90" s="40"/>
      <c r="AH90" s="41"/>
      <c r="AI90" s="42"/>
      <c r="AJ90" s="41"/>
    </row>
    <row r="91" spans="2:36" x14ac:dyDescent="0.2">
      <c r="B91" s="219">
        <v>87</v>
      </c>
      <c r="E91" s="219" t="s">
        <v>1076</v>
      </c>
      <c r="F91" s="220" t="s">
        <v>1079</v>
      </c>
      <c r="G91" s="222">
        <v>260</v>
      </c>
      <c r="H91" s="223"/>
      <c r="I91" s="223"/>
      <c r="J91" s="223"/>
      <c r="K91" s="222">
        <v>190</v>
      </c>
      <c r="L91" s="222">
        <v>185</v>
      </c>
      <c r="M91" s="223">
        <v>5</v>
      </c>
      <c r="N91" s="223"/>
      <c r="O91" s="223"/>
      <c r="P91" s="223"/>
      <c r="Q91" s="223"/>
      <c r="R91" s="223"/>
      <c r="S91" s="223"/>
      <c r="T91" s="223"/>
      <c r="U91" s="223"/>
      <c r="V91" s="223"/>
      <c r="W91" s="223"/>
      <c r="X91" s="223">
        <v>1.3</v>
      </c>
      <c r="Y91" s="222"/>
      <c r="Z91" s="222"/>
      <c r="AA91" s="222">
        <v>42</v>
      </c>
      <c r="AB91" s="222"/>
      <c r="AC91" s="225"/>
      <c r="AE91" s="289"/>
      <c r="AF91" s="291"/>
      <c r="AG91" s="40"/>
      <c r="AH91" s="41"/>
      <c r="AI91" s="42"/>
      <c r="AJ91" s="43"/>
    </row>
    <row r="92" spans="2:36" x14ac:dyDescent="0.2">
      <c r="B92" s="1">
        <v>88</v>
      </c>
      <c r="E92" s="1" t="s">
        <v>1076</v>
      </c>
      <c r="F92" s="214" t="s">
        <v>1079</v>
      </c>
      <c r="G92" s="105">
        <v>260</v>
      </c>
      <c r="H92" s="216"/>
      <c r="I92" s="216"/>
      <c r="J92" s="216"/>
      <c r="K92" s="105">
        <v>190</v>
      </c>
      <c r="L92" s="105">
        <v>225</v>
      </c>
      <c r="M92" s="216">
        <v>6</v>
      </c>
      <c r="N92" s="216"/>
      <c r="O92" s="216"/>
      <c r="P92" s="216"/>
      <c r="Q92" s="216"/>
      <c r="R92" s="216"/>
      <c r="S92" s="216"/>
      <c r="T92" s="216"/>
      <c r="U92" s="216"/>
      <c r="V92" s="216"/>
      <c r="W92" s="216"/>
      <c r="X92" s="216">
        <v>1.3</v>
      </c>
      <c r="Y92" s="105"/>
      <c r="Z92" s="105"/>
      <c r="AA92" s="105">
        <v>47</v>
      </c>
      <c r="AB92" s="105"/>
      <c r="AC92" s="218"/>
      <c r="AE92" s="289"/>
      <c r="AF92" s="291"/>
      <c r="AG92" s="40"/>
      <c r="AH92" s="41"/>
      <c r="AI92" s="42"/>
      <c r="AJ92" s="41"/>
    </row>
    <row r="93" spans="2:36" x14ac:dyDescent="0.2">
      <c r="B93" s="219">
        <v>89</v>
      </c>
      <c r="E93" s="219" t="s">
        <v>1076</v>
      </c>
      <c r="F93" s="220" t="s">
        <v>1079</v>
      </c>
      <c r="G93" s="222">
        <v>300</v>
      </c>
      <c r="H93" s="223"/>
      <c r="I93" s="223"/>
      <c r="J93" s="223"/>
      <c r="K93" s="222">
        <v>230</v>
      </c>
      <c r="L93" s="222">
        <v>65</v>
      </c>
      <c r="M93" s="223">
        <v>2</v>
      </c>
      <c r="N93" s="223"/>
      <c r="O93" s="223"/>
      <c r="P93" s="223"/>
      <c r="Q93" s="223"/>
      <c r="R93" s="223"/>
      <c r="S93" s="223"/>
      <c r="T93" s="223"/>
      <c r="U93" s="223"/>
      <c r="V93" s="223"/>
      <c r="W93" s="223"/>
      <c r="X93" s="223">
        <v>1.3</v>
      </c>
      <c r="Y93" s="222"/>
      <c r="Z93" s="222"/>
      <c r="AA93" s="222">
        <v>22</v>
      </c>
      <c r="AB93" s="222"/>
      <c r="AC93" s="225"/>
      <c r="AE93" s="289"/>
      <c r="AF93" s="291"/>
      <c r="AG93" s="40"/>
      <c r="AH93" s="41"/>
      <c r="AI93" s="42"/>
      <c r="AJ93" s="43"/>
    </row>
    <row r="94" spans="2:36" x14ac:dyDescent="0.2">
      <c r="B94" s="1">
        <v>90</v>
      </c>
      <c r="E94" s="1" t="s">
        <v>1076</v>
      </c>
      <c r="F94" s="214" t="s">
        <v>1079</v>
      </c>
      <c r="G94" s="105">
        <v>300</v>
      </c>
      <c r="H94" s="216"/>
      <c r="I94" s="216"/>
      <c r="J94" s="216"/>
      <c r="K94" s="105">
        <v>230</v>
      </c>
      <c r="L94" s="105">
        <v>105</v>
      </c>
      <c r="M94" s="216">
        <v>3</v>
      </c>
      <c r="N94" s="216"/>
      <c r="O94" s="216"/>
      <c r="P94" s="216"/>
      <c r="Q94" s="216"/>
      <c r="R94" s="216"/>
      <c r="S94" s="216"/>
      <c r="T94" s="216"/>
      <c r="U94" s="216"/>
      <c r="V94" s="216"/>
      <c r="W94" s="216"/>
      <c r="X94" s="216">
        <v>1.3</v>
      </c>
      <c r="Y94" s="105"/>
      <c r="Z94" s="105"/>
      <c r="AA94" s="105">
        <v>31</v>
      </c>
      <c r="AB94" s="105"/>
      <c r="AC94" s="218"/>
      <c r="AE94" s="289"/>
      <c r="AF94" s="291"/>
      <c r="AG94" s="40"/>
      <c r="AH94" s="41"/>
      <c r="AI94" s="42"/>
      <c r="AJ94" s="41"/>
    </row>
    <row r="95" spans="2:36" x14ac:dyDescent="0.2">
      <c r="B95" s="219">
        <v>91</v>
      </c>
      <c r="E95" s="219" t="s">
        <v>1076</v>
      </c>
      <c r="F95" s="220" t="s">
        <v>1079</v>
      </c>
      <c r="G95" s="222">
        <v>300</v>
      </c>
      <c r="H95" s="223"/>
      <c r="I95" s="223"/>
      <c r="J95" s="223"/>
      <c r="K95" s="222">
        <v>230</v>
      </c>
      <c r="L95" s="222">
        <v>145</v>
      </c>
      <c r="M95" s="223">
        <v>4</v>
      </c>
      <c r="N95" s="223"/>
      <c r="O95" s="223"/>
      <c r="P95" s="223"/>
      <c r="Q95" s="223"/>
      <c r="R95" s="223"/>
      <c r="S95" s="223"/>
      <c r="T95" s="223"/>
      <c r="U95" s="223"/>
      <c r="V95" s="223"/>
      <c r="W95" s="223"/>
      <c r="X95" s="223">
        <v>1.3</v>
      </c>
      <c r="Y95" s="222"/>
      <c r="Z95" s="222"/>
      <c r="AA95" s="222">
        <v>40</v>
      </c>
      <c r="AB95" s="222"/>
      <c r="AC95" s="225"/>
      <c r="AE95" s="289"/>
      <c r="AF95" s="291"/>
      <c r="AG95" s="40"/>
      <c r="AH95" s="41"/>
      <c r="AI95" s="42"/>
      <c r="AJ95" s="43"/>
    </row>
    <row r="96" spans="2:36" x14ac:dyDescent="0.2">
      <c r="B96" s="1">
        <v>92</v>
      </c>
      <c r="E96" s="1" t="s">
        <v>1076</v>
      </c>
      <c r="F96" s="214" t="s">
        <v>1079</v>
      </c>
      <c r="G96" s="105">
        <v>300</v>
      </c>
      <c r="H96" s="216"/>
      <c r="I96" s="216"/>
      <c r="J96" s="216"/>
      <c r="K96" s="105">
        <v>230</v>
      </c>
      <c r="L96" s="105">
        <v>185</v>
      </c>
      <c r="M96" s="216">
        <v>5</v>
      </c>
      <c r="N96" s="216"/>
      <c r="O96" s="216"/>
      <c r="P96" s="216"/>
      <c r="Q96" s="216"/>
      <c r="R96" s="216"/>
      <c r="S96" s="216"/>
      <c r="T96" s="216"/>
      <c r="U96" s="216"/>
      <c r="V96" s="216"/>
      <c r="W96" s="216"/>
      <c r="X96" s="216">
        <v>1.3</v>
      </c>
      <c r="Y96" s="105"/>
      <c r="Z96" s="105"/>
      <c r="AA96" s="105">
        <v>48</v>
      </c>
      <c r="AB96" s="105"/>
      <c r="AC96" s="218"/>
      <c r="AE96" s="289"/>
      <c r="AF96" s="291"/>
      <c r="AG96" s="40"/>
      <c r="AH96" s="41"/>
      <c r="AI96" s="42"/>
      <c r="AJ96" s="41"/>
    </row>
    <row r="97" spans="2:32" x14ac:dyDescent="0.2">
      <c r="B97" s="219">
        <v>93</v>
      </c>
      <c r="E97" s="219" t="s">
        <v>1076</v>
      </c>
      <c r="F97" s="220" t="s">
        <v>1079</v>
      </c>
      <c r="G97" s="222">
        <v>300</v>
      </c>
      <c r="H97" s="223"/>
      <c r="I97" s="223"/>
      <c r="J97" s="223"/>
      <c r="K97" s="222">
        <v>230</v>
      </c>
      <c r="L97" s="222">
        <v>225</v>
      </c>
      <c r="M97" s="223">
        <v>6</v>
      </c>
      <c r="N97" s="223"/>
      <c r="O97" s="223"/>
      <c r="P97" s="223"/>
      <c r="Q97" s="223"/>
      <c r="R97" s="223"/>
      <c r="S97" s="223"/>
      <c r="T97" s="223"/>
      <c r="U97" s="223"/>
      <c r="V97" s="223"/>
      <c r="W97" s="223"/>
      <c r="X97" s="223">
        <v>1.3</v>
      </c>
      <c r="Y97" s="222"/>
      <c r="Z97" s="222"/>
      <c r="AA97" s="222">
        <v>57</v>
      </c>
      <c r="AB97" s="222"/>
      <c r="AC97" s="225"/>
    </row>
    <row r="98" spans="2:32" x14ac:dyDescent="0.2">
      <c r="B98" s="1">
        <v>94</v>
      </c>
      <c r="E98" s="1" t="s">
        <v>1076</v>
      </c>
      <c r="F98" s="214" t="s">
        <v>1079</v>
      </c>
      <c r="G98" s="105">
        <v>400</v>
      </c>
      <c r="H98" s="216"/>
      <c r="I98" s="216"/>
      <c r="J98" s="216"/>
      <c r="K98" s="105">
        <v>330</v>
      </c>
      <c r="L98" s="105">
        <v>65</v>
      </c>
      <c r="M98" s="216">
        <v>2</v>
      </c>
      <c r="N98" s="216"/>
      <c r="O98" s="216"/>
      <c r="P98" s="216"/>
      <c r="Q98" s="216"/>
      <c r="R98" s="216"/>
      <c r="S98" s="216"/>
      <c r="T98" s="216"/>
      <c r="U98" s="216"/>
      <c r="V98" s="216"/>
      <c r="W98" s="216"/>
      <c r="X98" s="216">
        <v>1.3</v>
      </c>
      <c r="Y98" s="105"/>
      <c r="Z98" s="105"/>
      <c r="AA98" s="105">
        <v>28</v>
      </c>
      <c r="AB98" s="105"/>
      <c r="AC98" s="218"/>
    </row>
    <row r="99" spans="2:32" x14ac:dyDescent="0.2">
      <c r="B99" s="219">
        <v>95</v>
      </c>
      <c r="E99" s="219" t="s">
        <v>1076</v>
      </c>
      <c r="F99" s="220" t="s">
        <v>1079</v>
      </c>
      <c r="G99" s="222">
        <v>400</v>
      </c>
      <c r="H99" s="223"/>
      <c r="I99" s="223"/>
      <c r="J99" s="223"/>
      <c r="K99" s="222">
        <v>330</v>
      </c>
      <c r="L99" s="222">
        <v>105</v>
      </c>
      <c r="M99" s="223">
        <v>3</v>
      </c>
      <c r="N99" s="223"/>
      <c r="O99" s="223"/>
      <c r="P99" s="223"/>
      <c r="Q99" s="223"/>
      <c r="R99" s="223"/>
      <c r="S99" s="223"/>
      <c r="T99" s="223"/>
      <c r="U99" s="223"/>
      <c r="V99" s="223"/>
      <c r="W99" s="223"/>
      <c r="X99" s="223">
        <v>1.3</v>
      </c>
      <c r="Y99" s="222"/>
      <c r="Z99" s="222"/>
      <c r="AA99" s="222">
        <v>41</v>
      </c>
      <c r="AB99" s="222"/>
      <c r="AC99" s="225"/>
    </row>
    <row r="100" spans="2:32" x14ac:dyDescent="0.2">
      <c r="B100" s="1">
        <v>96</v>
      </c>
      <c r="E100" s="1" t="s">
        <v>1076</v>
      </c>
      <c r="F100" s="214" t="s">
        <v>1079</v>
      </c>
      <c r="G100" s="105">
        <v>400</v>
      </c>
      <c r="H100" s="216"/>
      <c r="I100" s="216"/>
      <c r="J100" s="216"/>
      <c r="K100" s="105">
        <v>330</v>
      </c>
      <c r="L100" s="105">
        <v>145</v>
      </c>
      <c r="M100" s="216">
        <v>4</v>
      </c>
      <c r="N100" s="216"/>
      <c r="O100" s="216"/>
      <c r="P100" s="216"/>
      <c r="Q100" s="216"/>
      <c r="R100" s="216"/>
      <c r="S100" s="216"/>
      <c r="T100" s="216"/>
      <c r="U100" s="216"/>
      <c r="V100" s="216"/>
      <c r="W100" s="216"/>
      <c r="X100" s="216">
        <v>1.3</v>
      </c>
      <c r="Y100" s="105"/>
      <c r="Z100" s="105"/>
      <c r="AA100" s="105">
        <v>52</v>
      </c>
      <c r="AB100" s="105"/>
      <c r="AC100" s="218"/>
    </row>
    <row r="101" spans="2:32" x14ac:dyDescent="0.2">
      <c r="B101" s="219">
        <v>97</v>
      </c>
      <c r="E101" s="219" t="s">
        <v>1076</v>
      </c>
      <c r="F101" s="220" t="s">
        <v>1079</v>
      </c>
      <c r="G101" s="222">
        <v>400</v>
      </c>
      <c r="H101" s="223"/>
      <c r="I101" s="223"/>
      <c r="J101" s="223"/>
      <c r="K101" s="222">
        <v>330</v>
      </c>
      <c r="L101" s="222">
        <v>185</v>
      </c>
      <c r="M101" s="223">
        <v>5</v>
      </c>
      <c r="N101" s="223"/>
      <c r="O101" s="223"/>
      <c r="P101" s="223"/>
      <c r="Q101" s="223"/>
      <c r="R101" s="223"/>
      <c r="S101" s="223"/>
      <c r="T101" s="223"/>
      <c r="U101" s="223"/>
      <c r="V101" s="223"/>
      <c r="W101" s="223"/>
      <c r="X101" s="223">
        <v>1.3</v>
      </c>
      <c r="Y101" s="222"/>
      <c r="Z101" s="222"/>
      <c r="AA101" s="222">
        <v>64</v>
      </c>
      <c r="AB101" s="222"/>
      <c r="AC101" s="225"/>
      <c r="AE101" s="288"/>
      <c r="AF101" s="288"/>
    </row>
    <row r="102" spans="2:32" x14ac:dyDescent="0.2">
      <c r="B102" s="1">
        <v>98</v>
      </c>
      <c r="E102" s="1" t="s">
        <v>1076</v>
      </c>
      <c r="F102" s="214" t="s">
        <v>1079</v>
      </c>
      <c r="G102" s="105">
        <v>400</v>
      </c>
      <c r="H102" s="216"/>
      <c r="I102" s="216"/>
      <c r="J102" s="216"/>
      <c r="K102" s="105">
        <v>330</v>
      </c>
      <c r="L102" s="105">
        <v>225</v>
      </c>
      <c r="M102" s="216">
        <v>6</v>
      </c>
      <c r="N102" s="216"/>
      <c r="O102" s="216"/>
      <c r="P102" s="216"/>
      <c r="Q102" s="216"/>
      <c r="R102" s="216"/>
      <c r="S102" s="216"/>
      <c r="T102" s="216"/>
      <c r="U102" s="216"/>
      <c r="V102" s="216"/>
      <c r="W102" s="216"/>
      <c r="X102" s="216">
        <v>1.3</v>
      </c>
      <c r="Y102" s="105"/>
      <c r="Z102" s="105"/>
      <c r="AA102" s="105">
        <v>75</v>
      </c>
      <c r="AB102" s="105"/>
      <c r="AC102" s="218"/>
      <c r="AE102" s="288"/>
      <c r="AF102" s="288"/>
    </row>
    <row r="103" spans="2:32" x14ac:dyDescent="0.2">
      <c r="B103" s="219">
        <v>99</v>
      </c>
      <c r="E103" s="219" t="s">
        <v>1076</v>
      </c>
      <c r="F103" s="220" t="s">
        <v>1079</v>
      </c>
      <c r="G103" s="222">
        <v>500</v>
      </c>
      <c r="H103" s="223"/>
      <c r="I103" s="223"/>
      <c r="J103" s="223"/>
      <c r="K103" s="222">
        <v>430</v>
      </c>
      <c r="L103" s="222">
        <v>65</v>
      </c>
      <c r="M103" s="223">
        <v>2</v>
      </c>
      <c r="N103" s="223"/>
      <c r="O103" s="223"/>
      <c r="P103" s="223"/>
      <c r="Q103" s="223"/>
      <c r="R103" s="223"/>
      <c r="S103" s="223"/>
      <c r="T103" s="223"/>
      <c r="U103" s="223"/>
      <c r="V103" s="223"/>
      <c r="W103" s="223"/>
      <c r="X103" s="223">
        <v>1.3</v>
      </c>
      <c r="Y103" s="222"/>
      <c r="Z103" s="222"/>
      <c r="AA103" s="222">
        <v>37</v>
      </c>
      <c r="AB103" s="222"/>
      <c r="AC103" s="225"/>
      <c r="AE103" s="288"/>
      <c r="AF103" s="288"/>
    </row>
    <row r="104" spans="2:32" x14ac:dyDescent="0.2">
      <c r="B104" s="1">
        <v>100</v>
      </c>
      <c r="E104" s="1" t="s">
        <v>1076</v>
      </c>
      <c r="F104" s="214" t="s">
        <v>1079</v>
      </c>
      <c r="G104" s="105">
        <v>500</v>
      </c>
      <c r="H104" s="216"/>
      <c r="I104" s="216"/>
      <c r="J104" s="216"/>
      <c r="K104" s="105">
        <v>430</v>
      </c>
      <c r="L104" s="105">
        <v>105</v>
      </c>
      <c r="M104" s="216">
        <v>3</v>
      </c>
      <c r="N104" s="216"/>
      <c r="O104" s="216"/>
      <c r="P104" s="216"/>
      <c r="Q104" s="216"/>
      <c r="R104" s="216"/>
      <c r="S104" s="216"/>
      <c r="T104" s="216"/>
      <c r="U104" s="216"/>
      <c r="V104" s="216"/>
      <c r="W104" s="216"/>
      <c r="X104" s="216">
        <v>1.3</v>
      </c>
      <c r="Y104" s="105"/>
      <c r="Z104" s="105"/>
      <c r="AA104" s="105">
        <v>51</v>
      </c>
      <c r="AB104" s="105"/>
      <c r="AC104" s="218"/>
    </row>
    <row r="105" spans="2:32" x14ac:dyDescent="0.2">
      <c r="B105" s="219">
        <v>101</v>
      </c>
      <c r="E105" s="219" t="s">
        <v>1076</v>
      </c>
      <c r="F105" s="220" t="s">
        <v>1079</v>
      </c>
      <c r="G105" s="222">
        <v>500</v>
      </c>
      <c r="H105" s="223"/>
      <c r="I105" s="223"/>
      <c r="J105" s="223"/>
      <c r="K105" s="222">
        <v>430</v>
      </c>
      <c r="L105" s="222">
        <v>145</v>
      </c>
      <c r="M105" s="223">
        <v>4</v>
      </c>
      <c r="N105" s="223"/>
      <c r="O105" s="223"/>
      <c r="P105" s="223"/>
      <c r="Q105" s="223"/>
      <c r="R105" s="223"/>
      <c r="S105" s="223"/>
      <c r="T105" s="223"/>
      <c r="U105" s="223"/>
      <c r="V105" s="223"/>
      <c r="W105" s="223"/>
      <c r="X105" s="223">
        <v>1.3</v>
      </c>
      <c r="Y105" s="222"/>
      <c r="Z105" s="222"/>
      <c r="AA105" s="222">
        <v>65</v>
      </c>
      <c r="AB105" s="222"/>
      <c r="AC105" s="225"/>
    </row>
    <row r="106" spans="2:32" x14ac:dyDescent="0.2">
      <c r="B106" s="1">
        <v>102</v>
      </c>
      <c r="E106" s="1" t="s">
        <v>1076</v>
      </c>
      <c r="F106" s="214" t="s">
        <v>1079</v>
      </c>
      <c r="G106" s="105">
        <v>500</v>
      </c>
      <c r="H106" s="216"/>
      <c r="I106" s="216"/>
      <c r="J106" s="216"/>
      <c r="K106" s="105">
        <v>430</v>
      </c>
      <c r="L106" s="105">
        <v>185</v>
      </c>
      <c r="M106" s="216">
        <v>5</v>
      </c>
      <c r="N106" s="216"/>
      <c r="O106" s="216"/>
      <c r="P106" s="216"/>
      <c r="Q106" s="216"/>
      <c r="R106" s="216"/>
      <c r="S106" s="216"/>
      <c r="T106" s="216"/>
      <c r="U106" s="216"/>
      <c r="V106" s="216"/>
      <c r="W106" s="216"/>
      <c r="X106" s="216">
        <v>1.3</v>
      </c>
      <c r="Y106" s="105"/>
      <c r="Z106" s="105"/>
      <c r="AA106" s="105">
        <v>80</v>
      </c>
      <c r="AB106" s="105"/>
      <c r="AC106" s="218"/>
    </row>
    <row r="107" spans="2:32" x14ac:dyDescent="0.2">
      <c r="B107" s="219">
        <v>103</v>
      </c>
      <c r="E107" s="219" t="s">
        <v>1076</v>
      </c>
      <c r="F107" s="220" t="s">
        <v>1079</v>
      </c>
      <c r="G107" s="222">
        <v>500</v>
      </c>
      <c r="H107" s="223"/>
      <c r="I107" s="223"/>
      <c r="J107" s="223"/>
      <c r="K107" s="222">
        <v>430</v>
      </c>
      <c r="L107" s="222">
        <v>225</v>
      </c>
      <c r="M107" s="223">
        <v>6</v>
      </c>
      <c r="N107" s="223"/>
      <c r="O107" s="223"/>
      <c r="P107" s="223"/>
      <c r="Q107" s="223"/>
      <c r="R107" s="223"/>
      <c r="S107" s="223"/>
      <c r="T107" s="223"/>
      <c r="U107" s="223"/>
      <c r="V107" s="223"/>
      <c r="W107" s="223"/>
      <c r="X107" s="223">
        <v>1.3</v>
      </c>
      <c r="Y107" s="222"/>
      <c r="Z107" s="222"/>
      <c r="AA107" s="222">
        <v>94</v>
      </c>
      <c r="AB107" s="222"/>
      <c r="AC107" s="225"/>
    </row>
    <row r="108" spans="2:32" x14ac:dyDescent="0.2">
      <c r="B108" s="1">
        <v>104</v>
      </c>
      <c r="E108" s="1" t="s">
        <v>1076</v>
      </c>
      <c r="F108" s="214" t="s">
        <v>1079</v>
      </c>
      <c r="G108" s="105">
        <v>600</v>
      </c>
      <c r="H108" s="216"/>
      <c r="I108" s="216"/>
      <c r="J108" s="216"/>
      <c r="K108" s="105">
        <v>530</v>
      </c>
      <c r="L108" s="105">
        <v>65</v>
      </c>
      <c r="M108" s="216">
        <v>2</v>
      </c>
      <c r="N108" s="216"/>
      <c r="O108" s="216"/>
      <c r="P108" s="216"/>
      <c r="Q108" s="216"/>
      <c r="R108" s="216"/>
      <c r="S108" s="216"/>
      <c r="T108" s="216"/>
      <c r="U108" s="216"/>
      <c r="V108" s="216"/>
      <c r="W108" s="216"/>
      <c r="X108" s="216">
        <v>1.3</v>
      </c>
      <c r="Y108" s="105"/>
      <c r="Z108" s="105"/>
      <c r="AA108" s="105">
        <v>44</v>
      </c>
      <c r="AB108" s="105"/>
      <c r="AC108" s="218"/>
    </row>
    <row r="109" spans="2:32" x14ac:dyDescent="0.2">
      <c r="B109" s="219">
        <v>105</v>
      </c>
      <c r="E109" s="219" t="s">
        <v>1076</v>
      </c>
      <c r="F109" s="220" t="s">
        <v>1079</v>
      </c>
      <c r="G109" s="222">
        <v>600</v>
      </c>
      <c r="H109" s="223"/>
      <c r="I109" s="223"/>
      <c r="J109" s="223"/>
      <c r="K109" s="222">
        <v>530</v>
      </c>
      <c r="L109" s="222">
        <v>105</v>
      </c>
      <c r="M109" s="223">
        <v>3</v>
      </c>
      <c r="N109" s="223"/>
      <c r="O109" s="223"/>
      <c r="P109" s="223"/>
      <c r="Q109" s="223"/>
      <c r="R109" s="223"/>
      <c r="S109" s="223"/>
      <c r="T109" s="223"/>
      <c r="U109" s="223"/>
      <c r="V109" s="223"/>
      <c r="W109" s="223"/>
      <c r="X109" s="223">
        <v>1.3</v>
      </c>
      <c r="Y109" s="222"/>
      <c r="Z109" s="222"/>
      <c r="AA109" s="222">
        <v>60</v>
      </c>
      <c r="AB109" s="222"/>
      <c r="AC109" s="225"/>
    </row>
    <row r="110" spans="2:32" x14ac:dyDescent="0.2">
      <c r="B110" s="1">
        <v>106</v>
      </c>
      <c r="E110" s="1" t="s">
        <v>1076</v>
      </c>
      <c r="F110" s="214" t="s">
        <v>1079</v>
      </c>
      <c r="G110" s="105">
        <v>600</v>
      </c>
      <c r="H110" s="216"/>
      <c r="I110" s="216"/>
      <c r="J110" s="216"/>
      <c r="K110" s="105">
        <v>530</v>
      </c>
      <c r="L110" s="105">
        <v>145</v>
      </c>
      <c r="M110" s="216">
        <v>4</v>
      </c>
      <c r="N110" s="216"/>
      <c r="O110" s="216"/>
      <c r="P110" s="216"/>
      <c r="Q110" s="216"/>
      <c r="R110" s="216"/>
      <c r="S110" s="216"/>
      <c r="T110" s="216"/>
      <c r="U110" s="216"/>
      <c r="V110" s="216"/>
      <c r="W110" s="216"/>
      <c r="X110" s="216">
        <v>1.3</v>
      </c>
      <c r="Y110" s="105"/>
      <c r="Z110" s="105"/>
      <c r="AA110" s="105">
        <v>77</v>
      </c>
      <c r="AB110" s="105"/>
      <c r="AC110" s="218"/>
    </row>
    <row r="111" spans="2:32" x14ac:dyDescent="0.2">
      <c r="B111" s="219">
        <v>107</v>
      </c>
      <c r="E111" s="219" t="s">
        <v>1076</v>
      </c>
      <c r="F111" s="220" t="s">
        <v>1079</v>
      </c>
      <c r="G111" s="222">
        <v>600</v>
      </c>
      <c r="H111" s="223"/>
      <c r="I111" s="223"/>
      <c r="J111" s="223"/>
      <c r="K111" s="222">
        <v>530</v>
      </c>
      <c r="L111" s="222">
        <v>185</v>
      </c>
      <c r="M111" s="223">
        <v>5</v>
      </c>
      <c r="N111" s="223"/>
      <c r="O111" s="223"/>
      <c r="P111" s="223"/>
      <c r="Q111" s="223"/>
      <c r="R111" s="223"/>
      <c r="S111" s="223"/>
      <c r="T111" s="223"/>
      <c r="U111" s="223"/>
      <c r="V111" s="223"/>
      <c r="W111" s="223"/>
      <c r="X111" s="223">
        <v>1.3</v>
      </c>
      <c r="Y111" s="222"/>
      <c r="Z111" s="222"/>
      <c r="AA111" s="222">
        <v>65</v>
      </c>
      <c r="AB111" s="222"/>
      <c r="AC111" s="225"/>
    </row>
    <row r="112" spans="2:32" x14ac:dyDescent="0.2">
      <c r="B112" s="1">
        <v>108</v>
      </c>
      <c r="E112" s="1" t="s">
        <v>1076</v>
      </c>
      <c r="F112" s="214" t="s">
        <v>1079</v>
      </c>
      <c r="G112" s="105">
        <v>600</v>
      </c>
      <c r="H112" s="216"/>
      <c r="I112" s="216"/>
      <c r="J112" s="216"/>
      <c r="K112" s="105">
        <v>530</v>
      </c>
      <c r="L112" s="105">
        <v>225</v>
      </c>
      <c r="M112" s="216">
        <v>6</v>
      </c>
      <c r="N112" s="216"/>
      <c r="O112" s="216"/>
      <c r="P112" s="216"/>
      <c r="Q112" s="216"/>
      <c r="R112" s="216"/>
      <c r="S112" s="216"/>
      <c r="T112" s="216"/>
      <c r="U112" s="216"/>
      <c r="V112" s="216"/>
      <c r="W112" s="216"/>
      <c r="X112" s="216">
        <v>1.3</v>
      </c>
      <c r="Y112" s="105"/>
      <c r="Z112" s="105"/>
      <c r="AA112" s="105">
        <v>113</v>
      </c>
      <c r="AB112" s="105"/>
      <c r="AC112" s="218"/>
    </row>
    <row r="113" spans="2:29" x14ac:dyDescent="0.2">
      <c r="B113" s="219">
        <v>109</v>
      </c>
      <c r="E113" s="219" t="s">
        <v>1076</v>
      </c>
      <c r="F113" s="220" t="s">
        <v>1079</v>
      </c>
      <c r="G113" s="222">
        <v>750</v>
      </c>
      <c r="H113" s="223"/>
      <c r="I113" s="223"/>
      <c r="J113" s="223"/>
      <c r="K113" s="222">
        <v>680</v>
      </c>
      <c r="L113" s="222">
        <v>65</v>
      </c>
      <c r="M113" s="223">
        <v>2</v>
      </c>
      <c r="N113" s="223"/>
      <c r="O113" s="223"/>
      <c r="P113" s="223"/>
      <c r="Q113" s="223"/>
      <c r="R113" s="223"/>
      <c r="S113" s="223"/>
      <c r="T113" s="223"/>
      <c r="U113" s="223"/>
      <c r="V113" s="223"/>
      <c r="W113" s="223"/>
      <c r="X113" s="223">
        <v>1.3</v>
      </c>
      <c r="Y113" s="222"/>
      <c r="Z113" s="222"/>
      <c r="AA113" s="222">
        <v>55</v>
      </c>
      <c r="AB113" s="222"/>
      <c r="AC113" s="225"/>
    </row>
    <row r="114" spans="2:29" x14ac:dyDescent="0.2">
      <c r="B114" s="1">
        <v>110</v>
      </c>
      <c r="E114" s="1" t="s">
        <v>1076</v>
      </c>
      <c r="F114" s="214" t="s">
        <v>1079</v>
      </c>
      <c r="G114" s="105">
        <v>750</v>
      </c>
      <c r="H114" s="216"/>
      <c r="I114" s="216"/>
      <c r="J114" s="216"/>
      <c r="K114" s="105">
        <v>680</v>
      </c>
      <c r="L114" s="105">
        <v>105</v>
      </c>
      <c r="M114" s="216">
        <v>3</v>
      </c>
      <c r="N114" s="216"/>
      <c r="O114" s="216"/>
      <c r="P114" s="216"/>
      <c r="Q114" s="216"/>
      <c r="R114" s="216"/>
      <c r="S114" s="216"/>
      <c r="T114" s="216"/>
      <c r="U114" s="216"/>
      <c r="V114" s="216"/>
      <c r="W114" s="216"/>
      <c r="X114" s="216">
        <v>1.3</v>
      </c>
      <c r="Y114" s="105"/>
      <c r="Z114" s="105"/>
      <c r="AA114" s="105">
        <v>75</v>
      </c>
      <c r="AB114" s="105"/>
      <c r="AC114" s="218"/>
    </row>
    <row r="115" spans="2:29" x14ac:dyDescent="0.2">
      <c r="B115" s="219">
        <v>111</v>
      </c>
      <c r="E115" s="219" t="s">
        <v>1076</v>
      </c>
      <c r="F115" s="220" t="s">
        <v>1079</v>
      </c>
      <c r="G115" s="222">
        <v>750</v>
      </c>
      <c r="H115" s="223"/>
      <c r="I115" s="223"/>
      <c r="J115" s="223"/>
      <c r="K115" s="222">
        <v>680</v>
      </c>
      <c r="L115" s="222">
        <v>145</v>
      </c>
      <c r="M115" s="223">
        <v>4</v>
      </c>
      <c r="N115" s="223"/>
      <c r="O115" s="223"/>
      <c r="P115" s="223"/>
      <c r="Q115" s="223"/>
      <c r="R115" s="223"/>
      <c r="S115" s="223"/>
      <c r="T115" s="223"/>
      <c r="U115" s="223"/>
      <c r="V115" s="223"/>
      <c r="W115" s="223"/>
      <c r="X115" s="223">
        <v>1.3</v>
      </c>
      <c r="Y115" s="222"/>
      <c r="Z115" s="222"/>
      <c r="AA115" s="222">
        <v>95</v>
      </c>
      <c r="AB115" s="222"/>
      <c r="AC115" s="225"/>
    </row>
    <row r="116" spans="2:29" x14ac:dyDescent="0.2">
      <c r="B116" s="1">
        <v>112</v>
      </c>
      <c r="E116" s="1" t="s">
        <v>1076</v>
      </c>
      <c r="F116" s="214" t="s">
        <v>1079</v>
      </c>
      <c r="G116" s="105">
        <v>750</v>
      </c>
      <c r="H116" s="216"/>
      <c r="I116" s="216"/>
      <c r="J116" s="216"/>
      <c r="K116" s="105">
        <v>680</v>
      </c>
      <c r="L116" s="105">
        <v>185</v>
      </c>
      <c r="M116" s="216">
        <v>5</v>
      </c>
      <c r="N116" s="216"/>
      <c r="O116" s="216"/>
      <c r="P116" s="216"/>
      <c r="Q116" s="216"/>
      <c r="R116" s="216"/>
      <c r="S116" s="216"/>
      <c r="T116" s="216"/>
      <c r="U116" s="216"/>
      <c r="V116" s="216"/>
      <c r="W116" s="216"/>
      <c r="X116" s="216">
        <v>1.3</v>
      </c>
      <c r="Y116" s="105"/>
      <c r="Z116" s="105"/>
      <c r="AA116" s="105">
        <v>117</v>
      </c>
      <c r="AB116" s="105"/>
      <c r="AC116" s="218"/>
    </row>
    <row r="117" spans="2:29" x14ac:dyDescent="0.2">
      <c r="B117" s="219">
        <v>113</v>
      </c>
      <c r="E117" s="219" t="s">
        <v>1076</v>
      </c>
      <c r="F117" s="220" t="s">
        <v>1079</v>
      </c>
      <c r="G117" s="222">
        <v>750</v>
      </c>
      <c r="H117" s="223"/>
      <c r="I117" s="223"/>
      <c r="J117" s="223"/>
      <c r="K117" s="222">
        <v>680</v>
      </c>
      <c r="L117" s="222">
        <v>225</v>
      </c>
      <c r="M117" s="223">
        <v>6</v>
      </c>
      <c r="N117" s="223"/>
      <c r="O117" s="223"/>
      <c r="P117" s="223"/>
      <c r="Q117" s="223"/>
      <c r="R117" s="223"/>
      <c r="S117" s="223"/>
      <c r="T117" s="223"/>
      <c r="U117" s="223"/>
      <c r="V117" s="223"/>
      <c r="W117" s="223"/>
      <c r="X117" s="223">
        <v>1.3</v>
      </c>
      <c r="Y117" s="222"/>
      <c r="Z117" s="222"/>
      <c r="AA117" s="222">
        <v>137</v>
      </c>
      <c r="AB117" s="222"/>
      <c r="AC117" s="225"/>
    </row>
    <row r="118" spans="2:29" x14ac:dyDescent="0.2">
      <c r="B118" s="1">
        <v>114</v>
      </c>
      <c r="E118" s="1" t="s">
        <v>1076</v>
      </c>
      <c r="F118" s="214" t="s">
        <v>1079</v>
      </c>
      <c r="G118" s="105">
        <v>900</v>
      </c>
      <c r="H118" s="216"/>
      <c r="I118" s="216"/>
      <c r="J118" s="216"/>
      <c r="K118" s="105">
        <v>830</v>
      </c>
      <c r="L118" s="105">
        <v>65</v>
      </c>
      <c r="M118" s="216">
        <v>2</v>
      </c>
      <c r="N118" s="216"/>
      <c r="O118" s="216"/>
      <c r="P118" s="216"/>
      <c r="Q118" s="216"/>
      <c r="R118" s="216"/>
      <c r="S118" s="216"/>
      <c r="T118" s="216"/>
      <c r="U118" s="216"/>
      <c r="V118" s="216"/>
      <c r="W118" s="216"/>
      <c r="X118" s="216">
        <v>1.3</v>
      </c>
      <c r="Y118" s="105"/>
      <c r="Z118" s="105"/>
      <c r="AA118" s="105">
        <v>67</v>
      </c>
      <c r="AB118" s="105"/>
      <c r="AC118" s="218"/>
    </row>
    <row r="119" spans="2:29" x14ac:dyDescent="0.2">
      <c r="B119" s="219">
        <v>115</v>
      </c>
      <c r="E119" s="219" t="s">
        <v>1076</v>
      </c>
      <c r="F119" s="220" t="s">
        <v>1079</v>
      </c>
      <c r="G119" s="222">
        <v>900</v>
      </c>
      <c r="H119" s="223"/>
      <c r="I119" s="223"/>
      <c r="J119" s="223"/>
      <c r="K119" s="222">
        <v>830</v>
      </c>
      <c r="L119" s="222">
        <v>105</v>
      </c>
      <c r="M119" s="223">
        <v>3</v>
      </c>
      <c r="N119" s="223"/>
      <c r="O119" s="223"/>
      <c r="P119" s="223"/>
      <c r="Q119" s="223"/>
      <c r="R119" s="223"/>
      <c r="S119" s="223"/>
      <c r="T119" s="223"/>
      <c r="U119" s="223"/>
      <c r="V119" s="223"/>
      <c r="W119" s="223"/>
      <c r="X119" s="223">
        <v>1.3</v>
      </c>
      <c r="Y119" s="222"/>
      <c r="Z119" s="222"/>
      <c r="AA119" s="222">
        <v>89</v>
      </c>
      <c r="AB119" s="222"/>
      <c r="AC119" s="225"/>
    </row>
    <row r="120" spans="2:29" x14ac:dyDescent="0.2">
      <c r="B120" s="1">
        <v>116</v>
      </c>
      <c r="E120" s="1" t="s">
        <v>1076</v>
      </c>
      <c r="F120" s="214" t="s">
        <v>1079</v>
      </c>
      <c r="G120" s="105">
        <v>900</v>
      </c>
      <c r="H120" s="216"/>
      <c r="I120" s="216"/>
      <c r="J120" s="216"/>
      <c r="K120" s="105">
        <v>830</v>
      </c>
      <c r="L120" s="105">
        <v>145</v>
      </c>
      <c r="M120" s="216">
        <v>4</v>
      </c>
      <c r="N120" s="216"/>
      <c r="O120" s="216"/>
      <c r="P120" s="216"/>
      <c r="Q120" s="216"/>
      <c r="R120" s="216"/>
      <c r="S120" s="216"/>
      <c r="T120" s="216"/>
      <c r="U120" s="216"/>
      <c r="V120" s="216"/>
      <c r="W120" s="216"/>
      <c r="X120" s="216">
        <v>1.3</v>
      </c>
      <c r="Y120" s="105"/>
      <c r="Z120" s="105"/>
      <c r="AA120" s="105">
        <v>112</v>
      </c>
      <c r="AB120" s="105"/>
      <c r="AC120" s="218"/>
    </row>
    <row r="121" spans="2:29" x14ac:dyDescent="0.2">
      <c r="B121" s="219">
        <v>117</v>
      </c>
      <c r="E121" s="219" t="s">
        <v>1076</v>
      </c>
      <c r="F121" s="220" t="s">
        <v>1079</v>
      </c>
      <c r="G121" s="222">
        <v>900</v>
      </c>
      <c r="H121" s="223"/>
      <c r="I121" s="223"/>
      <c r="J121" s="223"/>
      <c r="K121" s="222">
        <v>830</v>
      </c>
      <c r="L121" s="222">
        <v>185</v>
      </c>
      <c r="M121" s="223">
        <v>5</v>
      </c>
      <c r="N121" s="223"/>
      <c r="O121" s="223"/>
      <c r="P121" s="223"/>
      <c r="Q121" s="223"/>
      <c r="R121" s="223"/>
      <c r="S121" s="223"/>
      <c r="T121" s="223"/>
      <c r="U121" s="223"/>
      <c r="V121" s="223"/>
      <c r="W121" s="223"/>
      <c r="X121" s="223">
        <v>1.3</v>
      </c>
      <c r="Y121" s="222"/>
      <c r="Z121" s="222"/>
      <c r="AA121" s="222">
        <v>138</v>
      </c>
      <c r="AB121" s="222"/>
      <c r="AC121" s="225"/>
    </row>
    <row r="122" spans="2:29" x14ac:dyDescent="0.2">
      <c r="B122" s="1">
        <v>118</v>
      </c>
      <c r="E122" s="1" t="s">
        <v>1076</v>
      </c>
      <c r="F122" s="214" t="s">
        <v>1079</v>
      </c>
      <c r="G122" s="105">
        <v>900</v>
      </c>
      <c r="H122" s="216"/>
      <c r="I122" s="216"/>
      <c r="J122" s="216"/>
      <c r="K122" s="105">
        <v>830</v>
      </c>
      <c r="L122" s="105">
        <v>225</v>
      </c>
      <c r="M122" s="216">
        <v>6</v>
      </c>
      <c r="N122" s="216"/>
      <c r="O122" s="216"/>
      <c r="P122" s="216"/>
      <c r="Q122" s="216"/>
      <c r="R122" s="216"/>
      <c r="S122" s="216"/>
      <c r="T122" s="216"/>
      <c r="U122" s="216"/>
      <c r="V122" s="216"/>
      <c r="W122" s="216"/>
      <c r="X122" s="216">
        <v>1.3</v>
      </c>
      <c r="Y122" s="105"/>
      <c r="Z122" s="105"/>
      <c r="AA122" s="105">
        <v>163</v>
      </c>
      <c r="AB122" s="105"/>
      <c r="AC122" s="218"/>
    </row>
    <row r="123" spans="2:29" x14ac:dyDescent="0.2">
      <c r="B123" s="219">
        <v>119</v>
      </c>
      <c r="E123" s="219" t="s">
        <v>1076</v>
      </c>
      <c r="F123" s="220" t="s">
        <v>1079</v>
      </c>
      <c r="G123" s="222">
        <v>1000</v>
      </c>
      <c r="H123" s="223"/>
      <c r="I123" s="223"/>
      <c r="J123" s="223"/>
      <c r="K123" s="222">
        <v>930</v>
      </c>
      <c r="L123" s="222">
        <v>65</v>
      </c>
      <c r="M123" s="223">
        <v>2</v>
      </c>
      <c r="N123" s="223"/>
      <c r="O123" s="223"/>
      <c r="P123" s="223"/>
      <c r="Q123" s="223"/>
      <c r="R123" s="223"/>
      <c r="S123" s="223"/>
      <c r="T123" s="223"/>
      <c r="U123" s="223"/>
      <c r="V123" s="223"/>
      <c r="W123" s="223"/>
      <c r="X123" s="223">
        <v>1.3</v>
      </c>
      <c r="Y123" s="222"/>
      <c r="Z123" s="222"/>
      <c r="AA123" s="222">
        <v>73</v>
      </c>
      <c r="AB123" s="222"/>
      <c r="AC123" s="225"/>
    </row>
    <row r="124" spans="2:29" x14ac:dyDescent="0.2">
      <c r="B124" s="1">
        <v>120</v>
      </c>
      <c r="E124" s="1" t="s">
        <v>1076</v>
      </c>
      <c r="F124" s="214" t="s">
        <v>1079</v>
      </c>
      <c r="G124" s="105">
        <v>1000</v>
      </c>
      <c r="H124" s="216"/>
      <c r="I124" s="216"/>
      <c r="J124" s="216"/>
      <c r="K124" s="105">
        <v>930</v>
      </c>
      <c r="L124" s="105">
        <v>105</v>
      </c>
      <c r="M124" s="216">
        <v>3</v>
      </c>
      <c r="N124" s="216"/>
      <c r="O124" s="216"/>
      <c r="P124" s="216"/>
      <c r="Q124" s="216"/>
      <c r="R124" s="216"/>
      <c r="S124" s="216"/>
      <c r="T124" s="216"/>
      <c r="U124" s="216"/>
      <c r="V124" s="216"/>
      <c r="W124" s="216"/>
      <c r="X124" s="216">
        <v>1.3</v>
      </c>
      <c r="Y124" s="105"/>
      <c r="Z124" s="105"/>
      <c r="AA124" s="105">
        <v>98</v>
      </c>
      <c r="AB124" s="105"/>
      <c r="AC124" s="218"/>
    </row>
    <row r="125" spans="2:29" x14ac:dyDescent="0.2">
      <c r="B125" s="219">
        <v>121</v>
      </c>
      <c r="E125" s="219" t="s">
        <v>1076</v>
      </c>
      <c r="F125" s="220" t="s">
        <v>1079</v>
      </c>
      <c r="G125" s="222">
        <v>1000</v>
      </c>
      <c r="H125" s="223"/>
      <c r="I125" s="223"/>
      <c r="J125" s="223"/>
      <c r="K125" s="222">
        <v>930</v>
      </c>
      <c r="L125" s="222">
        <v>145</v>
      </c>
      <c r="M125" s="223">
        <v>4</v>
      </c>
      <c r="N125" s="223"/>
      <c r="O125" s="223"/>
      <c r="P125" s="223"/>
      <c r="Q125" s="223"/>
      <c r="R125" s="223"/>
      <c r="S125" s="223"/>
      <c r="T125" s="223"/>
      <c r="U125" s="223"/>
      <c r="V125" s="223"/>
      <c r="W125" s="223"/>
      <c r="X125" s="223">
        <v>1.3</v>
      </c>
      <c r="Y125" s="222"/>
      <c r="Z125" s="222"/>
      <c r="AA125" s="222">
        <v>124</v>
      </c>
      <c r="AB125" s="222"/>
      <c r="AC125" s="225"/>
    </row>
    <row r="126" spans="2:29" x14ac:dyDescent="0.2">
      <c r="B126" s="1">
        <v>122</v>
      </c>
      <c r="E126" s="1" t="s">
        <v>1076</v>
      </c>
      <c r="F126" s="214" t="s">
        <v>1079</v>
      </c>
      <c r="G126" s="105">
        <v>1000</v>
      </c>
      <c r="H126" s="216"/>
      <c r="I126" s="216"/>
      <c r="J126" s="216"/>
      <c r="K126" s="105">
        <v>930</v>
      </c>
      <c r="L126" s="105">
        <v>185</v>
      </c>
      <c r="M126" s="216">
        <v>5</v>
      </c>
      <c r="N126" s="216"/>
      <c r="O126" s="216"/>
      <c r="P126" s="216"/>
      <c r="Q126" s="216"/>
      <c r="R126" s="216"/>
      <c r="S126" s="216"/>
      <c r="T126" s="216"/>
      <c r="U126" s="216"/>
      <c r="V126" s="216"/>
      <c r="W126" s="216"/>
      <c r="X126" s="216">
        <v>1.3</v>
      </c>
      <c r="Y126" s="105"/>
      <c r="Z126" s="105"/>
      <c r="AA126" s="105">
        <v>151</v>
      </c>
      <c r="AB126" s="105"/>
      <c r="AC126" s="218"/>
    </row>
    <row r="127" spans="2:29" x14ac:dyDescent="0.2">
      <c r="B127" s="219">
        <v>123</v>
      </c>
      <c r="E127" s="219" t="s">
        <v>1076</v>
      </c>
      <c r="F127" s="220" t="s">
        <v>1079</v>
      </c>
      <c r="G127" s="222">
        <v>1000</v>
      </c>
      <c r="H127" s="223"/>
      <c r="I127" s="223"/>
      <c r="J127" s="223"/>
      <c r="K127" s="222">
        <v>930</v>
      </c>
      <c r="L127" s="222">
        <v>225</v>
      </c>
      <c r="M127" s="223">
        <v>6</v>
      </c>
      <c r="N127" s="223"/>
      <c r="O127" s="223"/>
      <c r="P127" s="223"/>
      <c r="Q127" s="223"/>
      <c r="R127" s="223"/>
      <c r="S127" s="223"/>
      <c r="T127" s="223"/>
      <c r="U127" s="223"/>
      <c r="V127" s="223"/>
      <c r="W127" s="223"/>
      <c r="X127" s="223">
        <v>1.3</v>
      </c>
      <c r="Y127" s="222"/>
      <c r="Z127" s="222"/>
      <c r="AA127" s="222">
        <v>180</v>
      </c>
      <c r="AB127" s="222"/>
      <c r="AC127" s="225"/>
    </row>
    <row r="128" spans="2:29" x14ac:dyDescent="0.2">
      <c r="B128" s="1">
        <v>124</v>
      </c>
      <c r="E128" s="1" t="s">
        <v>1076</v>
      </c>
      <c r="F128" s="214" t="s">
        <v>1079</v>
      </c>
      <c r="G128" s="105">
        <v>1200</v>
      </c>
      <c r="H128" s="216"/>
      <c r="I128" s="216"/>
      <c r="J128" s="216"/>
      <c r="K128" s="105">
        <v>1130</v>
      </c>
      <c r="L128" s="105">
        <v>65</v>
      </c>
      <c r="M128" s="216">
        <v>2</v>
      </c>
      <c r="N128" s="216"/>
      <c r="O128" s="216"/>
      <c r="P128" s="216"/>
      <c r="Q128" s="216"/>
      <c r="R128" s="216"/>
      <c r="S128" s="216"/>
      <c r="T128" s="216"/>
      <c r="U128" s="216"/>
      <c r="V128" s="216"/>
      <c r="W128" s="216"/>
      <c r="X128" s="216">
        <v>1.3</v>
      </c>
      <c r="Y128" s="105"/>
      <c r="Z128" s="105"/>
      <c r="AA128" s="105">
        <v>86</v>
      </c>
      <c r="AB128" s="105"/>
      <c r="AC128" s="218"/>
    </row>
    <row r="129" spans="2:29" x14ac:dyDescent="0.2">
      <c r="B129" s="219">
        <v>125</v>
      </c>
      <c r="E129" s="219" t="s">
        <v>1076</v>
      </c>
      <c r="F129" s="220" t="s">
        <v>1079</v>
      </c>
      <c r="G129" s="222">
        <v>1200</v>
      </c>
      <c r="H129" s="223"/>
      <c r="I129" s="223"/>
      <c r="J129" s="223"/>
      <c r="K129" s="222">
        <v>1130</v>
      </c>
      <c r="L129" s="222">
        <v>105</v>
      </c>
      <c r="M129" s="223">
        <v>3</v>
      </c>
      <c r="N129" s="223"/>
      <c r="O129" s="223"/>
      <c r="P129" s="223"/>
      <c r="Q129" s="223"/>
      <c r="R129" s="223"/>
      <c r="S129" s="223"/>
      <c r="T129" s="223"/>
      <c r="U129" s="223"/>
      <c r="V129" s="223"/>
      <c r="W129" s="223"/>
      <c r="X129" s="223">
        <v>1.3</v>
      </c>
      <c r="Y129" s="222"/>
      <c r="Z129" s="222"/>
      <c r="AA129" s="222">
        <v>116</v>
      </c>
      <c r="AB129" s="222"/>
      <c r="AC129" s="225"/>
    </row>
    <row r="130" spans="2:29" x14ac:dyDescent="0.2">
      <c r="B130" s="1">
        <v>126</v>
      </c>
      <c r="E130" s="1" t="s">
        <v>1076</v>
      </c>
      <c r="F130" s="214" t="s">
        <v>1079</v>
      </c>
      <c r="G130" s="105">
        <v>1200</v>
      </c>
      <c r="H130" s="216"/>
      <c r="I130" s="216"/>
      <c r="J130" s="216"/>
      <c r="K130" s="105">
        <v>1130</v>
      </c>
      <c r="L130" s="105">
        <v>145</v>
      </c>
      <c r="M130" s="216">
        <v>4</v>
      </c>
      <c r="N130" s="216"/>
      <c r="O130" s="216"/>
      <c r="P130" s="216"/>
      <c r="Q130" s="216"/>
      <c r="R130" s="216"/>
      <c r="S130" s="216"/>
      <c r="T130" s="216"/>
      <c r="U130" s="216"/>
      <c r="V130" s="216"/>
      <c r="W130" s="216"/>
      <c r="X130" s="216">
        <v>1.3</v>
      </c>
      <c r="Y130" s="105"/>
      <c r="Z130" s="105"/>
      <c r="AA130" s="105">
        <v>147</v>
      </c>
      <c r="AB130" s="105"/>
      <c r="AC130" s="218"/>
    </row>
    <row r="131" spans="2:29" x14ac:dyDescent="0.2">
      <c r="B131" s="219">
        <v>127</v>
      </c>
      <c r="E131" s="219" t="s">
        <v>1076</v>
      </c>
      <c r="F131" s="220" t="s">
        <v>1079</v>
      </c>
      <c r="G131" s="222">
        <v>1200</v>
      </c>
      <c r="H131" s="223"/>
      <c r="I131" s="223"/>
      <c r="J131" s="223"/>
      <c r="K131" s="222">
        <v>1130</v>
      </c>
      <c r="L131" s="222">
        <v>185</v>
      </c>
      <c r="M131" s="223">
        <v>5</v>
      </c>
      <c r="N131" s="223"/>
      <c r="O131" s="223"/>
      <c r="P131" s="223"/>
      <c r="Q131" s="223"/>
      <c r="R131" s="223"/>
      <c r="S131" s="223"/>
      <c r="T131" s="223"/>
      <c r="U131" s="223"/>
      <c r="V131" s="223"/>
      <c r="W131" s="223"/>
      <c r="X131" s="223">
        <v>1.3</v>
      </c>
      <c r="Y131" s="222"/>
      <c r="Z131" s="222"/>
      <c r="AA131" s="222">
        <v>179</v>
      </c>
      <c r="AB131" s="222"/>
      <c r="AC131" s="225"/>
    </row>
    <row r="132" spans="2:29" x14ac:dyDescent="0.2">
      <c r="B132" s="1">
        <v>128</v>
      </c>
      <c r="E132" s="1" t="s">
        <v>1076</v>
      </c>
      <c r="F132" s="214" t="s">
        <v>1079</v>
      </c>
      <c r="G132" s="105">
        <v>1200</v>
      </c>
      <c r="H132" s="216"/>
      <c r="I132" s="216"/>
      <c r="J132" s="216"/>
      <c r="K132" s="105">
        <v>1130</v>
      </c>
      <c r="L132" s="105">
        <v>225</v>
      </c>
      <c r="M132" s="216">
        <v>6</v>
      </c>
      <c r="N132" s="216"/>
      <c r="O132" s="216"/>
      <c r="P132" s="216"/>
      <c r="Q132" s="216"/>
      <c r="R132" s="216"/>
      <c r="S132" s="216"/>
      <c r="T132" s="216"/>
      <c r="U132" s="216"/>
      <c r="V132" s="216"/>
      <c r="W132" s="216"/>
      <c r="X132" s="216">
        <v>1.3</v>
      </c>
      <c r="Y132" s="105"/>
      <c r="Z132" s="105"/>
      <c r="AA132" s="105">
        <v>209</v>
      </c>
      <c r="AB132" s="105"/>
      <c r="AC132" s="218"/>
    </row>
    <row r="133" spans="2:29" x14ac:dyDescent="0.2">
      <c r="B133" s="219">
        <v>129</v>
      </c>
      <c r="E133" s="219" t="s">
        <v>1076</v>
      </c>
      <c r="F133" s="220" t="s">
        <v>1079</v>
      </c>
      <c r="G133" s="222">
        <v>1500</v>
      </c>
      <c r="H133" s="223"/>
      <c r="I133" s="223"/>
      <c r="J133" s="223"/>
      <c r="K133" s="222">
        <v>1430</v>
      </c>
      <c r="L133" s="222">
        <v>65</v>
      </c>
      <c r="M133" s="223">
        <v>2</v>
      </c>
      <c r="N133" s="223"/>
      <c r="O133" s="223"/>
      <c r="P133" s="223"/>
      <c r="Q133" s="223"/>
      <c r="R133" s="223"/>
      <c r="S133" s="223"/>
      <c r="T133" s="223"/>
      <c r="U133" s="223"/>
      <c r="V133" s="223"/>
      <c r="W133" s="223"/>
      <c r="X133" s="223">
        <v>1.3</v>
      </c>
      <c r="Y133" s="222"/>
      <c r="Z133" s="222"/>
      <c r="AA133" s="222">
        <v>106</v>
      </c>
      <c r="AB133" s="222"/>
      <c r="AC133" s="225"/>
    </row>
    <row r="134" spans="2:29" x14ac:dyDescent="0.2">
      <c r="B134" s="1">
        <v>130</v>
      </c>
      <c r="E134" s="1" t="s">
        <v>1076</v>
      </c>
      <c r="F134" s="214" t="s">
        <v>1079</v>
      </c>
      <c r="G134" s="105">
        <v>1500</v>
      </c>
      <c r="H134" s="216"/>
      <c r="I134" s="216"/>
      <c r="J134" s="216"/>
      <c r="K134" s="105">
        <v>1430</v>
      </c>
      <c r="L134" s="105">
        <v>105</v>
      </c>
      <c r="M134" s="216">
        <v>3</v>
      </c>
      <c r="N134" s="216"/>
      <c r="O134" s="216"/>
      <c r="P134" s="216"/>
      <c r="Q134" s="216"/>
      <c r="R134" s="216"/>
      <c r="S134" s="216"/>
      <c r="T134" s="216"/>
      <c r="U134" s="216"/>
      <c r="V134" s="216"/>
      <c r="W134" s="216"/>
      <c r="X134" s="216">
        <v>1.3</v>
      </c>
      <c r="Y134" s="105"/>
      <c r="Z134" s="105"/>
      <c r="AA134" s="105">
        <v>143</v>
      </c>
      <c r="AB134" s="105"/>
      <c r="AC134" s="218"/>
    </row>
    <row r="135" spans="2:29" x14ac:dyDescent="0.2">
      <c r="B135" s="219">
        <v>131</v>
      </c>
      <c r="E135" s="219" t="s">
        <v>1076</v>
      </c>
      <c r="F135" s="220" t="s">
        <v>1079</v>
      </c>
      <c r="G135" s="222">
        <v>1500</v>
      </c>
      <c r="H135" s="223"/>
      <c r="I135" s="223"/>
      <c r="J135" s="223"/>
      <c r="K135" s="222">
        <v>1430</v>
      </c>
      <c r="L135" s="222">
        <v>145</v>
      </c>
      <c r="M135" s="223">
        <v>4</v>
      </c>
      <c r="N135" s="223"/>
      <c r="O135" s="223"/>
      <c r="P135" s="223"/>
      <c r="Q135" s="223"/>
      <c r="R135" s="223"/>
      <c r="S135" s="223"/>
      <c r="T135" s="223"/>
      <c r="U135" s="223"/>
      <c r="V135" s="223"/>
      <c r="W135" s="223"/>
      <c r="X135" s="223">
        <v>1.3</v>
      </c>
      <c r="Y135" s="222"/>
      <c r="Z135" s="222"/>
      <c r="AA135" s="222">
        <v>180</v>
      </c>
      <c r="AB135" s="222"/>
      <c r="AC135" s="225"/>
    </row>
    <row r="136" spans="2:29" x14ac:dyDescent="0.2">
      <c r="B136" s="1">
        <v>132</v>
      </c>
      <c r="E136" s="1" t="s">
        <v>1076</v>
      </c>
      <c r="F136" s="214" t="s">
        <v>1079</v>
      </c>
      <c r="G136" s="105">
        <v>1500</v>
      </c>
      <c r="H136" s="216"/>
      <c r="I136" s="216"/>
      <c r="J136" s="216"/>
      <c r="K136" s="105">
        <v>1430</v>
      </c>
      <c r="L136" s="105">
        <v>185</v>
      </c>
      <c r="M136" s="216">
        <v>5</v>
      </c>
      <c r="N136" s="216"/>
      <c r="O136" s="216"/>
      <c r="P136" s="216"/>
      <c r="Q136" s="216"/>
      <c r="R136" s="216"/>
      <c r="S136" s="216"/>
      <c r="T136" s="216"/>
      <c r="U136" s="216"/>
      <c r="V136" s="216"/>
      <c r="W136" s="216"/>
      <c r="X136" s="216">
        <v>1.3</v>
      </c>
      <c r="Y136" s="105"/>
      <c r="Z136" s="105"/>
      <c r="AA136" s="105">
        <v>215</v>
      </c>
      <c r="AB136" s="105"/>
      <c r="AC136" s="218"/>
    </row>
    <row r="137" spans="2:29" x14ac:dyDescent="0.2">
      <c r="B137" s="219">
        <v>133</v>
      </c>
      <c r="E137" s="219" t="s">
        <v>1076</v>
      </c>
      <c r="F137" s="220" t="s">
        <v>1079</v>
      </c>
      <c r="G137" s="222">
        <v>1500</v>
      </c>
      <c r="H137" s="223"/>
      <c r="I137" s="223"/>
      <c r="J137" s="223"/>
      <c r="K137" s="222">
        <v>1430</v>
      </c>
      <c r="L137" s="222">
        <v>225</v>
      </c>
      <c r="M137" s="223">
        <v>6</v>
      </c>
      <c r="N137" s="223"/>
      <c r="O137" s="223"/>
      <c r="P137" s="223"/>
      <c r="Q137" s="223"/>
      <c r="R137" s="223"/>
      <c r="S137" s="223"/>
      <c r="T137" s="223"/>
      <c r="U137" s="223"/>
      <c r="V137" s="223"/>
      <c r="W137" s="223"/>
      <c r="X137" s="223">
        <v>1.3</v>
      </c>
      <c r="Y137" s="222"/>
      <c r="Z137" s="222"/>
      <c r="AA137" s="222">
        <v>250</v>
      </c>
      <c r="AB137" s="222"/>
      <c r="AC137" s="225"/>
    </row>
    <row r="138" spans="2:29" x14ac:dyDescent="0.2">
      <c r="B138" s="1">
        <v>134</v>
      </c>
      <c r="E138" s="1" t="s">
        <v>1076</v>
      </c>
      <c r="F138" s="214" t="s">
        <v>1079</v>
      </c>
      <c r="G138" s="105">
        <v>2000</v>
      </c>
      <c r="H138" s="216"/>
      <c r="I138" s="216"/>
      <c r="J138" s="216"/>
      <c r="K138" s="105">
        <v>1930</v>
      </c>
      <c r="L138" s="105">
        <v>65</v>
      </c>
      <c r="M138" s="216">
        <v>2</v>
      </c>
      <c r="N138" s="216"/>
      <c r="O138" s="216"/>
      <c r="P138" s="216"/>
      <c r="Q138" s="216"/>
      <c r="R138" s="216"/>
      <c r="S138" s="216"/>
      <c r="T138" s="216"/>
      <c r="U138" s="216"/>
      <c r="V138" s="216"/>
      <c r="W138" s="216"/>
      <c r="X138" s="216">
        <v>1.3</v>
      </c>
      <c r="Y138" s="105"/>
      <c r="Z138" s="105"/>
      <c r="AA138" s="105">
        <v>140</v>
      </c>
      <c r="AB138" s="105"/>
      <c r="AC138" s="218"/>
    </row>
    <row r="139" spans="2:29" x14ac:dyDescent="0.2">
      <c r="B139" s="219">
        <v>135</v>
      </c>
      <c r="E139" s="219" t="s">
        <v>1076</v>
      </c>
      <c r="F139" s="220" t="s">
        <v>1079</v>
      </c>
      <c r="G139" s="222">
        <v>2000</v>
      </c>
      <c r="H139" s="223"/>
      <c r="I139" s="223"/>
      <c r="J139" s="223"/>
      <c r="K139" s="222">
        <v>1930</v>
      </c>
      <c r="L139" s="222">
        <v>105</v>
      </c>
      <c r="M139" s="223">
        <v>3</v>
      </c>
      <c r="N139" s="223"/>
      <c r="O139" s="223"/>
      <c r="P139" s="223"/>
      <c r="Q139" s="223"/>
      <c r="R139" s="223"/>
      <c r="S139" s="223"/>
      <c r="T139" s="223"/>
      <c r="U139" s="223"/>
      <c r="V139" s="223"/>
      <c r="W139" s="223"/>
      <c r="X139" s="223">
        <v>1.3</v>
      </c>
      <c r="Y139" s="222"/>
      <c r="Z139" s="222"/>
      <c r="AA139" s="222">
        <v>189</v>
      </c>
      <c r="AB139" s="222"/>
      <c r="AC139" s="225"/>
    </row>
    <row r="140" spans="2:29" x14ac:dyDescent="0.2">
      <c r="B140" s="1">
        <v>136</v>
      </c>
      <c r="E140" s="1" t="s">
        <v>1076</v>
      </c>
      <c r="F140" s="214" t="s">
        <v>1079</v>
      </c>
      <c r="G140" s="105">
        <v>2000</v>
      </c>
      <c r="H140" s="216"/>
      <c r="I140" s="216"/>
      <c r="J140" s="216"/>
      <c r="K140" s="105">
        <v>1930</v>
      </c>
      <c r="L140" s="105">
        <v>145</v>
      </c>
      <c r="M140" s="216">
        <v>4</v>
      </c>
      <c r="N140" s="216"/>
      <c r="O140" s="216"/>
      <c r="P140" s="216"/>
      <c r="Q140" s="216"/>
      <c r="R140" s="216"/>
      <c r="S140" s="216"/>
      <c r="T140" s="216"/>
      <c r="U140" s="216"/>
      <c r="V140" s="216"/>
      <c r="W140" s="216"/>
      <c r="X140" s="216">
        <v>1.3</v>
      </c>
      <c r="Y140" s="105"/>
      <c r="Z140" s="105"/>
      <c r="AA140" s="105">
        <v>237</v>
      </c>
      <c r="AB140" s="105"/>
      <c r="AC140" s="218"/>
    </row>
    <row r="141" spans="2:29" x14ac:dyDescent="0.2">
      <c r="B141" s="219">
        <v>137</v>
      </c>
      <c r="E141" s="219" t="s">
        <v>1076</v>
      </c>
      <c r="F141" s="220" t="s">
        <v>1079</v>
      </c>
      <c r="G141" s="222">
        <v>2000</v>
      </c>
      <c r="H141" s="223"/>
      <c r="I141" s="223"/>
      <c r="J141" s="223"/>
      <c r="K141" s="222">
        <v>1930</v>
      </c>
      <c r="L141" s="222">
        <v>185</v>
      </c>
      <c r="M141" s="223">
        <v>5</v>
      </c>
      <c r="N141" s="223"/>
      <c r="O141" s="223"/>
      <c r="P141" s="223"/>
      <c r="Q141" s="223"/>
      <c r="R141" s="223"/>
      <c r="S141" s="223"/>
      <c r="T141" s="223"/>
      <c r="U141" s="223"/>
      <c r="V141" s="223"/>
      <c r="W141" s="223"/>
      <c r="X141" s="223">
        <v>1.3</v>
      </c>
      <c r="Y141" s="222"/>
      <c r="Z141" s="222"/>
      <c r="AA141" s="222">
        <v>282</v>
      </c>
      <c r="AB141" s="222"/>
      <c r="AC141" s="225"/>
    </row>
    <row r="142" spans="2:29" x14ac:dyDescent="0.2">
      <c r="B142" s="1">
        <v>138</v>
      </c>
      <c r="E142" s="1" t="s">
        <v>1076</v>
      </c>
      <c r="F142" s="214" t="s">
        <v>1079</v>
      </c>
      <c r="G142" s="105">
        <v>2000</v>
      </c>
      <c r="H142" s="216"/>
      <c r="I142" s="216"/>
      <c r="J142" s="216"/>
      <c r="K142" s="105">
        <v>1930</v>
      </c>
      <c r="L142" s="105">
        <v>225</v>
      </c>
      <c r="M142" s="216">
        <v>6</v>
      </c>
      <c r="N142" s="216"/>
      <c r="O142" s="216"/>
      <c r="P142" s="216"/>
      <c r="Q142" s="216"/>
      <c r="R142" s="216"/>
      <c r="S142" s="216"/>
      <c r="T142" s="216"/>
      <c r="U142" s="216"/>
      <c r="V142" s="216"/>
      <c r="W142" s="216"/>
      <c r="X142" s="216">
        <v>1.3</v>
      </c>
      <c r="Y142" s="105"/>
      <c r="Z142" s="105"/>
      <c r="AA142" s="105">
        <v>330</v>
      </c>
      <c r="AB142" s="105"/>
      <c r="AC142" s="218"/>
    </row>
    <row r="143" spans="2:29" x14ac:dyDescent="0.2">
      <c r="B143" s="219">
        <v>139</v>
      </c>
      <c r="E143" s="219" t="s">
        <v>1076</v>
      </c>
      <c r="F143" s="220" t="s">
        <v>1079</v>
      </c>
      <c r="G143" s="222">
        <v>2500</v>
      </c>
      <c r="H143" s="223"/>
      <c r="I143" s="223"/>
      <c r="J143" s="223"/>
      <c r="K143" s="222">
        <v>2430</v>
      </c>
      <c r="L143" s="222">
        <v>65</v>
      </c>
      <c r="M143" s="223">
        <v>2</v>
      </c>
      <c r="N143" s="223"/>
      <c r="O143" s="223"/>
      <c r="P143" s="223"/>
      <c r="Q143" s="223"/>
      <c r="R143" s="223"/>
      <c r="S143" s="223"/>
      <c r="T143" s="223"/>
      <c r="U143" s="223"/>
      <c r="V143" s="223"/>
      <c r="W143" s="223"/>
      <c r="X143" s="223">
        <v>1.3</v>
      </c>
      <c r="Y143" s="222"/>
      <c r="Z143" s="222"/>
      <c r="AA143" s="222">
        <v>174</v>
      </c>
      <c r="AB143" s="222"/>
      <c r="AC143" s="225"/>
    </row>
    <row r="144" spans="2:29" x14ac:dyDescent="0.2">
      <c r="B144" s="1">
        <v>140</v>
      </c>
      <c r="E144" s="1" t="s">
        <v>1076</v>
      </c>
      <c r="F144" s="214" t="s">
        <v>1079</v>
      </c>
      <c r="G144" s="105">
        <v>2500</v>
      </c>
      <c r="H144" s="216"/>
      <c r="I144" s="216"/>
      <c r="J144" s="216"/>
      <c r="K144" s="105">
        <v>2430</v>
      </c>
      <c r="L144" s="105">
        <v>105</v>
      </c>
      <c r="M144" s="216">
        <v>3</v>
      </c>
      <c r="N144" s="216"/>
      <c r="O144" s="216"/>
      <c r="P144" s="216"/>
      <c r="Q144" s="216"/>
      <c r="R144" s="216"/>
      <c r="S144" s="216"/>
      <c r="T144" s="216"/>
      <c r="U144" s="216"/>
      <c r="V144" s="216"/>
      <c r="W144" s="216"/>
      <c r="X144" s="216">
        <v>1.3</v>
      </c>
      <c r="Y144" s="105"/>
      <c r="Z144" s="105"/>
      <c r="AA144" s="105">
        <v>236</v>
      </c>
      <c r="AB144" s="105"/>
      <c r="AC144" s="218"/>
    </row>
    <row r="145" spans="2:29" x14ac:dyDescent="0.2">
      <c r="B145" s="219">
        <v>141</v>
      </c>
      <c r="E145" s="219" t="s">
        <v>1076</v>
      </c>
      <c r="F145" s="220" t="s">
        <v>1079</v>
      </c>
      <c r="G145" s="222">
        <v>2500</v>
      </c>
      <c r="H145" s="223"/>
      <c r="I145" s="223"/>
      <c r="J145" s="223"/>
      <c r="K145" s="222">
        <v>2430</v>
      </c>
      <c r="L145" s="222">
        <v>145</v>
      </c>
      <c r="M145" s="223">
        <v>4</v>
      </c>
      <c r="N145" s="223"/>
      <c r="O145" s="223"/>
      <c r="P145" s="223"/>
      <c r="Q145" s="223"/>
      <c r="R145" s="223"/>
      <c r="S145" s="223"/>
      <c r="T145" s="223"/>
      <c r="U145" s="223"/>
      <c r="V145" s="223"/>
      <c r="W145" s="223"/>
      <c r="X145" s="223">
        <v>1.3</v>
      </c>
      <c r="Y145" s="222"/>
      <c r="Z145" s="222"/>
      <c r="AA145" s="222">
        <v>295</v>
      </c>
      <c r="AB145" s="222"/>
      <c r="AC145" s="225"/>
    </row>
    <row r="146" spans="2:29" x14ac:dyDescent="0.2">
      <c r="B146" s="1">
        <v>142</v>
      </c>
      <c r="E146" s="1" t="s">
        <v>1076</v>
      </c>
      <c r="F146" s="214" t="s">
        <v>1079</v>
      </c>
      <c r="G146" s="105">
        <v>2500</v>
      </c>
      <c r="H146" s="216"/>
      <c r="I146" s="216"/>
      <c r="J146" s="216"/>
      <c r="K146" s="105">
        <v>2430</v>
      </c>
      <c r="L146" s="105">
        <v>185</v>
      </c>
      <c r="M146" s="216">
        <v>5</v>
      </c>
      <c r="N146" s="216"/>
      <c r="O146" s="216"/>
      <c r="P146" s="216"/>
      <c r="Q146" s="216"/>
      <c r="R146" s="216"/>
      <c r="S146" s="216"/>
      <c r="T146" s="216"/>
      <c r="U146" s="216"/>
      <c r="V146" s="216"/>
      <c r="W146" s="216"/>
      <c r="X146" s="216">
        <v>1.3</v>
      </c>
      <c r="Y146" s="105"/>
      <c r="Z146" s="105"/>
      <c r="AA146" s="105">
        <v>347</v>
      </c>
      <c r="AB146" s="105"/>
      <c r="AC146" s="218"/>
    </row>
    <row r="147" spans="2:29" x14ac:dyDescent="0.2">
      <c r="B147" s="219">
        <v>143</v>
      </c>
      <c r="E147" s="219" t="s">
        <v>1076</v>
      </c>
      <c r="F147" s="220" t="s">
        <v>1079</v>
      </c>
      <c r="G147" s="222">
        <v>2500</v>
      </c>
      <c r="H147" s="223"/>
      <c r="I147" s="223"/>
      <c r="J147" s="223"/>
      <c r="K147" s="222">
        <v>2430</v>
      </c>
      <c r="L147" s="222">
        <v>225</v>
      </c>
      <c r="M147" s="223">
        <v>6</v>
      </c>
      <c r="N147" s="223"/>
      <c r="O147" s="223"/>
      <c r="P147" s="223"/>
      <c r="Q147" s="223"/>
      <c r="R147" s="223"/>
      <c r="S147" s="223"/>
      <c r="T147" s="223"/>
      <c r="U147" s="223"/>
      <c r="V147" s="223"/>
      <c r="W147" s="223"/>
      <c r="X147" s="223">
        <v>1.3</v>
      </c>
      <c r="Y147" s="222"/>
      <c r="Z147" s="222"/>
      <c r="AA147" s="222">
        <v>403</v>
      </c>
      <c r="AB147" s="222"/>
      <c r="AC147" s="225"/>
    </row>
    <row r="148" spans="2:29" x14ac:dyDescent="0.2">
      <c r="B148" s="1">
        <v>144</v>
      </c>
      <c r="E148" s="1" t="s">
        <v>1076</v>
      </c>
      <c r="F148" s="214" t="s">
        <v>1085</v>
      </c>
      <c r="G148" s="105">
        <v>180</v>
      </c>
      <c r="H148" s="216">
        <v>1500</v>
      </c>
      <c r="I148" s="216">
        <f>Data_radiator!$G148*Data_radiator!$H148/1000000</f>
        <v>0.27</v>
      </c>
      <c r="J148" s="216"/>
      <c r="K148" s="105">
        <v>1430</v>
      </c>
      <c r="L148" s="105">
        <v>145</v>
      </c>
      <c r="M148" s="216"/>
      <c r="N148" s="216"/>
      <c r="O148" s="216"/>
      <c r="P148" s="216"/>
      <c r="Q148" s="216"/>
      <c r="R148" s="216"/>
      <c r="S148" s="216"/>
      <c r="T148" s="216"/>
      <c r="U148" s="216"/>
      <c r="V148" s="216"/>
      <c r="W148" s="216"/>
      <c r="X148" s="223">
        <v>1.3</v>
      </c>
      <c r="Y148" s="105">
        <v>905</v>
      </c>
      <c r="Z148" s="105">
        <f>tabelle1[[#This Row],[Wärmeleistung (75/65/20)  in W]]/tabelle1[[#This Row],[Breite B in mm]]*1000</f>
        <v>603.33333333333337</v>
      </c>
      <c r="AA148" s="105"/>
      <c r="AB148" s="105"/>
      <c r="AC148" s="218"/>
    </row>
    <row r="149" spans="2:29" x14ac:dyDescent="0.2">
      <c r="B149" s="219">
        <v>145</v>
      </c>
      <c r="E149" s="219" t="s">
        <v>1076</v>
      </c>
      <c r="F149" s="220" t="s">
        <v>1085</v>
      </c>
      <c r="G149" s="222">
        <v>180</v>
      </c>
      <c r="H149" s="223">
        <v>1500</v>
      </c>
      <c r="I149" s="223">
        <f>Data_radiator!$G149*Data_radiator!$H149/1000000</f>
        <v>0.27</v>
      </c>
      <c r="J149" s="223"/>
      <c r="K149" s="222">
        <v>1430</v>
      </c>
      <c r="L149" s="222">
        <v>185</v>
      </c>
      <c r="M149" s="223"/>
      <c r="N149" s="223"/>
      <c r="O149" s="223"/>
      <c r="P149" s="223"/>
      <c r="Q149" s="223"/>
      <c r="R149" s="223"/>
      <c r="S149" s="223"/>
      <c r="T149" s="223"/>
      <c r="U149" s="223"/>
      <c r="V149" s="223"/>
      <c r="W149" s="223"/>
      <c r="X149" s="223">
        <v>1.3</v>
      </c>
      <c r="Y149" s="222">
        <v>1088</v>
      </c>
      <c r="Z149" s="105">
        <f>tabelle1[[#This Row],[Wärmeleistung (75/65/20)  in W]]/tabelle1[[#This Row],[Breite B in mm]]*1000</f>
        <v>725.33333333333337</v>
      </c>
      <c r="AA149" s="222"/>
      <c r="AB149" s="222"/>
      <c r="AC149" s="225"/>
    </row>
    <row r="150" spans="2:29" x14ac:dyDescent="0.2">
      <c r="B150" s="1">
        <v>146</v>
      </c>
      <c r="E150" s="1" t="s">
        <v>1076</v>
      </c>
      <c r="F150" s="214" t="s">
        <v>1085</v>
      </c>
      <c r="G150" s="105">
        <v>180</v>
      </c>
      <c r="H150" s="216">
        <v>1500</v>
      </c>
      <c r="I150" s="216">
        <f>Data_radiator!$G150*Data_radiator!$H150/1000000</f>
        <v>0.27</v>
      </c>
      <c r="J150" s="216"/>
      <c r="K150" s="105">
        <v>1430</v>
      </c>
      <c r="L150" s="105">
        <v>225</v>
      </c>
      <c r="M150" s="216"/>
      <c r="N150" s="216"/>
      <c r="O150" s="216"/>
      <c r="P150" s="216"/>
      <c r="Q150" s="216"/>
      <c r="R150" s="216"/>
      <c r="S150" s="216"/>
      <c r="T150" s="216"/>
      <c r="U150" s="216"/>
      <c r="V150" s="216"/>
      <c r="W150" s="216"/>
      <c r="X150" s="223">
        <v>1.3</v>
      </c>
      <c r="Y150" s="105">
        <v>1284</v>
      </c>
      <c r="Z150" s="105">
        <f>tabelle1[[#This Row],[Wärmeleistung (75/65/20)  in W]]/tabelle1[[#This Row],[Breite B in mm]]*1000</f>
        <v>856</v>
      </c>
      <c r="AA150" s="105"/>
      <c r="AB150" s="105"/>
      <c r="AC150" s="218"/>
    </row>
    <row r="151" spans="2:29" x14ac:dyDescent="0.2">
      <c r="B151" s="219">
        <v>147</v>
      </c>
      <c r="E151" s="219" t="s">
        <v>1076</v>
      </c>
      <c r="F151" s="220" t="s">
        <v>1085</v>
      </c>
      <c r="G151" s="222">
        <v>180</v>
      </c>
      <c r="H151" s="223">
        <v>2000</v>
      </c>
      <c r="I151" s="223">
        <f>Data_radiator!$G151*Data_radiator!$H151/1000000</f>
        <v>0.36</v>
      </c>
      <c r="J151" s="223"/>
      <c r="K151" s="222">
        <v>1930</v>
      </c>
      <c r="L151" s="222">
        <v>145</v>
      </c>
      <c r="M151" s="223"/>
      <c r="N151" s="223"/>
      <c r="O151" s="223"/>
      <c r="P151" s="223"/>
      <c r="Q151" s="223"/>
      <c r="R151" s="223"/>
      <c r="S151" s="223"/>
      <c r="T151" s="223"/>
      <c r="U151" s="223"/>
      <c r="V151" s="223"/>
      <c r="W151" s="223"/>
      <c r="X151" s="223">
        <v>1.3</v>
      </c>
      <c r="Y151" s="222">
        <v>1220</v>
      </c>
      <c r="Z151" s="105">
        <f>tabelle1[[#This Row],[Wärmeleistung (75/65/20)  in W]]/tabelle1[[#This Row],[Breite B in mm]]*1000</f>
        <v>610</v>
      </c>
      <c r="AA151" s="222"/>
      <c r="AB151" s="222"/>
      <c r="AC151" s="225"/>
    </row>
    <row r="152" spans="2:29" x14ac:dyDescent="0.2">
      <c r="B152" s="1">
        <v>148</v>
      </c>
      <c r="E152" s="1" t="s">
        <v>1076</v>
      </c>
      <c r="F152" s="214" t="s">
        <v>1085</v>
      </c>
      <c r="G152" s="105">
        <v>180</v>
      </c>
      <c r="H152" s="216">
        <v>2000</v>
      </c>
      <c r="I152" s="216">
        <f>Data_radiator!$G152*Data_radiator!$H152/1000000</f>
        <v>0.36</v>
      </c>
      <c r="J152" s="216"/>
      <c r="K152" s="105">
        <v>1930</v>
      </c>
      <c r="L152" s="105">
        <v>185</v>
      </c>
      <c r="M152" s="216"/>
      <c r="N152" s="216"/>
      <c r="O152" s="216"/>
      <c r="P152" s="216"/>
      <c r="Q152" s="216"/>
      <c r="R152" s="216"/>
      <c r="S152" s="216"/>
      <c r="T152" s="216"/>
      <c r="U152" s="216"/>
      <c r="V152" s="216"/>
      <c r="W152" s="216"/>
      <c r="X152" s="223">
        <v>1.3</v>
      </c>
      <c r="Y152" s="105">
        <v>1466</v>
      </c>
      <c r="Z152" s="105">
        <f>tabelle1[[#This Row],[Wärmeleistung (75/65/20)  in W]]/tabelle1[[#This Row],[Breite B in mm]]*1000</f>
        <v>733</v>
      </c>
      <c r="AA152" s="105"/>
      <c r="AB152" s="105"/>
      <c r="AC152" s="218"/>
    </row>
    <row r="153" spans="2:29" x14ac:dyDescent="0.2">
      <c r="B153" s="219">
        <v>149</v>
      </c>
      <c r="E153" s="219" t="s">
        <v>1076</v>
      </c>
      <c r="F153" s="220" t="s">
        <v>1085</v>
      </c>
      <c r="G153" s="222">
        <v>180</v>
      </c>
      <c r="H153" s="223">
        <v>2000</v>
      </c>
      <c r="I153" s="223">
        <f>Data_radiator!$G153*Data_radiator!$H153/1000000</f>
        <v>0.36</v>
      </c>
      <c r="J153" s="223"/>
      <c r="K153" s="222">
        <v>1930</v>
      </c>
      <c r="L153" s="222">
        <v>225</v>
      </c>
      <c r="M153" s="223"/>
      <c r="N153" s="223"/>
      <c r="O153" s="223"/>
      <c r="P153" s="223"/>
      <c r="Q153" s="223"/>
      <c r="R153" s="223"/>
      <c r="S153" s="223"/>
      <c r="T153" s="223"/>
      <c r="U153" s="223"/>
      <c r="V153" s="223"/>
      <c r="W153" s="223"/>
      <c r="X153" s="223">
        <v>1.3</v>
      </c>
      <c r="Y153" s="222">
        <v>1731</v>
      </c>
      <c r="Z153" s="105">
        <f>tabelle1[[#This Row],[Wärmeleistung (75/65/20)  in W]]/tabelle1[[#This Row],[Breite B in mm]]*1000</f>
        <v>865.5</v>
      </c>
      <c r="AA153" s="222"/>
      <c r="AB153" s="222"/>
      <c r="AC153" s="225"/>
    </row>
    <row r="154" spans="2:29" x14ac:dyDescent="0.2">
      <c r="B154" s="1">
        <v>150</v>
      </c>
      <c r="E154" s="1" t="s">
        <v>1076</v>
      </c>
      <c r="F154" s="214" t="s">
        <v>1085</v>
      </c>
      <c r="G154" s="105">
        <v>180</v>
      </c>
      <c r="H154" s="216">
        <v>2500</v>
      </c>
      <c r="I154" s="216">
        <f>Data_radiator!$G154*Data_radiator!$H154/1000000</f>
        <v>0.45</v>
      </c>
      <c r="J154" s="216"/>
      <c r="K154" s="105">
        <v>2430</v>
      </c>
      <c r="L154" s="105">
        <v>145</v>
      </c>
      <c r="M154" s="216"/>
      <c r="N154" s="216"/>
      <c r="O154" s="216"/>
      <c r="P154" s="216"/>
      <c r="Q154" s="216"/>
      <c r="R154" s="216"/>
      <c r="S154" s="216"/>
      <c r="T154" s="216"/>
      <c r="U154" s="216"/>
      <c r="V154" s="216"/>
      <c r="W154" s="216"/>
      <c r="X154" s="223">
        <v>1.3</v>
      </c>
      <c r="Y154" s="105">
        <v>1556</v>
      </c>
      <c r="Z154" s="105">
        <f>tabelle1[[#This Row],[Wärmeleistung (75/65/20)  in W]]/tabelle1[[#This Row],[Breite B in mm]]*1000</f>
        <v>622.4</v>
      </c>
      <c r="AA154" s="105"/>
      <c r="AB154" s="105"/>
      <c r="AC154" s="218"/>
    </row>
    <row r="155" spans="2:29" x14ac:dyDescent="0.2">
      <c r="B155" s="219">
        <v>151</v>
      </c>
      <c r="E155" s="219" t="s">
        <v>1076</v>
      </c>
      <c r="F155" s="220" t="s">
        <v>1085</v>
      </c>
      <c r="G155" s="222">
        <v>180</v>
      </c>
      <c r="H155" s="223">
        <v>2500</v>
      </c>
      <c r="I155" s="223">
        <f>Data_radiator!$G155*Data_radiator!$H155/1000000</f>
        <v>0.45</v>
      </c>
      <c r="J155" s="223"/>
      <c r="K155" s="222">
        <v>2430</v>
      </c>
      <c r="L155" s="222">
        <v>185</v>
      </c>
      <c r="M155" s="223"/>
      <c r="N155" s="223"/>
      <c r="O155" s="223"/>
      <c r="P155" s="223"/>
      <c r="Q155" s="223"/>
      <c r="R155" s="223"/>
      <c r="S155" s="223"/>
      <c r="T155" s="223"/>
      <c r="U155" s="223"/>
      <c r="V155" s="223"/>
      <c r="W155" s="223"/>
      <c r="X155" s="223">
        <v>1.3</v>
      </c>
      <c r="Y155" s="222">
        <v>1871</v>
      </c>
      <c r="Z155" s="105">
        <f>tabelle1[[#This Row],[Wärmeleistung (75/65/20)  in W]]/tabelle1[[#This Row],[Breite B in mm]]*1000</f>
        <v>748.4</v>
      </c>
      <c r="AA155" s="222"/>
      <c r="AB155" s="222"/>
      <c r="AC155" s="225"/>
    </row>
    <row r="156" spans="2:29" x14ac:dyDescent="0.2">
      <c r="B156" s="1">
        <v>152</v>
      </c>
      <c r="E156" s="1" t="s">
        <v>1076</v>
      </c>
      <c r="F156" s="214" t="s">
        <v>1085</v>
      </c>
      <c r="G156" s="105">
        <v>180</v>
      </c>
      <c r="H156" s="216">
        <v>2500</v>
      </c>
      <c r="I156" s="216">
        <f>Data_radiator!$G156*Data_radiator!$H156/1000000</f>
        <v>0.45</v>
      </c>
      <c r="J156" s="216"/>
      <c r="K156" s="105">
        <v>2430</v>
      </c>
      <c r="L156" s="105">
        <v>225</v>
      </c>
      <c r="M156" s="216"/>
      <c r="N156" s="216"/>
      <c r="O156" s="216"/>
      <c r="P156" s="216"/>
      <c r="Q156" s="216"/>
      <c r="R156" s="216"/>
      <c r="S156" s="216"/>
      <c r="T156" s="216"/>
      <c r="U156" s="216"/>
      <c r="V156" s="216"/>
      <c r="W156" s="216"/>
      <c r="X156" s="223">
        <v>1.3</v>
      </c>
      <c r="Y156" s="105">
        <v>2209</v>
      </c>
      <c r="Z156" s="105">
        <f>tabelle1[[#This Row],[Wärmeleistung (75/65/20)  in W]]/tabelle1[[#This Row],[Breite B in mm]]*1000</f>
        <v>883.6</v>
      </c>
      <c r="AA156" s="105"/>
      <c r="AB156" s="105"/>
      <c r="AC156" s="218"/>
    </row>
    <row r="157" spans="2:29" x14ac:dyDescent="0.2">
      <c r="B157" s="219">
        <v>153</v>
      </c>
      <c r="E157" s="219" t="s">
        <v>1076</v>
      </c>
      <c r="F157" s="220" t="s">
        <v>1085</v>
      </c>
      <c r="G157" s="222">
        <v>225</v>
      </c>
      <c r="H157" s="223">
        <v>1500</v>
      </c>
      <c r="I157" s="223">
        <f>Data_radiator!$G157*Data_radiator!$H157/1000000</f>
        <v>0.33750000000000002</v>
      </c>
      <c r="J157" s="223"/>
      <c r="K157" s="222">
        <v>1430</v>
      </c>
      <c r="L157" s="222">
        <v>145</v>
      </c>
      <c r="M157" s="223"/>
      <c r="N157" s="223"/>
      <c r="O157" s="223"/>
      <c r="P157" s="223"/>
      <c r="Q157" s="223"/>
      <c r="R157" s="223"/>
      <c r="S157" s="223"/>
      <c r="T157" s="223"/>
      <c r="U157" s="223"/>
      <c r="V157" s="223"/>
      <c r="W157" s="223"/>
      <c r="X157" s="223">
        <v>1.3</v>
      </c>
      <c r="Y157" s="222">
        <v>1086</v>
      </c>
      <c r="Z157" s="105">
        <f>tabelle1[[#This Row],[Wärmeleistung (75/65/20)  in W]]/tabelle1[[#This Row],[Breite B in mm]]*1000</f>
        <v>724</v>
      </c>
      <c r="AA157" s="222"/>
      <c r="AB157" s="222"/>
      <c r="AC157" s="225"/>
    </row>
    <row r="158" spans="2:29" x14ac:dyDescent="0.2">
      <c r="B158" s="1">
        <v>154</v>
      </c>
      <c r="E158" s="1" t="s">
        <v>1076</v>
      </c>
      <c r="F158" s="214" t="s">
        <v>1085</v>
      </c>
      <c r="G158" s="105">
        <v>225</v>
      </c>
      <c r="H158" s="216">
        <v>1500</v>
      </c>
      <c r="I158" s="216">
        <f>Data_radiator!$G158*Data_radiator!$H158/1000000</f>
        <v>0.33750000000000002</v>
      </c>
      <c r="J158" s="216"/>
      <c r="K158" s="105">
        <v>1430</v>
      </c>
      <c r="L158" s="105">
        <v>185</v>
      </c>
      <c r="M158" s="216"/>
      <c r="N158" s="216"/>
      <c r="O158" s="216"/>
      <c r="P158" s="216"/>
      <c r="Q158" s="216"/>
      <c r="R158" s="216"/>
      <c r="S158" s="216"/>
      <c r="T158" s="216"/>
      <c r="U158" s="216"/>
      <c r="V158" s="216"/>
      <c r="W158" s="216"/>
      <c r="X158" s="223">
        <v>1.3</v>
      </c>
      <c r="Y158" s="105">
        <v>1306</v>
      </c>
      <c r="Z158" s="105">
        <f>tabelle1[[#This Row],[Wärmeleistung (75/65/20)  in W]]/tabelle1[[#This Row],[Breite B in mm]]*1000</f>
        <v>870.66666666666674</v>
      </c>
      <c r="AA158" s="105"/>
      <c r="AB158" s="105"/>
      <c r="AC158" s="218"/>
    </row>
    <row r="159" spans="2:29" x14ac:dyDescent="0.2">
      <c r="B159" s="219">
        <v>155</v>
      </c>
      <c r="E159" s="219" t="s">
        <v>1076</v>
      </c>
      <c r="F159" s="220" t="s">
        <v>1085</v>
      </c>
      <c r="G159" s="222">
        <v>225</v>
      </c>
      <c r="H159" s="223">
        <v>1500</v>
      </c>
      <c r="I159" s="223">
        <f>Data_radiator!$G159*Data_radiator!$H159/1000000</f>
        <v>0.33750000000000002</v>
      </c>
      <c r="J159" s="223"/>
      <c r="K159" s="222">
        <v>1430</v>
      </c>
      <c r="L159" s="222">
        <v>225</v>
      </c>
      <c r="M159" s="223"/>
      <c r="N159" s="223"/>
      <c r="O159" s="223"/>
      <c r="P159" s="223"/>
      <c r="Q159" s="223"/>
      <c r="R159" s="223"/>
      <c r="S159" s="223"/>
      <c r="T159" s="223"/>
      <c r="U159" s="223"/>
      <c r="V159" s="223"/>
      <c r="W159" s="223"/>
      <c r="X159" s="223">
        <v>1.3</v>
      </c>
      <c r="Y159" s="222">
        <v>1528</v>
      </c>
      <c r="Z159" s="105">
        <f>tabelle1[[#This Row],[Wärmeleistung (75/65/20)  in W]]/tabelle1[[#This Row],[Breite B in mm]]*1000</f>
        <v>1018.6666666666666</v>
      </c>
      <c r="AA159" s="222"/>
      <c r="AB159" s="222"/>
      <c r="AC159" s="225"/>
    </row>
    <row r="160" spans="2:29" x14ac:dyDescent="0.2">
      <c r="B160" s="1">
        <v>156</v>
      </c>
      <c r="E160" s="1" t="s">
        <v>1076</v>
      </c>
      <c r="F160" s="214" t="s">
        <v>1085</v>
      </c>
      <c r="G160" s="105">
        <v>225</v>
      </c>
      <c r="H160" s="216">
        <v>2000</v>
      </c>
      <c r="I160" s="216">
        <f>Data_radiator!$G160*Data_radiator!$H160/1000000</f>
        <v>0.45</v>
      </c>
      <c r="J160" s="216"/>
      <c r="K160" s="105">
        <v>1930</v>
      </c>
      <c r="L160" s="105">
        <v>145</v>
      </c>
      <c r="M160" s="216"/>
      <c r="N160" s="216"/>
      <c r="O160" s="216"/>
      <c r="P160" s="216"/>
      <c r="Q160" s="216"/>
      <c r="R160" s="216"/>
      <c r="S160" s="216"/>
      <c r="T160" s="216"/>
      <c r="U160" s="216"/>
      <c r="V160" s="216"/>
      <c r="W160" s="216"/>
      <c r="X160" s="223">
        <v>1.3</v>
      </c>
      <c r="Y160" s="105">
        <v>1435</v>
      </c>
      <c r="Z160" s="105">
        <f>tabelle1[[#This Row],[Wärmeleistung (75/65/20)  in W]]/tabelle1[[#This Row],[Breite B in mm]]*1000</f>
        <v>717.5</v>
      </c>
      <c r="AA160" s="105"/>
      <c r="AB160" s="105"/>
      <c r="AC160" s="218"/>
    </row>
    <row r="161" spans="2:29" x14ac:dyDescent="0.2">
      <c r="B161" s="219">
        <v>157</v>
      </c>
      <c r="E161" s="219" t="s">
        <v>1076</v>
      </c>
      <c r="F161" s="220" t="s">
        <v>1085</v>
      </c>
      <c r="G161" s="222">
        <v>225</v>
      </c>
      <c r="H161" s="223">
        <v>2000</v>
      </c>
      <c r="I161" s="223">
        <f>Data_radiator!$G161*Data_radiator!$H161/1000000</f>
        <v>0.45</v>
      </c>
      <c r="J161" s="223"/>
      <c r="K161" s="222">
        <v>1930</v>
      </c>
      <c r="L161" s="222">
        <v>185</v>
      </c>
      <c r="M161" s="223"/>
      <c r="N161" s="223"/>
      <c r="O161" s="223"/>
      <c r="P161" s="223"/>
      <c r="Q161" s="223"/>
      <c r="R161" s="223"/>
      <c r="S161" s="223"/>
      <c r="T161" s="223"/>
      <c r="U161" s="223"/>
      <c r="V161" s="223"/>
      <c r="W161" s="223"/>
      <c r="X161" s="223">
        <v>1.3</v>
      </c>
      <c r="Y161" s="222">
        <v>1724</v>
      </c>
      <c r="Z161" s="105">
        <f>tabelle1[[#This Row],[Wärmeleistung (75/65/20)  in W]]/tabelle1[[#This Row],[Breite B in mm]]*1000</f>
        <v>862</v>
      </c>
      <c r="AA161" s="222"/>
      <c r="AB161" s="222"/>
      <c r="AC161" s="225"/>
    </row>
    <row r="162" spans="2:29" x14ac:dyDescent="0.2">
      <c r="B162" s="1">
        <v>158</v>
      </c>
      <c r="E162" s="1" t="s">
        <v>1076</v>
      </c>
      <c r="F162" s="214" t="s">
        <v>1085</v>
      </c>
      <c r="G162" s="105">
        <v>225</v>
      </c>
      <c r="H162" s="216">
        <v>2000</v>
      </c>
      <c r="I162" s="216">
        <f>Data_radiator!$G162*Data_radiator!$H162/1000000</f>
        <v>0.45</v>
      </c>
      <c r="J162" s="216"/>
      <c r="K162" s="105">
        <v>1930</v>
      </c>
      <c r="L162" s="105">
        <v>225</v>
      </c>
      <c r="M162" s="216"/>
      <c r="N162" s="216"/>
      <c r="O162" s="216"/>
      <c r="P162" s="216"/>
      <c r="Q162" s="216"/>
      <c r="R162" s="216"/>
      <c r="S162" s="216"/>
      <c r="T162" s="216"/>
      <c r="U162" s="216"/>
      <c r="V162" s="216"/>
      <c r="W162" s="216"/>
      <c r="X162" s="223">
        <v>1.3</v>
      </c>
      <c r="Y162" s="105">
        <v>2060</v>
      </c>
      <c r="Z162" s="105">
        <f>tabelle1[[#This Row],[Wärmeleistung (75/65/20)  in W]]/tabelle1[[#This Row],[Breite B in mm]]*1000</f>
        <v>1030</v>
      </c>
      <c r="AA162" s="105"/>
      <c r="AB162" s="105"/>
      <c r="AC162" s="218"/>
    </row>
    <row r="163" spans="2:29" x14ac:dyDescent="0.2">
      <c r="B163" s="219">
        <v>159</v>
      </c>
      <c r="E163" s="219" t="s">
        <v>1076</v>
      </c>
      <c r="F163" s="220" t="s">
        <v>1085</v>
      </c>
      <c r="G163" s="222">
        <v>225</v>
      </c>
      <c r="H163" s="223">
        <v>2500</v>
      </c>
      <c r="I163" s="223">
        <f>Data_radiator!$G163*Data_radiator!$H163/1000000</f>
        <v>0.5625</v>
      </c>
      <c r="J163" s="223"/>
      <c r="K163" s="222">
        <v>2430</v>
      </c>
      <c r="L163" s="222">
        <v>145</v>
      </c>
      <c r="M163" s="223"/>
      <c r="N163" s="223"/>
      <c r="O163" s="223"/>
      <c r="P163" s="223"/>
      <c r="Q163" s="223"/>
      <c r="R163" s="223"/>
      <c r="S163" s="223"/>
      <c r="T163" s="223"/>
      <c r="U163" s="223"/>
      <c r="V163" s="223"/>
      <c r="W163" s="223"/>
      <c r="X163" s="223">
        <v>1.3</v>
      </c>
      <c r="Y163" s="222">
        <v>1868</v>
      </c>
      <c r="Z163" s="105">
        <f>tabelle1[[#This Row],[Wärmeleistung (75/65/20)  in W]]/tabelle1[[#This Row],[Breite B in mm]]*1000</f>
        <v>747.19999999999993</v>
      </c>
      <c r="AA163" s="222"/>
      <c r="AB163" s="222"/>
      <c r="AC163" s="225"/>
    </row>
    <row r="164" spans="2:29" x14ac:dyDescent="0.2">
      <c r="B164" s="1">
        <v>160</v>
      </c>
      <c r="E164" s="1" t="s">
        <v>1076</v>
      </c>
      <c r="F164" s="214" t="s">
        <v>1085</v>
      </c>
      <c r="G164" s="105">
        <v>225</v>
      </c>
      <c r="H164" s="216">
        <v>2500</v>
      </c>
      <c r="I164" s="216">
        <f>Data_radiator!$G164*Data_radiator!$H164/1000000</f>
        <v>0.5625</v>
      </c>
      <c r="J164" s="216"/>
      <c r="K164" s="105">
        <v>2430</v>
      </c>
      <c r="L164" s="105">
        <v>185</v>
      </c>
      <c r="M164" s="216"/>
      <c r="N164" s="216"/>
      <c r="O164" s="216"/>
      <c r="P164" s="216"/>
      <c r="Q164" s="216"/>
      <c r="R164" s="216"/>
      <c r="S164" s="216"/>
      <c r="T164" s="216"/>
      <c r="U164" s="216"/>
      <c r="V164" s="216"/>
      <c r="W164" s="216"/>
      <c r="X164" s="223">
        <v>1.3</v>
      </c>
      <c r="Y164" s="105">
        <v>2247</v>
      </c>
      <c r="Z164" s="105">
        <f>tabelle1[[#This Row],[Wärmeleistung (75/65/20)  in W]]/tabelle1[[#This Row],[Breite B in mm]]*1000</f>
        <v>898.80000000000007</v>
      </c>
      <c r="AA164" s="105"/>
      <c r="AB164" s="105"/>
      <c r="AC164" s="218"/>
    </row>
    <row r="165" spans="2:29" x14ac:dyDescent="0.2">
      <c r="B165" s="219">
        <v>161</v>
      </c>
      <c r="E165" s="219" t="s">
        <v>1076</v>
      </c>
      <c r="F165" s="220" t="s">
        <v>1085</v>
      </c>
      <c r="G165" s="222">
        <v>225</v>
      </c>
      <c r="H165" s="223">
        <v>2500</v>
      </c>
      <c r="I165" s="223">
        <f>Data_radiator!$G165*Data_radiator!$H165/1000000</f>
        <v>0.5625</v>
      </c>
      <c r="J165" s="223"/>
      <c r="K165" s="222">
        <v>2430</v>
      </c>
      <c r="L165" s="222">
        <v>225</v>
      </c>
      <c r="M165" s="223"/>
      <c r="N165" s="223"/>
      <c r="O165" s="223"/>
      <c r="P165" s="223"/>
      <c r="Q165" s="223"/>
      <c r="R165" s="223"/>
      <c r="S165" s="223"/>
      <c r="T165" s="223"/>
      <c r="U165" s="223"/>
      <c r="V165" s="223"/>
      <c r="W165" s="223"/>
      <c r="X165" s="223">
        <v>1.3</v>
      </c>
      <c r="Y165" s="222">
        <v>2627</v>
      </c>
      <c r="Z165" s="105">
        <f>tabelle1[[#This Row],[Wärmeleistung (75/65/20)  in W]]/tabelle1[[#This Row],[Breite B in mm]]*1000</f>
        <v>1050.8</v>
      </c>
      <c r="AA165" s="222"/>
      <c r="AB165" s="222"/>
      <c r="AC165" s="225"/>
    </row>
    <row r="166" spans="2:29" x14ac:dyDescent="0.2">
      <c r="B166" s="1">
        <v>162</v>
      </c>
      <c r="E166" s="1" t="s">
        <v>1076</v>
      </c>
      <c r="F166" s="214" t="s">
        <v>1085</v>
      </c>
      <c r="G166" s="105">
        <v>270</v>
      </c>
      <c r="H166" s="216">
        <v>1500</v>
      </c>
      <c r="I166" s="216">
        <f>Data_radiator!$G166*Data_radiator!$H166/1000000</f>
        <v>0.40500000000000003</v>
      </c>
      <c r="J166" s="216"/>
      <c r="K166" s="105">
        <v>1430</v>
      </c>
      <c r="L166" s="105">
        <v>145</v>
      </c>
      <c r="M166" s="216"/>
      <c r="N166" s="216"/>
      <c r="O166" s="216"/>
      <c r="P166" s="216"/>
      <c r="Q166" s="216"/>
      <c r="R166" s="216"/>
      <c r="S166" s="216"/>
      <c r="T166" s="216"/>
      <c r="U166" s="216"/>
      <c r="V166" s="216"/>
      <c r="W166" s="216"/>
      <c r="X166" s="223">
        <v>1.3</v>
      </c>
      <c r="Y166" s="105">
        <v>1306</v>
      </c>
      <c r="Z166" s="105">
        <f>tabelle1[[#This Row],[Wärmeleistung (75/65/20)  in W]]/tabelle1[[#This Row],[Breite B in mm]]*1000</f>
        <v>870.66666666666674</v>
      </c>
      <c r="AA166" s="105"/>
      <c r="AB166" s="105"/>
      <c r="AC166" s="218"/>
    </row>
    <row r="167" spans="2:29" x14ac:dyDescent="0.2">
      <c r="B167" s="219">
        <v>163</v>
      </c>
      <c r="E167" s="219" t="s">
        <v>1076</v>
      </c>
      <c r="F167" s="220" t="s">
        <v>1085</v>
      </c>
      <c r="G167" s="222">
        <v>270</v>
      </c>
      <c r="H167" s="223">
        <v>1500</v>
      </c>
      <c r="I167" s="223">
        <f>Data_radiator!$G167*Data_radiator!$H167/1000000</f>
        <v>0.40500000000000003</v>
      </c>
      <c r="J167" s="223"/>
      <c r="K167" s="222">
        <v>1430</v>
      </c>
      <c r="L167" s="222">
        <v>185</v>
      </c>
      <c r="M167" s="223"/>
      <c r="N167" s="223"/>
      <c r="O167" s="223"/>
      <c r="P167" s="223"/>
      <c r="Q167" s="223"/>
      <c r="R167" s="223"/>
      <c r="S167" s="223"/>
      <c r="T167" s="223"/>
      <c r="U167" s="223"/>
      <c r="V167" s="223"/>
      <c r="W167" s="223"/>
      <c r="X167" s="223">
        <v>1.3</v>
      </c>
      <c r="Y167" s="222">
        <v>1516</v>
      </c>
      <c r="Z167" s="105">
        <f>tabelle1[[#This Row],[Wärmeleistung (75/65/20)  in W]]/tabelle1[[#This Row],[Breite B in mm]]*1000</f>
        <v>1010.6666666666666</v>
      </c>
      <c r="AA167" s="222"/>
      <c r="AB167" s="222"/>
      <c r="AC167" s="225"/>
    </row>
    <row r="168" spans="2:29" x14ac:dyDescent="0.2">
      <c r="B168" s="1">
        <v>164</v>
      </c>
      <c r="E168" s="1" t="s">
        <v>1076</v>
      </c>
      <c r="F168" s="214" t="s">
        <v>1085</v>
      </c>
      <c r="G168" s="105">
        <v>270</v>
      </c>
      <c r="H168" s="216">
        <v>1500</v>
      </c>
      <c r="I168" s="216">
        <f>Data_radiator!$G168*Data_radiator!$H168/1000000</f>
        <v>0.40500000000000003</v>
      </c>
      <c r="J168" s="216"/>
      <c r="K168" s="105">
        <v>1430</v>
      </c>
      <c r="L168" s="105">
        <v>225</v>
      </c>
      <c r="M168" s="216"/>
      <c r="N168" s="216"/>
      <c r="O168" s="216"/>
      <c r="P168" s="216"/>
      <c r="Q168" s="216"/>
      <c r="R168" s="216"/>
      <c r="S168" s="216"/>
      <c r="T168" s="216"/>
      <c r="U168" s="216"/>
      <c r="V168" s="216"/>
      <c r="W168" s="216"/>
      <c r="X168" s="223">
        <v>1.3</v>
      </c>
      <c r="Y168" s="105">
        <v>1783</v>
      </c>
      <c r="Z168" s="105">
        <f>tabelle1[[#This Row],[Wärmeleistung (75/65/20)  in W]]/tabelle1[[#This Row],[Breite B in mm]]*1000</f>
        <v>1188.6666666666667</v>
      </c>
      <c r="AA168" s="105"/>
      <c r="AB168" s="105"/>
      <c r="AC168" s="218"/>
    </row>
    <row r="169" spans="2:29" x14ac:dyDescent="0.2">
      <c r="B169" s="219">
        <v>165</v>
      </c>
      <c r="E169" s="219" t="s">
        <v>1076</v>
      </c>
      <c r="F169" s="220" t="s">
        <v>1085</v>
      </c>
      <c r="G169" s="222">
        <v>270</v>
      </c>
      <c r="H169" s="223">
        <v>2000</v>
      </c>
      <c r="I169" s="223">
        <f>Data_radiator!$G169*Data_radiator!$H169/1000000</f>
        <v>0.54</v>
      </c>
      <c r="J169" s="223"/>
      <c r="K169" s="222">
        <v>1930</v>
      </c>
      <c r="L169" s="222">
        <v>145</v>
      </c>
      <c r="M169" s="223"/>
      <c r="N169" s="223"/>
      <c r="O169" s="223"/>
      <c r="P169" s="223"/>
      <c r="Q169" s="223"/>
      <c r="R169" s="223"/>
      <c r="S169" s="223"/>
      <c r="T169" s="223"/>
      <c r="U169" s="223"/>
      <c r="V169" s="223"/>
      <c r="W169" s="223"/>
      <c r="X169" s="223">
        <v>1.3</v>
      </c>
      <c r="Y169" s="222">
        <v>1711</v>
      </c>
      <c r="Z169" s="105">
        <f>tabelle1[[#This Row],[Wärmeleistung (75/65/20)  in W]]/tabelle1[[#This Row],[Breite B in mm]]*1000</f>
        <v>855.5</v>
      </c>
      <c r="AA169" s="222"/>
      <c r="AB169" s="222"/>
      <c r="AC169" s="225"/>
    </row>
    <row r="170" spans="2:29" x14ac:dyDescent="0.2">
      <c r="B170" s="1">
        <v>166</v>
      </c>
      <c r="E170" s="1" t="s">
        <v>1076</v>
      </c>
      <c r="F170" s="214" t="s">
        <v>1085</v>
      </c>
      <c r="G170" s="105">
        <v>270</v>
      </c>
      <c r="H170" s="216">
        <v>2000</v>
      </c>
      <c r="I170" s="216">
        <f>Data_radiator!$G170*Data_radiator!$H170/1000000</f>
        <v>0.54</v>
      </c>
      <c r="J170" s="216"/>
      <c r="K170" s="105">
        <v>1930</v>
      </c>
      <c r="L170" s="105">
        <v>185</v>
      </c>
      <c r="M170" s="216"/>
      <c r="N170" s="216"/>
      <c r="O170" s="216"/>
      <c r="P170" s="216"/>
      <c r="Q170" s="216"/>
      <c r="R170" s="216"/>
      <c r="S170" s="216"/>
      <c r="T170" s="216"/>
      <c r="U170" s="216"/>
      <c r="V170" s="216"/>
      <c r="W170" s="216"/>
      <c r="X170" s="223">
        <v>1.3</v>
      </c>
      <c r="Y170" s="105">
        <v>2043</v>
      </c>
      <c r="Z170" s="105">
        <f>tabelle1[[#This Row],[Wärmeleistung (75/65/20)  in W]]/tabelle1[[#This Row],[Breite B in mm]]*1000</f>
        <v>1021.5000000000001</v>
      </c>
      <c r="AA170" s="105"/>
      <c r="AB170" s="105"/>
      <c r="AC170" s="218"/>
    </row>
    <row r="171" spans="2:29" x14ac:dyDescent="0.2">
      <c r="B171" s="219">
        <v>167</v>
      </c>
      <c r="E171" s="219" t="s">
        <v>1076</v>
      </c>
      <c r="F171" s="220" t="s">
        <v>1085</v>
      </c>
      <c r="G171" s="222">
        <v>270</v>
      </c>
      <c r="H171" s="223">
        <v>2000</v>
      </c>
      <c r="I171" s="223">
        <f>Data_radiator!$G171*Data_radiator!$H171/1000000</f>
        <v>0.54</v>
      </c>
      <c r="J171" s="223"/>
      <c r="K171" s="222">
        <v>1930</v>
      </c>
      <c r="L171" s="222">
        <v>225</v>
      </c>
      <c r="M171" s="223"/>
      <c r="N171" s="223"/>
      <c r="O171" s="223"/>
      <c r="P171" s="223"/>
      <c r="Q171" s="223"/>
      <c r="R171" s="223"/>
      <c r="S171" s="223"/>
      <c r="T171" s="223"/>
      <c r="U171" s="223"/>
      <c r="V171" s="223"/>
      <c r="W171" s="223"/>
      <c r="X171" s="223">
        <v>1.3</v>
      </c>
      <c r="Y171" s="222">
        <v>2403</v>
      </c>
      <c r="Z171" s="105">
        <f>tabelle1[[#This Row],[Wärmeleistung (75/65/20)  in W]]/tabelle1[[#This Row],[Breite B in mm]]*1000</f>
        <v>1201.5</v>
      </c>
      <c r="AA171" s="222"/>
      <c r="AB171" s="222"/>
      <c r="AC171" s="225"/>
    </row>
    <row r="172" spans="2:29" x14ac:dyDescent="0.2">
      <c r="B172" s="1">
        <v>168</v>
      </c>
      <c r="E172" s="1" t="s">
        <v>1076</v>
      </c>
      <c r="F172" s="214" t="s">
        <v>1085</v>
      </c>
      <c r="G172" s="105">
        <v>270</v>
      </c>
      <c r="H172" s="216">
        <v>2500</v>
      </c>
      <c r="I172" s="216">
        <f>Data_radiator!$G172*Data_radiator!$H172/1000000</f>
        <v>0.67500000000000004</v>
      </c>
      <c r="J172" s="216"/>
      <c r="K172" s="105">
        <v>2430</v>
      </c>
      <c r="L172" s="105">
        <v>145</v>
      </c>
      <c r="M172" s="216"/>
      <c r="N172" s="216"/>
      <c r="O172" s="216"/>
      <c r="P172" s="216"/>
      <c r="Q172" s="216"/>
      <c r="R172" s="216"/>
      <c r="S172" s="216"/>
      <c r="T172" s="216"/>
      <c r="U172" s="216"/>
      <c r="V172" s="216"/>
      <c r="W172" s="216"/>
      <c r="X172" s="223">
        <v>1.3</v>
      </c>
      <c r="Y172" s="105">
        <v>2183</v>
      </c>
      <c r="Z172" s="105">
        <f>tabelle1[[#This Row],[Wärmeleistung (75/65/20)  in W]]/tabelle1[[#This Row],[Breite B in mm]]*1000</f>
        <v>873.19999999999993</v>
      </c>
      <c r="AA172" s="105"/>
      <c r="AB172" s="105"/>
      <c r="AC172" s="218"/>
    </row>
    <row r="173" spans="2:29" x14ac:dyDescent="0.2">
      <c r="B173" s="219">
        <v>169</v>
      </c>
      <c r="E173" s="219" t="s">
        <v>1076</v>
      </c>
      <c r="F173" s="220" t="s">
        <v>1085</v>
      </c>
      <c r="G173" s="222">
        <v>270</v>
      </c>
      <c r="H173" s="223">
        <v>2500</v>
      </c>
      <c r="I173" s="223">
        <f>Data_radiator!$G173*Data_radiator!$H173/1000000</f>
        <v>0.67500000000000004</v>
      </c>
      <c r="J173" s="223"/>
      <c r="K173" s="222">
        <v>2430</v>
      </c>
      <c r="L173" s="222">
        <v>185</v>
      </c>
      <c r="M173" s="223"/>
      <c r="N173" s="223"/>
      <c r="O173" s="223"/>
      <c r="P173" s="223"/>
      <c r="Q173" s="223"/>
      <c r="R173" s="223"/>
      <c r="S173" s="223"/>
      <c r="T173" s="223"/>
      <c r="U173" s="223"/>
      <c r="V173" s="223"/>
      <c r="W173" s="223"/>
      <c r="X173" s="223">
        <v>1.3</v>
      </c>
      <c r="Y173" s="222">
        <v>2608</v>
      </c>
      <c r="Z173" s="105">
        <f>tabelle1[[#This Row],[Wärmeleistung (75/65/20)  in W]]/tabelle1[[#This Row],[Breite B in mm]]*1000</f>
        <v>1043.1999999999998</v>
      </c>
      <c r="AA173" s="222"/>
      <c r="AB173" s="222"/>
      <c r="AC173" s="225"/>
    </row>
    <row r="174" spans="2:29" x14ac:dyDescent="0.2">
      <c r="B174" s="1">
        <v>170</v>
      </c>
      <c r="E174" s="1" t="s">
        <v>1076</v>
      </c>
      <c r="F174" s="214" t="s">
        <v>1085</v>
      </c>
      <c r="G174" s="105">
        <v>270</v>
      </c>
      <c r="H174" s="216">
        <v>2500</v>
      </c>
      <c r="I174" s="216">
        <f>Data_radiator!$G174*Data_radiator!$H174/1000000</f>
        <v>0.67500000000000004</v>
      </c>
      <c r="J174" s="216"/>
      <c r="K174" s="105">
        <v>2430</v>
      </c>
      <c r="L174" s="105">
        <v>225</v>
      </c>
      <c r="M174" s="216"/>
      <c r="N174" s="216"/>
      <c r="O174" s="216"/>
      <c r="P174" s="216"/>
      <c r="Q174" s="216"/>
      <c r="R174" s="216"/>
      <c r="S174" s="216"/>
      <c r="T174" s="216"/>
      <c r="U174" s="216"/>
      <c r="V174" s="216"/>
      <c r="W174" s="216"/>
      <c r="X174" s="223">
        <v>1.3</v>
      </c>
      <c r="Y174" s="105">
        <v>3066</v>
      </c>
      <c r="Z174" s="105">
        <f>tabelle1[[#This Row],[Wärmeleistung (75/65/20)  in W]]/tabelle1[[#This Row],[Breite B in mm]]*1000</f>
        <v>1226.3999999999999</v>
      </c>
      <c r="AA174" s="105"/>
      <c r="AB174" s="105"/>
      <c r="AC174" s="218"/>
    </row>
    <row r="175" spans="2:29" x14ac:dyDescent="0.2">
      <c r="B175" s="219">
        <v>171</v>
      </c>
      <c r="E175" s="219" t="s">
        <v>1076</v>
      </c>
      <c r="F175" s="220" t="s">
        <v>1085</v>
      </c>
      <c r="G175" s="222">
        <v>315</v>
      </c>
      <c r="H175" s="223">
        <v>1500</v>
      </c>
      <c r="I175" s="223">
        <f>Data_radiator!$G175*Data_radiator!$H175/1000000</f>
        <v>0.47249999999999998</v>
      </c>
      <c r="J175" s="223"/>
      <c r="K175" s="222">
        <v>1430</v>
      </c>
      <c r="L175" s="222">
        <v>145</v>
      </c>
      <c r="M175" s="223"/>
      <c r="N175" s="223"/>
      <c r="O175" s="223"/>
      <c r="P175" s="223"/>
      <c r="Q175" s="223"/>
      <c r="R175" s="223"/>
      <c r="S175" s="223"/>
      <c r="T175" s="223"/>
      <c r="U175" s="223"/>
      <c r="V175" s="223"/>
      <c r="W175" s="223"/>
      <c r="X175" s="223">
        <v>1.3</v>
      </c>
      <c r="Y175" s="222">
        <v>1465</v>
      </c>
      <c r="Z175" s="105">
        <f>tabelle1[[#This Row],[Wärmeleistung (75/65/20)  in W]]/tabelle1[[#This Row],[Breite B in mm]]*1000</f>
        <v>976.66666666666663</v>
      </c>
      <c r="AA175" s="222"/>
      <c r="AB175" s="222"/>
      <c r="AC175" s="225"/>
    </row>
    <row r="176" spans="2:29" x14ac:dyDescent="0.2">
      <c r="B176" s="1">
        <v>172</v>
      </c>
      <c r="E176" s="1" t="s">
        <v>1076</v>
      </c>
      <c r="F176" s="214" t="s">
        <v>1085</v>
      </c>
      <c r="G176" s="105">
        <v>315</v>
      </c>
      <c r="H176" s="216">
        <v>1500</v>
      </c>
      <c r="I176" s="216">
        <f>Data_radiator!$G176*Data_radiator!$H176/1000000</f>
        <v>0.47249999999999998</v>
      </c>
      <c r="J176" s="216"/>
      <c r="K176" s="105">
        <v>1430</v>
      </c>
      <c r="L176" s="105">
        <v>185</v>
      </c>
      <c r="M176" s="216"/>
      <c r="N176" s="216"/>
      <c r="O176" s="216"/>
      <c r="P176" s="216"/>
      <c r="Q176" s="216"/>
      <c r="R176" s="216"/>
      <c r="S176" s="216"/>
      <c r="T176" s="216"/>
      <c r="U176" s="216"/>
      <c r="V176" s="216"/>
      <c r="W176" s="216"/>
      <c r="X176" s="223">
        <v>1.3</v>
      </c>
      <c r="Y176" s="105">
        <v>1758</v>
      </c>
      <c r="Z176" s="105">
        <f>tabelle1[[#This Row],[Wärmeleistung (75/65/20)  in W]]/tabelle1[[#This Row],[Breite B in mm]]*1000</f>
        <v>1172</v>
      </c>
      <c r="AA176" s="105"/>
      <c r="AB176" s="105"/>
      <c r="AC176" s="218"/>
    </row>
    <row r="177" spans="2:29" x14ac:dyDescent="0.2">
      <c r="B177" s="219">
        <v>173</v>
      </c>
      <c r="E177" s="219" t="s">
        <v>1076</v>
      </c>
      <c r="F177" s="220" t="s">
        <v>1085</v>
      </c>
      <c r="G177" s="222">
        <v>315</v>
      </c>
      <c r="H177" s="223">
        <v>1500</v>
      </c>
      <c r="I177" s="223">
        <f>Data_radiator!$G177*Data_radiator!$H177/1000000</f>
        <v>0.47249999999999998</v>
      </c>
      <c r="J177" s="223"/>
      <c r="K177" s="222">
        <v>1430</v>
      </c>
      <c r="L177" s="222">
        <v>225</v>
      </c>
      <c r="M177" s="223"/>
      <c r="N177" s="223"/>
      <c r="O177" s="223"/>
      <c r="P177" s="223"/>
      <c r="Q177" s="223"/>
      <c r="R177" s="223"/>
      <c r="S177" s="223"/>
      <c r="T177" s="223"/>
      <c r="U177" s="223"/>
      <c r="V177" s="223"/>
      <c r="W177" s="223"/>
      <c r="X177" s="223">
        <v>1.3</v>
      </c>
      <c r="Y177" s="222">
        <v>2049</v>
      </c>
      <c r="Z177" s="105">
        <f>tabelle1[[#This Row],[Wärmeleistung (75/65/20)  in W]]/tabelle1[[#This Row],[Breite B in mm]]*1000</f>
        <v>1366</v>
      </c>
      <c r="AA177" s="222"/>
      <c r="AB177" s="222"/>
      <c r="AC177" s="225"/>
    </row>
    <row r="178" spans="2:29" x14ac:dyDescent="0.2">
      <c r="B178" s="1">
        <v>174</v>
      </c>
      <c r="E178" s="1" t="s">
        <v>1076</v>
      </c>
      <c r="F178" s="214" t="s">
        <v>1085</v>
      </c>
      <c r="G178" s="105">
        <v>315</v>
      </c>
      <c r="H178" s="216">
        <v>2000</v>
      </c>
      <c r="I178" s="216">
        <f>Data_radiator!$G178*Data_radiator!$H178/1000000</f>
        <v>0.63</v>
      </c>
      <c r="J178" s="216"/>
      <c r="K178" s="105">
        <v>1930</v>
      </c>
      <c r="L178" s="105">
        <v>145</v>
      </c>
      <c r="M178" s="216"/>
      <c r="N178" s="216"/>
      <c r="O178" s="216"/>
      <c r="P178" s="216"/>
      <c r="Q178" s="216"/>
      <c r="R178" s="216"/>
      <c r="S178" s="216"/>
      <c r="T178" s="216"/>
      <c r="U178" s="216"/>
      <c r="V178" s="216"/>
      <c r="W178" s="216"/>
      <c r="X178" s="223">
        <v>1.3</v>
      </c>
      <c r="Y178" s="105">
        <v>1975</v>
      </c>
      <c r="Z178" s="105">
        <f>tabelle1[[#This Row],[Wärmeleistung (75/65/20)  in W]]/tabelle1[[#This Row],[Breite B in mm]]*1000</f>
        <v>987.5</v>
      </c>
      <c r="AA178" s="105"/>
      <c r="AB178" s="105"/>
      <c r="AC178" s="218"/>
    </row>
    <row r="179" spans="2:29" x14ac:dyDescent="0.2">
      <c r="B179" s="219">
        <v>175</v>
      </c>
      <c r="E179" s="219" t="s">
        <v>1076</v>
      </c>
      <c r="F179" s="220" t="s">
        <v>1085</v>
      </c>
      <c r="G179" s="222">
        <v>315</v>
      </c>
      <c r="H179" s="223">
        <v>2000</v>
      </c>
      <c r="I179" s="223">
        <f>Data_radiator!$G179*Data_radiator!$H179/1000000</f>
        <v>0.63</v>
      </c>
      <c r="J179" s="223"/>
      <c r="K179" s="222">
        <v>1930</v>
      </c>
      <c r="L179" s="222">
        <v>185</v>
      </c>
      <c r="M179" s="223"/>
      <c r="N179" s="223"/>
      <c r="O179" s="223"/>
      <c r="P179" s="223"/>
      <c r="Q179" s="223"/>
      <c r="R179" s="223"/>
      <c r="S179" s="223"/>
      <c r="T179" s="223"/>
      <c r="U179" s="223"/>
      <c r="V179" s="223"/>
      <c r="W179" s="223"/>
      <c r="X179" s="223">
        <v>1.3</v>
      </c>
      <c r="Y179" s="222">
        <v>2371</v>
      </c>
      <c r="Z179" s="105">
        <f>tabelle1[[#This Row],[Wärmeleistung (75/65/20)  in W]]/tabelle1[[#This Row],[Breite B in mm]]*1000</f>
        <v>1185.5</v>
      </c>
      <c r="AA179" s="222"/>
      <c r="AB179" s="222"/>
      <c r="AC179" s="225"/>
    </row>
    <row r="180" spans="2:29" x14ac:dyDescent="0.2">
      <c r="B180" s="1">
        <v>176</v>
      </c>
      <c r="E180" s="1" t="s">
        <v>1076</v>
      </c>
      <c r="F180" s="214" t="s">
        <v>1085</v>
      </c>
      <c r="G180" s="105">
        <v>315</v>
      </c>
      <c r="H180" s="216">
        <v>2000</v>
      </c>
      <c r="I180" s="216">
        <f>Data_radiator!$G180*Data_radiator!$H180/1000000</f>
        <v>0.63</v>
      </c>
      <c r="J180" s="216"/>
      <c r="K180" s="105">
        <v>1930</v>
      </c>
      <c r="L180" s="105">
        <v>225</v>
      </c>
      <c r="M180" s="216"/>
      <c r="N180" s="216"/>
      <c r="O180" s="216"/>
      <c r="P180" s="216"/>
      <c r="Q180" s="216"/>
      <c r="R180" s="216"/>
      <c r="S180" s="216"/>
      <c r="T180" s="216"/>
      <c r="U180" s="216"/>
      <c r="V180" s="216"/>
      <c r="W180" s="216"/>
      <c r="X180" s="223">
        <v>1.3</v>
      </c>
      <c r="Y180" s="105">
        <v>2763</v>
      </c>
      <c r="Z180" s="105">
        <f>tabelle1[[#This Row],[Wärmeleistung (75/65/20)  in W]]/tabelle1[[#This Row],[Breite B in mm]]*1000</f>
        <v>1381.5</v>
      </c>
      <c r="AA180" s="105"/>
      <c r="AB180" s="105"/>
      <c r="AC180" s="218"/>
    </row>
    <row r="181" spans="2:29" x14ac:dyDescent="0.2">
      <c r="B181" s="219">
        <v>177</v>
      </c>
      <c r="E181" s="219" t="s">
        <v>1076</v>
      </c>
      <c r="F181" s="220" t="s">
        <v>1085</v>
      </c>
      <c r="G181" s="222">
        <v>315</v>
      </c>
      <c r="H181" s="223">
        <v>2500</v>
      </c>
      <c r="I181" s="223">
        <f>Data_radiator!$G181*Data_radiator!$H181/1000000</f>
        <v>0.78749999999999998</v>
      </c>
      <c r="J181" s="223"/>
      <c r="K181" s="222">
        <v>2430</v>
      </c>
      <c r="L181" s="222">
        <v>145</v>
      </c>
      <c r="M181" s="223"/>
      <c r="N181" s="223"/>
      <c r="O181" s="223"/>
      <c r="P181" s="223"/>
      <c r="Q181" s="223"/>
      <c r="R181" s="223"/>
      <c r="S181" s="223"/>
      <c r="T181" s="223"/>
      <c r="U181" s="223"/>
      <c r="V181" s="223"/>
      <c r="W181" s="223"/>
      <c r="X181" s="223">
        <v>1.3</v>
      </c>
      <c r="Y181" s="222">
        <v>2520</v>
      </c>
      <c r="Z181" s="105">
        <f>tabelle1[[#This Row],[Wärmeleistung (75/65/20)  in W]]/tabelle1[[#This Row],[Breite B in mm]]*1000</f>
        <v>1008</v>
      </c>
      <c r="AA181" s="222"/>
      <c r="AB181" s="222"/>
      <c r="AC181" s="225"/>
    </row>
    <row r="182" spans="2:29" x14ac:dyDescent="0.2">
      <c r="B182" s="1">
        <v>178</v>
      </c>
      <c r="E182" s="1" t="s">
        <v>1076</v>
      </c>
      <c r="F182" s="214" t="s">
        <v>1085</v>
      </c>
      <c r="G182" s="105">
        <v>315</v>
      </c>
      <c r="H182" s="216">
        <v>2500</v>
      </c>
      <c r="I182" s="216">
        <f>Data_radiator!$G182*Data_radiator!$H182/1000000</f>
        <v>0.78749999999999998</v>
      </c>
      <c r="J182" s="216"/>
      <c r="K182" s="105">
        <v>2430</v>
      </c>
      <c r="L182" s="105">
        <v>185</v>
      </c>
      <c r="M182" s="216"/>
      <c r="N182" s="216"/>
      <c r="O182" s="216"/>
      <c r="P182" s="216"/>
      <c r="Q182" s="216"/>
      <c r="R182" s="216"/>
      <c r="S182" s="216"/>
      <c r="T182" s="216"/>
      <c r="U182" s="216"/>
      <c r="V182" s="216"/>
      <c r="W182" s="216"/>
      <c r="X182" s="223">
        <v>1.3</v>
      </c>
      <c r="Y182" s="105">
        <v>3024</v>
      </c>
      <c r="Z182" s="105">
        <f>tabelle1[[#This Row],[Wärmeleistung (75/65/20)  in W]]/tabelle1[[#This Row],[Breite B in mm]]*1000</f>
        <v>1209.5999999999999</v>
      </c>
      <c r="AA182" s="105"/>
      <c r="AB182" s="105"/>
      <c r="AC182" s="218"/>
    </row>
    <row r="183" spans="2:29" x14ac:dyDescent="0.2">
      <c r="B183" s="219">
        <v>179</v>
      </c>
      <c r="E183" s="219" t="s">
        <v>1076</v>
      </c>
      <c r="F183" s="220" t="s">
        <v>1085</v>
      </c>
      <c r="G183" s="222">
        <v>315</v>
      </c>
      <c r="H183" s="223">
        <v>2500</v>
      </c>
      <c r="I183" s="223">
        <f>Data_radiator!$G183*Data_radiator!$H183/1000000</f>
        <v>0.78749999999999998</v>
      </c>
      <c r="J183" s="223"/>
      <c r="K183" s="222">
        <v>2430</v>
      </c>
      <c r="L183" s="222">
        <v>225</v>
      </c>
      <c r="M183" s="223"/>
      <c r="N183" s="223"/>
      <c r="O183" s="223"/>
      <c r="P183" s="223"/>
      <c r="Q183" s="223"/>
      <c r="R183" s="223"/>
      <c r="S183" s="223"/>
      <c r="T183" s="223"/>
      <c r="U183" s="223"/>
      <c r="V183" s="223"/>
      <c r="W183" s="223"/>
      <c r="X183" s="223">
        <v>1.3</v>
      </c>
      <c r="Y183" s="222">
        <v>3524</v>
      </c>
      <c r="Z183" s="105">
        <f>tabelle1[[#This Row],[Wärmeleistung (75/65/20)  in W]]/tabelle1[[#This Row],[Breite B in mm]]*1000</f>
        <v>1409.6</v>
      </c>
      <c r="AA183" s="222"/>
      <c r="AB183" s="222"/>
      <c r="AC183" s="225"/>
    </row>
    <row r="184" spans="2:29" x14ac:dyDescent="0.2">
      <c r="B184" s="1">
        <v>180</v>
      </c>
      <c r="E184" s="1" t="s">
        <v>1076</v>
      </c>
      <c r="F184" s="214" t="s">
        <v>1089</v>
      </c>
      <c r="G184" s="105">
        <v>721</v>
      </c>
      <c r="H184" s="216">
        <v>516</v>
      </c>
      <c r="I184" s="226">
        <f>Data_radiator!$G184*Data_radiator!$H184/1000000</f>
        <v>0.37203599999999998</v>
      </c>
      <c r="J184" s="226"/>
      <c r="K184" s="105">
        <v>451</v>
      </c>
      <c r="L184" s="105"/>
      <c r="M184" s="216"/>
      <c r="N184" s="216"/>
      <c r="O184" s="216"/>
      <c r="P184" s="216"/>
      <c r="Q184" s="216"/>
      <c r="R184" s="216"/>
      <c r="S184" s="216"/>
      <c r="T184" s="216"/>
      <c r="U184" s="216"/>
      <c r="V184" s="216"/>
      <c r="W184" s="216"/>
      <c r="X184" s="216">
        <v>1.22</v>
      </c>
      <c r="Y184" s="105">
        <v>406</v>
      </c>
      <c r="Z184" s="105"/>
      <c r="AA184" s="105"/>
      <c r="AB184" s="105"/>
      <c r="AC184" s="218"/>
    </row>
    <row r="185" spans="2:29" x14ac:dyDescent="0.2">
      <c r="B185" s="219">
        <v>181</v>
      </c>
      <c r="E185" s="219" t="s">
        <v>1076</v>
      </c>
      <c r="F185" s="220" t="s">
        <v>1089</v>
      </c>
      <c r="G185" s="222">
        <v>721</v>
      </c>
      <c r="H185" s="223">
        <v>616</v>
      </c>
      <c r="I185" s="227">
        <f>Data_radiator!$G185*Data_radiator!$H185/1000000</f>
        <v>0.44413599999999998</v>
      </c>
      <c r="J185" s="227"/>
      <c r="K185" s="222">
        <v>551</v>
      </c>
      <c r="L185" s="222"/>
      <c r="M185" s="223"/>
      <c r="N185" s="223"/>
      <c r="O185" s="223"/>
      <c r="P185" s="223"/>
      <c r="Q185" s="223"/>
      <c r="R185" s="223"/>
      <c r="S185" s="223"/>
      <c r="T185" s="223"/>
      <c r="U185" s="223"/>
      <c r="V185" s="223"/>
      <c r="W185" s="223"/>
      <c r="X185" s="223">
        <v>1.21</v>
      </c>
      <c r="Y185" s="222">
        <v>482</v>
      </c>
      <c r="Z185" s="222"/>
      <c r="AA185" s="222"/>
      <c r="AB185" s="222"/>
      <c r="AC185" s="225"/>
    </row>
    <row r="186" spans="2:29" x14ac:dyDescent="0.2">
      <c r="B186" s="1">
        <v>182</v>
      </c>
      <c r="E186" s="1" t="s">
        <v>1076</v>
      </c>
      <c r="F186" s="214" t="s">
        <v>1089</v>
      </c>
      <c r="G186" s="105">
        <v>721</v>
      </c>
      <c r="H186" s="216">
        <v>766</v>
      </c>
      <c r="I186" s="226">
        <f>Data_radiator!$G186*Data_radiator!$H186/1000000</f>
        <v>0.55228600000000005</v>
      </c>
      <c r="J186" s="226"/>
      <c r="K186" s="105">
        <v>701</v>
      </c>
      <c r="L186" s="105"/>
      <c r="M186" s="216"/>
      <c r="N186" s="216"/>
      <c r="O186" s="216"/>
      <c r="P186" s="216"/>
      <c r="Q186" s="216"/>
      <c r="R186" s="216"/>
      <c r="S186" s="216"/>
      <c r="T186" s="216"/>
      <c r="U186" s="216"/>
      <c r="V186" s="216"/>
      <c r="W186" s="216"/>
      <c r="X186" s="216">
        <v>1.19</v>
      </c>
      <c r="Y186" s="105">
        <v>595</v>
      </c>
      <c r="Z186" s="105"/>
      <c r="AA186" s="105"/>
      <c r="AB186" s="105"/>
      <c r="AC186" s="218"/>
    </row>
    <row r="187" spans="2:29" x14ac:dyDescent="0.2">
      <c r="B187" s="219">
        <v>183</v>
      </c>
      <c r="E187" s="219" t="s">
        <v>1076</v>
      </c>
      <c r="F187" s="220" t="s">
        <v>1089</v>
      </c>
      <c r="G187" s="222">
        <v>721</v>
      </c>
      <c r="H187" s="223">
        <v>1016</v>
      </c>
      <c r="I187" s="227">
        <f>Data_radiator!$G187*Data_radiator!$H187/1000000</f>
        <v>0.73253599999999996</v>
      </c>
      <c r="J187" s="227"/>
      <c r="K187" s="222">
        <v>951</v>
      </c>
      <c r="L187" s="222"/>
      <c r="M187" s="223"/>
      <c r="N187" s="223"/>
      <c r="O187" s="223"/>
      <c r="P187" s="223"/>
      <c r="Q187" s="223"/>
      <c r="R187" s="223"/>
      <c r="S187" s="223"/>
      <c r="T187" s="223"/>
      <c r="U187" s="223"/>
      <c r="V187" s="223"/>
      <c r="W187" s="223"/>
      <c r="X187" s="223">
        <v>1.17</v>
      </c>
      <c r="Y187" s="222">
        <v>781</v>
      </c>
      <c r="Z187" s="222"/>
      <c r="AA187" s="222"/>
      <c r="AB187" s="222"/>
      <c r="AC187" s="225"/>
    </row>
    <row r="188" spans="2:29" x14ac:dyDescent="0.2">
      <c r="B188" s="1">
        <v>184</v>
      </c>
      <c r="E188" s="1" t="s">
        <v>1076</v>
      </c>
      <c r="F188" s="214" t="s">
        <v>1089</v>
      </c>
      <c r="G188" s="105">
        <v>1098</v>
      </c>
      <c r="H188" s="216">
        <v>516</v>
      </c>
      <c r="I188" s="226">
        <f>Data_radiator!$G188*Data_radiator!$H188/1000000</f>
        <v>0.56656799999999996</v>
      </c>
      <c r="J188" s="226"/>
      <c r="K188" s="105">
        <v>451</v>
      </c>
      <c r="L188" s="105"/>
      <c r="M188" s="216"/>
      <c r="N188" s="216"/>
      <c r="O188" s="216"/>
      <c r="P188" s="216"/>
      <c r="Q188" s="216"/>
      <c r="R188" s="216"/>
      <c r="S188" s="216"/>
      <c r="T188" s="216"/>
      <c r="U188" s="216"/>
      <c r="V188" s="216"/>
      <c r="W188" s="216"/>
      <c r="X188" s="216">
        <v>1.24</v>
      </c>
      <c r="Y188" s="105">
        <v>588</v>
      </c>
      <c r="Z188" s="105"/>
      <c r="AA188" s="105"/>
      <c r="AB188" s="105"/>
      <c r="AC188" s="218"/>
    </row>
    <row r="189" spans="2:29" x14ac:dyDescent="0.2">
      <c r="B189" s="219">
        <v>185</v>
      </c>
      <c r="E189" s="219" t="s">
        <v>1076</v>
      </c>
      <c r="F189" s="220" t="s">
        <v>1089</v>
      </c>
      <c r="G189" s="222">
        <v>1098</v>
      </c>
      <c r="H189" s="223">
        <v>616</v>
      </c>
      <c r="I189" s="227">
        <f>Data_radiator!$G189*Data_radiator!$H189/1000000</f>
        <v>0.67636799999999997</v>
      </c>
      <c r="J189" s="227"/>
      <c r="K189" s="222">
        <v>551</v>
      </c>
      <c r="L189" s="222"/>
      <c r="M189" s="223"/>
      <c r="N189" s="223"/>
      <c r="O189" s="223"/>
      <c r="P189" s="223"/>
      <c r="Q189" s="223"/>
      <c r="R189" s="223"/>
      <c r="S189" s="223"/>
      <c r="T189" s="223"/>
      <c r="U189" s="223"/>
      <c r="V189" s="223"/>
      <c r="W189" s="223"/>
      <c r="X189" s="223">
        <v>1.22</v>
      </c>
      <c r="Y189" s="222">
        <v>698</v>
      </c>
      <c r="Z189" s="222"/>
      <c r="AA189" s="222"/>
      <c r="AB189" s="222"/>
      <c r="AC189" s="225"/>
    </row>
    <row r="190" spans="2:29" x14ac:dyDescent="0.2">
      <c r="B190" s="1">
        <v>186</v>
      </c>
      <c r="E190" s="1" t="s">
        <v>1076</v>
      </c>
      <c r="F190" s="214" t="s">
        <v>1089</v>
      </c>
      <c r="G190" s="105">
        <v>1098</v>
      </c>
      <c r="H190" s="216">
        <v>766</v>
      </c>
      <c r="I190" s="226">
        <f>Data_radiator!$G190*Data_radiator!$H190/1000000</f>
        <v>0.84106800000000004</v>
      </c>
      <c r="J190" s="226"/>
      <c r="K190" s="105">
        <v>701</v>
      </c>
      <c r="L190" s="105"/>
      <c r="M190" s="216"/>
      <c r="N190" s="216"/>
      <c r="O190" s="216"/>
      <c r="P190" s="216"/>
      <c r="Q190" s="216"/>
      <c r="R190" s="216"/>
      <c r="S190" s="216"/>
      <c r="T190" s="216"/>
      <c r="U190" s="216"/>
      <c r="V190" s="216"/>
      <c r="W190" s="216"/>
      <c r="X190" s="216">
        <v>1.19</v>
      </c>
      <c r="Y190" s="105">
        <v>862</v>
      </c>
      <c r="Z190" s="105"/>
      <c r="AA190" s="105"/>
      <c r="AB190" s="105"/>
      <c r="AC190" s="218"/>
    </row>
    <row r="191" spans="2:29" x14ac:dyDescent="0.2">
      <c r="B191" s="219">
        <v>187</v>
      </c>
      <c r="E191" s="219" t="s">
        <v>1076</v>
      </c>
      <c r="F191" s="220" t="s">
        <v>1089</v>
      </c>
      <c r="G191" s="222">
        <v>1098</v>
      </c>
      <c r="H191" s="223">
        <v>1016</v>
      </c>
      <c r="I191" s="227">
        <f>Data_radiator!$G191*Data_radiator!$H191/1000000</f>
        <v>1.1155679999999999</v>
      </c>
      <c r="J191" s="227"/>
      <c r="K191" s="222">
        <v>951</v>
      </c>
      <c r="L191" s="222"/>
      <c r="M191" s="223"/>
      <c r="N191" s="223"/>
      <c r="O191" s="223"/>
      <c r="P191" s="223"/>
      <c r="Q191" s="223"/>
      <c r="R191" s="223"/>
      <c r="S191" s="223"/>
      <c r="T191" s="223"/>
      <c r="U191" s="223"/>
      <c r="V191" s="223"/>
      <c r="W191" s="223"/>
      <c r="X191" s="223">
        <v>1.1499999999999999</v>
      </c>
      <c r="Y191" s="222">
        <v>1133</v>
      </c>
      <c r="Z191" s="222"/>
      <c r="AA191" s="222"/>
      <c r="AB191" s="222"/>
      <c r="AC191" s="225"/>
    </row>
    <row r="192" spans="2:29" x14ac:dyDescent="0.2">
      <c r="B192" s="1">
        <v>188</v>
      </c>
      <c r="E192" s="1" t="s">
        <v>1076</v>
      </c>
      <c r="F192" s="214" t="s">
        <v>1089</v>
      </c>
      <c r="G192" s="105">
        <v>1475</v>
      </c>
      <c r="H192" s="216">
        <v>516</v>
      </c>
      <c r="I192" s="226">
        <f>Data_radiator!$G192*Data_radiator!$H192/1000000</f>
        <v>0.7611</v>
      </c>
      <c r="J192" s="226"/>
      <c r="K192" s="105">
        <v>451</v>
      </c>
      <c r="L192" s="105"/>
      <c r="M192" s="216"/>
      <c r="N192" s="216"/>
      <c r="O192" s="216"/>
      <c r="P192" s="216"/>
      <c r="Q192" s="216"/>
      <c r="R192" s="216"/>
      <c r="S192" s="216"/>
      <c r="T192" s="216"/>
      <c r="U192" s="216"/>
      <c r="V192" s="216"/>
      <c r="W192" s="216"/>
      <c r="X192" s="216">
        <v>1.25</v>
      </c>
      <c r="Y192" s="105">
        <v>764</v>
      </c>
      <c r="Z192" s="105"/>
      <c r="AA192" s="105"/>
      <c r="AB192" s="105"/>
      <c r="AC192" s="218"/>
    </row>
    <row r="193" spans="2:29" x14ac:dyDescent="0.2">
      <c r="B193" s="219">
        <v>189</v>
      </c>
      <c r="E193" s="219" t="s">
        <v>1076</v>
      </c>
      <c r="F193" s="220" t="s">
        <v>1089</v>
      </c>
      <c r="G193" s="222">
        <v>1475</v>
      </c>
      <c r="H193" s="223">
        <v>616</v>
      </c>
      <c r="I193" s="227">
        <f>Data_radiator!$G193*Data_radiator!$H193/1000000</f>
        <v>0.90859999999999996</v>
      </c>
      <c r="J193" s="227"/>
      <c r="K193" s="222">
        <v>551</v>
      </c>
      <c r="L193" s="222"/>
      <c r="M193" s="223"/>
      <c r="N193" s="223"/>
      <c r="O193" s="223"/>
      <c r="P193" s="223"/>
      <c r="Q193" s="223"/>
      <c r="R193" s="223"/>
      <c r="S193" s="223"/>
      <c r="T193" s="223"/>
      <c r="U193" s="223"/>
      <c r="V193" s="223"/>
      <c r="W193" s="223"/>
      <c r="X193" s="223">
        <v>1.24</v>
      </c>
      <c r="Y193" s="222">
        <v>906</v>
      </c>
      <c r="Z193" s="222"/>
      <c r="AA193" s="222"/>
      <c r="AB193" s="222"/>
      <c r="AC193" s="225"/>
    </row>
    <row r="194" spans="2:29" x14ac:dyDescent="0.2">
      <c r="B194" s="1">
        <v>190</v>
      </c>
      <c r="E194" s="1" t="s">
        <v>1076</v>
      </c>
      <c r="F194" s="214" t="s">
        <v>1089</v>
      </c>
      <c r="G194" s="105">
        <v>1475</v>
      </c>
      <c r="H194" s="216">
        <v>766</v>
      </c>
      <c r="I194" s="226">
        <f>Data_radiator!$G194*Data_radiator!$H194/1000000</f>
        <v>1.12985</v>
      </c>
      <c r="J194" s="226"/>
      <c r="K194" s="105">
        <v>701</v>
      </c>
      <c r="L194" s="105"/>
      <c r="M194" s="216"/>
      <c r="N194" s="216"/>
      <c r="O194" s="216"/>
      <c r="P194" s="216"/>
      <c r="Q194" s="216"/>
      <c r="R194" s="216"/>
      <c r="S194" s="216"/>
      <c r="T194" s="216"/>
      <c r="U194" s="216"/>
      <c r="V194" s="216"/>
      <c r="W194" s="216"/>
      <c r="X194" s="216">
        <v>1.21</v>
      </c>
      <c r="Y194" s="105">
        <v>1119</v>
      </c>
      <c r="Z194" s="105"/>
      <c r="AA194" s="105"/>
      <c r="AB194" s="105"/>
      <c r="AC194" s="218"/>
    </row>
    <row r="195" spans="2:29" x14ac:dyDescent="0.2">
      <c r="B195" s="219">
        <v>191</v>
      </c>
      <c r="E195" s="219" t="s">
        <v>1076</v>
      </c>
      <c r="F195" s="220" t="s">
        <v>1089</v>
      </c>
      <c r="G195" s="222">
        <v>1475</v>
      </c>
      <c r="H195" s="223">
        <v>1016</v>
      </c>
      <c r="I195" s="227">
        <f>Data_radiator!$G195*Data_radiator!$H195/1000000</f>
        <v>1.4985999999999999</v>
      </c>
      <c r="J195" s="227"/>
      <c r="K195" s="222">
        <v>951</v>
      </c>
      <c r="L195" s="222"/>
      <c r="M195" s="223"/>
      <c r="N195" s="223"/>
      <c r="O195" s="223"/>
      <c r="P195" s="223"/>
      <c r="Q195" s="223"/>
      <c r="R195" s="223"/>
      <c r="S195" s="223"/>
      <c r="T195" s="223"/>
      <c r="U195" s="223"/>
      <c r="V195" s="223"/>
      <c r="W195" s="223"/>
      <c r="X195" s="223">
        <v>1.18</v>
      </c>
      <c r="Y195" s="222">
        <v>1470</v>
      </c>
      <c r="Z195" s="222"/>
      <c r="AA195" s="222"/>
      <c r="AB195" s="222"/>
      <c r="AC195" s="225"/>
    </row>
    <row r="196" spans="2:29" x14ac:dyDescent="0.2">
      <c r="B196" s="1">
        <v>192</v>
      </c>
      <c r="E196" s="1" t="s">
        <v>1076</v>
      </c>
      <c r="F196" s="214" t="s">
        <v>1089</v>
      </c>
      <c r="G196" s="105">
        <v>1852</v>
      </c>
      <c r="H196" s="216">
        <v>516</v>
      </c>
      <c r="I196" s="226">
        <f>Data_radiator!$G196*Data_radiator!$H196/1000000</f>
        <v>0.95563200000000004</v>
      </c>
      <c r="J196" s="226"/>
      <c r="K196" s="105">
        <v>451</v>
      </c>
      <c r="L196" s="105"/>
      <c r="M196" s="216"/>
      <c r="N196" s="216"/>
      <c r="O196" s="216"/>
      <c r="P196" s="216"/>
      <c r="Q196" s="216"/>
      <c r="R196" s="216"/>
      <c r="S196" s="216"/>
      <c r="T196" s="216"/>
      <c r="U196" s="216"/>
      <c r="V196" s="216"/>
      <c r="W196" s="216"/>
      <c r="X196" s="216">
        <v>1.26</v>
      </c>
      <c r="Y196" s="105">
        <v>934</v>
      </c>
      <c r="Z196" s="105"/>
      <c r="AA196" s="105"/>
      <c r="AB196" s="105"/>
      <c r="AC196" s="218"/>
    </row>
    <row r="197" spans="2:29" x14ac:dyDescent="0.2">
      <c r="B197" s="219">
        <v>193</v>
      </c>
      <c r="E197" s="219" t="s">
        <v>1076</v>
      </c>
      <c r="F197" s="220" t="s">
        <v>1089</v>
      </c>
      <c r="G197" s="222">
        <v>1852</v>
      </c>
      <c r="H197" s="223">
        <v>616</v>
      </c>
      <c r="I197" s="227">
        <f>Data_radiator!$G197*Data_radiator!$H197/1000000</f>
        <v>1.1408320000000001</v>
      </c>
      <c r="J197" s="227"/>
      <c r="K197" s="222">
        <v>551</v>
      </c>
      <c r="L197" s="222"/>
      <c r="M197" s="223"/>
      <c r="N197" s="223"/>
      <c r="O197" s="223"/>
      <c r="P197" s="223"/>
      <c r="Q197" s="223"/>
      <c r="R197" s="223"/>
      <c r="S197" s="223"/>
      <c r="T197" s="223"/>
      <c r="U197" s="223"/>
      <c r="V197" s="223"/>
      <c r="W197" s="223"/>
      <c r="X197" s="223">
        <v>1.25</v>
      </c>
      <c r="Y197" s="222">
        <v>1108</v>
      </c>
      <c r="Z197" s="222"/>
      <c r="AA197" s="222"/>
      <c r="AB197" s="222"/>
      <c r="AC197" s="225"/>
    </row>
    <row r="198" spans="2:29" x14ac:dyDescent="0.2">
      <c r="B198" s="1">
        <v>194</v>
      </c>
      <c r="E198" s="1" t="s">
        <v>1076</v>
      </c>
      <c r="F198" s="214" t="s">
        <v>1089</v>
      </c>
      <c r="G198" s="105">
        <v>1852</v>
      </c>
      <c r="H198" s="216">
        <v>766</v>
      </c>
      <c r="I198" s="226">
        <f>Data_radiator!$G198*Data_radiator!$H198/1000000</f>
        <v>1.4186319999999999</v>
      </c>
      <c r="J198" s="226"/>
      <c r="K198" s="105">
        <v>701</v>
      </c>
      <c r="L198" s="105"/>
      <c r="M198" s="216"/>
      <c r="N198" s="216"/>
      <c r="O198" s="216"/>
      <c r="P198" s="216"/>
      <c r="Q198" s="216"/>
      <c r="R198" s="216"/>
      <c r="S198" s="216"/>
      <c r="T198" s="216"/>
      <c r="U198" s="216"/>
      <c r="V198" s="216"/>
      <c r="W198" s="216"/>
      <c r="X198" s="216">
        <v>1.23</v>
      </c>
      <c r="Y198" s="105">
        <v>1368</v>
      </c>
      <c r="Z198" s="105"/>
      <c r="AA198" s="105"/>
      <c r="AB198" s="105"/>
      <c r="AC198" s="218"/>
    </row>
    <row r="199" spans="2:29" x14ac:dyDescent="0.2">
      <c r="B199" s="219">
        <v>195</v>
      </c>
      <c r="E199" s="219" t="s">
        <v>1076</v>
      </c>
      <c r="F199" s="220" t="s">
        <v>1089</v>
      </c>
      <c r="G199" s="222">
        <v>1852</v>
      </c>
      <c r="H199" s="223">
        <v>1016</v>
      </c>
      <c r="I199" s="227">
        <f>Data_radiator!$G199*Data_radiator!$H199/1000000</f>
        <v>1.881632</v>
      </c>
      <c r="J199" s="227"/>
      <c r="K199" s="222">
        <v>951</v>
      </c>
      <c r="L199" s="222"/>
      <c r="M199" s="223"/>
      <c r="N199" s="223"/>
      <c r="O199" s="223"/>
      <c r="P199" s="223"/>
      <c r="Q199" s="223"/>
      <c r="R199" s="223"/>
      <c r="S199" s="223"/>
      <c r="T199" s="223"/>
      <c r="U199" s="223"/>
      <c r="V199" s="223"/>
      <c r="W199" s="223"/>
      <c r="X199" s="223">
        <v>1.21</v>
      </c>
      <c r="Y199" s="222">
        <v>1798</v>
      </c>
      <c r="Z199" s="222"/>
      <c r="AA199" s="222"/>
      <c r="AB199" s="222"/>
      <c r="AC199" s="225"/>
    </row>
    <row r="200" spans="2:29" hidden="1" x14ac:dyDescent="0.2">
      <c r="B200" s="1">
        <v>196</v>
      </c>
      <c r="E200" s="1" t="s">
        <v>1245</v>
      </c>
      <c r="F200" s="214" t="s">
        <v>1080</v>
      </c>
      <c r="G200" s="105"/>
      <c r="H200" s="216"/>
      <c r="I200" s="216"/>
      <c r="J200" s="216"/>
      <c r="K200" s="105"/>
      <c r="L200" s="105"/>
      <c r="M200" s="216"/>
      <c r="N200" s="216"/>
      <c r="O200" s="216">
        <v>15</v>
      </c>
      <c r="P200" s="216">
        <v>21.3</v>
      </c>
      <c r="Q200" s="216"/>
      <c r="R200" s="216">
        <v>80</v>
      </c>
      <c r="S200" s="216"/>
      <c r="T200" s="216"/>
      <c r="U200" s="216"/>
      <c r="V200" s="216"/>
      <c r="W200" s="216"/>
      <c r="X200" s="216">
        <v>1.25</v>
      </c>
      <c r="Y200" s="222"/>
      <c r="Z200" s="105">
        <v>87</v>
      </c>
      <c r="AA200" s="105"/>
      <c r="AB200" s="105"/>
      <c r="AC200" s="218"/>
    </row>
    <row r="201" spans="2:29" hidden="1" x14ac:dyDescent="0.2">
      <c r="B201" s="219">
        <v>197</v>
      </c>
      <c r="E201" s="219" t="s">
        <v>1245</v>
      </c>
      <c r="F201" s="220" t="s">
        <v>1080</v>
      </c>
      <c r="G201" s="222"/>
      <c r="H201" s="223"/>
      <c r="I201" s="223"/>
      <c r="J201" s="223"/>
      <c r="K201" s="222"/>
      <c r="L201" s="222"/>
      <c r="M201" s="223"/>
      <c r="N201" s="223"/>
      <c r="O201" s="223">
        <v>20</v>
      </c>
      <c r="P201" s="223">
        <v>26.9</v>
      </c>
      <c r="Q201" s="223"/>
      <c r="R201" s="223">
        <v>80</v>
      </c>
      <c r="S201" s="223"/>
      <c r="T201" s="223"/>
      <c r="U201" s="223"/>
      <c r="V201" s="223"/>
      <c r="W201" s="223"/>
      <c r="X201" s="216">
        <v>1.25</v>
      </c>
      <c r="Y201" s="222"/>
      <c r="Z201" s="222">
        <v>103</v>
      </c>
      <c r="AA201" s="222"/>
      <c r="AB201" s="222"/>
      <c r="AC201" s="225"/>
    </row>
    <row r="202" spans="2:29" hidden="1" x14ac:dyDescent="0.2">
      <c r="B202" s="1">
        <v>198</v>
      </c>
      <c r="E202" s="1" t="s">
        <v>1245</v>
      </c>
      <c r="F202" s="214" t="s">
        <v>1080</v>
      </c>
      <c r="G202" s="105"/>
      <c r="H202" s="216"/>
      <c r="I202" s="216"/>
      <c r="J202" s="216"/>
      <c r="K202" s="105"/>
      <c r="L202" s="105"/>
      <c r="M202" s="216"/>
      <c r="N202" s="216"/>
      <c r="O202" s="216">
        <v>25</v>
      </c>
      <c r="P202" s="216">
        <v>33.700000000000003</v>
      </c>
      <c r="Q202" s="216"/>
      <c r="R202" s="216">
        <v>80</v>
      </c>
      <c r="S202" s="216"/>
      <c r="T202" s="216"/>
      <c r="U202" s="216"/>
      <c r="V202" s="216"/>
      <c r="W202" s="216"/>
      <c r="X202" s="216">
        <v>1.25</v>
      </c>
      <c r="Y202" s="222"/>
      <c r="Z202" s="105">
        <v>124</v>
      </c>
      <c r="AA202" s="105"/>
      <c r="AB202" s="105"/>
      <c r="AC202" s="218"/>
    </row>
    <row r="203" spans="2:29" hidden="1" x14ac:dyDescent="0.2">
      <c r="B203" s="219">
        <v>199</v>
      </c>
      <c r="E203" s="219" t="s">
        <v>1245</v>
      </c>
      <c r="F203" s="220" t="s">
        <v>1080</v>
      </c>
      <c r="G203" s="222"/>
      <c r="H203" s="223"/>
      <c r="I203" s="223"/>
      <c r="J203" s="223"/>
      <c r="K203" s="222"/>
      <c r="L203" s="222"/>
      <c r="M203" s="223"/>
      <c r="N203" s="223"/>
      <c r="O203" s="223">
        <v>32</v>
      </c>
      <c r="P203" s="223">
        <v>42.4</v>
      </c>
      <c r="Q203" s="223"/>
      <c r="R203" s="223">
        <v>80</v>
      </c>
      <c r="S203" s="223"/>
      <c r="T203" s="223"/>
      <c r="U203" s="223"/>
      <c r="V203" s="223"/>
      <c r="W203" s="223"/>
      <c r="X203" s="216">
        <v>1.25</v>
      </c>
      <c r="Y203" s="222"/>
      <c r="Z203" s="222">
        <v>150</v>
      </c>
      <c r="AA203" s="222"/>
      <c r="AB203" s="222"/>
      <c r="AC203" s="225"/>
    </row>
    <row r="204" spans="2:29" hidden="1" x14ac:dyDescent="0.2">
      <c r="B204" s="1">
        <v>200</v>
      </c>
      <c r="E204" s="1" t="s">
        <v>1245</v>
      </c>
      <c r="F204" s="214" t="s">
        <v>1086</v>
      </c>
      <c r="G204" s="105"/>
      <c r="H204" s="216"/>
      <c r="I204" s="216"/>
      <c r="J204" s="216"/>
      <c r="K204" s="105"/>
      <c r="L204" s="105"/>
      <c r="M204" s="216"/>
      <c r="N204" s="216"/>
      <c r="O204" s="216">
        <v>40</v>
      </c>
      <c r="P204" s="216">
        <v>48.3</v>
      </c>
      <c r="Q204" s="216"/>
      <c r="R204" s="216">
        <v>80</v>
      </c>
      <c r="S204" s="216"/>
      <c r="T204" s="216"/>
      <c r="U204" s="216"/>
      <c r="V204" s="216"/>
      <c r="W204" s="216"/>
      <c r="X204" s="216">
        <v>1.25</v>
      </c>
      <c r="Y204" s="222"/>
      <c r="Z204" s="105">
        <v>170</v>
      </c>
      <c r="AA204" s="105"/>
      <c r="AB204" s="105"/>
      <c r="AC204" s="218"/>
    </row>
    <row r="205" spans="2:29" hidden="1" x14ac:dyDescent="0.2">
      <c r="B205" s="219">
        <v>201</v>
      </c>
      <c r="E205" s="219" t="s">
        <v>1245</v>
      </c>
      <c r="F205" s="220" t="s">
        <v>1086</v>
      </c>
      <c r="G205" s="222"/>
      <c r="H205" s="223"/>
      <c r="I205" s="223"/>
      <c r="J205" s="223"/>
      <c r="K205" s="222"/>
      <c r="L205" s="222"/>
      <c r="M205" s="223"/>
      <c r="N205" s="223"/>
      <c r="O205" s="223">
        <v>50</v>
      </c>
      <c r="P205" s="223">
        <v>60.3</v>
      </c>
      <c r="Q205" s="223"/>
      <c r="R205" s="223">
        <v>80</v>
      </c>
      <c r="S205" s="223"/>
      <c r="T205" s="223"/>
      <c r="U205" s="223"/>
      <c r="V205" s="223"/>
      <c r="W205" s="223"/>
      <c r="X205" s="216">
        <v>1.25</v>
      </c>
      <c r="Y205" s="222"/>
      <c r="Z205" s="222">
        <v>207</v>
      </c>
      <c r="AA205" s="222"/>
      <c r="AB205" s="222"/>
      <c r="AC205" s="225"/>
    </row>
    <row r="206" spans="2:29" hidden="1" x14ac:dyDescent="0.2">
      <c r="B206" s="1">
        <v>202</v>
      </c>
      <c r="E206" s="1" t="s">
        <v>1245</v>
      </c>
      <c r="F206" s="214" t="s">
        <v>1086</v>
      </c>
      <c r="G206" s="105"/>
      <c r="H206" s="216"/>
      <c r="I206" s="216"/>
      <c r="J206" s="216"/>
      <c r="K206" s="105"/>
      <c r="L206" s="105"/>
      <c r="M206" s="216"/>
      <c r="N206" s="216"/>
      <c r="O206" s="216">
        <v>65</v>
      </c>
      <c r="P206" s="216">
        <v>76.099999999999994</v>
      </c>
      <c r="Q206" s="216"/>
      <c r="R206" s="216">
        <v>80</v>
      </c>
      <c r="S206" s="216"/>
      <c r="T206" s="216"/>
      <c r="U206" s="216"/>
      <c r="V206" s="216"/>
      <c r="W206" s="216"/>
      <c r="X206" s="216">
        <v>1.25</v>
      </c>
      <c r="Y206" s="222"/>
      <c r="Z206" s="105">
        <v>241</v>
      </c>
      <c r="AA206" s="105"/>
      <c r="AB206" s="105"/>
      <c r="AC206" s="218"/>
    </row>
    <row r="207" spans="2:29" hidden="1" x14ac:dyDescent="0.2">
      <c r="B207" s="219">
        <v>203</v>
      </c>
      <c r="E207" s="219" t="s">
        <v>1245</v>
      </c>
      <c r="F207" s="220" t="s">
        <v>1086</v>
      </c>
      <c r="G207" s="222"/>
      <c r="H207" s="223"/>
      <c r="I207" s="223"/>
      <c r="J207" s="223"/>
      <c r="K207" s="222"/>
      <c r="L207" s="222"/>
      <c r="M207" s="223"/>
      <c r="N207" s="223"/>
      <c r="O207" s="223">
        <v>80</v>
      </c>
      <c r="P207" s="223">
        <v>88.9</v>
      </c>
      <c r="Q207" s="223"/>
      <c r="R207" s="223">
        <v>80</v>
      </c>
      <c r="S207" s="223"/>
      <c r="T207" s="223"/>
      <c r="U207" s="223"/>
      <c r="V207" s="223"/>
      <c r="W207" s="223"/>
      <c r="X207" s="216">
        <v>1.25</v>
      </c>
      <c r="Y207" s="222"/>
      <c r="Z207" s="222">
        <v>271</v>
      </c>
      <c r="AA207" s="222"/>
      <c r="AB207" s="222"/>
      <c r="AC207" s="225"/>
    </row>
    <row r="208" spans="2:29" hidden="1" x14ac:dyDescent="0.2">
      <c r="B208" s="1">
        <v>204</v>
      </c>
      <c r="E208" s="1" t="s">
        <v>1245</v>
      </c>
      <c r="F208" s="214" t="s">
        <v>1080</v>
      </c>
      <c r="G208" s="105"/>
      <c r="H208" s="216"/>
      <c r="I208" s="216"/>
      <c r="J208" s="216"/>
      <c r="K208" s="105"/>
      <c r="L208" s="105"/>
      <c r="M208" s="216"/>
      <c r="N208" s="216"/>
      <c r="O208" s="216">
        <v>15</v>
      </c>
      <c r="P208" s="216">
        <v>21.3</v>
      </c>
      <c r="Q208" s="216"/>
      <c r="R208" s="216">
        <v>70</v>
      </c>
      <c r="S208" s="216"/>
      <c r="T208" s="216"/>
      <c r="U208" s="216"/>
      <c r="V208" s="216"/>
      <c r="W208" s="216"/>
      <c r="X208" s="216">
        <v>1.25</v>
      </c>
      <c r="Y208" s="222"/>
      <c r="Z208" s="105">
        <v>72</v>
      </c>
      <c r="AA208" s="105"/>
      <c r="AB208" s="105"/>
      <c r="AC208" s="218"/>
    </row>
    <row r="209" spans="2:29" hidden="1" x14ac:dyDescent="0.2">
      <c r="B209" s="219">
        <v>205</v>
      </c>
      <c r="E209" s="219" t="s">
        <v>1245</v>
      </c>
      <c r="F209" s="220" t="s">
        <v>1080</v>
      </c>
      <c r="G209" s="222"/>
      <c r="H209" s="223"/>
      <c r="I209" s="223"/>
      <c r="J209" s="223"/>
      <c r="K209" s="222"/>
      <c r="L209" s="222"/>
      <c r="M209" s="223"/>
      <c r="N209" s="223"/>
      <c r="O209" s="223">
        <v>20</v>
      </c>
      <c r="P209" s="223">
        <v>26.9</v>
      </c>
      <c r="Q209" s="223"/>
      <c r="R209" s="223">
        <v>70</v>
      </c>
      <c r="S209" s="223"/>
      <c r="T209" s="223"/>
      <c r="U209" s="223"/>
      <c r="V209" s="223"/>
      <c r="W209" s="223"/>
      <c r="X209" s="216">
        <v>1.25</v>
      </c>
      <c r="Y209" s="222"/>
      <c r="Z209" s="222">
        <v>85</v>
      </c>
      <c r="AA209" s="222"/>
      <c r="AB209" s="222"/>
      <c r="AC209" s="225"/>
    </row>
    <row r="210" spans="2:29" hidden="1" x14ac:dyDescent="0.2">
      <c r="B210" s="1">
        <v>206</v>
      </c>
      <c r="E210" s="1" t="s">
        <v>1245</v>
      </c>
      <c r="F210" s="214" t="s">
        <v>1080</v>
      </c>
      <c r="G210" s="105"/>
      <c r="H210" s="216"/>
      <c r="I210" s="216"/>
      <c r="J210" s="216"/>
      <c r="K210" s="105"/>
      <c r="L210" s="105"/>
      <c r="M210" s="216"/>
      <c r="N210" s="216"/>
      <c r="O210" s="216">
        <v>25</v>
      </c>
      <c r="P210" s="216">
        <v>33.700000000000003</v>
      </c>
      <c r="Q210" s="216"/>
      <c r="R210" s="216">
        <v>70</v>
      </c>
      <c r="S210" s="216"/>
      <c r="T210" s="216"/>
      <c r="U210" s="216"/>
      <c r="V210" s="216"/>
      <c r="W210" s="216"/>
      <c r="X210" s="216">
        <v>1.25</v>
      </c>
      <c r="Y210" s="222"/>
      <c r="Z210" s="105">
        <v>102</v>
      </c>
      <c r="AA210" s="105"/>
      <c r="AB210" s="105"/>
      <c r="AC210" s="218"/>
    </row>
    <row r="211" spans="2:29" hidden="1" x14ac:dyDescent="0.2">
      <c r="B211" s="219">
        <v>207</v>
      </c>
      <c r="E211" s="219" t="s">
        <v>1245</v>
      </c>
      <c r="F211" s="220" t="s">
        <v>1080</v>
      </c>
      <c r="G211" s="222"/>
      <c r="H211" s="223"/>
      <c r="I211" s="223"/>
      <c r="J211" s="223"/>
      <c r="K211" s="222"/>
      <c r="L211" s="222"/>
      <c r="M211" s="223"/>
      <c r="N211" s="223"/>
      <c r="O211" s="223">
        <v>32</v>
      </c>
      <c r="P211" s="223">
        <v>42.4</v>
      </c>
      <c r="Q211" s="223"/>
      <c r="R211" s="223">
        <v>70</v>
      </c>
      <c r="S211" s="223"/>
      <c r="T211" s="223"/>
      <c r="U211" s="223"/>
      <c r="V211" s="223"/>
      <c r="W211" s="223"/>
      <c r="X211" s="216">
        <v>1.25</v>
      </c>
      <c r="Y211" s="222"/>
      <c r="Z211" s="222">
        <v>124</v>
      </c>
      <c r="AA211" s="222"/>
      <c r="AB211" s="222"/>
      <c r="AC211" s="225"/>
    </row>
    <row r="212" spans="2:29" hidden="1" x14ac:dyDescent="0.2">
      <c r="B212" s="1">
        <v>208</v>
      </c>
      <c r="E212" s="1" t="s">
        <v>1245</v>
      </c>
      <c r="F212" s="214" t="s">
        <v>1086</v>
      </c>
      <c r="G212" s="105"/>
      <c r="H212" s="216"/>
      <c r="I212" s="216"/>
      <c r="J212" s="216"/>
      <c r="K212" s="105"/>
      <c r="L212" s="105"/>
      <c r="M212" s="216"/>
      <c r="N212" s="216"/>
      <c r="O212" s="216">
        <v>40</v>
      </c>
      <c r="P212" s="216">
        <v>48.3</v>
      </c>
      <c r="Q212" s="216"/>
      <c r="R212" s="216">
        <v>70</v>
      </c>
      <c r="S212" s="216"/>
      <c r="T212" s="216"/>
      <c r="U212" s="216"/>
      <c r="V212" s="216"/>
      <c r="W212" s="216"/>
      <c r="X212" s="216">
        <v>1.25</v>
      </c>
      <c r="Y212" s="222"/>
      <c r="Z212" s="105">
        <v>141</v>
      </c>
      <c r="AA212" s="105"/>
      <c r="AB212" s="105"/>
      <c r="AC212" s="218"/>
    </row>
    <row r="213" spans="2:29" hidden="1" x14ac:dyDescent="0.2">
      <c r="B213" s="219">
        <v>209</v>
      </c>
      <c r="E213" s="219" t="s">
        <v>1245</v>
      </c>
      <c r="F213" s="220" t="s">
        <v>1086</v>
      </c>
      <c r="G213" s="222"/>
      <c r="H213" s="223"/>
      <c r="I213" s="223"/>
      <c r="J213" s="223"/>
      <c r="K213" s="222"/>
      <c r="L213" s="222"/>
      <c r="M213" s="223"/>
      <c r="N213" s="223"/>
      <c r="O213" s="223">
        <v>50</v>
      </c>
      <c r="P213" s="223">
        <v>60.3</v>
      </c>
      <c r="Q213" s="223"/>
      <c r="R213" s="223">
        <v>70</v>
      </c>
      <c r="S213" s="223"/>
      <c r="T213" s="223"/>
      <c r="U213" s="223"/>
      <c r="V213" s="223"/>
      <c r="W213" s="223"/>
      <c r="X213" s="216">
        <v>1.25</v>
      </c>
      <c r="Y213" s="222"/>
      <c r="Z213" s="222">
        <v>170</v>
      </c>
      <c r="AA213" s="222"/>
      <c r="AB213" s="222"/>
      <c r="AC213" s="225"/>
    </row>
    <row r="214" spans="2:29" hidden="1" x14ac:dyDescent="0.2">
      <c r="B214" s="1">
        <v>210</v>
      </c>
      <c r="E214" s="1" t="s">
        <v>1245</v>
      </c>
      <c r="F214" s="214" t="s">
        <v>1086</v>
      </c>
      <c r="G214" s="105"/>
      <c r="H214" s="216"/>
      <c r="I214" s="216"/>
      <c r="J214" s="216"/>
      <c r="K214" s="105"/>
      <c r="L214" s="105"/>
      <c r="M214" s="216"/>
      <c r="N214" s="216"/>
      <c r="O214" s="216">
        <v>65</v>
      </c>
      <c r="P214" s="216">
        <v>76.099999999999994</v>
      </c>
      <c r="Q214" s="216"/>
      <c r="R214" s="216">
        <v>70</v>
      </c>
      <c r="S214" s="216"/>
      <c r="T214" s="216"/>
      <c r="U214" s="216"/>
      <c r="V214" s="216"/>
      <c r="W214" s="216"/>
      <c r="X214" s="216">
        <v>1.25</v>
      </c>
      <c r="Y214" s="222"/>
      <c r="Z214" s="105">
        <v>201</v>
      </c>
      <c r="AA214" s="105"/>
      <c r="AB214" s="105"/>
      <c r="AC214" s="218"/>
    </row>
    <row r="215" spans="2:29" hidden="1" x14ac:dyDescent="0.2">
      <c r="B215" s="219">
        <v>211</v>
      </c>
      <c r="E215" s="219" t="s">
        <v>1245</v>
      </c>
      <c r="F215" s="220" t="s">
        <v>1086</v>
      </c>
      <c r="G215" s="222"/>
      <c r="H215" s="223"/>
      <c r="I215" s="223"/>
      <c r="J215" s="223"/>
      <c r="K215" s="222"/>
      <c r="L215" s="222"/>
      <c r="M215" s="223"/>
      <c r="N215" s="223"/>
      <c r="O215" s="223">
        <v>80</v>
      </c>
      <c r="P215" s="223">
        <v>88.9</v>
      </c>
      <c r="Q215" s="223"/>
      <c r="R215" s="223">
        <v>70</v>
      </c>
      <c r="S215" s="223"/>
      <c r="T215" s="223"/>
      <c r="U215" s="223"/>
      <c r="V215" s="223"/>
      <c r="W215" s="223"/>
      <c r="X215" s="216">
        <v>1.25</v>
      </c>
      <c r="Y215" s="222"/>
      <c r="Z215" s="222">
        <v>225</v>
      </c>
      <c r="AA215" s="222"/>
      <c r="AB215" s="222"/>
      <c r="AC215" s="225"/>
    </row>
    <row r="216" spans="2:29" hidden="1" x14ac:dyDescent="0.2">
      <c r="B216" s="1">
        <v>212</v>
      </c>
      <c r="E216" s="1" t="s">
        <v>1245</v>
      </c>
      <c r="F216" s="214" t="s">
        <v>1080</v>
      </c>
      <c r="G216" s="105"/>
      <c r="H216" s="216"/>
      <c r="I216" s="216"/>
      <c r="J216" s="216"/>
      <c r="K216" s="105"/>
      <c r="L216" s="105"/>
      <c r="M216" s="216"/>
      <c r="N216" s="216"/>
      <c r="O216" s="216">
        <v>15</v>
      </c>
      <c r="P216" s="216">
        <v>21.3</v>
      </c>
      <c r="Q216" s="216"/>
      <c r="R216" s="216">
        <v>60</v>
      </c>
      <c r="S216" s="216"/>
      <c r="T216" s="216"/>
      <c r="U216" s="216"/>
      <c r="V216" s="216"/>
      <c r="W216" s="216"/>
      <c r="X216" s="216">
        <v>1.25</v>
      </c>
      <c r="Y216" s="222"/>
      <c r="Z216" s="105">
        <v>58</v>
      </c>
      <c r="AA216" s="105"/>
      <c r="AB216" s="105"/>
      <c r="AC216" s="218"/>
    </row>
    <row r="217" spans="2:29" hidden="1" x14ac:dyDescent="0.2">
      <c r="B217" s="219">
        <v>213</v>
      </c>
      <c r="E217" s="219" t="s">
        <v>1245</v>
      </c>
      <c r="F217" s="220" t="s">
        <v>1080</v>
      </c>
      <c r="G217" s="222"/>
      <c r="H217" s="223"/>
      <c r="I217" s="223"/>
      <c r="J217" s="223"/>
      <c r="K217" s="222"/>
      <c r="L217" s="222"/>
      <c r="M217" s="223"/>
      <c r="N217" s="223"/>
      <c r="O217" s="223">
        <v>20</v>
      </c>
      <c r="P217" s="223">
        <v>26.9</v>
      </c>
      <c r="Q217" s="223"/>
      <c r="R217" s="223">
        <v>60</v>
      </c>
      <c r="S217" s="223"/>
      <c r="T217" s="223"/>
      <c r="U217" s="223"/>
      <c r="V217" s="223"/>
      <c r="W217" s="223"/>
      <c r="X217" s="216">
        <v>1.25</v>
      </c>
      <c r="Y217" s="222"/>
      <c r="Z217" s="222">
        <v>68</v>
      </c>
      <c r="AA217" s="222"/>
      <c r="AB217" s="222"/>
      <c r="AC217" s="225"/>
    </row>
    <row r="218" spans="2:29" hidden="1" x14ac:dyDescent="0.2">
      <c r="B218" s="1">
        <v>214</v>
      </c>
      <c r="E218" s="1" t="s">
        <v>1245</v>
      </c>
      <c r="F218" s="214" t="s">
        <v>1080</v>
      </c>
      <c r="G218" s="105"/>
      <c r="H218" s="216"/>
      <c r="I218" s="216"/>
      <c r="J218" s="216"/>
      <c r="K218" s="105"/>
      <c r="L218" s="105"/>
      <c r="M218" s="216"/>
      <c r="N218" s="216"/>
      <c r="O218" s="216">
        <v>25</v>
      </c>
      <c r="P218" s="216">
        <v>33.700000000000003</v>
      </c>
      <c r="Q218" s="216"/>
      <c r="R218" s="216">
        <v>60</v>
      </c>
      <c r="S218" s="216"/>
      <c r="T218" s="216"/>
      <c r="U218" s="216"/>
      <c r="V218" s="216"/>
      <c r="W218" s="216"/>
      <c r="X218" s="216">
        <v>1.25</v>
      </c>
      <c r="Y218" s="222"/>
      <c r="Z218" s="105">
        <v>82</v>
      </c>
      <c r="AA218" s="105"/>
      <c r="AB218" s="105"/>
      <c r="AC218" s="218"/>
    </row>
    <row r="219" spans="2:29" hidden="1" x14ac:dyDescent="0.2">
      <c r="B219" s="219">
        <v>215</v>
      </c>
      <c r="E219" s="219" t="s">
        <v>1245</v>
      </c>
      <c r="F219" s="220" t="s">
        <v>1080</v>
      </c>
      <c r="G219" s="222"/>
      <c r="H219" s="223"/>
      <c r="I219" s="223"/>
      <c r="J219" s="223"/>
      <c r="K219" s="222"/>
      <c r="L219" s="222"/>
      <c r="M219" s="223"/>
      <c r="N219" s="223"/>
      <c r="O219" s="223">
        <v>32</v>
      </c>
      <c r="P219" s="223">
        <v>42.4</v>
      </c>
      <c r="Q219" s="223"/>
      <c r="R219" s="223">
        <v>60</v>
      </c>
      <c r="S219" s="223"/>
      <c r="T219" s="223"/>
      <c r="U219" s="223"/>
      <c r="V219" s="223"/>
      <c r="W219" s="223"/>
      <c r="X219" s="216">
        <v>1.25</v>
      </c>
      <c r="Y219" s="222"/>
      <c r="Z219" s="222">
        <v>100</v>
      </c>
      <c r="AA219" s="222"/>
      <c r="AB219" s="222"/>
      <c r="AC219" s="225"/>
    </row>
    <row r="220" spans="2:29" hidden="1" x14ac:dyDescent="0.2">
      <c r="B220" s="1">
        <v>216</v>
      </c>
      <c r="E220" s="1" t="s">
        <v>1245</v>
      </c>
      <c r="F220" s="214" t="s">
        <v>1086</v>
      </c>
      <c r="G220" s="105"/>
      <c r="H220" s="216"/>
      <c r="I220" s="216"/>
      <c r="J220" s="216"/>
      <c r="K220" s="105"/>
      <c r="L220" s="105"/>
      <c r="M220" s="216"/>
      <c r="N220" s="216"/>
      <c r="O220" s="216">
        <v>40</v>
      </c>
      <c r="P220" s="216">
        <v>48.3</v>
      </c>
      <c r="Q220" s="216"/>
      <c r="R220" s="216">
        <v>60</v>
      </c>
      <c r="S220" s="216"/>
      <c r="T220" s="216"/>
      <c r="U220" s="216"/>
      <c r="V220" s="216"/>
      <c r="W220" s="216"/>
      <c r="X220" s="216">
        <v>1.25</v>
      </c>
      <c r="Y220" s="222"/>
      <c r="Z220" s="105">
        <v>114</v>
      </c>
      <c r="AA220" s="105"/>
      <c r="AB220" s="105"/>
      <c r="AC220" s="218"/>
    </row>
    <row r="221" spans="2:29" hidden="1" x14ac:dyDescent="0.2">
      <c r="B221" s="219">
        <v>217</v>
      </c>
      <c r="E221" s="219" t="s">
        <v>1245</v>
      </c>
      <c r="F221" s="220" t="s">
        <v>1086</v>
      </c>
      <c r="G221" s="222"/>
      <c r="H221" s="223"/>
      <c r="I221" s="223"/>
      <c r="J221" s="223"/>
      <c r="K221" s="222"/>
      <c r="L221" s="222"/>
      <c r="M221" s="223"/>
      <c r="N221" s="223"/>
      <c r="O221" s="223">
        <v>50</v>
      </c>
      <c r="P221" s="223">
        <v>60.3</v>
      </c>
      <c r="Q221" s="223"/>
      <c r="R221" s="223">
        <v>60</v>
      </c>
      <c r="S221" s="223"/>
      <c r="T221" s="223"/>
      <c r="U221" s="223"/>
      <c r="V221" s="223"/>
      <c r="W221" s="223"/>
      <c r="X221" s="216">
        <v>1.25</v>
      </c>
      <c r="Y221" s="222"/>
      <c r="Z221" s="222">
        <v>137</v>
      </c>
      <c r="AA221" s="222"/>
      <c r="AB221" s="222"/>
      <c r="AC221" s="225"/>
    </row>
    <row r="222" spans="2:29" hidden="1" x14ac:dyDescent="0.2">
      <c r="B222" s="1">
        <v>218</v>
      </c>
      <c r="E222" s="1" t="s">
        <v>1245</v>
      </c>
      <c r="F222" s="214" t="s">
        <v>1086</v>
      </c>
      <c r="G222" s="105"/>
      <c r="H222" s="216"/>
      <c r="I222" s="216"/>
      <c r="J222" s="216"/>
      <c r="K222" s="105"/>
      <c r="L222" s="105"/>
      <c r="M222" s="216"/>
      <c r="N222" s="216"/>
      <c r="O222" s="216">
        <v>65</v>
      </c>
      <c r="P222" s="216">
        <v>76.099999999999994</v>
      </c>
      <c r="Q222" s="216"/>
      <c r="R222" s="216">
        <v>60</v>
      </c>
      <c r="S222" s="216"/>
      <c r="T222" s="216"/>
      <c r="U222" s="216"/>
      <c r="V222" s="216"/>
      <c r="W222" s="216"/>
      <c r="X222" s="216">
        <v>1.25</v>
      </c>
      <c r="Y222" s="222"/>
      <c r="Z222" s="105">
        <v>160</v>
      </c>
      <c r="AA222" s="105"/>
      <c r="AB222" s="105"/>
      <c r="AC222" s="218"/>
    </row>
    <row r="223" spans="2:29" hidden="1" x14ac:dyDescent="0.2">
      <c r="B223" s="219">
        <v>219</v>
      </c>
      <c r="E223" s="219" t="s">
        <v>1245</v>
      </c>
      <c r="F223" s="220" t="s">
        <v>1086</v>
      </c>
      <c r="G223" s="222"/>
      <c r="H223" s="223"/>
      <c r="I223" s="223"/>
      <c r="J223" s="223"/>
      <c r="K223" s="222"/>
      <c r="L223" s="222"/>
      <c r="M223" s="223"/>
      <c r="N223" s="223"/>
      <c r="O223" s="223">
        <v>80</v>
      </c>
      <c r="P223" s="223">
        <v>88.9</v>
      </c>
      <c r="Q223" s="223"/>
      <c r="R223" s="223">
        <v>60</v>
      </c>
      <c r="S223" s="223"/>
      <c r="T223" s="223"/>
      <c r="U223" s="223"/>
      <c r="V223" s="223"/>
      <c r="W223" s="223"/>
      <c r="X223" s="216">
        <v>1.25</v>
      </c>
      <c r="Y223" s="222"/>
      <c r="Z223" s="222">
        <v>180</v>
      </c>
      <c r="AA223" s="222"/>
      <c r="AB223" s="222"/>
      <c r="AC223" s="225"/>
    </row>
    <row r="224" spans="2:29" hidden="1" x14ac:dyDescent="0.2">
      <c r="B224" s="1">
        <v>220</v>
      </c>
      <c r="E224" s="1" t="s">
        <v>1245</v>
      </c>
      <c r="F224" s="214" t="s">
        <v>1080</v>
      </c>
      <c r="G224" s="105"/>
      <c r="H224" s="216"/>
      <c r="I224" s="216"/>
      <c r="J224" s="216"/>
      <c r="K224" s="105"/>
      <c r="L224" s="105"/>
      <c r="M224" s="216"/>
      <c r="N224" s="216"/>
      <c r="O224" s="216">
        <v>15</v>
      </c>
      <c r="P224" s="216">
        <v>21.3</v>
      </c>
      <c r="Q224" s="216"/>
      <c r="R224" s="216">
        <v>50</v>
      </c>
      <c r="S224" s="216"/>
      <c r="T224" s="216"/>
      <c r="U224" s="216"/>
      <c r="V224" s="216"/>
      <c r="W224" s="216"/>
      <c r="X224" s="216">
        <v>1.25</v>
      </c>
      <c r="Y224" s="222"/>
      <c r="Z224" s="105">
        <v>44</v>
      </c>
      <c r="AA224" s="105"/>
      <c r="AB224" s="105"/>
      <c r="AC224" s="218"/>
    </row>
    <row r="225" spans="2:29" hidden="1" x14ac:dyDescent="0.2">
      <c r="B225" s="219">
        <v>221</v>
      </c>
      <c r="E225" s="219" t="s">
        <v>1245</v>
      </c>
      <c r="F225" s="220" t="s">
        <v>1080</v>
      </c>
      <c r="G225" s="222"/>
      <c r="H225" s="223"/>
      <c r="I225" s="223"/>
      <c r="J225" s="223"/>
      <c r="K225" s="222"/>
      <c r="L225" s="222"/>
      <c r="M225" s="223"/>
      <c r="N225" s="223"/>
      <c r="O225" s="223">
        <v>20</v>
      </c>
      <c r="P225" s="223">
        <v>26.9</v>
      </c>
      <c r="Q225" s="223"/>
      <c r="R225" s="223">
        <v>50</v>
      </c>
      <c r="S225" s="223"/>
      <c r="T225" s="223"/>
      <c r="U225" s="223"/>
      <c r="V225" s="223"/>
      <c r="W225" s="223"/>
      <c r="X225" s="216">
        <v>1.25</v>
      </c>
      <c r="Y225" s="222"/>
      <c r="Z225" s="222">
        <v>53</v>
      </c>
      <c r="AA225" s="222"/>
      <c r="AB225" s="222"/>
      <c r="AC225" s="225"/>
    </row>
    <row r="226" spans="2:29" hidden="1" x14ac:dyDescent="0.2">
      <c r="B226" s="1">
        <v>222</v>
      </c>
      <c r="E226" s="1" t="s">
        <v>1245</v>
      </c>
      <c r="F226" s="214" t="s">
        <v>1080</v>
      </c>
      <c r="G226" s="105"/>
      <c r="H226" s="216"/>
      <c r="I226" s="216"/>
      <c r="J226" s="216"/>
      <c r="K226" s="105"/>
      <c r="L226" s="105"/>
      <c r="M226" s="216"/>
      <c r="N226" s="216"/>
      <c r="O226" s="216">
        <v>25</v>
      </c>
      <c r="P226" s="216">
        <v>33.700000000000003</v>
      </c>
      <c r="Q226" s="216"/>
      <c r="R226" s="216">
        <v>50</v>
      </c>
      <c r="S226" s="216"/>
      <c r="T226" s="216"/>
      <c r="U226" s="216"/>
      <c r="V226" s="216"/>
      <c r="W226" s="216"/>
      <c r="X226" s="216">
        <v>1.25</v>
      </c>
      <c r="Y226" s="222"/>
      <c r="Z226" s="105">
        <v>54</v>
      </c>
      <c r="AA226" s="105"/>
      <c r="AB226" s="105"/>
      <c r="AC226" s="218"/>
    </row>
    <row r="227" spans="2:29" hidden="1" x14ac:dyDescent="0.2">
      <c r="B227" s="219">
        <v>223</v>
      </c>
      <c r="E227" s="219" t="s">
        <v>1245</v>
      </c>
      <c r="F227" s="220" t="s">
        <v>1080</v>
      </c>
      <c r="G227" s="222"/>
      <c r="H227" s="223"/>
      <c r="I227" s="223"/>
      <c r="J227" s="223"/>
      <c r="K227" s="222"/>
      <c r="L227" s="222"/>
      <c r="M227" s="223"/>
      <c r="N227" s="223"/>
      <c r="O227" s="223">
        <v>32</v>
      </c>
      <c r="P227" s="223">
        <v>42.4</v>
      </c>
      <c r="Q227" s="223"/>
      <c r="R227" s="223">
        <v>50</v>
      </c>
      <c r="S227" s="223"/>
      <c r="T227" s="223"/>
      <c r="U227" s="223"/>
      <c r="V227" s="223"/>
      <c r="W227" s="223"/>
      <c r="X227" s="216">
        <v>1.25</v>
      </c>
      <c r="Y227" s="222"/>
      <c r="Z227" s="222">
        <v>78</v>
      </c>
      <c r="AA227" s="222"/>
      <c r="AB227" s="222"/>
      <c r="AC227" s="225"/>
    </row>
    <row r="228" spans="2:29" hidden="1" x14ac:dyDescent="0.2">
      <c r="B228" s="1">
        <v>224</v>
      </c>
      <c r="E228" s="1" t="s">
        <v>1245</v>
      </c>
      <c r="F228" s="214" t="s">
        <v>1086</v>
      </c>
      <c r="G228" s="105"/>
      <c r="H228" s="216"/>
      <c r="I228" s="216"/>
      <c r="J228" s="216"/>
      <c r="K228" s="105"/>
      <c r="L228" s="105"/>
      <c r="M228" s="216"/>
      <c r="N228" s="216"/>
      <c r="O228" s="216">
        <v>40</v>
      </c>
      <c r="P228" s="216">
        <v>48.3</v>
      </c>
      <c r="Q228" s="216"/>
      <c r="R228" s="216">
        <v>50</v>
      </c>
      <c r="S228" s="216"/>
      <c r="T228" s="216"/>
      <c r="U228" s="216"/>
      <c r="V228" s="216"/>
      <c r="W228" s="216"/>
      <c r="X228" s="216">
        <v>1.25</v>
      </c>
      <c r="Y228" s="222"/>
      <c r="Z228" s="105">
        <v>88</v>
      </c>
      <c r="AA228" s="105"/>
      <c r="AB228" s="105"/>
      <c r="AC228" s="218"/>
    </row>
    <row r="229" spans="2:29" hidden="1" x14ac:dyDescent="0.2">
      <c r="B229" s="219">
        <v>225</v>
      </c>
      <c r="E229" s="219" t="s">
        <v>1245</v>
      </c>
      <c r="F229" s="220" t="s">
        <v>1086</v>
      </c>
      <c r="G229" s="222"/>
      <c r="H229" s="223"/>
      <c r="I229" s="223"/>
      <c r="J229" s="223"/>
      <c r="K229" s="222"/>
      <c r="L229" s="222"/>
      <c r="M229" s="223"/>
      <c r="N229" s="223"/>
      <c r="O229" s="223">
        <v>50</v>
      </c>
      <c r="P229" s="223">
        <v>60.3</v>
      </c>
      <c r="Q229" s="223"/>
      <c r="R229" s="223">
        <v>50</v>
      </c>
      <c r="S229" s="223"/>
      <c r="T229" s="223"/>
      <c r="U229" s="223"/>
      <c r="V229" s="223"/>
      <c r="W229" s="223"/>
      <c r="X229" s="216">
        <v>1.25</v>
      </c>
      <c r="Y229" s="222"/>
      <c r="Z229" s="222">
        <v>106</v>
      </c>
      <c r="AA229" s="222"/>
      <c r="AB229" s="222"/>
      <c r="AC229" s="225"/>
    </row>
    <row r="230" spans="2:29" hidden="1" x14ac:dyDescent="0.2">
      <c r="B230" s="1">
        <v>226</v>
      </c>
      <c r="E230" s="1" t="s">
        <v>1245</v>
      </c>
      <c r="F230" s="214" t="s">
        <v>1086</v>
      </c>
      <c r="G230" s="105"/>
      <c r="H230" s="216"/>
      <c r="I230" s="216"/>
      <c r="J230" s="216"/>
      <c r="K230" s="105"/>
      <c r="L230" s="105"/>
      <c r="M230" s="216"/>
      <c r="N230" s="216"/>
      <c r="O230" s="216">
        <v>65</v>
      </c>
      <c r="P230" s="216">
        <v>76.099999999999994</v>
      </c>
      <c r="Q230" s="216"/>
      <c r="R230" s="216">
        <v>50</v>
      </c>
      <c r="S230" s="216"/>
      <c r="T230" s="216"/>
      <c r="U230" s="216"/>
      <c r="V230" s="216"/>
      <c r="W230" s="216"/>
      <c r="X230" s="216">
        <v>1.25</v>
      </c>
      <c r="Y230" s="222"/>
      <c r="Z230" s="105">
        <v>124</v>
      </c>
      <c r="AA230" s="105"/>
      <c r="AB230" s="105"/>
      <c r="AC230" s="218"/>
    </row>
    <row r="231" spans="2:29" hidden="1" x14ac:dyDescent="0.2">
      <c r="B231" s="219">
        <v>227</v>
      </c>
      <c r="E231" s="219" t="s">
        <v>1245</v>
      </c>
      <c r="F231" s="220" t="s">
        <v>1086</v>
      </c>
      <c r="G231" s="222"/>
      <c r="H231" s="223"/>
      <c r="I231" s="223"/>
      <c r="J231" s="223"/>
      <c r="K231" s="222"/>
      <c r="L231" s="222"/>
      <c r="M231" s="223"/>
      <c r="N231" s="223"/>
      <c r="O231" s="223">
        <v>80</v>
      </c>
      <c r="P231" s="223">
        <v>88.9</v>
      </c>
      <c r="Q231" s="223"/>
      <c r="R231" s="223">
        <v>50</v>
      </c>
      <c r="S231" s="223"/>
      <c r="T231" s="223"/>
      <c r="U231" s="223"/>
      <c r="V231" s="223"/>
      <c r="W231" s="223"/>
      <c r="X231" s="216">
        <v>1.25</v>
      </c>
      <c r="Y231" s="222"/>
      <c r="Z231" s="222">
        <v>139</v>
      </c>
      <c r="AA231" s="222"/>
      <c r="AB231" s="222"/>
      <c r="AC231" s="225"/>
    </row>
    <row r="232" spans="2:29" hidden="1" x14ac:dyDescent="0.2">
      <c r="B232" s="1">
        <v>228</v>
      </c>
      <c r="E232" s="1" t="s">
        <v>1245</v>
      </c>
      <c r="F232" s="214" t="s">
        <v>1080</v>
      </c>
      <c r="G232" s="105"/>
      <c r="H232" s="216"/>
      <c r="I232" s="216"/>
      <c r="J232" s="216"/>
      <c r="K232" s="105"/>
      <c r="L232" s="105"/>
      <c r="M232" s="216"/>
      <c r="N232" s="216"/>
      <c r="O232" s="216">
        <v>15</v>
      </c>
      <c r="P232" s="216">
        <v>21.3</v>
      </c>
      <c r="Q232" s="216"/>
      <c r="R232" s="216">
        <v>40</v>
      </c>
      <c r="S232" s="216"/>
      <c r="T232" s="216"/>
      <c r="U232" s="216"/>
      <c r="V232" s="216"/>
      <c r="W232" s="216"/>
      <c r="X232" s="216">
        <v>1.25</v>
      </c>
      <c r="Y232" s="222"/>
      <c r="Z232" s="105">
        <v>33</v>
      </c>
      <c r="AA232" s="105"/>
      <c r="AB232" s="105"/>
      <c r="AC232" s="218"/>
    </row>
    <row r="233" spans="2:29" hidden="1" x14ac:dyDescent="0.2">
      <c r="B233" s="219">
        <v>229</v>
      </c>
      <c r="E233" s="219" t="s">
        <v>1245</v>
      </c>
      <c r="F233" s="220" t="s">
        <v>1080</v>
      </c>
      <c r="G233" s="222"/>
      <c r="H233" s="223"/>
      <c r="I233" s="223"/>
      <c r="J233" s="223"/>
      <c r="K233" s="222"/>
      <c r="L233" s="222"/>
      <c r="M233" s="223"/>
      <c r="N233" s="223"/>
      <c r="O233" s="223">
        <v>20</v>
      </c>
      <c r="P233" s="223">
        <v>26.9</v>
      </c>
      <c r="Q233" s="223"/>
      <c r="R233" s="223">
        <v>40</v>
      </c>
      <c r="S233" s="223"/>
      <c r="T233" s="223"/>
      <c r="U233" s="223"/>
      <c r="V233" s="223"/>
      <c r="W233" s="223"/>
      <c r="X233" s="216">
        <v>1.25</v>
      </c>
      <c r="Y233" s="222"/>
      <c r="Z233" s="222">
        <v>38</v>
      </c>
      <c r="AA233" s="222"/>
      <c r="AB233" s="222"/>
      <c r="AC233" s="225"/>
    </row>
    <row r="234" spans="2:29" hidden="1" x14ac:dyDescent="0.2">
      <c r="B234" s="1">
        <v>230</v>
      </c>
      <c r="E234" s="1" t="s">
        <v>1245</v>
      </c>
      <c r="F234" s="214" t="s">
        <v>1080</v>
      </c>
      <c r="G234" s="105"/>
      <c r="H234" s="216"/>
      <c r="I234" s="216"/>
      <c r="J234" s="216"/>
      <c r="K234" s="105"/>
      <c r="L234" s="105"/>
      <c r="M234" s="216"/>
      <c r="N234" s="216"/>
      <c r="O234" s="216">
        <v>25</v>
      </c>
      <c r="P234" s="216">
        <v>33.700000000000003</v>
      </c>
      <c r="Q234" s="216"/>
      <c r="R234" s="216">
        <v>40</v>
      </c>
      <c r="S234" s="216"/>
      <c r="T234" s="216"/>
      <c r="U234" s="216"/>
      <c r="V234" s="216"/>
      <c r="W234" s="216"/>
      <c r="X234" s="216">
        <v>1.25</v>
      </c>
      <c r="Y234" s="222"/>
      <c r="Z234" s="105">
        <v>46</v>
      </c>
      <c r="AA234" s="105"/>
      <c r="AB234" s="105"/>
      <c r="AC234" s="218"/>
    </row>
    <row r="235" spans="2:29" hidden="1" x14ac:dyDescent="0.2">
      <c r="B235" s="219">
        <v>231</v>
      </c>
      <c r="E235" s="219" t="s">
        <v>1245</v>
      </c>
      <c r="F235" s="220" t="s">
        <v>1080</v>
      </c>
      <c r="G235" s="222"/>
      <c r="H235" s="223"/>
      <c r="I235" s="223"/>
      <c r="J235" s="223"/>
      <c r="K235" s="222"/>
      <c r="L235" s="222"/>
      <c r="M235" s="223"/>
      <c r="N235" s="223"/>
      <c r="O235" s="223">
        <v>32</v>
      </c>
      <c r="P235" s="223">
        <v>42.4</v>
      </c>
      <c r="Q235" s="223"/>
      <c r="R235" s="223">
        <v>40</v>
      </c>
      <c r="S235" s="223"/>
      <c r="T235" s="223"/>
      <c r="U235" s="223"/>
      <c r="V235" s="223"/>
      <c r="W235" s="223"/>
      <c r="X235" s="216">
        <v>1.25</v>
      </c>
      <c r="Y235" s="222"/>
      <c r="Z235" s="222">
        <v>57</v>
      </c>
      <c r="AA235" s="222"/>
      <c r="AB235" s="222"/>
      <c r="AC235" s="225"/>
    </row>
    <row r="236" spans="2:29" hidden="1" x14ac:dyDescent="0.2">
      <c r="B236" s="1">
        <v>232</v>
      </c>
      <c r="E236" s="1" t="s">
        <v>1245</v>
      </c>
      <c r="F236" s="214" t="s">
        <v>1086</v>
      </c>
      <c r="G236" s="105"/>
      <c r="H236" s="216"/>
      <c r="I236" s="216"/>
      <c r="J236" s="216"/>
      <c r="K236" s="105"/>
      <c r="L236" s="105"/>
      <c r="M236" s="216"/>
      <c r="N236" s="216"/>
      <c r="O236" s="216">
        <v>40</v>
      </c>
      <c r="P236" s="216">
        <v>48.3</v>
      </c>
      <c r="Q236" s="216"/>
      <c r="R236" s="216">
        <v>40</v>
      </c>
      <c r="S236" s="216"/>
      <c r="T236" s="216"/>
      <c r="U236" s="216"/>
      <c r="V236" s="216"/>
      <c r="W236" s="216"/>
      <c r="X236" s="216">
        <v>1.25</v>
      </c>
      <c r="Y236" s="222"/>
      <c r="Z236" s="105">
        <v>64</v>
      </c>
      <c r="AA236" s="105"/>
      <c r="AB236" s="105"/>
      <c r="AC236" s="218"/>
    </row>
    <row r="237" spans="2:29" hidden="1" x14ac:dyDescent="0.2">
      <c r="B237" s="219">
        <v>233</v>
      </c>
      <c r="E237" s="219" t="s">
        <v>1245</v>
      </c>
      <c r="F237" s="220" t="s">
        <v>1086</v>
      </c>
      <c r="G237" s="222"/>
      <c r="H237" s="223"/>
      <c r="I237" s="223"/>
      <c r="J237" s="223"/>
      <c r="K237" s="222"/>
      <c r="L237" s="222"/>
      <c r="M237" s="223"/>
      <c r="N237" s="223"/>
      <c r="O237" s="223">
        <v>50</v>
      </c>
      <c r="P237" s="223">
        <v>60.3</v>
      </c>
      <c r="Q237" s="223"/>
      <c r="R237" s="223">
        <v>40</v>
      </c>
      <c r="S237" s="223"/>
      <c r="T237" s="223"/>
      <c r="U237" s="223"/>
      <c r="V237" s="223"/>
      <c r="W237" s="223"/>
      <c r="X237" s="216">
        <v>1.25</v>
      </c>
      <c r="Y237" s="222"/>
      <c r="Z237" s="222">
        <v>77</v>
      </c>
      <c r="AA237" s="222"/>
      <c r="AB237" s="222"/>
      <c r="AC237" s="225"/>
    </row>
    <row r="238" spans="2:29" hidden="1" x14ac:dyDescent="0.2">
      <c r="B238" s="1">
        <v>234</v>
      </c>
      <c r="E238" s="1" t="s">
        <v>1245</v>
      </c>
      <c r="F238" s="214" t="s">
        <v>1086</v>
      </c>
      <c r="G238" s="105"/>
      <c r="H238" s="216"/>
      <c r="I238" s="216"/>
      <c r="J238" s="216"/>
      <c r="K238" s="105"/>
      <c r="L238" s="105"/>
      <c r="M238" s="216"/>
      <c r="N238" s="216"/>
      <c r="O238" s="216">
        <v>65</v>
      </c>
      <c r="P238" s="216">
        <v>76.099999999999994</v>
      </c>
      <c r="Q238" s="216"/>
      <c r="R238" s="216">
        <v>40</v>
      </c>
      <c r="S238" s="216"/>
      <c r="T238" s="216"/>
      <c r="U238" s="216"/>
      <c r="V238" s="216"/>
      <c r="W238" s="216"/>
      <c r="X238" s="216">
        <v>1.25</v>
      </c>
      <c r="Y238" s="222"/>
      <c r="Z238" s="105">
        <v>91</v>
      </c>
      <c r="AA238" s="105"/>
      <c r="AB238" s="105"/>
      <c r="AC238" s="218"/>
    </row>
    <row r="239" spans="2:29" hidden="1" x14ac:dyDescent="0.2">
      <c r="B239" s="219">
        <v>235</v>
      </c>
      <c r="E239" s="219" t="s">
        <v>1245</v>
      </c>
      <c r="F239" s="220" t="s">
        <v>1086</v>
      </c>
      <c r="G239" s="222"/>
      <c r="H239" s="223"/>
      <c r="I239" s="223"/>
      <c r="J239" s="223"/>
      <c r="K239" s="222"/>
      <c r="L239" s="222"/>
      <c r="M239" s="223"/>
      <c r="N239" s="223"/>
      <c r="O239" s="223">
        <v>80</v>
      </c>
      <c r="P239" s="223">
        <v>88.9</v>
      </c>
      <c r="Q239" s="223"/>
      <c r="R239" s="223">
        <v>40</v>
      </c>
      <c r="S239" s="223"/>
      <c r="T239" s="223"/>
      <c r="U239" s="223"/>
      <c r="V239" s="223"/>
      <c r="W239" s="223"/>
      <c r="X239" s="216">
        <v>1.25</v>
      </c>
      <c r="Y239" s="222"/>
      <c r="Z239" s="222">
        <v>102</v>
      </c>
      <c r="AA239" s="222"/>
      <c r="AB239" s="222"/>
      <c r="AC239" s="225"/>
    </row>
    <row r="240" spans="2:29" hidden="1" x14ac:dyDescent="0.2">
      <c r="B240" s="1">
        <v>236</v>
      </c>
      <c r="E240" s="1" t="s">
        <v>1245</v>
      </c>
      <c r="F240" s="214" t="s">
        <v>1090</v>
      </c>
      <c r="G240" s="105"/>
      <c r="H240" s="216"/>
      <c r="I240" s="216"/>
      <c r="J240" s="216"/>
      <c r="K240" s="105"/>
      <c r="L240" s="105"/>
      <c r="M240" s="216"/>
      <c r="N240" s="216"/>
      <c r="O240" s="216">
        <v>32</v>
      </c>
      <c r="P240" s="216"/>
      <c r="Q240" s="216">
        <v>25</v>
      </c>
      <c r="R240" s="216"/>
      <c r="S240" s="216"/>
      <c r="T240" s="216"/>
      <c r="U240" s="216"/>
      <c r="V240" s="216">
        <v>10</v>
      </c>
      <c r="W240" s="216"/>
      <c r="X240" s="216">
        <v>1.25</v>
      </c>
      <c r="Y240" s="222"/>
      <c r="Z240" s="105">
        <v>513</v>
      </c>
      <c r="AA240" s="105"/>
      <c r="AB240" s="105"/>
      <c r="AC240" s="218"/>
    </row>
    <row r="241" spans="2:29" hidden="1" x14ac:dyDescent="0.2">
      <c r="B241" s="219">
        <v>237</v>
      </c>
      <c r="E241" s="219" t="s">
        <v>1245</v>
      </c>
      <c r="F241" s="220" t="s">
        <v>1090</v>
      </c>
      <c r="G241" s="222"/>
      <c r="H241" s="223"/>
      <c r="I241" s="223"/>
      <c r="J241" s="223"/>
      <c r="K241" s="222"/>
      <c r="L241" s="222"/>
      <c r="M241" s="223"/>
      <c r="N241" s="223"/>
      <c r="O241" s="223">
        <v>32</v>
      </c>
      <c r="P241" s="223"/>
      <c r="Q241" s="223">
        <v>25</v>
      </c>
      <c r="R241" s="223"/>
      <c r="S241" s="223"/>
      <c r="T241" s="223"/>
      <c r="U241" s="223"/>
      <c r="V241" s="223">
        <v>12</v>
      </c>
      <c r="W241" s="223"/>
      <c r="X241" s="216">
        <v>1.25</v>
      </c>
      <c r="Y241" s="222"/>
      <c r="Z241" s="222">
        <v>482</v>
      </c>
      <c r="AA241" s="222"/>
      <c r="AB241" s="222"/>
      <c r="AC241" s="225"/>
    </row>
    <row r="242" spans="2:29" hidden="1" x14ac:dyDescent="0.2">
      <c r="B242" s="1">
        <v>238</v>
      </c>
      <c r="E242" s="1" t="s">
        <v>1245</v>
      </c>
      <c r="F242" s="214" t="s">
        <v>1090</v>
      </c>
      <c r="G242" s="105"/>
      <c r="H242" s="216"/>
      <c r="I242" s="216"/>
      <c r="J242" s="216"/>
      <c r="K242" s="105"/>
      <c r="L242" s="105"/>
      <c r="M242" s="216"/>
      <c r="N242" s="216"/>
      <c r="O242" s="216">
        <v>32</v>
      </c>
      <c r="P242" s="216"/>
      <c r="Q242" s="216">
        <v>25</v>
      </c>
      <c r="R242" s="216"/>
      <c r="S242" s="216"/>
      <c r="T242" s="216"/>
      <c r="U242" s="216"/>
      <c r="V242" s="216">
        <v>14</v>
      </c>
      <c r="W242" s="216"/>
      <c r="X242" s="216">
        <v>1.25</v>
      </c>
      <c r="Y242" s="222"/>
      <c r="Z242" s="105">
        <v>461</v>
      </c>
      <c r="AA242" s="105"/>
      <c r="AB242" s="105"/>
      <c r="AC242" s="218"/>
    </row>
    <row r="243" spans="2:29" hidden="1" x14ac:dyDescent="0.2">
      <c r="B243" s="219">
        <v>239</v>
      </c>
      <c r="E243" s="219" t="s">
        <v>1245</v>
      </c>
      <c r="F243" s="220" t="s">
        <v>1090</v>
      </c>
      <c r="G243" s="222"/>
      <c r="H243" s="223"/>
      <c r="I243" s="223"/>
      <c r="J243" s="223"/>
      <c r="K243" s="222"/>
      <c r="L243" s="222"/>
      <c r="M243" s="223"/>
      <c r="N243" s="223"/>
      <c r="O243" s="223">
        <v>32</v>
      </c>
      <c r="P243" s="223"/>
      <c r="Q243" s="223">
        <v>30</v>
      </c>
      <c r="R243" s="223"/>
      <c r="S243" s="223"/>
      <c r="T243" s="223"/>
      <c r="U243" s="223"/>
      <c r="V243" s="223">
        <v>10</v>
      </c>
      <c r="W243" s="223"/>
      <c r="X243" s="216">
        <v>1.25</v>
      </c>
      <c r="Y243" s="222"/>
      <c r="Z243" s="222">
        <v>598</v>
      </c>
      <c r="AA243" s="222"/>
      <c r="AB243" s="222"/>
      <c r="AC243" s="225"/>
    </row>
    <row r="244" spans="2:29" hidden="1" x14ac:dyDescent="0.2">
      <c r="B244" s="1">
        <v>240</v>
      </c>
      <c r="E244" s="1" t="s">
        <v>1245</v>
      </c>
      <c r="F244" s="214" t="s">
        <v>1090</v>
      </c>
      <c r="G244" s="105"/>
      <c r="H244" s="216"/>
      <c r="I244" s="216"/>
      <c r="J244" s="216"/>
      <c r="K244" s="105"/>
      <c r="L244" s="105"/>
      <c r="M244" s="216"/>
      <c r="N244" s="216"/>
      <c r="O244" s="216">
        <v>32</v>
      </c>
      <c r="P244" s="216"/>
      <c r="Q244" s="216">
        <v>30</v>
      </c>
      <c r="R244" s="216"/>
      <c r="S244" s="216"/>
      <c r="T244" s="216"/>
      <c r="U244" s="216"/>
      <c r="V244" s="216">
        <v>12</v>
      </c>
      <c r="W244" s="216"/>
      <c r="X244" s="216">
        <v>1.25</v>
      </c>
      <c r="Y244" s="222"/>
      <c r="Z244" s="105">
        <v>564</v>
      </c>
      <c r="AA244" s="105"/>
      <c r="AB244" s="105"/>
      <c r="AC244" s="218"/>
    </row>
    <row r="245" spans="2:29" hidden="1" x14ac:dyDescent="0.2">
      <c r="B245" s="219">
        <v>241</v>
      </c>
      <c r="E245" s="219" t="s">
        <v>1245</v>
      </c>
      <c r="F245" s="220" t="s">
        <v>1090</v>
      </c>
      <c r="G245" s="222"/>
      <c r="H245" s="223"/>
      <c r="I245" s="223"/>
      <c r="J245" s="223"/>
      <c r="K245" s="222"/>
      <c r="L245" s="222"/>
      <c r="M245" s="223"/>
      <c r="N245" s="223"/>
      <c r="O245" s="223">
        <v>32</v>
      </c>
      <c r="P245" s="223"/>
      <c r="Q245" s="223">
        <v>30</v>
      </c>
      <c r="R245" s="223"/>
      <c r="S245" s="223"/>
      <c r="T245" s="223"/>
      <c r="U245" s="223"/>
      <c r="V245" s="223">
        <v>14</v>
      </c>
      <c r="W245" s="223"/>
      <c r="X245" s="216">
        <v>1.25</v>
      </c>
      <c r="Y245" s="222"/>
      <c r="Z245" s="222">
        <v>543</v>
      </c>
      <c r="AA245" s="222"/>
      <c r="AB245" s="222"/>
      <c r="AC245" s="225"/>
    </row>
    <row r="246" spans="2:29" hidden="1" x14ac:dyDescent="0.2">
      <c r="B246" s="1">
        <v>242</v>
      </c>
      <c r="E246" s="1" t="s">
        <v>1245</v>
      </c>
      <c r="F246" s="214" t="s">
        <v>1090</v>
      </c>
      <c r="G246" s="105"/>
      <c r="H246" s="216"/>
      <c r="I246" s="216"/>
      <c r="J246" s="216"/>
      <c r="K246" s="105"/>
      <c r="L246" s="105"/>
      <c r="M246" s="216"/>
      <c r="N246" s="216"/>
      <c r="O246" s="216">
        <v>50</v>
      </c>
      <c r="P246" s="216"/>
      <c r="Q246" s="216">
        <v>30</v>
      </c>
      <c r="R246" s="216"/>
      <c r="S246" s="216"/>
      <c r="T246" s="216"/>
      <c r="U246" s="216"/>
      <c r="V246" s="216">
        <v>10</v>
      </c>
      <c r="W246" s="216"/>
      <c r="X246" s="216">
        <v>1.25</v>
      </c>
      <c r="Y246" s="222"/>
      <c r="Z246" s="105">
        <v>682</v>
      </c>
      <c r="AA246" s="105"/>
      <c r="AB246" s="105"/>
      <c r="AC246" s="218"/>
    </row>
    <row r="247" spans="2:29" hidden="1" x14ac:dyDescent="0.2">
      <c r="B247" s="219">
        <v>243</v>
      </c>
      <c r="E247" s="219" t="s">
        <v>1245</v>
      </c>
      <c r="F247" s="220" t="s">
        <v>1090</v>
      </c>
      <c r="G247" s="222"/>
      <c r="H247" s="223"/>
      <c r="I247" s="223"/>
      <c r="J247" s="223"/>
      <c r="K247" s="222"/>
      <c r="L247" s="222"/>
      <c r="M247" s="223"/>
      <c r="N247" s="223"/>
      <c r="O247" s="223">
        <v>50</v>
      </c>
      <c r="P247" s="223"/>
      <c r="Q247" s="223">
        <v>30</v>
      </c>
      <c r="R247" s="223"/>
      <c r="S247" s="223"/>
      <c r="T247" s="223"/>
      <c r="U247" s="223"/>
      <c r="V247" s="223">
        <v>12</v>
      </c>
      <c r="W247" s="223"/>
      <c r="X247" s="216">
        <v>1.25</v>
      </c>
      <c r="Y247" s="222"/>
      <c r="Z247" s="222">
        <v>635</v>
      </c>
      <c r="AA247" s="222"/>
      <c r="AB247" s="222"/>
      <c r="AC247" s="225"/>
    </row>
    <row r="248" spans="2:29" hidden="1" x14ac:dyDescent="0.2">
      <c r="B248" s="1">
        <v>244</v>
      </c>
      <c r="E248" s="1" t="s">
        <v>1245</v>
      </c>
      <c r="F248" s="214" t="s">
        <v>1090</v>
      </c>
      <c r="G248" s="105"/>
      <c r="H248" s="216"/>
      <c r="I248" s="216"/>
      <c r="J248" s="216"/>
      <c r="K248" s="105"/>
      <c r="L248" s="105"/>
      <c r="M248" s="216"/>
      <c r="N248" s="216"/>
      <c r="O248" s="216">
        <v>50</v>
      </c>
      <c r="P248" s="216"/>
      <c r="Q248" s="216">
        <v>30</v>
      </c>
      <c r="R248" s="216"/>
      <c r="S248" s="216"/>
      <c r="T248" s="216"/>
      <c r="U248" s="216"/>
      <c r="V248" s="216">
        <v>14</v>
      </c>
      <c r="W248" s="216"/>
      <c r="X248" s="216">
        <v>1.25</v>
      </c>
      <c r="Y248" s="222"/>
      <c r="Z248" s="105">
        <v>607</v>
      </c>
      <c r="AA248" s="105"/>
      <c r="AB248" s="105"/>
      <c r="AC248" s="218"/>
    </row>
    <row r="249" spans="2:29" hidden="1" x14ac:dyDescent="0.2">
      <c r="B249" s="219">
        <v>245</v>
      </c>
      <c r="E249" s="219" t="s">
        <v>1245</v>
      </c>
      <c r="F249" s="220" t="s">
        <v>1090</v>
      </c>
      <c r="G249" s="222"/>
      <c r="H249" s="223"/>
      <c r="I249" s="223"/>
      <c r="J249" s="223"/>
      <c r="K249" s="222"/>
      <c r="L249" s="222"/>
      <c r="M249" s="223"/>
      <c r="N249" s="223"/>
      <c r="O249" s="223">
        <v>50</v>
      </c>
      <c r="P249" s="223"/>
      <c r="Q249" s="223">
        <v>35</v>
      </c>
      <c r="R249" s="223"/>
      <c r="S249" s="223"/>
      <c r="T249" s="223"/>
      <c r="U249" s="223"/>
      <c r="V249" s="223">
        <v>10</v>
      </c>
      <c r="W249" s="223"/>
      <c r="X249" s="216">
        <v>1.25</v>
      </c>
      <c r="Y249" s="222"/>
      <c r="Z249" s="222">
        <v>776</v>
      </c>
      <c r="AA249" s="222"/>
      <c r="AB249" s="222"/>
      <c r="AC249" s="225"/>
    </row>
    <row r="250" spans="2:29" hidden="1" x14ac:dyDescent="0.2">
      <c r="B250" s="1">
        <v>246</v>
      </c>
      <c r="E250" s="1" t="s">
        <v>1245</v>
      </c>
      <c r="F250" s="214" t="s">
        <v>1090</v>
      </c>
      <c r="G250" s="105"/>
      <c r="H250" s="216"/>
      <c r="I250" s="216"/>
      <c r="J250" s="216"/>
      <c r="K250" s="105"/>
      <c r="L250" s="105"/>
      <c r="M250" s="216"/>
      <c r="N250" s="216"/>
      <c r="O250" s="216">
        <v>50</v>
      </c>
      <c r="P250" s="216"/>
      <c r="Q250" s="216">
        <v>35</v>
      </c>
      <c r="R250" s="216"/>
      <c r="S250" s="216"/>
      <c r="T250" s="216"/>
      <c r="U250" s="216"/>
      <c r="V250" s="216">
        <v>12</v>
      </c>
      <c r="W250" s="216"/>
      <c r="X250" s="216">
        <v>1.25</v>
      </c>
      <c r="Y250" s="222"/>
      <c r="Z250" s="105">
        <v>725</v>
      </c>
      <c r="AA250" s="105"/>
      <c r="AB250" s="105"/>
      <c r="AC250" s="218"/>
    </row>
    <row r="251" spans="2:29" hidden="1" x14ac:dyDescent="0.2">
      <c r="B251" s="219">
        <v>247</v>
      </c>
      <c r="E251" s="219" t="s">
        <v>1245</v>
      </c>
      <c r="F251" s="220" t="s">
        <v>1090</v>
      </c>
      <c r="G251" s="222"/>
      <c r="H251" s="223"/>
      <c r="I251" s="223"/>
      <c r="J251" s="223"/>
      <c r="K251" s="222"/>
      <c r="L251" s="222"/>
      <c r="M251" s="223"/>
      <c r="N251" s="223"/>
      <c r="O251" s="223">
        <v>50</v>
      </c>
      <c r="P251" s="223"/>
      <c r="Q251" s="223">
        <v>35</v>
      </c>
      <c r="R251" s="223"/>
      <c r="S251" s="223"/>
      <c r="T251" s="223"/>
      <c r="U251" s="223"/>
      <c r="V251" s="223">
        <v>14</v>
      </c>
      <c r="W251" s="223"/>
      <c r="X251" s="216">
        <v>1.25</v>
      </c>
      <c r="Y251" s="222"/>
      <c r="Z251" s="222">
        <v>693</v>
      </c>
      <c r="AA251" s="222"/>
      <c r="AB251" s="222"/>
      <c r="AC251" s="225"/>
    </row>
    <row r="252" spans="2:29" hidden="1" x14ac:dyDescent="0.2">
      <c r="B252" s="1">
        <v>248</v>
      </c>
      <c r="E252" s="1" t="s">
        <v>1245</v>
      </c>
      <c r="F252" s="214" t="s">
        <v>1090</v>
      </c>
      <c r="G252" s="105"/>
      <c r="H252" s="216"/>
      <c r="I252" s="216"/>
      <c r="J252" s="216"/>
      <c r="K252" s="105"/>
      <c r="L252" s="105"/>
      <c r="M252" s="216"/>
      <c r="N252" s="216"/>
      <c r="O252" s="216">
        <v>65</v>
      </c>
      <c r="P252" s="216"/>
      <c r="Q252" s="216">
        <v>35</v>
      </c>
      <c r="R252" s="216"/>
      <c r="S252" s="216"/>
      <c r="T252" s="216"/>
      <c r="U252" s="216"/>
      <c r="V252" s="216">
        <v>10</v>
      </c>
      <c r="W252" s="216"/>
      <c r="X252" s="216">
        <v>1.25</v>
      </c>
      <c r="Y252" s="222"/>
      <c r="Z252" s="105">
        <v>880</v>
      </c>
      <c r="AA252" s="105"/>
      <c r="AB252" s="105"/>
      <c r="AC252" s="218"/>
    </row>
    <row r="253" spans="2:29" hidden="1" x14ac:dyDescent="0.2">
      <c r="B253" s="219">
        <v>249</v>
      </c>
      <c r="E253" s="219" t="s">
        <v>1245</v>
      </c>
      <c r="F253" s="220" t="s">
        <v>1090</v>
      </c>
      <c r="G253" s="222"/>
      <c r="H253" s="223"/>
      <c r="I253" s="223"/>
      <c r="J253" s="223"/>
      <c r="K253" s="222"/>
      <c r="L253" s="222"/>
      <c r="M253" s="223"/>
      <c r="N253" s="223"/>
      <c r="O253" s="223">
        <v>65</v>
      </c>
      <c r="P253" s="223"/>
      <c r="Q253" s="223">
        <v>35</v>
      </c>
      <c r="R253" s="223"/>
      <c r="S253" s="223"/>
      <c r="T253" s="223"/>
      <c r="U253" s="223"/>
      <c r="V253" s="223">
        <v>12</v>
      </c>
      <c r="W253" s="223"/>
      <c r="X253" s="216">
        <v>1.25</v>
      </c>
      <c r="Y253" s="222"/>
      <c r="Z253" s="222">
        <v>824</v>
      </c>
      <c r="AA253" s="222"/>
      <c r="AB253" s="222"/>
      <c r="AC253" s="225"/>
    </row>
    <row r="254" spans="2:29" hidden="1" x14ac:dyDescent="0.2">
      <c r="B254" s="1">
        <v>250</v>
      </c>
      <c r="E254" s="1" t="s">
        <v>1245</v>
      </c>
      <c r="F254" s="214" t="s">
        <v>1090</v>
      </c>
      <c r="G254" s="105"/>
      <c r="H254" s="216"/>
      <c r="I254" s="216"/>
      <c r="J254" s="216"/>
      <c r="K254" s="105"/>
      <c r="L254" s="105"/>
      <c r="M254" s="216"/>
      <c r="N254" s="216"/>
      <c r="O254" s="216">
        <v>65</v>
      </c>
      <c r="P254" s="216"/>
      <c r="Q254" s="216">
        <v>35</v>
      </c>
      <c r="R254" s="216"/>
      <c r="S254" s="216"/>
      <c r="T254" s="216"/>
      <c r="U254" s="216"/>
      <c r="V254" s="216">
        <v>14</v>
      </c>
      <c r="W254" s="216"/>
      <c r="X254" s="216">
        <v>1.25</v>
      </c>
      <c r="Y254" s="222"/>
      <c r="Z254" s="105">
        <v>784</v>
      </c>
      <c r="AA254" s="105"/>
      <c r="AB254" s="105"/>
      <c r="AC254" s="218"/>
    </row>
    <row r="255" spans="2:29" hidden="1" x14ac:dyDescent="0.2">
      <c r="B255" s="219">
        <v>251</v>
      </c>
      <c r="E255" s="219" t="s">
        <v>1245</v>
      </c>
      <c r="F255" s="220" t="s">
        <v>1090</v>
      </c>
      <c r="G255" s="222"/>
      <c r="H255" s="223"/>
      <c r="I255" s="223"/>
      <c r="J255" s="223"/>
      <c r="K255" s="222"/>
      <c r="L255" s="222"/>
      <c r="M255" s="223"/>
      <c r="N255" s="223"/>
      <c r="O255" s="223">
        <v>65</v>
      </c>
      <c r="P255" s="223"/>
      <c r="Q255" s="223">
        <v>40</v>
      </c>
      <c r="R255" s="223"/>
      <c r="S255" s="223"/>
      <c r="T255" s="223"/>
      <c r="U255" s="223"/>
      <c r="V255" s="223">
        <v>10</v>
      </c>
      <c r="W255" s="223"/>
      <c r="X255" s="216">
        <v>1.25</v>
      </c>
      <c r="Y255" s="222"/>
      <c r="Z255" s="222">
        <v>988</v>
      </c>
      <c r="AA255" s="222"/>
      <c r="AB255" s="222"/>
      <c r="AC255" s="225"/>
    </row>
    <row r="256" spans="2:29" hidden="1" x14ac:dyDescent="0.2">
      <c r="B256" s="1">
        <v>252</v>
      </c>
      <c r="E256" s="1" t="s">
        <v>1245</v>
      </c>
      <c r="F256" s="214" t="s">
        <v>1090</v>
      </c>
      <c r="G256" s="105"/>
      <c r="H256" s="216"/>
      <c r="I256" s="216"/>
      <c r="J256" s="216"/>
      <c r="K256" s="105"/>
      <c r="L256" s="105"/>
      <c r="M256" s="216"/>
      <c r="N256" s="216"/>
      <c r="O256" s="216">
        <v>65</v>
      </c>
      <c r="P256" s="216"/>
      <c r="Q256" s="216">
        <v>40</v>
      </c>
      <c r="R256" s="216"/>
      <c r="S256" s="216"/>
      <c r="T256" s="216"/>
      <c r="U256" s="216"/>
      <c r="V256" s="216">
        <v>12</v>
      </c>
      <c r="W256" s="216"/>
      <c r="X256" s="216">
        <v>1.25</v>
      </c>
      <c r="Y256" s="222"/>
      <c r="Z256" s="105">
        <v>925</v>
      </c>
      <c r="AA256" s="105"/>
      <c r="AB256" s="105"/>
      <c r="AC256" s="218"/>
    </row>
    <row r="257" spans="2:29" hidden="1" x14ac:dyDescent="0.2">
      <c r="B257" s="219">
        <v>253</v>
      </c>
      <c r="E257" s="219" t="s">
        <v>1245</v>
      </c>
      <c r="F257" s="220" t="s">
        <v>1090</v>
      </c>
      <c r="G257" s="222"/>
      <c r="H257" s="223"/>
      <c r="I257" s="223"/>
      <c r="J257" s="223"/>
      <c r="K257" s="222"/>
      <c r="L257" s="222"/>
      <c r="M257" s="223"/>
      <c r="N257" s="223"/>
      <c r="O257" s="223">
        <v>65</v>
      </c>
      <c r="P257" s="223"/>
      <c r="Q257" s="223">
        <v>40</v>
      </c>
      <c r="R257" s="223"/>
      <c r="S257" s="223"/>
      <c r="T257" s="223"/>
      <c r="U257" s="223"/>
      <c r="V257" s="223">
        <v>14</v>
      </c>
      <c r="W257" s="223"/>
      <c r="X257" s="216">
        <v>1.25</v>
      </c>
      <c r="Y257" s="222"/>
      <c r="Z257" s="222">
        <v>877</v>
      </c>
      <c r="AA257" s="222"/>
      <c r="AB257" s="222"/>
      <c r="AC257" s="225"/>
    </row>
    <row r="258" spans="2:29" hidden="1" x14ac:dyDescent="0.2">
      <c r="B258" s="1">
        <v>254</v>
      </c>
      <c r="E258" s="1" t="s">
        <v>214</v>
      </c>
      <c r="F258" s="214" t="s">
        <v>1081</v>
      </c>
      <c r="G258" s="105">
        <v>280</v>
      </c>
      <c r="H258" s="216"/>
      <c r="I258" s="216"/>
      <c r="J258" s="216"/>
      <c r="K258" s="105"/>
      <c r="L258" s="105">
        <v>73</v>
      </c>
      <c r="M258" s="216"/>
      <c r="N258" s="216">
        <v>2</v>
      </c>
      <c r="O258" s="216"/>
      <c r="P258" s="216"/>
      <c r="Q258" s="216"/>
      <c r="R258" s="216"/>
      <c r="S258" s="216"/>
      <c r="T258" s="216"/>
      <c r="U258" s="216"/>
      <c r="V258" s="216"/>
      <c r="W258" s="216"/>
      <c r="X258" s="216">
        <v>1.33</v>
      </c>
      <c r="Y258" s="105"/>
      <c r="Z258" s="105">
        <v>857</v>
      </c>
      <c r="AA258" s="105"/>
      <c r="AB258" s="105"/>
      <c r="AC258" s="218"/>
    </row>
    <row r="259" spans="2:29" hidden="1" x14ac:dyDescent="0.2">
      <c r="B259" s="219">
        <v>255</v>
      </c>
      <c r="E259" s="219" t="s">
        <v>214</v>
      </c>
      <c r="F259" s="220" t="s">
        <v>1081</v>
      </c>
      <c r="G259" s="222">
        <v>210</v>
      </c>
      <c r="H259" s="223"/>
      <c r="I259" s="223"/>
      <c r="J259" s="223"/>
      <c r="K259" s="222"/>
      <c r="L259" s="222">
        <v>73</v>
      </c>
      <c r="M259" s="223"/>
      <c r="N259" s="223">
        <v>2</v>
      </c>
      <c r="O259" s="223"/>
      <c r="P259" s="223"/>
      <c r="Q259" s="223"/>
      <c r="R259" s="223"/>
      <c r="S259" s="223"/>
      <c r="T259" s="223"/>
      <c r="U259" s="223"/>
      <c r="V259" s="223"/>
      <c r="W259" s="223"/>
      <c r="X259" s="223">
        <v>1.3</v>
      </c>
      <c r="Y259" s="222"/>
      <c r="Z259" s="222">
        <v>696</v>
      </c>
      <c r="AA259" s="222"/>
      <c r="AB259" s="222"/>
      <c r="AC259" s="225"/>
    </row>
    <row r="260" spans="2:29" hidden="1" x14ac:dyDescent="0.2">
      <c r="B260" s="1">
        <v>256</v>
      </c>
      <c r="E260" s="1" t="s">
        <v>214</v>
      </c>
      <c r="F260" s="214" t="s">
        <v>1081</v>
      </c>
      <c r="G260" s="105">
        <v>140</v>
      </c>
      <c r="H260" s="216"/>
      <c r="I260" s="216"/>
      <c r="J260" s="216"/>
      <c r="K260" s="105"/>
      <c r="L260" s="105">
        <v>73</v>
      </c>
      <c r="M260" s="216"/>
      <c r="N260" s="216">
        <v>2</v>
      </c>
      <c r="O260" s="216"/>
      <c r="P260" s="216"/>
      <c r="Q260" s="216"/>
      <c r="R260" s="216"/>
      <c r="S260" s="216"/>
      <c r="T260" s="216"/>
      <c r="U260" s="216"/>
      <c r="V260" s="216"/>
      <c r="W260" s="216"/>
      <c r="X260" s="216">
        <v>1.27</v>
      </c>
      <c r="Y260" s="105"/>
      <c r="Z260" s="105">
        <v>528</v>
      </c>
      <c r="AA260" s="105"/>
      <c r="AB260" s="105"/>
      <c r="AC260" s="218"/>
    </row>
    <row r="261" spans="2:29" hidden="1" x14ac:dyDescent="0.2">
      <c r="B261" s="219">
        <v>257</v>
      </c>
      <c r="E261" s="219" t="s">
        <v>214</v>
      </c>
      <c r="F261" s="220" t="s">
        <v>1081</v>
      </c>
      <c r="G261" s="222">
        <v>70</v>
      </c>
      <c r="H261" s="223"/>
      <c r="I261" s="223"/>
      <c r="J261" s="223"/>
      <c r="K261" s="222"/>
      <c r="L261" s="222">
        <v>73</v>
      </c>
      <c r="M261" s="223"/>
      <c r="N261" s="223">
        <v>2</v>
      </c>
      <c r="O261" s="223"/>
      <c r="P261" s="223"/>
      <c r="Q261" s="223"/>
      <c r="R261" s="223"/>
      <c r="S261" s="223"/>
      <c r="T261" s="223"/>
      <c r="U261" s="223"/>
      <c r="V261" s="223"/>
      <c r="W261" s="223"/>
      <c r="X261" s="223">
        <v>1.24</v>
      </c>
      <c r="Y261" s="222"/>
      <c r="Z261" s="222">
        <v>356</v>
      </c>
      <c r="AA261" s="222"/>
      <c r="AB261" s="222"/>
      <c r="AC261" s="225"/>
    </row>
    <row r="262" spans="2:29" hidden="1" x14ac:dyDescent="0.2">
      <c r="B262" s="1">
        <v>258</v>
      </c>
      <c r="E262" s="1" t="s">
        <v>214</v>
      </c>
      <c r="F262" s="214" t="s">
        <v>1081</v>
      </c>
      <c r="G262" s="105">
        <v>280</v>
      </c>
      <c r="H262" s="216"/>
      <c r="I262" s="216"/>
      <c r="J262" s="216"/>
      <c r="K262" s="105"/>
      <c r="L262" s="105">
        <v>134</v>
      </c>
      <c r="M262" s="216"/>
      <c r="N262" s="216">
        <v>3</v>
      </c>
      <c r="O262" s="216"/>
      <c r="P262" s="216"/>
      <c r="Q262" s="216"/>
      <c r="R262" s="216"/>
      <c r="S262" s="216"/>
      <c r="T262" s="216"/>
      <c r="U262" s="216"/>
      <c r="V262" s="216"/>
      <c r="W262" s="216"/>
      <c r="X262" s="216">
        <v>1.36</v>
      </c>
      <c r="Y262" s="105"/>
      <c r="Z262" s="105">
        <v>1420</v>
      </c>
      <c r="AA262" s="105"/>
      <c r="AB262" s="105"/>
      <c r="AC262" s="218"/>
    </row>
    <row r="263" spans="2:29" hidden="1" x14ac:dyDescent="0.2">
      <c r="B263" s="219">
        <v>259</v>
      </c>
      <c r="E263" s="219" t="s">
        <v>214</v>
      </c>
      <c r="F263" s="220" t="s">
        <v>1081</v>
      </c>
      <c r="G263" s="222">
        <v>210</v>
      </c>
      <c r="H263" s="223"/>
      <c r="I263" s="223"/>
      <c r="J263" s="223"/>
      <c r="K263" s="222"/>
      <c r="L263" s="222">
        <v>134</v>
      </c>
      <c r="M263" s="223"/>
      <c r="N263" s="223">
        <v>3</v>
      </c>
      <c r="O263" s="223"/>
      <c r="P263" s="223"/>
      <c r="Q263" s="223"/>
      <c r="R263" s="223"/>
      <c r="S263" s="223"/>
      <c r="T263" s="223"/>
      <c r="U263" s="223"/>
      <c r="V263" s="223"/>
      <c r="W263" s="223"/>
      <c r="X263" s="223">
        <v>1.35</v>
      </c>
      <c r="Y263" s="222"/>
      <c r="Z263" s="222">
        <v>1195</v>
      </c>
      <c r="AA263" s="222"/>
      <c r="AB263" s="222"/>
      <c r="AC263" s="225"/>
    </row>
    <row r="264" spans="2:29" hidden="1" x14ac:dyDescent="0.2">
      <c r="B264" s="1">
        <v>260</v>
      </c>
      <c r="E264" s="1" t="s">
        <v>214</v>
      </c>
      <c r="F264" s="214" t="s">
        <v>1081</v>
      </c>
      <c r="G264" s="105">
        <v>140</v>
      </c>
      <c r="H264" s="216"/>
      <c r="I264" s="216"/>
      <c r="J264" s="216"/>
      <c r="K264" s="105"/>
      <c r="L264" s="105">
        <v>134</v>
      </c>
      <c r="M264" s="216"/>
      <c r="N264" s="216">
        <v>3</v>
      </c>
      <c r="O264" s="216"/>
      <c r="P264" s="216"/>
      <c r="Q264" s="216"/>
      <c r="R264" s="216"/>
      <c r="S264" s="216"/>
      <c r="T264" s="216"/>
      <c r="U264" s="216"/>
      <c r="V264" s="216"/>
      <c r="W264" s="216"/>
      <c r="X264" s="216">
        <v>1.32</v>
      </c>
      <c r="Y264" s="105"/>
      <c r="Z264" s="105">
        <v>914</v>
      </c>
      <c r="AA264" s="105"/>
      <c r="AB264" s="105"/>
      <c r="AC264" s="218"/>
    </row>
    <row r="265" spans="2:29" hidden="1" x14ac:dyDescent="0.2">
      <c r="B265" s="219">
        <v>261</v>
      </c>
      <c r="E265" s="219" t="s">
        <v>214</v>
      </c>
      <c r="F265" s="220" t="s">
        <v>1081</v>
      </c>
      <c r="G265" s="222">
        <v>70</v>
      </c>
      <c r="H265" s="223"/>
      <c r="I265" s="223"/>
      <c r="J265" s="223"/>
      <c r="K265" s="222"/>
      <c r="L265" s="222">
        <v>134</v>
      </c>
      <c r="M265" s="223"/>
      <c r="N265" s="223">
        <v>3</v>
      </c>
      <c r="O265" s="223"/>
      <c r="P265" s="223"/>
      <c r="Q265" s="223"/>
      <c r="R265" s="223"/>
      <c r="S265" s="223"/>
      <c r="T265" s="223"/>
      <c r="U265" s="223"/>
      <c r="V265" s="223"/>
      <c r="W265" s="223"/>
      <c r="X265" s="223">
        <v>1.2</v>
      </c>
      <c r="Y265" s="222"/>
      <c r="Z265" s="222">
        <v>589</v>
      </c>
      <c r="AA265" s="222"/>
      <c r="AB265" s="222"/>
      <c r="AC265" s="225"/>
    </row>
    <row r="266" spans="2:29" hidden="1" x14ac:dyDescent="0.2">
      <c r="B266" s="1">
        <v>262</v>
      </c>
      <c r="E266" s="1" t="s">
        <v>214</v>
      </c>
      <c r="F266" s="214" t="s">
        <v>1081</v>
      </c>
      <c r="G266" s="105">
        <v>280</v>
      </c>
      <c r="H266" s="216"/>
      <c r="I266" s="216"/>
      <c r="J266" s="216"/>
      <c r="K266" s="105"/>
      <c r="L266" s="105">
        <v>196</v>
      </c>
      <c r="M266" s="216"/>
      <c r="N266" s="216">
        <v>4</v>
      </c>
      <c r="O266" s="216"/>
      <c r="P266" s="216"/>
      <c r="Q266" s="216"/>
      <c r="R266" s="216"/>
      <c r="S266" s="216"/>
      <c r="T266" s="216"/>
      <c r="U266" s="216"/>
      <c r="V266" s="216"/>
      <c r="W266" s="216"/>
      <c r="X266" s="216">
        <v>1.39</v>
      </c>
      <c r="Y266" s="105"/>
      <c r="Z266" s="105">
        <v>1990</v>
      </c>
      <c r="AA266" s="105"/>
      <c r="AB266" s="105"/>
      <c r="AC266" s="218"/>
    </row>
    <row r="267" spans="2:29" hidden="1" x14ac:dyDescent="0.2">
      <c r="B267" s="219">
        <v>263</v>
      </c>
      <c r="E267" s="219" t="s">
        <v>214</v>
      </c>
      <c r="F267" s="220" t="s">
        <v>1081</v>
      </c>
      <c r="G267" s="222">
        <v>210</v>
      </c>
      <c r="H267" s="223"/>
      <c r="I267" s="223"/>
      <c r="J267" s="223"/>
      <c r="K267" s="222"/>
      <c r="L267" s="222">
        <v>196</v>
      </c>
      <c r="M267" s="223"/>
      <c r="N267" s="223">
        <v>4</v>
      </c>
      <c r="O267" s="223"/>
      <c r="P267" s="223"/>
      <c r="Q267" s="223"/>
      <c r="R267" s="223"/>
      <c r="S267" s="223"/>
      <c r="T267" s="223"/>
      <c r="U267" s="223"/>
      <c r="V267" s="223"/>
      <c r="W267" s="223"/>
      <c r="X267" s="223">
        <v>1.37</v>
      </c>
      <c r="Y267" s="222"/>
      <c r="Z267" s="222">
        <v>1686</v>
      </c>
      <c r="AA267" s="222"/>
      <c r="AB267" s="222"/>
      <c r="AC267" s="225"/>
    </row>
    <row r="268" spans="2:29" hidden="1" x14ac:dyDescent="0.2">
      <c r="B268" s="1">
        <v>264</v>
      </c>
      <c r="E268" s="1" t="s">
        <v>214</v>
      </c>
      <c r="F268" s="214" t="s">
        <v>1081</v>
      </c>
      <c r="G268" s="105">
        <v>140</v>
      </c>
      <c r="H268" s="216"/>
      <c r="I268" s="216"/>
      <c r="J268" s="216"/>
      <c r="K268" s="105"/>
      <c r="L268" s="105">
        <v>196</v>
      </c>
      <c r="M268" s="216"/>
      <c r="N268" s="216">
        <v>4</v>
      </c>
      <c r="O268" s="216"/>
      <c r="P268" s="216"/>
      <c r="Q268" s="216"/>
      <c r="R268" s="216"/>
      <c r="S268" s="216"/>
      <c r="T268" s="216"/>
      <c r="U268" s="216"/>
      <c r="V268" s="216"/>
      <c r="W268" s="216"/>
      <c r="X268" s="216">
        <v>1.32</v>
      </c>
      <c r="Y268" s="105"/>
      <c r="Z268" s="105">
        <v>1284</v>
      </c>
      <c r="AA268" s="105"/>
      <c r="AB268" s="105"/>
      <c r="AC268" s="218"/>
    </row>
    <row r="269" spans="2:29" hidden="1" x14ac:dyDescent="0.2">
      <c r="B269" s="219">
        <v>265</v>
      </c>
      <c r="E269" s="219" t="s">
        <v>214</v>
      </c>
      <c r="F269" s="220" t="s">
        <v>1081</v>
      </c>
      <c r="G269" s="222">
        <v>70</v>
      </c>
      <c r="H269" s="223"/>
      <c r="I269" s="223"/>
      <c r="J269" s="223"/>
      <c r="K269" s="222"/>
      <c r="L269" s="222">
        <v>196</v>
      </c>
      <c r="M269" s="223"/>
      <c r="N269" s="223">
        <v>4</v>
      </c>
      <c r="O269" s="223"/>
      <c r="P269" s="223"/>
      <c r="Q269" s="223"/>
      <c r="R269" s="223"/>
      <c r="S269" s="223"/>
      <c r="T269" s="223"/>
      <c r="U269" s="223"/>
      <c r="V269" s="223"/>
      <c r="W269" s="223"/>
      <c r="X269" s="223">
        <v>1.18</v>
      </c>
      <c r="Y269" s="222"/>
      <c r="Z269" s="222">
        <v>800</v>
      </c>
      <c r="AA269" s="222"/>
      <c r="AB269" s="222"/>
      <c r="AC269" s="225"/>
    </row>
    <row r="270" spans="2:29" hidden="1" x14ac:dyDescent="0.2">
      <c r="B270" s="1">
        <v>266</v>
      </c>
      <c r="E270" s="1" t="s">
        <v>214</v>
      </c>
      <c r="F270" s="214" t="s">
        <v>1081</v>
      </c>
      <c r="G270" s="105">
        <v>280</v>
      </c>
      <c r="H270" s="216"/>
      <c r="I270" s="216"/>
      <c r="J270" s="216"/>
      <c r="K270" s="105"/>
      <c r="L270" s="105">
        <v>257</v>
      </c>
      <c r="M270" s="216"/>
      <c r="N270" s="216">
        <v>5</v>
      </c>
      <c r="O270" s="216"/>
      <c r="P270" s="216"/>
      <c r="Q270" s="216"/>
      <c r="R270" s="216"/>
      <c r="S270" s="216"/>
      <c r="T270" s="216"/>
      <c r="U270" s="216"/>
      <c r="V270" s="216"/>
      <c r="W270" s="216"/>
      <c r="X270" s="216">
        <v>1.41</v>
      </c>
      <c r="Y270" s="105"/>
      <c r="Z270" s="105">
        <v>2574</v>
      </c>
      <c r="AA270" s="105"/>
      <c r="AB270" s="105"/>
      <c r="AC270" s="218"/>
    </row>
    <row r="271" spans="2:29" hidden="1" x14ac:dyDescent="0.2">
      <c r="B271" s="219">
        <v>267</v>
      </c>
      <c r="E271" s="219" t="s">
        <v>214</v>
      </c>
      <c r="F271" s="220" t="s">
        <v>1081</v>
      </c>
      <c r="G271" s="222">
        <v>210</v>
      </c>
      <c r="H271" s="223"/>
      <c r="I271" s="223"/>
      <c r="J271" s="223"/>
      <c r="K271" s="222"/>
      <c r="L271" s="222">
        <v>257</v>
      </c>
      <c r="M271" s="223"/>
      <c r="N271" s="223">
        <v>5</v>
      </c>
      <c r="O271" s="223"/>
      <c r="P271" s="223"/>
      <c r="Q271" s="223"/>
      <c r="R271" s="223"/>
      <c r="S271" s="223"/>
      <c r="T271" s="223"/>
      <c r="U271" s="223"/>
      <c r="V271" s="223"/>
      <c r="W271" s="223"/>
      <c r="X271" s="223">
        <v>1.38</v>
      </c>
      <c r="Y271" s="222"/>
      <c r="Z271" s="222">
        <v>2145</v>
      </c>
      <c r="AA271" s="222"/>
      <c r="AB271" s="222"/>
      <c r="AC271" s="225"/>
    </row>
    <row r="272" spans="2:29" hidden="1" x14ac:dyDescent="0.2">
      <c r="B272" s="1">
        <v>268</v>
      </c>
      <c r="E272" s="1" t="s">
        <v>214</v>
      </c>
      <c r="F272" s="214" t="s">
        <v>1081</v>
      </c>
      <c r="G272" s="105">
        <v>140</v>
      </c>
      <c r="H272" s="216"/>
      <c r="I272" s="216"/>
      <c r="J272" s="216"/>
      <c r="K272" s="105"/>
      <c r="L272" s="105">
        <v>257</v>
      </c>
      <c r="M272" s="216"/>
      <c r="N272" s="216">
        <v>5</v>
      </c>
      <c r="O272" s="216"/>
      <c r="P272" s="216"/>
      <c r="Q272" s="216"/>
      <c r="R272" s="216"/>
      <c r="S272" s="216"/>
      <c r="T272" s="216"/>
      <c r="U272" s="216"/>
      <c r="V272" s="216"/>
      <c r="W272" s="216"/>
      <c r="X272" s="216">
        <v>1.32</v>
      </c>
      <c r="Y272" s="105"/>
      <c r="Z272" s="105">
        <v>1613</v>
      </c>
      <c r="AA272" s="105"/>
      <c r="AB272" s="105"/>
      <c r="AC272" s="218"/>
    </row>
    <row r="273" spans="2:29" hidden="1" x14ac:dyDescent="0.2">
      <c r="B273" s="219">
        <v>269</v>
      </c>
      <c r="E273" s="219" t="s">
        <v>214</v>
      </c>
      <c r="F273" s="220" t="s">
        <v>1081</v>
      </c>
      <c r="G273" s="222">
        <v>70</v>
      </c>
      <c r="H273" s="223"/>
      <c r="I273" s="223"/>
      <c r="J273" s="223"/>
      <c r="K273" s="222"/>
      <c r="L273" s="222">
        <v>257</v>
      </c>
      <c r="M273" s="223"/>
      <c r="N273" s="223">
        <v>5</v>
      </c>
      <c r="O273" s="223"/>
      <c r="P273" s="223"/>
      <c r="Q273" s="223"/>
      <c r="R273" s="223"/>
      <c r="S273" s="223"/>
      <c r="T273" s="223"/>
      <c r="U273" s="223"/>
      <c r="V273" s="223"/>
      <c r="W273" s="223"/>
      <c r="X273" s="223">
        <v>1.17</v>
      </c>
      <c r="Y273" s="222"/>
      <c r="Z273" s="222">
        <v>872</v>
      </c>
      <c r="AA273" s="222"/>
      <c r="AB273" s="222"/>
      <c r="AC273" s="225"/>
    </row>
    <row r="274" spans="2:29" hidden="1" x14ac:dyDescent="0.2">
      <c r="B274" s="1">
        <v>270</v>
      </c>
      <c r="C274" s="1" t="s">
        <v>214</v>
      </c>
      <c r="D274" s="228" t="s">
        <v>1246</v>
      </c>
      <c r="E274" s="232"/>
      <c r="F274" s="229"/>
      <c r="G274" s="106">
        <v>100</v>
      </c>
      <c r="H274" s="230"/>
      <c r="I274" s="230"/>
      <c r="J274" s="230"/>
      <c r="K274" s="106"/>
      <c r="L274" s="106">
        <v>40</v>
      </c>
      <c r="M274" s="230"/>
      <c r="N274" s="230"/>
      <c r="O274" s="230"/>
      <c r="P274" s="230"/>
      <c r="Q274" s="230"/>
      <c r="R274" s="230"/>
      <c r="S274" s="230"/>
      <c r="T274" s="230">
        <v>80</v>
      </c>
      <c r="U274" s="230"/>
      <c r="V274" s="230"/>
      <c r="W274" s="230"/>
      <c r="X274" s="230"/>
      <c r="Y274" s="106"/>
      <c r="Z274" s="106">
        <v>450</v>
      </c>
      <c r="AA274" s="105"/>
      <c r="AB274" s="105"/>
      <c r="AC274" s="218"/>
    </row>
    <row r="275" spans="2:29" hidden="1" x14ac:dyDescent="0.2">
      <c r="B275" s="219">
        <v>271</v>
      </c>
      <c r="C275" s="219" t="s">
        <v>214</v>
      </c>
      <c r="D275" s="228" t="s">
        <v>1246</v>
      </c>
      <c r="E275" s="232"/>
      <c r="F275" s="229"/>
      <c r="G275" s="106">
        <v>225</v>
      </c>
      <c r="H275" s="230"/>
      <c r="I275" s="230"/>
      <c r="J275" s="230"/>
      <c r="K275" s="106"/>
      <c r="L275" s="106">
        <v>95</v>
      </c>
      <c r="M275" s="230"/>
      <c r="N275" s="230"/>
      <c r="O275" s="230"/>
      <c r="P275" s="230"/>
      <c r="Q275" s="230"/>
      <c r="R275" s="230"/>
      <c r="S275" s="230"/>
      <c r="T275" s="230">
        <v>80</v>
      </c>
      <c r="U275" s="230"/>
      <c r="V275" s="230"/>
      <c r="W275" s="230"/>
      <c r="X275" s="230"/>
      <c r="Y275" s="106"/>
      <c r="Z275" s="106">
        <v>600</v>
      </c>
      <c r="AA275" s="222"/>
      <c r="AB275" s="222"/>
      <c r="AC275" s="225"/>
    </row>
    <row r="276" spans="2:29" hidden="1" x14ac:dyDescent="0.2">
      <c r="B276" s="1">
        <v>272</v>
      </c>
      <c r="C276" s="1" t="s">
        <v>214</v>
      </c>
      <c r="D276" s="228" t="s">
        <v>1246</v>
      </c>
      <c r="E276" s="232"/>
      <c r="F276" s="229"/>
      <c r="G276" s="106">
        <v>350</v>
      </c>
      <c r="H276" s="230"/>
      <c r="I276" s="230"/>
      <c r="J276" s="230"/>
      <c r="K276" s="106"/>
      <c r="L276" s="106">
        <v>150</v>
      </c>
      <c r="M276" s="230"/>
      <c r="N276" s="230"/>
      <c r="O276" s="230"/>
      <c r="P276" s="230"/>
      <c r="Q276" s="230"/>
      <c r="R276" s="230"/>
      <c r="S276" s="230"/>
      <c r="T276" s="230">
        <v>80</v>
      </c>
      <c r="U276" s="230"/>
      <c r="V276" s="230"/>
      <c r="W276" s="230"/>
      <c r="X276" s="230"/>
      <c r="Y276" s="106"/>
      <c r="Z276" s="106">
        <v>800</v>
      </c>
      <c r="AA276" s="105"/>
      <c r="AB276" s="105"/>
      <c r="AC276" s="218"/>
    </row>
    <row r="277" spans="2:29" hidden="1" x14ac:dyDescent="0.2">
      <c r="B277" s="219">
        <v>273</v>
      </c>
      <c r="C277" s="219" t="s">
        <v>1247</v>
      </c>
      <c r="D277" s="220" t="s">
        <v>1151</v>
      </c>
      <c r="E277" s="219"/>
      <c r="F277" s="221"/>
      <c r="G277" s="222"/>
      <c r="H277" s="223">
        <v>300</v>
      </c>
      <c r="I277" s="223"/>
      <c r="J277" s="223"/>
      <c r="K277" s="222"/>
      <c r="L277" s="222"/>
      <c r="M277" s="223">
        <v>2</v>
      </c>
      <c r="N277" s="223"/>
      <c r="O277" s="223"/>
      <c r="P277" s="223"/>
      <c r="Q277" s="223"/>
      <c r="R277" s="223"/>
      <c r="S277" s="223">
        <v>120</v>
      </c>
      <c r="T277" s="223"/>
      <c r="U277" s="223"/>
      <c r="V277" s="223"/>
      <c r="W277" s="223"/>
      <c r="X277" s="223"/>
      <c r="Y277" s="222"/>
      <c r="Z277" s="222">
        <v>512</v>
      </c>
      <c r="AA277" s="222"/>
      <c r="AB277" s="222"/>
      <c r="AC277" s="225"/>
    </row>
    <row r="278" spans="2:29" hidden="1" x14ac:dyDescent="0.2">
      <c r="B278" s="1">
        <v>274</v>
      </c>
      <c r="C278" s="1" t="s">
        <v>1247</v>
      </c>
      <c r="D278" s="214" t="s">
        <v>1151</v>
      </c>
      <c r="F278" s="215"/>
      <c r="G278" s="105"/>
      <c r="H278" s="216">
        <v>300</v>
      </c>
      <c r="I278" s="216"/>
      <c r="J278" s="216"/>
      <c r="K278" s="105"/>
      <c r="L278" s="105"/>
      <c r="M278" s="216">
        <v>2</v>
      </c>
      <c r="N278" s="216"/>
      <c r="O278" s="216"/>
      <c r="P278" s="216"/>
      <c r="Q278" s="216"/>
      <c r="R278" s="216"/>
      <c r="S278" s="216">
        <v>112</v>
      </c>
      <c r="T278" s="216"/>
      <c r="U278" s="216"/>
      <c r="V278" s="216"/>
      <c r="W278" s="216"/>
      <c r="X278" s="216"/>
      <c r="Y278" s="105"/>
      <c r="Z278" s="105">
        <v>471</v>
      </c>
      <c r="AA278" s="105"/>
      <c r="AB278" s="105"/>
      <c r="AC278" s="218"/>
    </row>
    <row r="279" spans="2:29" hidden="1" x14ac:dyDescent="0.2">
      <c r="B279" s="219">
        <v>275</v>
      </c>
      <c r="C279" s="219" t="s">
        <v>1247</v>
      </c>
      <c r="D279" s="220" t="s">
        <v>1151</v>
      </c>
      <c r="E279" s="219"/>
      <c r="F279" s="221"/>
      <c r="G279" s="222"/>
      <c r="H279" s="223">
        <v>300</v>
      </c>
      <c r="I279" s="223"/>
      <c r="J279" s="223"/>
      <c r="K279" s="222"/>
      <c r="L279" s="222"/>
      <c r="M279" s="223">
        <v>2</v>
      </c>
      <c r="N279" s="223"/>
      <c r="O279" s="223"/>
      <c r="P279" s="223"/>
      <c r="Q279" s="223"/>
      <c r="R279" s="223"/>
      <c r="S279" s="223">
        <v>104</v>
      </c>
      <c r="T279" s="223"/>
      <c r="U279" s="223"/>
      <c r="V279" s="223"/>
      <c r="W279" s="223"/>
      <c r="X279" s="223"/>
      <c r="Y279" s="222"/>
      <c r="Z279" s="222">
        <v>431</v>
      </c>
      <c r="AA279" s="222"/>
      <c r="AB279" s="222"/>
      <c r="AC279" s="225"/>
    </row>
    <row r="280" spans="2:29" hidden="1" x14ac:dyDescent="0.2">
      <c r="B280" s="1">
        <v>276</v>
      </c>
      <c r="C280" s="1" t="s">
        <v>1247</v>
      </c>
      <c r="D280" s="214" t="s">
        <v>1151</v>
      </c>
      <c r="F280" s="215"/>
      <c r="G280" s="105"/>
      <c r="H280" s="216">
        <v>300</v>
      </c>
      <c r="I280" s="216"/>
      <c r="J280" s="216"/>
      <c r="K280" s="105"/>
      <c r="L280" s="105"/>
      <c r="M280" s="216">
        <v>2</v>
      </c>
      <c r="N280" s="216"/>
      <c r="O280" s="216"/>
      <c r="P280" s="216"/>
      <c r="Q280" s="216"/>
      <c r="R280" s="216"/>
      <c r="S280" s="216">
        <v>96</v>
      </c>
      <c r="T280" s="216"/>
      <c r="U280" s="216"/>
      <c r="V280" s="216"/>
      <c r="W280" s="216"/>
      <c r="X280" s="216"/>
      <c r="Y280" s="105"/>
      <c r="Z280" s="105">
        <v>392</v>
      </c>
      <c r="AA280" s="105"/>
      <c r="AB280" s="105"/>
      <c r="AC280" s="218"/>
    </row>
    <row r="281" spans="2:29" hidden="1" x14ac:dyDescent="0.2">
      <c r="B281" s="219">
        <v>277</v>
      </c>
      <c r="C281" s="219" t="s">
        <v>1247</v>
      </c>
      <c r="D281" s="220" t="s">
        <v>1151</v>
      </c>
      <c r="E281" s="219"/>
      <c r="F281" s="221"/>
      <c r="G281" s="222"/>
      <c r="H281" s="223">
        <v>300</v>
      </c>
      <c r="I281" s="223"/>
      <c r="J281" s="223"/>
      <c r="K281" s="222"/>
      <c r="L281" s="222"/>
      <c r="M281" s="223">
        <v>2</v>
      </c>
      <c r="N281" s="223"/>
      <c r="O281" s="223"/>
      <c r="P281" s="223"/>
      <c r="Q281" s="223"/>
      <c r="R281" s="223"/>
      <c r="S281" s="223">
        <v>88</v>
      </c>
      <c r="T281" s="223"/>
      <c r="U281" s="223"/>
      <c r="V281" s="223"/>
      <c r="W281" s="223"/>
      <c r="X281" s="223"/>
      <c r="Y281" s="222"/>
      <c r="Z281" s="222">
        <v>353</v>
      </c>
      <c r="AA281" s="222"/>
      <c r="AB281" s="222"/>
      <c r="AC281" s="225"/>
    </row>
    <row r="282" spans="2:29" hidden="1" x14ac:dyDescent="0.2">
      <c r="B282" s="1">
        <v>278</v>
      </c>
      <c r="C282" s="1" t="s">
        <v>1247</v>
      </c>
      <c r="D282" s="214" t="s">
        <v>1151</v>
      </c>
      <c r="F282" s="215"/>
      <c r="G282" s="105"/>
      <c r="H282" s="216">
        <v>300</v>
      </c>
      <c r="I282" s="216"/>
      <c r="J282" s="216"/>
      <c r="K282" s="105"/>
      <c r="L282" s="105"/>
      <c r="M282" s="216">
        <v>2</v>
      </c>
      <c r="N282" s="216"/>
      <c r="O282" s="216"/>
      <c r="P282" s="216"/>
      <c r="Q282" s="216"/>
      <c r="R282" s="216"/>
      <c r="S282" s="216">
        <v>80</v>
      </c>
      <c r="T282" s="216"/>
      <c r="U282" s="216"/>
      <c r="V282" s="216"/>
      <c r="W282" s="216"/>
      <c r="X282" s="216"/>
      <c r="Y282" s="105"/>
      <c r="Z282" s="105">
        <v>315</v>
      </c>
      <c r="AA282" s="105"/>
      <c r="AB282" s="105"/>
      <c r="AC282" s="218"/>
    </row>
    <row r="283" spans="2:29" hidden="1" x14ac:dyDescent="0.2">
      <c r="B283" s="219">
        <v>279</v>
      </c>
      <c r="C283" s="219" t="s">
        <v>1247</v>
      </c>
      <c r="D283" s="220" t="s">
        <v>1151</v>
      </c>
      <c r="E283" s="219"/>
      <c r="F283" s="221"/>
      <c r="G283" s="222"/>
      <c r="H283" s="223">
        <v>300</v>
      </c>
      <c r="I283" s="223"/>
      <c r="J283" s="223"/>
      <c r="K283" s="222"/>
      <c r="L283" s="222"/>
      <c r="M283" s="223">
        <v>2</v>
      </c>
      <c r="N283" s="223"/>
      <c r="O283" s="223"/>
      <c r="P283" s="223"/>
      <c r="Q283" s="223"/>
      <c r="R283" s="223"/>
      <c r="S283" s="223">
        <v>72</v>
      </c>
      <c r="T283" s="223"/>
      <c r="U283" s="223"/>
      <c r="V283" s="223"/>
      <c r="W283" s="223"/>
      <c r="X283" s="223"/>
      <c r="Y283" s="222"/>
      <c r="Z283" s="222">
        <v>277</v>
      </c>
      <c r="AA283" s="222"/>
      <c r="AB283" s="222"/>
      <c r="AC283" s="225"/>
    </row>
    <row r="284" spans="2:29" hidden="1" x14ac:dyDescent="0.2">
      <c r="B284" s="1">
        <v>280</v>
      </c>
      <c r="C284" s="1" t="s">
        <v>1247</v>
      </c>
      <c r="D284" s="214" t="s">
        <v>1151</v>
      </c>
      <c r="F284" s="215"/>
      <c r="G284" s="105"/>
      <c r="H284" s="216">
        <v>300</v>
      </c>
      <c r="I284" s="216"/>
      <c r="J284" s="216"/>
      <c r="K284" s="105"/>
      <c r="L284" s="105"/>
      <c r="M284" s="216">
        <v>2</v>
      </c>
      <c r="N284" s="216"/>
      <c r="O284" s="216"/>
      <c r="P284" s="216"/>
      <c r="Q284" s="216"/>
      <c r="R284" s="216"/>
      <c r="S284" s="216">
        <v>64</v>
      </c>
      <c r="T284" s="216"/>
      <c r="U284" s="216"/>
      <c r="V284" s="216"/>
      <c r="W284" s="216"/>
      <c r="X284" s="216"/>
      <c r="Y284" s="105"/>
      <c r="Z284" s="105">
        <v>241</v>
      </c>
      <c r="AA284" s="105"/>
      <c r="AB284" s="105"/>
      <c r="AC284" s="218"/>
    </row>
    <row r="285" spans="2:29" hidden="1" x14ac:dyDescent="0.2">
      <c r="B285" s="219">
        <v>281</v>
      </c>
      <c r="C285" s="219" t="s">
        <v>1247</v>
      </c>
      <c r="D285" s="220" t="s">
        <v>1151</v>
      </c>
      <c r="E285" s="219"/>
      <c r="F285" s="221"/>
      <c r="G285" s="222"/>
      <c r="H285" s="223">
        <v>300</v>
      </c>
      <c r="I285" s="223"/>
      <c r="J285" s="223"/>
      <c r="K285" s="222"/>
      <c r="L285" s="222"/>
      <c r="M285" s="223">
        <v>2</v>
      </c>
      <c r="N285" s="223"/>
      <c r="O285" s="223"/>
      <c r="P285" s="223"/>
      <c r="Q285" s="223"/>
      <c r="R285" s="223"/>
      <c r="S285" s="223">
        <v>58</v>
      </c>
      <c r="T285" s="223"/>
      <c r="U285" s="223"/>
      <c r="V285" s="223"/>
      <c r="W285" s="223"/>
      <c r="X285" s="223"/>
      <c r="Y285" s="222"/>
      <c r="Z285" s="222">
        <v>214</v>
      </c>
      <c r="AA285" s="222"/>
      <c r="AB285" s="222"/>
      <c r="AC285" s="225"/>
    </row>
    <row r="286" spans="2:29" hidden="1" x14ac:dyDescent="0.2">
      <c r="B286" s="1">
        <v>282</v>
      </c>
      <c r="C286" s="1" t="s">
        <v>1247</v>
      </c>
      <c r="D286" s="214" t="s">
        <v>1151</v>
      </c>
      <c r="F286" s="215"/>
      <c r="G286" s="105"/>
      <c r="H286" s="216">
        <v>300</v>
      </c>
      <c r="I286" s="216"/>
      <c r="J286" s="216"/>
      <c r="K286" s="105"/>
      <c r="L286" s="105"/>
      <c r="M286" s="216">
        <v>2</v>
      </c>
      <c r="N286" s="216"/>
      <c r="O286" s="216"/>
      <c r="P286" s="216"/>
      <c r="Q286" s="216"/>
      <c r="R286" s="216"/>
      <c r="S286" s="216">
        <v>50</v>
      </c>
      <c r="T286" s="216"/>
      <c r="U286" s="216"/>
      <c r="V286" s="216"/>
      <c r="W286" s="216"/>
      <c r="X286" s="216"/>
      <c r="Y286" s="105"/>
      <c r="Z286" s="105">
        <v>179</v>
      </c>
      <c r="AA286" s="105"/>
      <c r="AB286" s="105"/>
      <c r="AC286" s="218"/>
    </row>
    <row r="287" spans="2:29" hidden="1" x14ac:dyDescent="0.2">
      <c r="B287" s="219">
        <v>283</v>
      </c>
      <c r="C287" s="219" t="s">
        <v>1247</v>
      </c>
      <c r="D287" s="220" t="s">
        <v>1151</v>
      </c>
      <c r="E287" s="219"/>
      <c r="F287" s="221"/>
      <c r="G287" s="222"/>
      <c r="H287" s="223">
        <v>300</v>
      </c>
      <c r="I287" s="223"/>
      <c r="J287" s="223"/>
      <c r="K287" s="222"/>
      <c r="L287" s="222"/>
      <c r="M287" s="223">
        <v>2</v>
      </c>
      <c r="N287" s="223"/>
      <c r="O287" s="223"/>
      <c r="P287" s="223"/>
      <c r="Q287" s="223"/>
      <c r="R287" s="223"/>
      <c r="S287" s="223">
        <v>46</v>
      </c>
      <c r="T287" s="223"/>
      <c r="U287" s="223"/>
      <c r="V287" s="223"/>
      <c r="W287" s="223"/>
      <c r="X287" s="223"/>
      <c r="Y287" s="222"/>
      <c r="Z287" s="222">
        <v>162</v>
      </c>
      <c r="AA287" s="222"/>
      <c r="AB287" s="222"/>
      <c r="AC287" s="225"/>
    </row>
    <row r="288" spans="2:29" hidden="1" x14ac:dyDescent="0.2">
      <c r="B288" s="1">
        <v>284</v>
      </c>
      <c r="C288" s="1" t="s">
        <v>1247</v>
      </c>
      <c r="D288" s="214" t="s">
        <v>1151</v>
      </c>
      <c r="F288" s="215"/>
      <c r="G288" s="105"/>
      <c r="H288" s="216">
        <v>300</v>
      </c>
      <c r="I288" s="216"/>
      <c r="J288" s="216"/>
      <c r="K288" s="105"/>
      <c r="L288" s="105"/>
      <c r="M288" s="216">
        <v>2</v>
      </c>
      <c r="N288" s="216"/>
      <c r="O288" s="216"/>
      <c r="P288" s="216"/>
      <c r="Q288" s="216"/>
      <c r="R288" s="216"/>
      <c r="S288" s="216">
        <v>42</v>
      </c>
      <c r="T288" s="216"/>
      <c r="U288" s="216"/>
      <c r="V288" s="216"/>
      <c r="W288" s="216"/>
      <c r="X288" s="216"/>
      <c r="Y288" s="105"/>
      <c r="Z288" s="105">
        <v>145</v>
      </c>
      <c r="AA288" s="105"/>
      <c r="AB288" s="105"/>
      <c r="AC288" s="218"/>
    </row>
    <row r="289" spans="2:29" hidden="1" x14ac:dyDescent="0.2">
      <c r="B289" s="219">
        <v>285</v>
      </c>
      <c r="C289" s="219" t="s">
        <v>1247</v>
      </c>
      <c r="D289" s="220" t="s">
        <v>1151</v>
      </c>
      <c r="E289" s="219"/>
      <c r="F289" s="221"/>
      <c r="G289" s="222"/>
      <c r="H289" s="223">
        <v>300</v>
      </c>
      <c r="I289" s="223"/>
      <c r="J289" s="223"/>
      <c r="K289" s="222"/>
      <c r="L289" s="222"/>
      <c r="M289" s="223">
        <v>2</v>
      </c>
      <c r="N289" s="223"/>
      <c r="O289" s="223"/>
      <c r="P289" s="223"/>
      <c r="Q289" s="223"/>
      <c r="R289" s="223"/>
      <c r="S289" s="223">
        <v>38</v>
      </c>
      <c r="T289" s="223"/>
      <c r="U289" s="223"/>
      <c r="V289" s="223"/>
      <c r="W289" s="223"/>
      <c r="X289" s="223"/>
      <c r="Y289" s="222"/>
      <c r="Z289" s="222">
        <v>129</v>
      </c>
      <c r="AA289" s="222"/>
      <c r="AB289" s="222"/>
      <c r="AC289" s="225"/>
    </row>
    <row r="290" spans="2:29" hidden="1" x14ac:dyDescent="0.2">
      <c r="B290" s="1">
        <v>286</v>
      </c>
      <c r="C290" s="1" t="s">
        <v>1247</v>
      </c>
      <c r="D290" s="214" t="s">
        <v>1151</v>
      </c>
      <c r="F290" s="215"/>
      <c r="G290" s="105"/>
      <c r="H290" s="216">
        <v>300</v>
      </c>
      <c r="I290" s="216"/>
      <c r="J290" s="216"/>
      <c r="K290" s="105"/>
      <c r="L290" s="105"/>
      <c r="M290" s="216">
        <v>2</v>
      </c>
      <c r="N290" s="216"/>
      <c r="O290" s="216"/>
      <c r="P290" s="216"/>
      <c r="Q290" s="216"/>
      <c r="R290" s="216"/>
      <c r="S290" s="216">
        <v>34</v>
      </c>
      <c r="T290" s="216"/>
      <c r="U290" s="216"/>
      <c r="V290" s="216"/>
      <c r="W290" s="216"/>
      <c r="X290" s="216"/>
      <c r="Y290" s="105"/>
      <c r="Z290" s="105">
        <v>113</v>
      </c>
      <c r="AA290" s="105"/>
      <c r="AB290" s="105"/>
      <c r="AC290" s="218"/>
    </row>
    <row r="291" spans="2:29" hidden="1" x14ac:dyDescent="0.2">
      <c r="B291" s="219">
        <v>287</v>
      </c>
      <c r="C291" s="219" t="s">
        <v>1247</v>
      </c>
      <c r="D291" s="220" t="s">
        <v>1151</v>
      </c>
      <c r="E291" s="219"/>
      <c r="F291" s="221"/>
      <c r="G291" s="222"/>
      <c r="H291" s="223">
        <v>300</v>
      </c>
      <c r="I291" s="223"/>
      <c r="J291" s="223"/>
      <c r="K291" s="222"/>
      <c r="L291" s="222"/>
      <c r="M291" s="223">
        <v>2</v>
      </c>
      <c r="N291" s="223"/>
      <c r="O291" s="223"/>
      <c r="P291" s="223"/>
      <c r="Q291" s="223"/>
      <c r="R291" s="223"/>
      <c r="S291" s="223">
        <v>30</v>
      </c>
      <c r="T291" s="223"/>
      <c r="U291" s="223"/>
      <c r="V291" s="223"/>
      <c r="W291" s="223"/>
      <c r="X291" s="223"/>
      <c r="Y291" s="222"/>
      <c r="Z291" s="222">
        <v>97</v>
      </c>
      <c r="AA291" s="222"/>
      <c r="AB291" s="222"/>
      <c r="AC291" s="225"/>
    </row>
    <row r="292" spans="2:29" hidden="1" x14ac:dyDescent="0.2">
      <c r="B292" s="1">
        <v>288</v>
      </c>
      <c r="C292" s="1" t="s">
        <v>1247</v>
      </c>
      <c r="D292" s="214" t="s">
        <v>1151</v>
      </c>
      <c r="F292" s="215"/>
      <c r="G292" s="105"/>
      <c r="H292" s="216">
        <v>450</v>
      </c>
      <c r="I292" s="216"/>
      <c r="J292" s="216"/>
      <c r="K292" s="105"/>
      <c r="L292" s="105"/>
      <c r="M292" s="216">
        <v>3</v>
      </c>
      <c r="N292" s="216"/>
      <c r="O292" s="216"/>
      <c r="P292" s="216"/>
      <c r="Q292" s="216"/>
      <c r="R292" s="216"/>
      <c r="S292" s="216">
        <v>120</v>
      </c>
      <c r="T292" s="216"/>
      <c r="U292" s="216"/>
      <c r="V292" s="216"/>
      <c r="W292" s="216"/>
      <c r="X292" s="216"/>
      <c r="Y292" s="105"/>
      <c r="Z292" s="105">
        <v>688</v>
      </c>
      <c r="AA292" s="105"/>
      <c r="AB292" s="105"/>
      <c r="AC292" s="218"/>
    </row>
    <row r="293" spans="2:29" hidden="1" x14ac:dyDescent="0.2">
      <c r="B293" s="219">
        <v>289</v>
      </c>
      <c r="C293" s="219" t="s">
        <v>1247</v>
      </c>
      <c r="D293" s="220" t="s">
        <v>1151</v>
      </c>
      <c r="E293" s="219"/>
      <c r="F293" s="221"/>
      <c r="G293" s="222"/>
      <c r="H293" s="223">
        <v>450</v>
      </c>
      <c r="I293" s="223"/>
      <c r="J293" s="223"/>
      <c r="K293" s="222"/>
      <c r="L293" s="222"/>
      <c r="M293" s="223">
        <v>3</v>
      </c>
      <c r="N293" s="223"/>
      <c r="O293" s="223"/>
      <c r="P293" s="223"/>
      <c r="Q293" s="223"/>
      <c r="R293" s="223"/>
      <c r="S293" s="223">
        <v>112</v>
      </c>
      <c r="T293" s="223"/>
      <c r="U293" s="223"/>
      <c r="V293" s="223"/>
      <c r="W293" s="223"/>
      <c r="X293" s="223"/>
      <c r="Y293" s="222"/>
      <c r="Z293" s="222">
        <v>634</v>
      </c>
      <c r="AA293" s="222"/>
      <c r="AB293" s="222"/>
      <c r="AC293" s="225"/>
    </row>
    <row r="294" spans="2:29" hidden="1" x14ac:dyDescent="0.2">
      <c r="B294" s="1">
        <v>290</v>
      </c>
      <c r="C294" s="1" t="s">
        <v>1247</v>
      </c>
      <c r="D294" s="214" t="s">
        <v>1151</v>
      </c>
      <c r="F294" s="215"/>
      <c r="G294" s="105"/>
      <c r="H294" s="216">
        <v>450</v>
      </c>
      <c r="I294" s="216"/>
      <c r="J294" s="216"/>
      <c r="K294" s="105"/>
      <c r="L294" s="105"/>
      <c r="M294" s="216">
        <v>3</v>
      </c>
      <c r="N294" s="216"/>
      <c r="O294" s="216"/>
      <c r="P294" s="216"/>
      <c r="Q294" s="216"/>
      <c r="R294" s="216"/>
      <c r="S294" s="216">
        <v>104</v>
      </c>
      <c r="T294" s="216"/>
      <c r="U294" s="216"/>
      <c r="V294" s="216"/>
      <c r="W294" s="216"/>
      <c r="X294" s="216"/>
      <c r="Y294" s="105"/>
      <c r="Z294" s="105">
        <v>581</v>
      </c>
      <c r="AA294" s="105"/>
      <c r="AB294" s="105"/>
      <c r="AC294" s="218"/>
    </row>
    <row r="295" spans="2:29" hidden="1" x14ac:dyDescent="0.2">
      <c r="B295" s="219">
        <v>291</v>
      </c>
      <c r="C295" s="219" t="s">
        <v>1247</v>
      </c>
      <c r="D295" s="220" t="s">
        <v>1151</v>
      </c>
      <c r="E295" s="219"/>
      <c r="F295" s="221"/>
      <c r="G295" s="222"/>
      <c r="H295" s="223">
        <v>450</v>
      </c>
      <c r="I295" s="223"/>
      <c r="J295" s="223"/>
      <c r="K295" s="222"/>
      <c r="L295" s="222"/>
      <c r="M295" s="223">
        <v>3</v>
      </c>
      <c r="N295" s="223"/>
      <c r="O295" s="223"/>
      <c r="P295" s="223"/>
      <c r="Q295" s="223"/>
      <c r="R295" s="223"/>
      <c r="S295" s="223">
        <v>96</v>
      </c>
      <c r="T295" s="223"/>
      <c r="U295" s="223"/>
      <c r="V295" s="223"/>
      <c r="W295" s="223"/>
      <c r="X295" s="223"/>
      <c r="Y295" s="222"/>
      <c r="Z295" s="222">
        <v>529</v>
      </c>
      <c r="AA295" s="222"/>
      <c r="AB295" s="222"/>
      <c r="AC295" s="225"/>
    </row>
    <row r="296" spans="2:29" hidden="1" x14ac:dyDescent="0.2">
      <c r="B296" s="1">
        <v>292</v>
      </c>
      <c r="C296" s="1" t="s">
        <v>1247</v>
      </c>
      <c r="D296" s="214" t="s">
        <v>1151</v>
      </c>
      <c r="F296" s="215"/>
      <c r="G296" s="105"/>
      <c r="H296" s="216">
        <v>450</v>
      </c>
      <c r="I296" s="216"/>
      <c r="J296" s="216"/>
      <c r="K296" s="105"/>
      <c r="L296" s="105"/>
      <c r="M296" s="216">
        <v>3</v>
      </c>
      <c r="N296" s="216"/>
      <c r="O296" s="216"/>
      <c r="P296" s="216"/>
      <c r="Q296" s="216"/>
      <c r="R296" s="216"/>
      <c r="S296" s="216">
        <v>88</v>
      </c>
      <c r="T296" s="216"/>
      <c r="U296" s="216"/>
      <c r="V296" s="216"/>
      <c r="W296" s="216"/>
      <c r="X296" s="216"/>
      <c r="Y296" s="105"/>
      <c r="Z296" s="105">
        <v>477</v>
      </c>
      <c r="AA296" s="105"/>
      <c r="AB296" s="105"/>
      <c r="AC296" s="218"/>
    </row>
    <row r="297" spans="2:29" hidden="1" x14ac:dyDescent="0.2">
      <c r="B297" s="219">
        <v>293</v>
      </c>
      <c r="C297" s="219" t="s">
        <v>1247</v>
      </c>
      <c r="D297" s="220" t="s">
        <v>1151</v>
      </c>
      <c r="E297" s="219"/>
      <c r="F297" s="221"/>
      <c r="G297" s="222"/>
      <c r="H297" s="223">
        <v>450</v>
      </c>
      <c r="I297" s="223"/>
      <c r="J297" s="223"/>
      <c r="K297" s="222"/>
      <c r="L297" s="222"/>
      <c r="M297" s="223">
        <v>3</v>
      </c>
      <c r="N297" s="223"/>
      <c r="O297" s="223"/>
      <c r="P297" s="223"/>
      <c r="Q297" s="223"/>
      <c r="R297" s="223"/>
      <c r="S297" s="223">
        <v>80</v>
      </c>
      <c r="T297" s="223"/>
      <c r="U297" s="223"/>
      <c r="V297" s="223"/>
      <c r="W297" s="223"/>
      <c r="X297" s="223"/>
      <c r="Y297" s="222"/>
      <c r="Z297" s="222">
        <v>426</v>
      </c>
      <c r="AA297" s="222"/>
      <c r="AB297" s="222"/>
      <c r="AC297" s="225"/>
    </row>
    <row r="298" spans="2:29" hidden="1" x14ac:dyDescent="0.2">
      <c r="B298" s="1">
        <v>294</v>
      </c>
      <c r="C298" s="1" t="s">
        <v>1247</v>
      </c>
      <c r="D298" s="214" t="s">
        <v>1151</v>
      </c>
      <c r="F298" s="215"/>
      <c r="G298" s="105"/>
      <c r="H298" s="216">
        <v>450</v>
      </c>
      <c r="I298" s="216"/>
      <c r="J298" s="216"/>
      <c r="K298" s="105"/>
      <c r="L298" s="105"/>
      <c r="M298" s="216">
        <v>3</v>
      </c>
      <c r="N298" s="216"/>
      <c r="O298" s="216"/>
      <c r="P298" s="216"/>
      <c r="Q298" s="216"/>
      <c r="R298" s="216"/>
      <c r="S298" s="216">
        <v>72</v>
      </c>
      <c r="T298" s="216"/>
      <c r="U298" s="216"/>
      <c r="V298" s="216"/>
      <c r="W298" s="216"/>
      <c r="X298" s="216"/>
      <c r="Y298" s="105"/>
      <c r="Z298" s="105">
        <v>377</v>
      </c>
      <c r="AA298" s="105"/>
      <c r="AB298" s="105"/>
      <c r="AC298" s="218"/>
    </row>
    <row r="299" spans="2:29" hidden="1" x14ac:dyDescent="0.2">
      <c r="B299" s="219">
        <v>295</v>
      </c>
      <c r="C299" s="219" t="s">
        <v>1247</v>
      </c>
      <c r="D299" s="220" t="s">
        <v>1151</v>
      </c>
      <c r="E299" s="219"/>
      <c r="F299" s="221"/>
      <c r="G299" s="222"/>
      <c r="H299" s="223">
        <v>450</v>
      </c>
      <c r="I299" s="223"/>
      <c r="J299" s="223"/>
      <c r="K299" s="222"/>
      <c r="L299" s="222"/>
      <c r="M299" s="223">
        <v>3</v>
      </c>
      <c r="N299" s="223"/>
      <c r="O299" s="223"/>
      <c r="P299" s="223"/>
      <c r="Q299" s="223"/>
      <c r="R299" s="223"/>
      <c r="S299" s="223">
        <v>64</v>
      </c>
      <c r="T299" s="223"/>
      <c r="U299" s="223"/>
      <c r="V299" s="223"/>
      <c r="W299" s="223"/>
      <c r="X299" s="223"/>
      <c r="Y299" s="222"/>
      <c r="Z299" s="222">
        <v>328</v>
      </c>
      <c r="AA299" s="222"/>
      <c r="AB299" s="222"/>
      <c r="AC299" s="225"/>
    </row>
    <row r="300" spans="2:29" hidden="1" x14ac:dyDescent="0.2">
      <c r="B300" s="1">
        <v>296</v>
      </c>
      <c r="C300" s="1" t="s">
        <v>1247</v>
      </c>
      <c r="D300" s="214" t="s">
        <v>1151</v>
      </c>
      <c r="F300" s="215"/>
      <c r="G300" s="105"/>
      <c r="H300" s="216">
        <v>450</v>
      </c>
      <c r="I300" s="216"/>
      <c r="J300" s="216"/>
      <c r="K300" s="105"/>
      <c r="L300" s="105"/>
      <c r="M300" s="216">
        <v>3</v>
      </c>
      <c r="N300" s="216"/>
      <c r="O300" s="216"/>
      <c r="P300" s="216"/>
      <c r="Q300" s="216"/>
      <c r="R300" s="216"/>
      <c r="S300" s="216">
        <v>58</v>
      </c>
      <c r="T300" s="216"/>
      <c r="U300" s="216"/>
      <c r="V300" s="216"/>
      <c r="W300" s="216"/>
      <c r="X300" s="216"/>
      <c r="Y300" s="105"/>
      <c r="Z300" s="105">
        <v>292</v>
      </c>
      <c r="AA300" s="105"/>
      <c r="AB300" s="105"/>
      <c r="AC300" s="218"/>
    </row>
    <row r="301" spans="2:29" hidden="1" x14ac:dyDescent="0.2">
      <c r="B301" s="219">
        <v>297</v>
      </c>
      <c r="C301" s="219" t="s">
        <v>1247</v>
      </c>
      <c r="D301" s="220" t="s">
        <v>1151</v>
      </c>
      <c r="E301" s="219"/>
      <c r="F301" s="221"/>
      <c r="G301" s="222"/>
      <c r="H301" s="223">
        <v>450</v>
      </c>
      <c r="I301" s="223"/>
      <c r="J301" s="223"/>
      <c r="K301" s="222"/>
      <c r="L301" s="222"/>
      <c r="M301" s="223">
        <v>3</v>
      </c>
      <c r="N301" s="223"/>
      <c r="O301" s="223"/>
      <c r="P301" s="223"/>
      <c r="Q301" s="223"/>
      <c r="R301" s="223"/>
      <c r="S301" s="223">
        <v>50</v>
      </c>
      <c r="T301" s="223"/>
      <c r="U301" s="223"/>
      <c r="V301" s="223"/>
      <c r="W301" s="223"/>
      <c r="X301" s="223"/>
      <c r="Y301" s="222"/>
      <c r="Z301" s="222">
        <v>245</v>
      </c>
      <c r="AA301" s="222"/>
      <c r="AB301" s="222"/>
      <c r="AC301" s="225"/>
    </row>
    <row r="302" spans="2:29" hidden="1" x14ac:dyDescent="0.2">
      <c r="B302" s="1">
        <v>298</v>
      </c>
      <c r="C302" s="1" t="s">
        <v>1247</v>
      </c>
      <c r="D302" s="214" t="s">
        <v>1151</v>
      </c>
      <c r="F302" s="215"/>
      <c r="G302" s="105"/>
      <c r="H302" s="216">
        <v>450</v>
      </c>
      <c r="I302" s="216"/>
      <c r="J302" s="216"/>
      <c r="K302" s="105"/>
      <c r="L302" s="105"/>
      <c r="M302" s="216">
        <v>3</v>
      </c>
      <c r="N302" s="216"/>
      <c r="O302" s="216"/>
      <c r="P302" s="216"/>
      <c r="Q302" s="216"/>
      <c r="R302" s="216"/>
      <c r="S302" s="216">
        <v>46</v>
      </c>
      <c r="T302" s="216"/>
      <c r="U302" s="216"/>
      <c r="V302" s="216"/>
      <c r="W302" s="216"/>
      <c r="X302" s="216"/>
      <c r="Y302" s="105"/>
      <c r="Z302" s="105">
        <v>222</v>
      </c>
      <c r="AA302" s="105"/>
      <c r="AB302" s="105"/>
      <c r="AC302" s="218"/>
    </row>
    <row r="303" spans="2:29" hidden="1" x14ac:dyDescent="0.2">
      <c r="B303" s="219">
        <v>299</v>
      </c>
      <c r="C303" s="219" t="s">
        <v>1247</v>
      </c>
      <c r="D303" s="220" t="s">
        <v>1151</v>
      </c>
      <c r="E303" s="219"/>
      <c r="F303" s="221"/>
      <c r="G303" s="222"/>
      <c r="H303" s="223">
        <v>450</v>
      </c>
      <c r="I303" s="223"/>
      <c r="J303" s="223"/>
      <c r="K303" s="222"/>
      <c r="L303" s="222"/>
      <c r="M303" s="223">
        <v>3</v>
      </c>
      <c r="N303" s="223"/>
      <c r="O303" s="223"/>
      <c r="P303" s="223"/>
      <c r="Q303" s="223"/>
      <c r="R303" s="223"/>
      <c r="S303" s="223">
        <v>42</v>
      </c>
      <c r="T303" s="223"/>
      <c r="U303" s="223"/>
      <c r="V303" s="223"/>
      <c r="W303" s="223"/>
      <c r="X303" s="223"/>
      <c r="Y303" s="222"/>
      <c r="Z303" s="222">
        <v>199</v>
      </c>
      <c r="AA303" s="222"/>
      <c r="AB303" s="222"/>
      <c r="AC303" s="225"/>
    </row>
    <row r="304" spans="2:29" hidden="1" x14ac:dyDescent="0.2">
      <c r="B304" s="1">
        <v>300</v>
      </c>
      <c r="C304" s="1" t="s">
        <v>1247</v>
      </c>
      <c r="D304" s="214" t="s">
        <v>1151</v>
      </c>
      <c r="F304" s="215"/>
      <c r="G304" s="105"/>
      <c r="H304" s="216">
        <v>450</v>
      </c>
      <c r="I304" s="216"/>
      <c r="J304" s="216"/>
      <c r="K304" s="105"/>
      <c r="L304" s="105"/>
      <c r="M304" s="216">
        <v>3</v>
      </c>
      <c r="N304" s="216"/>
      <c r="O304" s="216"/>
      <c r="P304" s="216"/>
      <c r="Q304" s="216"/>
      <c r="R304" s="216"/>
      <c r="S304" s="216">
        <v>38</v>
      </c>
      <c r="T304" s="216"/>
      <c r="U304" s="216"/>
      <c r="V304" s="216"/>
      <c r="W304" s="216"/>
      <c r="X304" s="216"/>
      <c r="Y304" s="105"/>
      <c r="Z304" s="105">
        <v>177</v>
      </c>
      <c r="AA304" s="105"/>
      <c r="AB304" s="105"/>
      <c r="AC304" s="218"/>
    </row>
    <row r="305" spans="2:29" hidden="1" x14ac:dyDescent="0.2">
      <c r="B305" s="219">
        <v>301</v>
      </c>
      <c r="C305" s="219" t="s">
        <v>1247</v>
      </c>
      <c r="D305" s="220" t="s">
        <v>1151</v>
      </c>
      <c r="E305" s="219"/>
      <c r="F305" s="221"/>
      <c r="G305" s="222"/>
      <c r="H305" s="223">
        <v>450</v>
      </c>
      <c r="I305" s="223"/>
      <c r="J305" s="223"/>
      <c r="K305" s="222"/>
      <c r="L305" s="222"/>
      <c r="M305" s="223">
        <v>3</v>
      </c>
      <c r="N305" s="223"/>
      <c r="O305" s="223"/>
      <c r="P305" s="223"/>
      <c r="Q305" s="223"/>
      <c r="R305" s="223"/>
      <c r="S305" s="223">
        <v>34</v>
      </c>
      <c r="T305" s="223"/>
      <c r="U305" s="223"/>
      <c r="V305" s="223"/>
      <c r="W305" s="223"/>
      <c r="X305" s="223"/>
      <c r="Y305" s="222"/>
      <c r="Z305" s="222">
        <v>155</v>
      </c>
      <c r="AA305" s="222"/>
      <c r="AB305" s="222"/>
      <c r="AC305" s="225"/>
    </row>
    <row r="306" spans="2:29" hidden="1" x14ac:dyDescent="0.2">
      <c r="B306" s="1">
        <v>302</v>
      </c>
      <c r="C306" s="1" t="s">
        <v>1247</v>
      </c>
      <c r="D306" s="214" t="s">
        <v>1151</v>
      </c>
      <c r="F306" s="215"/>
      <c r="G306" s="105"/>
      <c r="H306" s="216">
        <v>450</v>
      </c>
      <c r="I306" s="216"/>
      <c r="J306" s="216"/>
      <c r="K306" s="105"/>
      <c r="L306" s="105"/>
      <c r="M306" s="216">
        <v>3</v>
      </c>
      <c r="N306" s="216"/>
      <c r="O306" s="216"/>
      <c r="P306" s="216"/>
      <c r="Q306" s="216"/>
      <c r="R306" s="216"/>
      <c r="S306" s="216">
        <v>30</v>
      </c>
      <c r="T306" s="216"/>
      <c r="U306" s="216"/>
      <c r="V306" s="216"/>
      <c r="W306" s="216"/>
      <c r="X306" s="216"/>
      <c r="Y306" s="105"/>
      <c r="Z306" s="105">
        <v>134</v>
      </c>
      <c r="AA306" s="105"/>
      <c r="AB306" s="105"/>
      <c r="AC306" s="218"/>
    </row>
    <row r="307" spans="2:29" ht="15" hidden="1" x14ac:dyDescent="0.25">
      <c r="B307" s="219">
        <v>303</v>
      </c>
      <c r="C307" s="219" t="s">
        <v>1247</v>
      </c>
      <c r="D307" s="220" t="s">
        <v>1151</v>
      </c>
      <c r="E307" s="219"/>
      <c r="F307" s="221"/>
      <c r="G307" s="222"/>
      <c r="H307" s="223">
        <v>600</v>
      </c>
      <c r="I307" s="223"/>
      <c r="J307" s="223"/>
      <c r="K307" s="222"/>
      <c r="L307" s="222"/>
      <c r="M307" s="223">
        <v>4</v>
      </c>
      <c r="N307" s="223"/>
      <c r="O307" s="223"/>
      <c r="P307" s="223"/>
      <c r="Q307" s="223"/>
      <c r="R307" s="223"/>
      <c r="S307" s="223">
        <v>120</v>
      </c>
      <c r="T307" s="223"/>
      <c r="U307" s="223"/>
      <c r="V307" s="223"/>
      <c r="W307" s="223"/>
      <c r="X307" s="223"/>
      <c r="Y307" s="222"/>
      <c r="Z307" s="231">
        <v>867</v>
      </c>
      <c r="AA307" s="222"/>
      <c r="AB307" s="222"/>
      <c r="AC307" s="225"/>
    </row>
    <row r="308" spans="2:29" ht="15" hidden="1" x14ac:dyDescent="0.25">
      <c r="B308" s="1">
        <v>304</v>
      </c>
      <c r="C308" s="1" t="s">
        <v>1247</v>
      </c>
      <c r="D308" s="214" t="s">
        <v>1151</v>
      </c>
      <c r="F308" s="215"/>
      <c r="G308" s="105"/>
      <c r="H308" s="216">
        <v>600</v>
      </c>
      <c r="I308" s="216"/>
      <c r="J308" s="216"/>
      <c r="K308" s="105"/>
      <c r="L308" s="105"/>
      <c r="M308" s="216">
        <v>4</v>
      </c>
      <c r="N308" s="216"/>
      <c r="O308" s="216"/>
      <c r="P308" s="216"/>
      <c r="Q308" s="216"/>
      <c r="R308" s="216"/>
      <c r="S308" s="216">
        <v>112</v>
      </c>
      <c r="T308" s="216"/>
      <c r="U308" s="216"/>
      <c r="V308" s="216"/>
      <c r="W308" s="216"/>
      <c r="X308" s="216"/>
      <c r="Y308" s="105"/>
      <c r="Z308" s="107">
        <v>799</v>
      </c>
      <c r="AA308" s="105"/>
      <c r="AB308" s="105"/>
      <c r="AC308" s="218"/>
    </row>
    <row r="309" spans="2:29" ht="15" hidden="1" x14ac:dyDescent="0.25">
      <c r="B309" s="219">
        <v>305</v>
      </c>
      <c r="C309" s="219" t="s">
        <v>1247</v>
      </c>
      <c r="D309" s="220" t="s">
        <v>1151</v>
      </c>
      <c r="E309" s="219"/>
      <c r="F309" s="221"/>
      <c r="G309" s="222"/>
      <c r="H309" s="223">
        <v>600</v>
      </c>
      <c r="I309" s="223"/>
      <c r="J309" s="223"/>
      <c r="K309" s="222"/>
      <c r="L309" s="222"/>
      <c r="M309" s="223">
        <v>4</v>
      </c>
      <c r="N309" s="223"/>
      <c r="O309" s="223"/>
      <c r="P309" s="223"/>
      <c r="Q309" s="223"/>
      <c r="R309" s="223"/>
      <c r="S309" s="223">
        <v>104</v>
      </c>
      <c r="T309" s="223"/>
      <c r="U309" s="223"/>
      <c r="V309" s="223"/>
      <c r="W309" s="223"/>
      <c r="X309" s="223"/>
      <c r="Y309" s="222"/>
      <c r="Z309" s="231">
        <v>733</v>
      </c>
      <c r="AA309" s="222"/>
      <c r="AB309" s="222"/>
      <c r="AC309" s="225"/>
    </row>
    <row r="310" spans="2:29" ht="15" hidden="1" x14ac:dyDescent="0.25">
      <c r="B310" s="1">
        <v>306</v>
      </c>
      <c r="C310" s="1" t="s">
        <v>1247</v>
      </c>
      <c r="D310" s="214" t="s">
        <v>1151</v>
      </c>
      <c r="F310" s="215"/>
      <c r="G310" s="105"/>
      <c r="H310" s="216">
        <v>600</v>
      </c>
      <c r="I310" s="216"/>
      <c r="J310" s="216"/>
      <c r="K310" s="105"/>
      <c r="L310" s="105"/>
      <c r="M310" s="216">
        <v>4</v>
      </c>
      <c r="N310" s="216"/>
      <c r="O310" s="216"/>
      <c r="P310" s="216"/>
      <c r="Q310" s="216"/>
      <c r="R310" s="216"/>
      <c r="S310" s="216">
        <v>96</v>
      </c>
      <c r="T310" s="216"/>
      <c r="U310" s="216"/>
      <c r="V310" s="216"/>
      <c r="W310" s="216"/>
      <c r="X310" s="216"/>
      <c r="Y310" s="105"/>
      <c r="Z310" s="107">
        <v>668</v>
      </c>
      <c r="AA310" s="105"/>
      <c r="AB310" s="105"/>
      <c r="AC310" s="218"/>
    </row>
    <row r="311" spans="2:29" ht="15" hidden="1" x14ac:dyDescent="0.25">
      <c r="B311" s="219">
        <v>307</v>
      </c>
      <c r="C311" s="219" t="s">
        <v>1247</v>
      </c>
      <c r="D311" s="220" t="s">
        <v>1151</v>
      </c>
      <c r="E311" s="219"/>
      <c r="F311" s="221"/>
      <c r="G311" s="222"/>
      <c r="H311" s="223">
        <v>600</v>
      </c>
      <c r="I311" s="223"/>
      <c r="J311" s="223"/>
      <c r="K311" s="222"/>
      <c r="L311" s="222"/>
      <c r="M311" s="223">
        <v>4</v>
      </c>
      <c r="N311" s="223"/>
      <c r="O311" s="223"/>
      <c r="P311" s="223"/>
      <c r="Q311" s="223"/>
      <c r="R311" s="223"/>
      <c r="S311" s="223">
        <v>88</v>
      </c>
      <c r="T311" s="223"/>
      <c r="U311" s="223"/>
      <c r="V311" s="223"/>
      <c r="W311" s="223"/>
      <c r="X311" s="223"/>
      <c r="Y311" s="222"/>
      <c r="Z311" s="231">
        <v>603</v>
      </c>
      <c r="AA311" s="222"/>
      <c r="AB311" s="222"/>
      <c r="AC311" s="225"/>
    </row>
    <row r="312" spans="2:29" ht="15" hidden="1" x14ac:dyDescent="0.25">
      <c r="B312" s="1">
        <v>308</v>
      </c>
      <c r="C312" s="1" t="s">
        <v>1247</v>
      </c>
      <c r="D312" s="214" t="s">
        <v>1151</v>
      </c>
      <c r="F312" s="215"/>
      <c r="G312" s="105"/>
      <c r="H312" s="216">
        <v>600</v>
      </c>
      <c r="I312" s="216"/>
      <c r="J312" s="216"/>
      <c r="K312" s="105"/>
      <c r="L312" s="105"/>
      <c r="M312" s="216">
        <v>4</v>
      </c>
      <c r="N312" s="216"/>
      <c r="O312" s="216"/>
      <c r="P312" s="216"/>
      <c r="Q312" s="216"/>
      <c r="R312" s="216"/>
      <c r="S312" s="216">
        <v>80</v>
      </c>
      <c r="T312" s="216"/>
      <c r="U312" s="216"/>
      <c r="V312" s="216"/>
      <c r="W312" s="216"/>
      <c r="X312" s="216"/>
      <c r="Y312" s="105"/>
      <c r="Z312" s="107">
        <v>539</v>
      </c>
      <c r="AA312" s="105"/>
      <c r="AB312" s="105"/>
      <c r="AC312" s="218"/>
    </row>
    <row r="313" spans="2:29" ht="15" hidden="1" x14ac:dyDescent="0.25">
      <c r="B313" s="219">
        <v>309</v>
      </c>
      <c r="C313" s="219" t="s">
        <v>1247</v>
      </c>
      <c r="D313" s="220" t="s">
        <v>1151</v>
      </c>
      <c r="E313" s="219"/>
      <c r="F313" s="221"/>
      <c r="G313" s="222"/>
      <c r="H313" s="223">
        <v>600</v>
      </c>
      <c r="I313" s="223"/>
      <c r="J313" s="223"/>
      <c r="K313" s="222"/>
      <c r="L313" s="222"/>
      <c r="M313" s="223">
        <v>4</v>
      </c>
      <c r="N313" s="223"/>
      <c r="O313" s="223"/>
      <c r="P313" s="223"/>
      <c r="Q313" s="223"/>
      <c r="R313" s="223"/>
      <c r="S313" s="223">
        <v>72</v>
      </c>
      <c r="T313" s="223"/>
      <c r="U313" s="223"/>
      <c r="V313" s="223"/>
      <c r="W313" s="223"/>
      <c r="X313" s="223"/>
      <c r="Y313" s="222"/>
      <c r="Z313" s="231">
        <v>477</v>
      </c>
      <c r="AA313" s="222"/>
      <c r="AB313" s="222"/>
      <c r="AC313" s="225"/>
    </row>
    <row r="314" spans="2:29" ht="15" hidden="1" x14ac:dyDescent="0.25">
      <c r="B314" s="1">
        <v>310</v>
      </c>
      <c r="C314" s="1" t="s">
        <v>1247</v>
      </c>
      <c r="D314" s="214" t="s">
        <v>1151</v>
      </c>
      <c r="F314" s="215"/>
      <c r="G314" s="105"/>
      <c r="H314" s="216">
        <v>600</v>
      </c>
      <c r="I314" s="216"/>
      <c r="J314" s="216"/>
      <c r="K314" s="105"/>
      <c r="L314" s="105"/>
      <c r="M314" s="216">
        <v>4</v>
      </c>
      <c r="N314" s="216"/>
      <c r="O314" s="216"/>
      <c r="P314" s="216"/>
      <c r="Q314" s="216"/>
      <c r="R314" s="216"/>
      <c r="S314" s="216">
        <v>64</v>
      </c>
      <c r="T314" s="216"/>
      <c r="U314" s="216"/>
      <c r="V314" s="216"/>
      <c r="W314" s="216"/>
      <c r="X314" s="216"/>
      <c r="Y314" s="105"/>
      <c r="Z314" s="107">
        <v>415</v>
      </c>
      <c r="AA314" s="105"/>
      <c r="AB314" s="105"/>
      <c r="AC314" s="218"/>
    </row>
    <row r="315" spans="2:29" ht="15" hidden="1" x14ac:dyDescent="0.25">
      <c r="B315" s="219">
        <v>311</v>
      </c>
      <c r="C315" s="219" t="s">
        <v>1247</v>
      </c>
      <c r="D315" s="220" t="s">
        <v>1151</v>
      </c>
      <c r="E315" s="219"/>
      <c r="F315" s="221"/>
      <c r="G315" s="222"/>
      <c r="H315" s="223">
        <v>600</v>
      </c>
      <c r="I315" s="223"/>
      <c r="J315" s="223"/>
      <c r="K315" s="222"/>
      <c r="L315" s="222"/>
      <c r="M315" s="223">
        <v>4</v>
      </c>
      <c r="N315" s="223"/>
      <c r="O315" s="223"/>
      <c r="P315" s="223"/>
      <c r="Q315" s="223"/>
      <c r="R315" s="223"/>
      <c r="S315" s="223">
        <v>58</v>
      </c>
      <c r="T315" s="223"/>
      <c r="U315" s="223"/>
      <c r="V315" s="223"/>
      <c r="W315" s="223"/>
      <c r="X315" s="223"/>
      <c r="Y315" s="222"/>
      <c r="Z315" s="231">
        <v>370</v>
      </c>
      <c r="AA315" s="222"/>
      <c r="AB315" s="222"/>
      <c r="AC315" s="225"/>
    </row>
    <row r="316" spans="2:29" ht="15" hidden="1" x14ac:dyDescent="0.25">
      <c r="B316" s="1">
        <v>312</v>
      </c>
      <c r="C316" s="1" t="s">
        <v>1247</v>
      </c>
      <c r="D316" s="214" t="s">
        <v>1151</v>
      </c>
      <c r="F316" s="215"/>
      <c r="G316" s="105"/>
      <c r="H316" s="216">
        <v>600</v>
      </c>
      <c r="I316" s="216"/>
      <c r="J316" s="216"/>
      <c r="K316" s="105"/>
      <c r="L316" s="105"/>
      <c r="M316" s="216">
        <v>4</v>
      </c>
      <c r="N316" s="216"/>
      <c r="O316" s="216"/>
      <c r="P316" s="216"/>
      <c r="Q316" s="216"/>
      <c r="R316" s="216"/>
      <c r="S316" s="216">
        <v>50</v>
      </c>
      <c r="T316" s="216"/>
      <c r="U316" s="216"/>
      <c r="V316" s="216"/>
      <c r="W316" s="216"/>
      <c r="X316" s="216"/>
      <c r="Y316" s="105"/>
      <c r="Z316" s="107">
        <v>311</v>
      </c>
      <c r="AA316" s="105"/>
      <c r="AB316" s="105"/>
      <c r="AC316" s="218"/>
    </row>
    <row r="317" spans="2:29" ht="15" hidden="1" x14ac:dyDescent="0.25">
      <c r="B317" s="219">
        <v>313</v>
      </c>
      <c r="C317" s="219" t="s">
        <v>1247</v>
      </c>
      <c r="D317" s="220" t="s">
        <v>1151</v>
      </c>
      <c r="E317" s="219"/>
      <c r="F317" s="221"/>
      <c r="G317" s="222"/>
      <c r="H317" s="223">
        <v>600</v>
      </c>
      <c r="I317" s="223"/>
      <c r="J317" s="223"/>
      <c r="K317" s="222"/>
      <c r="L317" s="222"/>
      <c r="M317" s="223">
        <v>4</v>
      </c>
      <c r="N317" s="223"/>
      <c r="O317" s="223"/>
      <c r="P317" s="223"/>
      <c r="Q317" s="223"/>
      <c r="R317" s="223"/>
      <c r="S317" s="223">
        <v>46</v>
      </c>
      <c r="T317" s="223"/>
      <c r="U317" s="223"/>
      <c r="V317" s="223"/>
      <c r="W317" s="223"/>
      <c r="X317" s="223"/>
      <c r="Y317" s="222"/>
      <c r="Z317" s="231">
        <v>282</v>
      </c>
      <c r="AA317" s="222"/>
      <c r="AB317" s="222"/>
      <c r="AC317" s="225"/>
    </row>
    <row r="318" spans="2:29" ht="15" hidden="1" x14ac:dyDescent="0.25">
      <c r="B318" s="1">
        <v>314</v>
      </c>
      <c r="C318" s="1" t="s">
        <v>1247</v>
      </c>
      <c r="D318" s="214" t="s">
        <v>1151</v>
      </c>
      <c r="F318" s="215"/>
      <c r="G318" s="105"/>
      <c r="H318" s="216">
        <v>600</v>
      </c>
      <c r="I318" s="216"/>
      <c r="J318" s="216"/>
      <c r="K318" s="105"/>
      <c r="L318" s="105"/>
      <c r="M318" s="216">
        <v>4</v>
      </c>
      <c r="N318" s="216"/>
      <c r="O318" s="216"/>
      <c r="P318" s="216"/>
      <c r="Q318" s="216"/>
      <c r="R318" s="216"/>
      <c r="S318" s="216">
        <v>42</v>
      </c>
      <c r="T318" s="216"/>
      <c r="U318" s="216"/>
      <c r="V318" s="216"/>
      <c r="W318" s="216"/>
      <c r="X318" s="216"/>
      <c r="Y318" s="105"/>
      <c r="Z318" s="107">
        <v>254</v>
      </c>
      <c r="AA318" s="105"/>
      <c r="AB318" s="105"/>
      <c r="AC318" s="218"/>
    </row>
    <row r="319" spans="2:29" ht="15" hidden="1" x14ac:dyDescent="0.25">
      <c r="B319" s="219">
        <v>315</v>
      </c>
      <c r="C319" s="219" t="s">
        <v>1247</v>
      </c>
      <c r="D319" s="220" t="s">
        <v>1151</v>
      </c>
      <c r="E319" s="219"/>
      <c r="F319" s="221"/>
      <c r="G319" s="222"/>
      <c r="H319" s="223">
        <v>600</v>
      </c>
      <c r="I319" s="223"/>
      <c r="J319" s="223"/>
      <c r="K319" s="222"/>
      <c r="L319" s="222"/>
      <c r="M319" s="223">
        <v>4</v>
      </c>
      <c r="N319" s="223"/>
      <c r="O319" s="223"/>
      <c r="P319" s="223"/>
      <c r="Q319" s="223"/>
      <c r="R319" s="223"/>
      <c r="S319" s="223">
        <v>38</v>
      </c>
      <c r="T319" s="223"/>
      <c r="U319" s="223"/>
      <c r="V319" s="223"/>
      <c r="W319" s="223"/>
      <c r="X319" s="223"/>
      <c r="Y319" s="222"/>
      <c r="Z319" s="231">
        <v>226</v>
      </c>
      <c r="AA319" s="222"/>
      <c r="AB319" s="222"/>
      <c r="AC319" s="225"/>
    </row>
    <row r="320" spans="2:29" ht="15" hidden="1" x14ac:dyDescent="0.25">
      <c r="B320" s="1">
        <v>316</v>
      </c>
      <c r="C320" s="1" t="s">
        <v>1247</v>
      </c>
      <c r="D320" s="214" t="s">
        <v>1151</v>
      </c>
      <c r="F320" s="215"/>
      <c r="G320" s="105"/>
      <c r="H320" s="216">
        <v>600</v>
      </c>
      <c r="I320" s="216"/>
      <c r="J320" s="216"/>
      <c r="K320" s="105"/>
      <c r="L320" s="105"/>
      <c r="M320" s="216">
        <v>4</v>
      </c>
      <c r="N320" s="216"/>
      <c r="O320" s="216"/>
      <c r="P320" s="216"/>
      <c r="Q320" s="216"/>
      <c r="R320" s="216"/>
      <c r="S320" s="216">
        <v>34</v>
      </c>
      <c r="T320" s="216"/>
      <c r="U320" s="216"/>
      <c r="V320" s="216"/>
      <c r="W320" s="216"/>
      <c r="X320" s="216"/>
      <c r="Y320" s="105"/>
      <c r="Z320" s="107">
        <v>198</v>
      </c>
      <c r="AA320" s="105"/>
      <c r="AB320" s="105"/>
      <c r="AC320" s="218"/>
    </row>
    <row r="321" spans="2:29" ht="15" hidden="1" x14ac:dyDescent="0.25">
      <c r="B321" s="219">
        <v>317</v>
      </c>
      <c r="C321" s="219" t="s">
        <v>1247</v>
      </c>
      <c r="D321" s="220" t="s">
        <v>1151</v>
      </c>
      <c r="E321" s="219"/>
      <c r="F321" s="221"/>
      <c r="G321" s="222"/>
      <c r="H321" s="223">
        <v>600</v>
      </c>
      <c r="I321" s="223"/>
      <c r="J321" s="223"/>
      <c r="K321" s="222"/>
      <c r="L321" s="222"/>
      <c r="M321" s="223">
        <v>4</v>
      </c>
      <c r="N321" s="223"/>
      <c r="O321" s="223"/>
      <c r="P321" s="223"/>
      <c r="Q321" s="223"/>
      <c r="R321" s="223"/>
      <c r="S321" s="223">
        <v>30</v>
      </c>
      <c r="T321" s="223"/>
      <c r="U321" s="223"/>
      <c r="V321" s="223"/>
      <c r="W321" s="223"/>
      <c r="X321" s="223"/>
      <c r="Y321" s="222"/>
      <c r="Z321" s="231">
        <v>171</v>
      </c>
      <c r="AA321" s="222"/>
      <c r="AB321" s="222"/>
      <c r="AC321" s="225"/>
    </row>
    <row r="322" spans="2:29" ht="15" hidden="1" x14ac:dyDescent="0.25">
      <c r="B322" s="1">
        <v>318</v>
      </c>
      <c r="C322" s="1" t="s">
        <v>1247</v>
      </c>
      <c r="D322" s="214" t="s">
        <v>1151</v>
      </c>
      <c r="F322" s="215"/>
      <c r="G322" s="105"/>
      <c r="H322" s="216">
        <v>750</v>
      </c>
      <c r="I322" s="216"/>
      <c r="J322" s="216"/>
      <c r="K322" s="105"/>
      <c r="L322" s="105"/>
      <c r="M322" s="216">
        <v>5</v>
      </c>
      <c r="N322" s="216"/>
      <c r="O322" s="216"/>
      <c r="P322" s="216"/>
      <c r="Q322" s="216"/>
      <c r="R322" s="216"/>
      <c r="S322" s="216">
        <v>120</v>
      </c>
      <c r="T322" s="216"/>
      <c r="U322" s="216"/>
      <c r="V322" s="216"/>
      <c r="W322" s="216"/>
      <c r="X322" s="216"/>
      <c r="Y322" s="105"/>
      <c r="Z322" s="107">
        <v>1050</v>
      </c>
      <c r="AA322" s="105"/>
      <c r="AB322" s="105"/>
      <c r="AC322" s="218"/>
    </row>
    <row r="323" spans="2:29" ht="15" hidden="1" x14ac:dyDescent="0.25">
      <c r="B323" s="219">
        <v>319</v>
      </c>
      <c r="C323" s="219" t="s">
        <v>1247</v>
      </c>
      <c r="D323" s="220" t="s">
        <v>1151</v>
      </c>
      <c r="E323" s="219"/>
      <c r="F323" s="221"/>
      <c r="G323" s="222"/>
      <c r="H323" s="223">
        <v>750</v>
      </c>
      <c r="I323" s="223"/>
      <c r="J323" s="223"/>
      <c r="K323" s="222"/>
      <c r="L323" s="222"/>
      <c r="M323" s="223">
        <v>5</v>
      </c>
      <c r="N323" s="223"/>
      <c r="O323" s="223"/>
      <c r="P323" s="223"/>
      <c r="Q323" s="223"/>
      <c r="R323" s="223"/>
      <c r="S323" s="223">
        <v>112</v>
      </c>
      <c r="T323" s="223"/>
      <c r="U323" s="223"/>
      <c r="V323" s="223"/>
      <c r="W323" s="223"/>
      <c r="X323" s="223"/>
      <c r="Y323" s="222"/>
      <c r="Z323" s="231">
        <v>968</v>
      </c>
      <c r="AA323" s="222"/>
      <c r="AB323" s="222"/>
      <c r="AC323" s="225"/>
    </row>
    <row r="324" spans="2:29" ht="15" hidden="1" x14ac:dyDescent="0.25">
      <c r="B324" s="1">
        <v>320</v>
      </c>
      <c r="C324" s="1" t="s">
        <v>1247</v>
      </c>
      <c r="D324" s="214" t="s">
        <v>1151</v>
      </c>
      <c r="F324" s="215"/>
      <c r="G324" s="105"/>
      <c r="H324" s="216">
        <v>750</v>
      </c>
      <c r="I324" s="216"/>
      <c r="J324" s="216"/>
      <c r="K324" s="105"/>
      <c r="L324" s="105"/>
      <c r="M324" s="216">
        <v>5</v>
      </c>
      <c r="N324" s="216"/>
      <c r="O324" s="216"/>
      <c r="P324" s="216"/>
      <c r="Q324" s="216"/>
      <c r="R324" s="216"/>
      <c r="S324" s="216">
        <v>104</v>
      </c>
      <c r="T324" s="216"/>
      <c r="U324" s="216"/>
      <c r="V324" s="216"/>
      <c r="W324" s="216"/>
      <c r="X324" s="216"/>
      <c r="Y324" s="105"/>
      <c r="Z324" s="107">
        <v>888</v>
      </c>
      <c r="AA324" s="105"/>
      <c r="AB324" s="105"/>
      <c r="AC324" s="218"/>
    </row>
    <row r="325" spans="2:29" ht="15" hidden="1" x14ac:dyDescent="0.25">
      <c r="B325" s="219">
        <v>321</v>
      </c>
      <c r="C325" s="219" t="s">
        <v>1247</v>
      </c>
      <c r="D325" s="220" t="s">
        <v>1151</v>
      </c>
      <c r="E325" s="219"/>
      <c r="F325" s="221"/>
      <c r="G325" s="222"/>
      <c r="H325" s="223">
        <v>750</v>
      </c>
      <c r="I325" s="223"/>
      <c r="J325" s="223"/>
      <c r="K325" s="222"/>
      <c r="L325" s="222"/>
      <c r="M325" s="223">
        <v>5</v>
      </c>
      <c r="N325" s="223"/>
      <c r="O325" s="223"/>
      <c r="P325" s="223"/>
      <c r="Q325" s="223"/>
      <c r="R325" s="223"/>
      <c r="S325" s="223">
        <v>96</v>
      </c>
      <c r="T325" s="223"/>
      <c r="U325" s="223"/>
      <c r="V325" s="223"/>
      <c r="W325" s="223"/>
      <c r="X325" s="223"/>
      <c r="Y325" s="222"/>
      <c r="Z325" s="231">
        <v>809</v>
      </c>
      <c r="AA325" s="222"/>
      <c r="AB325" s="222"/>
      <c r="AC325" s="225"/>
    </row>
    <row r="326" spans="2:29" ht="15" hidden="1" x14ac:dyDescent="0.25">
      <c r="B326" s="1">
        <v>322</v>
      </c>
      <c r="C326" s="1" t="s">
        <v>1247</v>
      </c>
      <c r="D326" s="214" t="s">
        <v>1151</v>
      </c>
      <c r="F326" s="215"/>
      <c r="G326" s="105"/>
      <c r="H326" s="216">
        <v>750</v>
      </c>
      <c r="I326" s="216"/>
      <c r="J326" s="216"/>
      <c r="K326" s="105"/>
      <c r="L326" s="105"/>
      <c r="M326" s="216">
        <v>5</v>
      </c>
      <c r="N326" s="216"/>
      <c r="O326" s="216"/>
      <c r="P326" s="216"/>
      <c r="Q326" s="216"/>
      <c r="R326" s="216"/>
      <c r="S326" s="216">
        <v>88</v>
      </c>
      <c r="T326" s="216"/>
      <c r="U326" s="216"/>
      <c r="V326" s="216"/>
      <c r="W326" s="216"/>
      <c r="X326" s="216"/>
      <c r="Y326" s="105"/>
      <c r="Z326" s="107">
        <v>730</v>
      </c>
      <c r="AA326" s="105"/>
      <c r="AB326" s="105"/>
      <c r="AC326" s="218"/>
    </row>
    <row r="327" spans="2:29" ht="15" hidden="1" x14ac:dyDescent="0.25">
      <c r="B327" s="219">
        <v>323</v>
      </c>
      <c r="C327" s="219" t="s">
        <v>1247</v>
      </c>
      <c r="D327" s="220" t="s">
        <v>1151</v>
      </c>
      <c r="E327" s="219"/>
      <c r="F327" s="221"/>
      <c r="G327" s="222"/>
      <c r="H327" s="223">
        <v>750</v>
      </c>
      <c r="I327" s="223"/>
      <c r="J327" s="223"/>
      <c r="K327" s="222"/>
      <c r="L327" s="222"/>
      <c r="M327" s="223">
        <v>5</v>
      </c>
      <c r="N327" s="223"/>
      <c r="O327" s="223"/>
      <c r="P327" s="223"/>
      <c r="Q327" s="223"/>
      <c r="R327" s="223"/>
      <c r="S327" s="223">
        <v>80</v>
      </c>
      <c r="T327" s="223"/>
      <c r="U327" s="223"/>
      <c r="V327" s="223"/>
      <c r="W327" s="223"/>
      <c r="X327" s="223"/>
      <c r="Y327" s="222"/>
      <c r="Z327" s="231">
        <v>653</v>
      </c>
      <c r="AA327" s="222"/>
      <c r="AB327" s="222"/>
      <c r="AC327" s="225"/>
    </row>
    <row r="328" spans="2:29" ht="15" hidden="1" x14ac:dyDescent="0.25">
      <c r="B328" s="1">
        <v>324</v>
      </c>
      <c r="C328" s="1" t="s">
        <v>1247</v>
      </c>
      <c r="D328" s="214" t="s">
        <v>1151</v>
      </c>
      <c r="F328" s="215"/>
      <c r="G328" s="105"/>
      <c r="H328" s="216">
        <v>750</v>
      </c>
      <c r="I328" s="216"/>
      <c r="J328" s="216"/>
      <c r="K328" s="105"/>
      <c r="L328" s="105"/>
      <c r="M328" s="216">
        <v>5</v>
      </c>
      <c r="N328" s="216"/>
      <c r="O328" s="216"/>
      <c r="P328" s="216"/>
      <c r="Q328" s="216"/>
      <c r="R328" s="216"/>
      <c r="S328" s="216">
        <v>72</v>
      </c>
      <c r="T328" s="216"/>
      <c r="U328" s="216"/>
      <c r="V328" s="216"/>
      <c r="W328" s="216"/>
      <c r="X328" s="216"/>
      <c r="Y328" s="105"/>
      <c r="Z328" s="107">
        <v>578</v>
      </c>
      <c r="AA328" s="105"/>
      <c r="AB328" s="105"/>
      <c r="AC328" s="218"/>
    </row>
    <row r="329" spans="2:29" ht="15" hidden="1" x14ac:dyDescent="0.25">
      <c r="B329" s="219">
        <v>325</v>
      </c>
      <c r="C329" s="219" t="s">
        <v>1247</v>
      </c>
      <c r="D329" s="220" t="s">
        <v>1151</v>
      </c>
      <c r="E329" s="219"/>
      <c r="F329" s="221"/>
      <c r="G329" s="222"/>
      <c r="H329" s="223">
        <v>750</v>
      </c>
      <c r="I329" s="223"/>
      <c r="J329" s="223"/>
      <c r="K329" s="222"/>
      <c r="L329" s="222"/>
      <c r="M329" s="223">
        <v>5</v>
      </c>
      <c r="N329" s="223"/>
      <c r="O329" s="223"/>
      <c r="P329" s="223"/>
      <c r="Q329" s="223"/>
      <c r="R329" s="223"/>
      <c r="S329" s="223">
        <v>64</v>
      </c>
      <c r="T329" s="223"/>
      <c r="U329" s="223"/>
      <c r="V329" s="223"/>
      <c r="W329" s="223"/>
      <c r="X329" s="223"/>
      <c r="Y329" s="222"/>
      <c r="Z329" s="231">
        <v>503</v>
      </c>
      <c r="AA329" s="222"/>
      <c r="AB329" s="222"/>
      <c r="AC329" s="225"/>
    </row>
    <row r="330" spans="2:29" ht="15" hidden="1" x14ac:dyDescent="0.25">
      <c r="B330" s="1">
        <v>326</v>
      </c>
      <c r="C330" s="1" t="s">
        <v>1247</v>
      </c>
      <c r="D330" s="214" t="s">
        <v>1151</v>
      </c>
      <c r="F330" s="215"/>
      <c r="G330" s="105"/>
      <c r="H330" s="216">
        <v>750</v>
      </c>
      <c r="I330" s="216"/>
      <c r="J330" s="216"/>
      <c r="K330" s="105"/>
      <c r="L330" s="105"/>
      <c r="M330" s="216">
        <v>5</v>
      </c>
      <c r="N330" s="216"/>
      <c r="O330" s="216"/>
      <c r="P330" s="216"/>
      <c r="Q330" s="216"/>
      <c r="R330" s="216"/>
      <c r="S330" s="216">
        <v>58</v>
      </c>
      <c r="T330" s="216"/>
      <c r="U330" s="216"/>
      <c r="V330" s="216"/>
      <c r="W330" s="216"/>
      <c r="X330" s="216"/>
      <c r="Y330" s="105"/>
      <c r="Z330" s="107">
        <v>449</v>
      </c>
      <c r="AA330" s="105"/>
      <c r="AB330" s="105"/>
      <c r="AC330" s="218"/>
    </row>
    <row r="331" spans="2:29" ht="15" hidden="1" x14ac:dyDescent="0.25">
      <c r="B331" s="219">
        <v>327</v>
      </c>
      <c r="C331" s="219" t="s">
        <v>1247</v>
      </c>
      <c r="D331" s="220" t="s">
        <v>1151</v>
      </c>
      <c r="E331" s="219"/>
      <c r="F331" s="221"/>
      <c r="G331" s="222"/>
      <c r="H331" s="223">
        <v>750</v>
      </c>
      <c r="I331" s="223"/>
      <c r="J331" s="223"/>
      <c r="K331" s="222"/>
      <c r="L331" s="222"/>
      <c r="M331" s="223">
        <v>5</v>
      </c>
      <c r="N331" s="223"/>
      <c r="O331" s="223"/>
      <c r="P331" s="223"/>
      <c r="Q331" s="223"/>
      <c r="R331" s="223"/>
      <c r="S331" s="223">
        <v>50</v>
      </c>
      <c r="T331" s="223"/>
      <c r="U331" s="223"/>
      <c r="V331" s="223"/>
      <c r="W331" s="223"/>
      <c r="X331" s="223"/>
      <c r="Y331" s="222"/>
      <c r="Z331" s="231">
        <v>377</v>
      </c>
      <c r="AA331" s="222"/>
      <c r="AB331" s="222"/>
      <c r="AC331" s="225"/>
    </row>
    <row r="332" spans="2:29" ht="15" hidden="1" x14ac:dyDescent="0.25">
      <c r="B332" s="1">
        <v>328</v>
      </c>
      <c r="C332" s="1" t="s">
        <v>1247</v>
      </c>
      <c r="D332" s="214" t="s">
        <v>1151</v>
      </c>
      <c r="F332" s="215"/>
      <c r="G332" s="105"/>
      <c r="H332" s="216">
        <v>750</v>
      </c>
      <c r="I332" s="216"/>
      <c r="J332" s="216"/>
      <c r="K332" s="105"/>
      <c r="L332" s="105"/>
      <c r="M332" s="216">
        <v>5</v>
      </c>
      <c r="N332" s="216"/>
      <c r="O332" s="216"/>
      <c r="P332" s="216"/>
      <c r="Q332" s="216"/>
      <c r="R332" s="216"/>
      <c r="S332" s="216">
        <v>46</v>
      </c>
      <c r="T332" s="216"/>
      <c r="U332" s="216"/>
      <c r="V332" s="216"/>
      <c r="W332" s="216"/>
      <c r="X332" s="216"/>
      <c r="Y332" s="105"/>
      <c r="Z332" s="107">
        <v>342</v>
      </c>
      <c r="AA332" s="105"/>
      <c r="AB332" s="105"/>
      <c r="AC332" s="218"/>
    </row>
    <row r="333" spans="2:29" ht="15" hidden="1" x14ac:dyDescent="0.25">
      <c r="B333" s="219">
        <v>329</v>
      </c>
      <c r="C333" s="219" t="s">
        <v>1247</v>
      </c>
      <c r="D333" s="220" t="s">
        <v>1151</v>
      </c>
      <c r="E333" s="219"/>
      <c r="F333" s="221"/>
      <c r="G333" s="222"/>
      <c r="H333" s="223">
        <v>750</v>
      </c>
      <c r="I333" s="223"/>
      <c r="J333" s="223"/>
      <c r="K333" s="222"/>
      <c r="L333" s="222"/>
      <c r="M333" s="223">
        <v>5</v>
      </c>
      <c r="N333" s="223"/>
      <c r="O333" s="223"/>
      <c r="P333" s="223"/>
      <c r="Q333" s="223"/>
      <c r="R333" s="223"/>
      <c r="S333" s="223">
        <v>42</v>
      </c>
      <c r="T333" s="223"/>
      <c r="U333" s="223"/>
      <c r="V333" s="223"/>
      <c r="W333" s="223"/>
      <c r="X333" s="223"/>
      <c r="Y333" s="222"/>
      <c r="Z333" s="231">
        <v>308</v>
      </c>
      <c r="AA333" s="222"/>
      <c r="AB333" s="222"/>
      <c r="AC333" s="225"/>
    </row>
    <row r="334" spans="2:29" ht="15" hidden="1" x14ac:dyDescent="0.25">
      <c r="B334" s="1">
        <v>330</v>
      </c>
      <c r="C334" s="1" t="s">
        <v>1247</v>
      </c>
      <c r="D334" s="214" t="s">
        <v>1151</v>
      </c>
      <c r="F334" s="215"/>
      <c r="G334" s="105"/>
      <c r="H334" s="216">
        <v>750</v>
      </c>
      <c r="I334" s="216"/>
      <c r="J334" s="216"/>
      <c r="K334" s="105"/>
      <c r="L334" s="105"/>
      <c r="M334" s="216">
        <v>5</v>
      </c>
      <c r="N334" s="216"/>
      <c r="O334" s="216"/>
      <c r="P334" s="216"/>
      <c r="Q334" s="216"/>
      <c r="R334" s="216"/>
      <c r="S334" s="216">
        <v>38</v>
      </c>
      <c r="T334" s="216"/>
      <c r="U334" s="216"/>
      <c r="V334" s="216"/>
      <c r="W334" s="216"/>
      <c r="X334" s="216"/>
      <c r="Y334" s="105"/>
      <c r="Z334" s="107">
        <v>274</v>
      </c>
      <c r="AA334" s="105"/>
      <c r="AB334" s="105"/>
      <c r="AC334" s="218"/>
    </row>
    <row r="335" spans="2:29" ht="15" hidden="1" x14ac:dyDescent="0.25">
      <c r="B335" s="219">
        <v>331</v>
      </c>
      <c r="C335" s="219" t="s">
        <v>1247</v>
      </c>
      <c r="D335" s="220" t="s">
        <v>1151</v>
      </c>
      <c r="E335" s="219"/>
      <c r="F335" s="221"/>
      <c r="G335" s="222"/>
      <c r="H335" s="223">
        <v>750</v>
      </c>
      <c r="I335" s="223"/>
      <c r="J335" s="223"/>
      <c r="K335" s="222"/>
      <c r="L335" s="222"/>
      <c r="M335" s="223">
        <v>5</v>
      </c>
      <c r="N335" s="223"/>
      <c r="O335" s="223"/>
      <c r="P335" s="223"/>
      <c r="Q335" s="223"/>
      <c r="R335" s="223"/>
      <c r="S335" s="223">
        <v>34</v>
      </c>
      <c r="T335" s="223"/>
      <c r="U335" s="223"/>
      <c r="V335" s="223"/>
      <c r="W335" s="223"/>
      <c r="X335" s="223"/>
      <c r="Y335" s="222"/>
      <c r="Z335" s="231">
        <v>240</v>
      </c>
      <c r="AA335" s="222"/>
      <c r="AB335" s="222"/>
      <c r="AC335" s="225"/>
    </row>
    <row r="336" spans="2:29" ht="15" hidden="1" x14ac:dyDescent="0.25">
      <c r="B336" s="1">
        <v>332</v>
      </c>
      <c r="C336" s="1" t="s">
        <v>1247</v>
      </c>
      <c r="D336" s="214" t="s">
        <v>1151</v>
      </c>
      <c r="F336" s="215"/>
      <c r="G336" s="105"/>
      <c r="H336" s="216">
        <v>750</v>
      </c>
      <c r="I336" s="216"/>
      <c r="J336" s="216"/>
      <c r="K336" s="105"/>
      <c r="L336" s="105"/>
      <c r="M336" s="216">
        <v>5</v>
      </c>
      <c r="N336" s="216"/>
      <c r="O336" s="216"/>
      <c r="P336" s="216"/>
      <c r="Q336" s="216"/>
      <c r="R336" s="216"/>
      <c r="S336" s="216">
        <v>30</v>
      </c>
      <c r="T336" s="216"/>
      <c r="U336" s="216"/>
      <c r="V336" s="216"/>
      <c r="W336" s="216"/>
      <c r="X336" s="216"/>
      <c r="Y336" s="105"/>
      <c r="Z336" s="107">
        <v>207</v>
      </c>
      <c r="AA336" s="105"/>
      <c r="AB336" s="105"/>
      <c r="AC336" s="218"/>
    </row>
    <row r="337" spans="2:38" ht="15" hidden="1" x14ac:dyDescent="0.25">
      <c r="B337" s="219">
        <v>333</v>
      </c>
      <c r="C337" s="219" t="s">
        <v>1247</v>
      </c>
      <c r="D337" s="220" t="s">
        <v>1151</v>
      </c>
      <c r="E337" s="219"/>
      <c r="F337" s="221"/>
      <c r="G337" s="222"/>
      <c r="H337" s="223">
        <v>900</v>
      </c>
      <c r="I337" s="223"/>
      <c r="J337" s="223"/>
      <c r="K337" s="222"/>
      <c r="L337" s="222"/>
      <c r="M337" s="223">
        <v>6</v>
      </c>
      <c r="N337" s="223"/>
      <c r="O337" s="223"/>
      <c r="P337" s="223"/>
      <c r="Q337" s="223"/>
      <c r="R337" s="223"/>
      <c r="S337" s="223">
        <v>120</v>
      </c>
      <c r="T337" s="223"/>
      <c r="U337" s="223"/>
      <c r="V337" s="223"/>
      <c r="W337" s="223"/>
      <c r="X337" s="223"/>
      <c r="Y337" s="222"/>
      <c r="Z337" s="231">
        <v>1256</v>
      </c>
      <c r="AA337" s="222"/>
      <c r="AB337" s="222"/>
      <c r="AC337" s="225"/>
    </row>
    <row r="338" spans="2:38" ht="15" hidden="1" x14ac:dyDescent="0.25">
      <c r="B338" s="1">
        <v>334</v>
      </c>
      <c r="C338" s="1" t="s">
        <v>1247</v>
      </c>
      <c r="D338" s="214" t="s">
        <v>1151</v>
      </c>
      <c r="F338" s="215"/>
      <c r="G338" s="105"/>
      <c r="H338" s="216">
        <v>900</v>
      </c>
      <c r="I338" s="216"/>
      <c r="J338" s="216"/>
      <c r="K338" s="105"/>
      <c r="L338" s="105"/>
      <c r="M338" s="216">
        <v>6</v>
      </c>
      <c r="N338" s="216"/>
      <c r="O338" s="216"/>
      <c r="P338" s="216"/>
      <c r="Q338" s="216"/>
      <c r="R338" s="216"/>
      <c r="S338" s="216">
        <v>112</v>
      </c>
      <c r="T338" s="216"/>
      <c r="U338" s="216"/>
      <c r="V338" s="216"/>
      <c r="W338" s="216"/>
      <c r="X338" s="216"/>
      <c r="Y338" s="105"/>
      <c r="Z338" s="107">
        <v>1157</v>
      </c>
      <c r="AA338" s="105"/>
      <c r="AB338" s="105"/>
      <c r="AC338" s="218"/>
    </row>
    <row r="339" spans="2:38" ht="15" hidden="1" x14ac:dyDescent="0.25">
      <c r="B339" s="219">
        <v>335</v>
      </c>
      <c r="C339" s="219" t="s">
        <v>1247</v>
      </c>
      <c r="D339" s="220" t="s">
        <v>1151</v>
      </c>
      <c r="E339" s="219"/>
      <c r="F339" s="221"/>
      <c r="G339" s="222"/>
      <c r="H339" s="223">
        <v>900</v>
      </c>
      <c r="I339" s="223"/>
      <c r="J339" s="223"/>
      <c r="K339" s="222"/>
      <c r="L339" s="222"/>
      <c r="M339" s="223">
        <v>6</v>
      </c>
      <c r="N339" s="223"/>
      <c r="O339" s="223"/>
      <c r="P339" s="223"/>
      <c r="Q339" s="223"/>
      <c r="R339" s="223"/>
      <c r="S339" s="223">
        <v>104</v>
      </c>
      <c r="T339" s="223"/>
      <c r="U339" s="223"/>
      <c r="V339" s="223"/>
      <c r="W339" s="223"/>
      <c r="X339" s="223"/>
      <c r="Y339" s="222"/>
      <c r="Z339" s="231">
        <v>1059</v>
      </c>
      <c r="AA339" s="222"/>
      <c r="AB339" s="222"/>
      <c r="AC339" s="225"/>
    </row>
    <row r="340" spans="2:38" ht="15" hidden="1" x14ac:dyDescent="0.25">
      <c r="B340" s="1">
        <v>336</v>
      </c>
      <c r="C340" s="1" t="s">
        <v>1247</v>
      </c>
      <c r="D340" s="214" t="s">
        <v>1151</v>
      </c>
      <c r="F340" s="215"/>
      <c r="G340" s="105"/>
      <c r="H340" s="216">
        <v>900</v>
      </c>
      <c r="I340" s="216"/>
      <c r="J340" s="216"/>
      <c r="K340" s="105"/>
      <c r="L340" s="105"/>
      <c r="M340" s="216">
        <v>6</v>
      </c>
      <c r="N340" s="216"/>
      <c r="O340" s="216"/>
      <c r="P340" s="216"/>
      <c r="Q340" s="216"/>
      <c r="R340" s="216"/>
      <c r="S340" s="216">
        <v>96</v>
      </c>
      <c r="T340" s="216"/>
      <c r="U340" s="216"/>
      <c r="V340" s="216"/>
      <c r="W340" s="216"/>
      <c r="X340" s="216"/>
      <c r="Y340" s="105"/>
      <c r="Z340" s="107">
        <v>963</v>
      </c>
      <c r="AA340" s="105"/>
      <c r="AB340" s="105"/>
      <c r="AC340" s="218"/>
    </row>
    <row r="341" spans="2:38" ht="15" hidden="1" x14ac:dyDescent="0.25">
      <c r="B341" s="219">
        <v>337</v>
      </c>
      <c r="C341" s="219" t="s">
        <v>1247</v>
      </c>
      <c r="D341" s="220" t="s">
        <v>1151</v>
      </c>
      <c r="E341" s="219"/>
      <c r="F341" s="221"/>
      <c r="G341" s="222"/>
      <c r="H341" s="223">
        <v>900</v>
      </c>
      <c r="I341" s="223"/>
      <c r="J341" s="223"/>
      <c r="K341" s="222"/>
      <c r="L341" s="222"/>
      <c r="M341" s="223">
        <v>6</v>
      </c>
      <c r="N341" s="223"/>
      <c r="O341" s="223"/>
      <c r="P341" s="223"/>
      <c r="Q341" s="223"/>
      <c r="R341" s="223"/>
      <c r="S341" s="223">
        <v>88</v>
      </c>
      <c r="T341" s="223"/>
      <c r="U341" s="223"/>
      <c r="V341" s="223"/>
      <c r="W341" s="223"/>
      <c r="X341" s="223"/>
      <c r="Y341" s="222"/>
      <c r="Z341" s="231">
        <v>868</v>
      </c>
      <c r="AA341" s="222"/>
      <c r="AB341" s="222"/>
      <c r="AC341" s="225"/>
    </row>
    <row r="342" spans="2:38" ht="15" hidden="1" x14ac:dyDescent="0.25">
      <c r="B342" s="1">
        <v>338</v>
      </c>
      <c r="C342" s="1" t="s">
        <v>1247</v>
      </c>
      <c r="D342" s="214" t="s">
        <v>1151</v>
      </c>
      <c r="F342" s="215"/>
      <c r="G342" s="105"/>
      <c r="H342" s="216">
        <v>900</v>
      </c>
      <c r="I342" s="216"/>
      <c r="J342" s="216"/>
      <c r="K342" s="105"/>
      <c r="L342" s="105"/>
      <c r="M342" s="216">
        <v>6</v>
      </c>
      <c r="N342" s="216"/>
      <c r="O342" s="216"/>
      <c r="P342" s="216"/>
      <c r="Q342" s="216"/>
      <c r="R342" s="216"/>
      <c r="S342" s="216">
        <v>80</v>
      </c>
      <c r="T342" s="216"/>
      <c r="U342" s="216"/>
      <c r="V342" s="216"/>
      <c r="W342" s="216"/>
      <c r="X342" s="216"/>
      <c r="Y342" s="105"/>
      <c r="Z342" s="107">
        <v>775</v>
      </c>
      <c r="AA342" s="105"/>
      <c r="AB342" s="105"/>
      <c r="AC342" s="218"/>
    </row>
    <row r="343" spans="2:38" ht="15" hidden="1" x14ac:dyDescent="0.25">
      <c r="B343" s="219">
        <v>339</v>
      </c>
      <c r="C343" s="219" t="s">
        <v>1247</v>
      </c>
      <c r="D343" s="220" t="s">
        <v>1151</v>
      </c>
      <c r="E343" s="219"/>
      <c r="F343" s="221"/>
      <c r="G343" s="222"/>
      <c r="H343" s="223">
        <v>900</v>
      </c>
      <c r="I343" s="223"/>
      <c r="J343" s="223"/>
      <c r="K343" s="222"/>
      <c r="L343" s="222"/>
      <c r="M343" s="223">
        <v>6</v>
      </c>
      <c r="N343" s="223"/>
      <c r="O343" s="223"/>
      <c r="P343" s="223"/>
      <c r="Q343" s="223"/>
      <c r="R343" s="223"/>
      <c r="S343" s="223">
        <v>72</v>
      </c>
      <c r="T343" s="223"/>
      <c r="U343" s="223"/>
      <c r="V343" s="223"/>
      <c r="W343" s="223"/>
      <c r="X343" s="223"/>
      <c r="Y343" s="222"/>
      <c r="Z343" s="231">
        <v>684</v>
      </c>
      <c r="AA343" s="222"/>
      <c r="AB343" s="222"/>
      <c r="AC343" s="225"/>
    </row>
    <row r="344" spans="2:38" ht="15" hidden="1" x14ac:dyDescent="0.25">
      <c r="B344" s="1">
        <v>340</v>
      </c>
      <c r="C344" s="1" t="s">
        <v>1247</v>
      </c>
      <c r="D344" s="214" t="s">
        <v>1151</v>
      </c>
      <c r="F344" s="215"/>
      <c r="G344" s="105"/>
      <c r="H344" s="216">
        <v>900</v>
      </c>
      <c r="I344" s="216"/>
      <c r="J344" s="216"/>
      <c r="K344" s="105"/>
      <c r="L344" s="105"/>
      <c r="M344" s="216">
        <v>6</v>
      </c>
      <c r="N344" s="216"/>
      <c r="O344" s="216"/>
      <c r="P344" s="216"/>
      <c r="Q344" s="216"/>
      <c r="R344" s="216"/>
      <c r="S344" s="216">
        <v>64</v>
      </c>
      <c r="T344" s="216"/>
      <c r="U344" s="216"/>
      <c r="V344" s="216"/>
      <c r="W344" s="216"/>
      <c r="X344" s="216"/>
      <c r="Y344" s="105"/>
      <c r="Z344" s="107">
        <v>594</v>
      </c>
      <c r="AA344" s="105"/>
      <c r="AB344" s="105"/>
      <c r="AC344" s="218"/>
    </row>
    <row r="345" spans="2:38" ht="15" hidden="1" x14ac:dyDescent="0.25">
      <c r="B345" s="219">
        <v>341</v>
      </c>
      <c r="C345" s="219" t="s">
        <v>1247</v>
      </c>
      <c r="D345" s="220" t="s">
        <v>1151</v>
      </c>
      <c r="E345" s="219"/>
      <c r="F345" s="221"/>
      <c r="G345" s="222"/>
      <c r="H345" s="223">
        <v>900</v>
      </c>
      <c r="I345" s="223"/>
      <c r="J345" s="223"/>
      <c r="K345" s="222"/>
      <c r="L345" s="222"/>
      <c r="M345" s="223">
        <v>6</v>
      </c>
      <c r="N345" s="223"/>
      <c r="O345" s="223"/>
      <c r="P345" s="223"/>
      <c r="Q345" s="223"/>
      <c r="R345" s="223"/>
      <c r="S345" s="223">
        <v>58</v>
      </c>
      <c r="T345" s="223"/>
      <c r="U345" s="223"/>
      <c r="V345" s="223"/>
      <c r="W345" s="223"/>
      <c r="X345" s="223"/>
      <c r="Y345" s="222"/>
      <c r="Z345" s="231">
        <v>529</v>
      </c>
      <c r="AA345" s="222"/>
      <c r="AB345" s="222"/>
      <c r="AC345" s="225"/>
      <c r="AD345" s="1" t="s">
        <v>1248</v>
      </c>
    </row>
    <row r="346" spans="2:38" ht="15" hidden="1" x14ac:dyDescent="0.25">
      <c r="B346" s="1">
        <v>342</v>
      </c>
      <c r="C346" s="1" t="s">
        <v>1247</v>
      </c>
      <c r="D346" s="214" t="s">
        <v>1151</v>
      </c>
      <c r="F346" s="215"/>
      <c r="G346" s="105"/>
      <c r="H346" s="216">
        <v>900</v>
      </c>
      <c r="I346" s="216"/>
      <c r="J346" s="216"/>
      <c r="K346" s="105"/>
      <c r="L346" s="105"/>
      <c r="M346" s="216">
        <v>6</v>
      </c>
      <c r="N346" s="216"/>
      <c r="O346" s="216"/>
      <c r="P346" s="216"/>
      <c r="Q346" s="216"/>
      <c r="R346" s="216"/>
      <c r="S346" s="216">
        <v>50</v>
      </c>
      <c r="T346" s="216"/>
      <c r="U346" s="216"/>
      <c r="V346" s="216"/>
      <c r="W346" s="216"/>
      <c r="X346" s="216"/>
      <c r="Y346" s="105"/>
      <c r="Z346" s="107">
        <v>443</v>
      </c>
      <c r="AA346" s="105"/>
      <c r="AB346" s="105"/>
      <c r="AC346" s="218"/>
      <c r="AD346" s="1" t="s">
        <v>1249</v>
      </c>
    </row>
    <row r="347" spans="2:38" ht="15" hidden="1" x14ac:dyDescent="0.25">
      <c r="B347" s="219">
        <v>343</v>
      </c>
      <c r="C347" s="219" t="s">
        <v>1247</v>
      </c>
      <c r="D347" s="220" t="s">
        <v>1151</v>
      </c>
      <c r="E347" s="219"/>
      <c r="F347" s="221"/>
      <c r="G347" s="222"/>
      <c r="H347" s="223">
        <v>900</v>
      </c>
      <c r="I347" s="223"/>
      <c r="J347" s="223"/>
      <c r="K347" s="222"/>
      <c r="L347" s="222"/>
      <c r="M347" s="223">
        <v>6</v>
      </c>
      <c r="N347" s="223"/>
      <c r="O347" s="223"/>
      <c r="P347" s="223"/>
      <c r="Q347" s="223"/>
      <c r="R347" s="223"/>
      <c r="S347" s="223">
        <v>46</v>
      </c>
      <c r="T347" s="223"/>
      <c r="U347" s="223"/>
      <c r="V347" s="223"/>
      <c r="W347" s="223"/>
      <c r="X347" s="223"/>
      <c r="Y347" s="222"/>
      <c r="Z347" s="231">
        <v>401</v>
      </c>
      <c r="AA347" s="222"/>
      <c r="AB347" s="222"/>
      <c r="AC347" s="225"/>
    </row>
    <row r="348" spans="2:38" ht="15" hidden="1" x14ac:dyDescent="0.25">
      <c r="B348" s="1">
        <v>344</v>
      </c>
      <c r="C348" s="1" t="s">
        <v>1247</v>
      </c>
      <c r="D348" s="214" t="s">
        <v>1151</v>
      </c>
      <c r="F348" s="215"/>
      <c r="G348" s="105"/>
      <c r="H348" s="216">
        <v>900</v>
      </c>
      <c r="I348" s="216"/>
      <c r="J348" s="216"/>
      <c r="K348" s="105"/>
      <c r="L348" s="105"/>
      <c r="M348" s="216">
        <v>6</v>
      </c>
      <c r="N348" s="216"/>
      <c r="O348" s="216"/>
      <c r="P348" s="216"/>
      <c r="Q348" s="216"/>
      <c r="R348" s="216"/>
      <c r="S348" s="216">
        <v>42</v>
      </c>
      <c r="T348" s="216"/>
      <c r="U348" s="216"/>
      <c r="V348" s="216"/>
      <c r="W348" s="216"/>
      <c r="X348" s="216"/>
      <c r="Y348" s="105"/>
      <c r="Z348" s="107">
        <v>360</v>
      </c>
      <c r="AA348" s="105"/>
      <c r="AB348" s="105"/>
      <c r="AC348" s="218"/>
      <c r="AE348" s="2">
        <v>1</v>
      </c>
      <c r="AF348" s="2">
        <v>2</v>
      </c>
      <c r="AG348" s="2">
        <v>3</v>
      </c>
      <c r="AH348" s="2">
        <v>4</v>
      </c>
      <c r="AI348" s="2">
        <v>5</v>
      </c>
      <c r="AJ348" s="2">
        <v>6</v>
      </c>
      <c r="AK348" s="2">
        <v>7</v>
      </c>
      <c r="AL348" s="2">
        <v>8</v>
      </c>
    </row>
    <row r="349" spans="2:38" ht="15" hidden="1" x14ac:dyDescent="0.25">
      <c r="B349" s="219">
        <v>345</v>
      </c>
      <c r="C349" s="219" t="s">
        <v>1247</v>
      </c>
      <c r="D349" s="220" t="s">
        <v>1151</v>
      </c>
      <c r="E349" s="219"/>
      <c r="F349" s="221"/>
      <c r="G349" s="222"/>
      <c r="H349" s="223">
        <v>900</v>
      </c>
      <c r="I349" s="223"/>
      <c r="J349" s="223"/>
      <c r="K349" s="222"/>
      <c r="L349" s="222"/>
      <c r="M349" s="223">
        <v>6</v>
      </c>
      <c r="N349" s="223"/>
      <c r="O349" s="223"/>
      <c r="P349" s="223"/>
      <c r="Q349" s="223"/>
      <c r="R349" s="223"/>
      <c r="S349" s="223">
        <v>38</v>
      </c>
      <c r="T349" s="223"/>
      <c r="U349" s="223"/>
      <c r="V349" s="223"/>
      <c r="W349" s="223"/>
      <c r="X349" s="223"/>
      <c r="Y349" s="222"/>
      <c r="Z349" s="231">
        <v>320</v>
      </c>
      <c r="AA349" s="222"/>
      <c r="AB349" s="222"/>
      <c r="AC349" s="225"/>
      <c r="AD349" s="3" t="s">
        <v>1250</v>
      </c>
      <c r="AE349" s="1">
        <v>11</v>
      </c>
      <c r="AF349" s="1">
        <v>20</v>
      </c>
      <c r="AG349" s="1">
        <v>34</v>
      </c>
      <c r="AH349" s="1">
        <v>60</v>
      </c>
      <c r="AI349" s="1">
        <v>75</v>
      </c>
      <c r="AJ349" s="1">
        <v>110</v>
      </c>
      <c r="AK349" s="1">
        <v>130</v>
      </c>
      <c r="AL349" s="1">
        <v>150</v>
      </c>
    </row>
    <row r="350" spans="2:38" ht="15" hidden="1" x14ac:dyDescent="0.25">
      <c r="B350" s="1">
        <v>346</v>
      </c>
      <c r="C350" s="1" t="s">
        <v>1247</v>
      </c>
      <c r="D350" s="214" t="s">
        <v>1151</v>
      </c>
      <c r="F350" s="215"/>
      <c r="G350" s="105"/>
      <c r="H350" s="216">
        <v>900</v>
      </c>
      <c r="I350" s="216"/>
      <c r="J350" s="216"/>
      <c r="K350" s="105"/>
      <c r="L350" s="105"/>
      <c r="M350" s="216">
        <v>6</v>
      </c>
      <c r="N350" s="216"/>
      <c r="O350" s="216"/>
      <c r="P350" s="216"/>
      <c r="Q350" s="216"/>
      <c r="R350" s="216"/>
      <c r="S350" s="216">
        <v>34</v>
      </c>
      <c r="T350" s="216"/>
      <c r="U350" s="216"/>
      <c r="V350" s="216"/>
      <c r="W350" s="216"/>
      <c r="X350" s="216"/>
      <c r="Y350" s="105"/>
      <c r="Z350" s="107">
        <v>280</v>
      </c>
      <c r="AA350" s="105"/>
      <c r="AB350" s="105"/>
      <c r="AC350" s="218"/>
      <c r="AD350" s="3" t="s">
        <v>1251</v>
      </c>
      <c r="AE350" s="1">
        <v>16</v>
      </c>
      <c r="AF350" s="1">
        <v>29</v>
      </c>
      <c r="AG350" s="1">
        <v>48</v>
      </c>
      <c r="AH350" s="1">
        <v>70</v>
      </c>
      <c r="AI350" s="1">
        <v>105</v>
      </c>
      <c r="AJ350" s="1">
        <v>150</v>
      </c>
      <c r="AK350" s="1">
        <v>190</v>
      </c>
      <c r="AL350" s="1">
        <v>215</v>
      </c>
    </row>
    <row r="351" spans="2:38" ht="15" hidden="1" x14ac:dyDescent="0.25">
      <c r="B351" s="219">
        <v>347</v>
      </c>
      <c r="C351" s="219" t="s">
        <v>1247</v>
      </c>
      <c r="D351" s="220" t="s">
        <v>1151</v>
      </c>
      <c r="E351" s="219"/>
      <c r="F351" s="221"/>
      <c r="G351" s="222"/>
      <c r="H351" s="223">
        <v>900</v>
      </c>
      <c r="I351" s="223"/>
      <c r="J351" s="223"/>
      <c r="K351" s="222"/>
      <c r="L351" s="222"/>
      <c r="M351" s="223">
        <v>6</v>
      </c>
      <c r="N351" s="223"/>
      <c r="O351" s="223"/>
      <c r="P351" s="223"/>
      <c r="Q351" s="223"/>
      <c r="R351" s="223"/>
      <c r="S351" s="223">
        <v>30</v>
      </c>
      <c r="T351" s="223"/>
      <c r="U351" s="223"/>
      <c r="V351" s="223"/>
      <c r="W351" s="223"/>
      <c r="X351" s="223"/>
      <c r="Y351" s="222"/>
      <c r="Z351" s="231">
        <v>241</v>
      </c>
      <c r="AA351" s="222"/>
      <c r="AB351" s="222"/>
      <c r="AC351" s="225"/>
      <c r="AD351" s="3" t="s">
        <v>1252</v>
      </c>
      <c r="AE351" s="1">
        <v>19</v>
      </c>
      <c r="AF351" s="1">
        <v>32</v>
      </c>
      <c r="AG351" s="1">
        <v>58</v>
      </c>
      <c r="AH351" s="1">
        <v>105</v>
      </c>
      <c r="AI351" s="1">
        <v>128</v>
      </c>
      <c r="AJ351" s="1">
        <v>180</v>
      </c>
      <c r="AK351" s="1">
        <v>225</v>
      </c>
      <c r="AL351" s="1">
        <v>260</v>
      </c>
    </row>
    <row r="352" spans="2:38" ht="15" hidden="1" x14ac:dyDescent="0.25">
      <c r="B352" s="1">
        <v>348</v>
      </c>
      <c r="C352" s="1" t="s">
        <v>1247</v>
      </c>
      <c r="D352" s="214" t="s">
        <v>1151</v>
      </c>
      <c r="F352" s="215"/>
      <c r="G352" s="105"/>
      <c r="H352" s="216">
        <v>1160</v>
      </c>
      <c r="I352" s="216"/>
      <c r="J352" s="216"/>
      <c r="K352" s="105"/>
      <c r="L352" s="105"/>
      <c r="M352" s="216">
        <v>7</v>
      </c>
      <c r="N352" s="216"/>
      <c r="O352" s="216"/>
      <c r="P352" s="216"/>
      <c r="Q352" s="216"/>
      <c r="R352" s="216"/>
      <c r="S352" s="216">
        <v>120</v>
      </c>
      <c r="T352" s="216"/>
      <c r="U352" s="216"/>
      <c r="V352" s="216"/>
      <c r="W352" s="216"/>
      <c r="X352" s="216"/>
      <c r="Y352" s="105"/>
      <c r="Z352" s="107">
        <v>1395</v>
      </c>
      <c r="AA352" s="105"/>
      <c r="AB352" s="105"/>
      <c r="AC352" s="218"/>
    </row>
    <row r="353" spans="2:38" ht="15" hidden="1" x14ac:dyDescent="0.25">
      <c r="B353" s="219">
        <v>349</v>
      </c>
      <c r="C353" s="219" t="s">
        <v>1247</v>
      </c>
      <c r="D353" s="220" t="s">
        <v>1151</v>
      </c>
      <c r="E353" s="219"/>
      <c r="F353" s="221"/>
      <c r="G353" s="222"/>
      <c r="H353" s="223">
        <v>1160</v>
      </c>
      <c r="I353" s="223"/>
      <c r="J353" s="223"/>
      <c r="K353" s="222"/>
      <c r="L353" s="222"/>
      <c r="M353" s="223">
        <v>7</v>
      </c>
      <c r="N353" s="223"/>
      <c r="O353" s="223"/>
      <c r="P353" s="223"/>
      <c r="Q353" s="223"/>
      <c r="R353" s="223"/>
      <c r="S353" s="223">
        <v>112</v>
      </c>
      <c r="T353" s="223"/>
      <c r="U353" s="223"/>
      <c r="V353" s="223"/>
      <c r="W353" s="223"/>
      <c r="X353" s="223"/>
      <c r="Y353" s="222"/>
      <c r="Z353" s="231">
        <v>1288</v>
      </c>
      <c r="AA353" s="222"/>
      <c r="AB353" s="222"/>
      <c r="AC353" s="225"/>
      <c r="AD353" s="4" t="s">
        <v>1253</v>
      </c>
      <c r="AE353" s="5">
        <v>1</v>
      </c>
      <c r="AF353" s="5">
        <v>2</v>
      </c>
      <c r="AG353" s="5">
        <v>3</v>
      </c>
      <c r="AH353" s="5">
        <v>4</v>
      </c>
      <c r="AI353" s="5">
        <v>5</v>
      </c>
      <c r="AJ353" s="5">
        <v>6</v>
      </c>
      <c r="AK353" s="5">
        <v>7</v>
      </c>
      <c r="AL353" s="5">
        <v>8</v>
      </c>
    </row>
    <row r="354" spans="2:38" ht="15" hidden="1" x14ac:dyDescent="0.25">
      <c r="B354" s="1">
        <v>350</v>
      </c>
      <c r="C354" s="1" t="s">
        <v>1247</v>
      </c>
      <c r="D354" s="214" t="s">
        <v>1151</v>
      </c>
      <c r="F354" s="215"/>
      <c r="G354" s="105"/>
      <c r="H354" s="216">
        <v>1160</v>
      </c>
      <c r="I354" s="216"/>
      <c r="J354" s="216"/>
      <c r="K354" s="105"/>
      <c r="L354" s="105"/>
      <c r="M354" s="216">
        <v>7</v>
      </c>
      <c r="N354" s="216"/>
      <c r="O354" s="216"/>
      <c r="P354" s="216"/>
      <c r="Q354" s="216"/>
      <c r="R354" s="216"/>
      <c r="S354" s="216">
        <v>104</v>
      </c>
      <c r="T354" s="216"/>
      <c r="U354" s="216"/>
      <c r="V354" s="216"/>
      <c r="W354" s="216"/>
      <c r="X354" s="216"/>
      <c r="Y354" s="105"/>
      <c r="Z354" s="107">
        <v>1182</v>
      </c>
      <c r="AA354" s="105"/>
      <c r="AB354" s="105"/>
      <c r="AC354" s="218"/>
      <c r="AD354" s="6" t="s">
        <v>1254</v>
      </c>
      <c r="AE354" s="7">
        <v>0</v>
      </c>
      <c r="AF354" s="8">
        <f t="shared" ref="AF354:AJ354" si="2">AE349+1</f>
        <v>12</v>
      </c>
      <c r="AG354" s="8">
        <f t="shared" si="2"/>
        <v>21</v>
      </c>
      <c r="AH354" s="8">
        <f t="shared" si="2"/>
        <v>35</v>
      </c>
      <c r="AI354" s="8">
        <f t="shared" si="2"/>
        <v>61</v>
      </c>
      <c r="AJ354" s="8">
        <f t="shared" si="2"/>
        <v>76</v>
      </c>
      <c r="AK354" s="8">
        <f>AJ349+1</f>
        <v>111</v>
      </c>
      <c r="AL354" s="8">
        <f>AK349+1</f>
        <v>131</v>
      </c>
    </row>
    <row r="355" spans="2:38" ht="15" hidden="1" x14ac:dyDescent="0.25">
      <c r="B355" s="219">
        <v>351</v>
      </c>
      <c r="C355" s="219" t="s">
        <v>1247</v>
      </c>
      <c r="D355" s="220" t="s">
        <v>1151</v>
      </c>
      <c r="E355" s="219"/>
      <c r="F355" s="221"/>
      <c r="G355" s="222"/>
      <c r="H355" s="223">
        <v>1160</v>
      </c>
      <c r="I355" s="223"/>
      <c r="J355" s="223"/>
      <c r="K355" s="222"/>
      <c r="L355" s="222"/>
      <c r="M355" s="223">
        <v>7</v>
      </c>
      <c r="N355" s="223"/>
      <c r="O355" s="223"/>
      <c r="P355" s="223"/>
      <c r="Q355" s="223"/>
      <c r="R355" s="223"/>
      <c r="S355" s="223">
        <v>96</v>
      </c>
      <c r="T355" s="223"/>
      <c r="U355" s="223"/>
      <c r="V355" s="223"/>
      <c r="W355" s="223"/>
      <c r="X355" s="223"/>
      <c r="Y355" s="222"/>
      <c r="Z355" s="231">
        <v>1077</v>
      </c>
      <c r="AA355" s="222"/>
      <c r="AB355" s="222"/>
      <c r="AC355" s="225"/>
      <c r="AD355" s="9" t="s">
        <v>1250</v>
      </c>
      <c r="AE355" s="8">
        <v>0</v>
      </c>
      <c r="AF355" s="8">
        <f t="shared" ref="AF355:AL357" si="3">AE349+1</f>
        <v>12</v>
      </c>
      <c r="AG355" s="8">
        <f t="shared" si="3"/>
        <v>21</v>
      </c>
      <c r="AH355" s="8">
        <f t="shared" si="3"/>
        <v>35</v>
      </c>
      <c r="AI355" s="8">
        <f t="shared" si="3"/>
        <v>61</v>
      </c>
      <c r="AJ355" s="8">
        <f t="shared" si="3"/>
        <v>76</v>
      </c>
      <c r="AK355" s="8">
        <f t="shared" si="3"/>
        <v>111</v>
      </c>
      <c r="AL355" s="8">
        <f>AK349+1</f>
        <v>131</v>
      </c>
    </row>
    <row r="356" spans="2:38" ht="15" hidden="1" x14ac:dyDescent="0.25">
      <c r="B356" s="1">
        <v>352</v>
      </c>
      <c r="C356" s="1" t="s">
        <v>1247</v>
      </c>
      <c r="D356" s="214" t="s">
        <v>1151</v>
      </c>
      <c r="F356" s="215"/>
      <c r="G356" s="105"/>
      <c r="H356" s="216">
        <v>1160</v>
      </c>
      <c r="I356" s="216"/>
      <c r="J356" s="216"/>
      <c r="K356" s="105"/>
      <c r="L356" s="105"/>
      <c r="M356" s="216">
        <v>7</v>
      </c>
      <c r="N356" s="216"/>
      <c r="O356" s="216"/>
      <c r="P356" s="216"/>
      <c r="Q356" s="216"/>
      <c r="R356" s="216"/>
      <c r="S356" s="216">
        <v>88</v>
      </c>
      <c r="T356" s="216"/>
      <c r="U356" s="216"/>
      <c r="V356" s="216"/>
      <c r="W356" s="216"/>
      <c r="X356" s="216"/>
      <c r="Y356" s="105"/>
      <c r="Z356" s="107">
        <v>974</v>
      </c>
      <c r="AA356" s="105"/>
      <c r="AB356" s="105"/>
      <c r="AC356" s="218"/>
      <c r="AD356" s="9" t="s">
        <v>1251</v>
      </c>
      <c r="AE356" s="8">
        <v>0</v>
      </c>
      <c r="AF356" s="8">
        <f t="shared" si="3"/>
        <v>17</v>
      </c>
      <c r="AG356" s="8">
        <f t="shared" si="3"/>
        <v>30</v>
      </c>
      <c r="AH356" s="8">
        <f t="shared" si="3"/>
        <v>49</v>
      </c>
      <c r="AI356" s="8">
        <f t="shared" si="3"/>
        <v>71</v>
      </c>
      <c r="AJ356" s="8">
        <f t="shared" si="3"/>
        <v>106</v>
      </c>
      <c r="AK356" s="8">
        <f t="shared" si="3"/>
        <v>151</v>
      </c>
      <c r="AL356" s="8">
        <f t="shared" si="3"/>
        <v>191</v>
      </c>
    </row>
    <row r="357" spans="2:38" ht="15" hidden="1" x14ac:dyDescent="0.25">
      <c r="B357" s="219">
        <v>353</v>
      </c>
      <c r="C357" s="219" t="s">
        <v>1247</v>
      </c>
      <c r="D357" s="220" t="s">
        <v>1151</v>
      </c>
      <c r="E357" s="219"/>
      <c r="F357" s="221"/>
      <c r="G357" s="222"/>
      <c r="H357" s="223">
        <v>1160</v>
      </c>
      <c r="I357" s="223"/>
      <c r="J357" s="223"/>
      <c r="K357" s="222"/>
      <c r="L357" s="222"/>
      <c r="M357" s="223">
        <v>7</v>
      </c>
      <c r="N357" s="223"/>
      <c r="O357" s="223"/>
      <c r="P357" s="223"/>
      <c r="Q357" s="223"/>
      <c r="R357" s="223"/>
      <c r="S357" s="223">
        <v>80</v>
      </c>
      <c r="T357" s="223"/>
      <c r="U357" s="223"/>
      <c r="V357" s="223"/>
      <c r="W357" s="223"/>
      <c r="X357" s="223"/>
      <c r="Y357" s="222"/>
      <c r="Z357" s="231">
        <v>872</v>
      </c>
      <c r="AA357" s="222"/>
      <c r="AB357" s="222"/>
      <c r="AC357" s="225"/>
      <c r="AD357" s="9" t="s">
        <v>1252</v>
      </c>
      <c r="AE357" s="8">
        <v>0</v>
      </c>
      <c r="AF357" s="8">
        <f t="shared" si="3"/>
        <v>20</v>
      </c>
      <c r="AG357" s="8">
        <f t="shared" si="3"/>
        <v>33</v>
      </c>
      <c r="AH357" s="8">
        <f t="shared" si="3"/>
        <v>59</v>
      </c>
      <c r="AI357" s="8">
        <f t="shared" si="3"/>
        <v>106</v>
      </c>
      <c r="AJ357" s="8">
        <f t="shared" si="3"/>
        <v>129</v>
      </c>
      <c r="AK357" s="8">
        <f t="shared" si="3"/>
        <v>181</v>
      </c>
      <c r="AL357" s="8">
        <f>AK351+1</f>
        <v>226</v>
      </c>
    </row>
    <row r="358" spans="2:38" ht="15" hidden="1" x14ac:dyDescent="0.25">
      <c r="B358" s="1">
        <v>354</v>
      </c>
      <c r="C358" s="1" t="s">
        <v>1247</v>
      </c>
      <c r="D358" s="214" t="s">
        <v>1151</v>
      </c>
      <c r="F358" s="215"/>
      <c r="G358" s="105"/>
      <c r="H358" s="216">
        <v>1160</v>
      </c>
      <c r="I358" s="216"/>
      <c r="J358" s="216"/>
      <c r="K358" s="105"/>
      <c r="L358" s="105"/>
      <c r="M358" s="216">
        <v>7</v>
      </c>
      <c r="N358" s="216"/>
      <c r="O358" s="216"/>
      <c r="P358" s="216"/>
      <c r="Q358" s="216"/>
      <c r="R358" s="216"/>
      <c r="S358" s="216">
        <v>72</v>
      </c>
      <c r="T358" s="216"/>
      <c r="U358" s="216"/>
      <c r="V358" s="216"/>
      <c r="W358" s="216"/>
      <c r="X358" s="216"/>
      <c r="Y358" s="105"/>
      <c r="Z358" s="107">
        <v>771</v>
      </c>
      <c r="AA358" s="105"/>
      <c r="AB358" s="105"/>
      <c r="AC358" s="218"/>
    </row>
    <row r="359" spans="2:38" ht="15" hidden="1" x14ac:dyDescent="0.25">
      <c r="B359" s="219">
        <v>355</v>
      </c>
      <c r="C359" s="219" t="s">
        <v>1247</v>
      </c>
      <c r="D359" s="220" t="s">
        <v>1151</v>
      </c>
      <c r="E359" s="219"/>
      <c r="F359" s="221"/>
      <c r="G359" s="222"/>
      <c r="H359" s="223">
        <v>1160</v>
      </c>
      <c r="I359" s="223"/>
      <c r="J359" s="223"/>
      <c r="K359" s="222"/>
      <c r="L359" s="222"/>
      <c r="M359" s="223">
        <v>7</v>
      </c>
      <c r="N359" s="223"/>
      <c r="O359" s="223"/>
      <c r="P359" s="223"/>
      <c r="Q359" s="223"/>
      <c r="R359" s="223"/>
      <c r="S359" s="223">
        <v>64</v>
      </c>
      <c r="T359" s="223"/>
      <c r="U359" s="223"/>
      <c r="V359" s="223"/>
      <c r="W359" s="223"/>
      <c r="X359" s="223"/>
      <c r="Y359" s="222"/>
      <c r="Z359" s="231">
        <v>673</v>
      </c>
      <c r="AA359" s="222"/>
      <c r="AB359" s="222"/>
      <c r="AC359" s="225"/>
    </row>
    <row r="360" spans="2:38" ht="15" hidden="1" x14ac:dyDescent="0.25">
      <c r="B360" s="1">
        <v>356</v>
      </c>
      <c r="C360" s="1" t="s">
        <v>1247</v>
      </c>
      <c r="D360" s="214" t="s">
        <v>1151</v>
      </c>
      <c r="F360" s="215"/>
      <c r="G360" s="105"/>
      <c r="H360" s="216">
        <v>1160</v>
      </c>
      <c r="I360" s="216"/>
      <c r="J360" s="216"/>
      <c r="K360" s="105"/>
      <c r="L360" s="105"/>
      <c r="M360" s="216">
        <v>7</v>
      </c>
      <c r="N360" s="216"/>
      <c r="O360" s="216"/>
      <c r="P360" s="216"/>
      <c r="Q360" s="216"/>
      <c r="R360" s="216"/>
      <c r="S360" s="216">
        <v>58</v>
      </c>
      <c r="T360" s="216"/>
      <c r="U360" s="216"/>
      <c r="V360" s="216"/>
      <c r="W360" s="216"/>
      <c r="X360" s="216"/>
      <c r="Y360" s="105"/>
      <c r="Z360" s="107">
        <v>600</v>
      </c>
      <c r="AA360" s="105"/>
      <c r="AB360" s="105"/>
      <c r="AC360" s="218"/>
    </row>
    <row r="361" spans="2:38" ht="15" hidden="1" x14ac:dyDescent="0.25">
      <c r="B361" s="219">
        <v>357</v>
      </c>
      <c r="C361" s="219" t="s">
        <v>1247</v>
      </c>
      <c r="D361" s="220" t="s">
        <v>1151</v>
      </c>
      <c r="E361" s="219"/>
      <c r="F361" s="221"/>
      <c r="G361" s="222"/>
      <c r="H361" s="223">
        <v>1160</v>
      </c>
      <c r="I361" s="223"/>
      <c r="J361" s="223"/>
      <c r="K361" s="222"/>
      <c r="L361" s="222"/>
      <c r="M361" s="223">
        <v>7</v>
      </c>
      <c r="N361" s="223"/>
      <c r="O361" s="223"/>
      <c r="P361" s="223"/>
      <c r="Q361" s="223"/>
      <c r="R361" s="223"/>
      <c r="S361" s="223">
        <v>50</v>
      </c>
      <c r="T361" s="223"/>
      <c r="U361" s="223"/>
      <c r="V361" s="223"/>
      <c r="W361" s="223"/>
      <c r="X361" s="223"/>
      <c r="Y361" s="222"/>
      <c r="Z361" s="231">
        <v>505</v>
      </c>
      <c r="AA361" s="222"/>
      <c r="AB361" s="222"/>
      <c r="AC361" s="225"/>
      <c r="AD361" s="10" t="s">
        <v>1255</v>
      </c>
      <c r="AE361" s="11" t="s">
        <v>1254</v>
      </c>
    </row>
    <row r="362" spans="2:38" ht="15" hidden="1" x14ac:dyDescent="0.25">
      <c r="B362" s="1">
        <v>358</v>
      </c>
      <c r="C362" s="1" t="s">
        <v>1247</v>
      </c>
      <c r="D362" s="214" t="s">
        <v>1151</v>
      </c>
      <c r="F362" s="215"/>
      <c r="G362" s="105"/>
      <c r="H362" s="216">
        <v>1160</v>
      </c>
      <c r="I362" s="216"/>
      <c r="J362" s="216"/>
      <c r="K362" s="105"/>
      <c r="L362" s="105"/>
      <c r="M362" s="216">
        <v>7</v>
      </c>
      <c r="N362" s="216"/>
      <c r="O362" s="216"/>
      <c r="P362" s="216"/>
      <c r="Q362" s="216"/>
      <c r="R362" s="216"/>
      <c r="S362" s="216">
        <v>46</v>
      </c>
      <c r="T362" s="216"/>
      <c r="U362" s="216"/>
      <c r="V362" s="216"/>
      <c r="W362" s="216"/>
      <c r="X362" s="216"/>
      <c r="Y362" s="105"/>
      <c r="Z362" s="107">
        <v>459</v>
      </c>
      <c r="AA362" s="105"/>
      <c r="AB362" s="105"/>
      <c r="AC362" s="218"/>
      <c r="AD362" s="12" t="s">
        <v>1256</v>
      </c>
      <c r="AE362" s="13">
        <v>1.69</v>
      </c>
    </row>
    <row r="363" spans="2:38" ht="15" hidden="1" x14ac:dyDescent="0.25">
      <c r="B363" s="219">
        <v>359</v>
      </c>
      <c r="C363" s="219" t="s">
        <v>1247</v>
      </c>
      <c r="D363" s="220" t="s">
        <v>1151</v>
      </c>
      <c r="E363" s="219"/>
      <c r="F363" s="221"/>
      <c r="G363" s="222"/>
      <c r="H363" s="223">
        <v>1160</v>
      </c>
      <c r="I363" s="223"/>
      <c r="J363" s="223"/>
      <c r="K363" s="222"/>
      <c r="L363" s="222"/>
      <c r="M363" s="223">
        <v>7</v>
      </c>
      <c r="N363" s="223"/>
      <c r="O363" s="223"/>
      <c r="P363" s="223"/>
      <c r="Q363" s="223"/>
      <c r="R363" s="223"/>
      <c r="S363" s="223">
        <v>42</v>
      </c>
      <c r="T363" s="223"/>
      <c r="U363" s="223"/>
      <c r="V363" s="223"/>
      <c r="W363" s="223"/>
      <c r="X363" s="223"/>
      <c r="Y363" s="222"/>
      <c r="Z363" s="231">
        <v>413</v>
      </c>
      <c r="AA363" s="222"/>
      <c r="AB363" s="222"/>
      <c r="AC363" s="225"/>
      <c r="AD363" s="14" t="s">
        <v>1257</v>
      </c>
      <c r="AE363" s="15" cm="1">
        <f t="array" ref="AE363">INDEX($AE$353:$AL$353,,MATCH(AE362*60,INDEX($AE$354:$AL$357,MATCH(AE361,$AD$354:$AD$357,0),),1))</f>
        <v>6</v>
      </c>
    </row>
    <row r="364" spans="2:38" ht="15" hidden="1" x14ac:dyDescent="0.25">
      <c r="B364" s="1">
        <v>360</v>
      </c>
      <c r="C364" s="1" t="s">
        <v>1247</v>
      </c>
      <c r="D364" s="214" t="s">
        <v>1151</v>
      </c>
      <c r="F364" s="215"/>
      <c r="G364" s="105"/>
      <c r="H364" s="216">
        <v>1160</v>
      </c>
      <c r="I364" s="216"/>
      <c r="J364" s="216"/>
      <c r="K364" s="105"/>
      <c r="L364" s="105"/>
      <c r="M364" s="216">
        <v>7</v>
      </c>
      <c r="N364" s="216"/>
      <c r="O364" s="216"/>
      <c r="P364" s="216"/>
      <c r="Q364" s="216"/>
      <c r="R364" s="216"/>
      <c r="S364" s="216">
        <v>38</v>
      </c>
      <c r="T364" s="216"/>
      <c r="U364" s="216"/>
      <c r="V364" s="216"/>
      <c r="W364" s="216"/>
      <c r="X364" s="216"/>
      <c r="Y364" s="105"/>
      <c r="Z364" s="107">
        <v>368</v>
      </c>
      <c r="AA364" s="105"/>
      <c r="AB364" s="105"/>
      <c r="AC364" s="218"/>
    </row>
    <row r="365" spans="2:38" ht="15" hidden="1" x14ac:dyDescent="0.25">
      <c r="B365" s="219">
        <v>361</v>
      </c>
      <c r="C365" s="219" t="s">
        <v>1247</v>
      </c>
      <c r="D365" s="220" t="s">
        <v>1151</v>
      </c>
      <c r="E365" s="219"/>
      <c r="F365" s="221"/>
      <c r="G365" s="222"/>
      <c r="H365" s="223">
        <v>1160</v>
      </c>
      <c r="I365" s="223"/>
      <c r="J365" s="223"/>
      <c r="K365" s="222"/>
      <c r="L365" s="222"/>
      <c r="M365" s="223">
        <v>7</v>
      </c>
      <c r="N365" s="223"/>
      <c r="O365" s="223"/>
      <c r="P365" s="223"/>
      <c r="Q365" s="223"/>
      <c r="R365" s="223"/>
      <c r="S365" s="223">
        <v>34</v>
      </c>
      <c r="T365" s="223"/>
      <c r="U365" s="223"/>
      <c r="V365" s="223"/>
      <c r="W365" s="223"/>
      <c r="X365" s="223"/>
      <c r="Y365" s="222"/>
      <c r="Z365" s="231">
        <v>323</v>
      </c>
      <c r="AA365" s="222"/>
      <c r="AB365" s="222"/>
      <c r="AC365" s="225"/>
    </row>
    <row r="366" spans="2:38" ht="15" hidden="1" x14ac:dyDescent="0.25">
      <c r="B366" s="1">
        <v>362</v>
      </c>
      <c r="C366" s="1" t="s">
        <v>1247</v>
      </c>
      <c r="D366" s="214" t="s">
        <v>1151</v>
      </c>
      <c r="F366" s="215"/>
      <c r="G366" s="105"/>
      <c r="H366" s="216">
        <v>1160</v>
      </c>
      <c r="I366" s="216"/>
      <c r="J366" s="216"/>
      <c r="K366" s="105"/>
      <c r="L366" s="105"/>
      <c r="M366" s="216">
        <v>7</v>
      </c>
      <c r="N366" s="216"/>
      <c r="O366" s="216"/>
      <c r="P366" s="216"/>
      <c r="Q366" s="216"/>
      <c r="R366" s="216"/>
      <c r="S366" s="216">
        <v>30</v>
      </c>
      <c r="T366" s="216"/>
      <c r="U366" s="216"/>
      <c r="V366" s="216"/>
      <c r="W366" s="216"/>
      <c r="X366" s="216"/>
      <c r="Y366" s="105"/>
      <c r="Z366" s="107">
        <v>280</v>
      </c>
      <c r="AA366" s="105"/>
      <c r="AB366" s="105"/>
      <c r="AC366" s="218"/>
    </row>
    <row r="367" spans="2:38" ht="15" hidden="1" x14ac:dyDescent="0.25">
      <c r="B367" s="219">
        <v>363</v>
      </c>
      <c r="C367" s="219" t="s">
        <v>1247</v>
      </c>
      <c r="D367" s="220" t="s">
        <v>1151</v>
      </c>
      <c r="E367" s="219"/>
      <c r="F367" s="221"/>
      <c r="G367" s="222"/>
      <c r="H367" s="223">
        <v>1310</v>
      </c>
      <c r="I367" s="223"/>
      <c r="J367" s="223"/>
      <c r="K367" s="222"/>
      <c r="L367" s="222"/>
      <c r="M367" s="223">
        <v>8</v>
      </c>
      <c r="N367" s="223"/>
      <c r="O367" s="223"/>
      <c r="P367" s="223"/>
      <c r="Q367" s="223"/>
      <c r="R367" s="223"/>
      <c r="S367" s="223">
        <v>120</v>
      </c>
      <c r="T367" s="223"/>
      <c r="U367" s="223"/>
      <c r="V367" s="223"/>
      <c r="W367" s="223"/>
      <c r="X367" s="223"/>
      <c r="Y367" s="222"/>
      <c r="Z367" s="231">
        <v>1625</v>
      </c>
      <c r="AA367" s="222"/>
      <c r="AB367" s="222"/>
      <c r="AC367" s="225"/>
      <c r="AD367" s="1" t="s">
        <v>1258</v>
      </c>
      <c r="AE367" s="1" t="s">
        <v>1259</v>
      </c>
    </row>
    <row r="368" spans="2:38" ht="15" hidden="1" x14ac:dyDescent="0.25">
      <c r="B368" s="1">
        <v>364</v>
      </c>
      <c r="C368" s="1" t="s">
        <v>1247</v>
      </c>
      <c r="D368" s="214" t="s">
        <v>1151</v>
      </c>
      <c r="F368" s="215"/>
      <c r="G368" s="105"/>
      <c r="H368" s="216">
        <v>1310</v>
      </c>
      <c r="I368" s="216"/>
      <c r="J368" s="216"/>
      <c r="K368" s="105"/>
      <c r="L368" s="105"/>
      <c r="M368" s="216">
        <v>8</v>
      </c>
      <c r="N368" s="216"/>
      <c r="O368" s="216"/>
      <c r="P368" s="216"/>
      <c r="Q368" s="216"/>
      <c r="R368" s="216"/>
      <c r="S368" s="216">
        <v>112</v>
      </c>
      <c r="T368" s="216"/>
      <c r="U368" s="216"/>
      <c r="V368" s="216"/>
      <c r="W368" s="216"/>
      <c r="X368" s="216"/>
      <c r="Y368" s="105"/>
      <c r="Z368" s="107">
        <v>1497</v>
      </c>
      <c r="AA368" s="105"/>
      <c r="AB368" s="105"/>
      <c r="AC368" s="218"/>
    </row>
    <row r="369" spans="2:39" ht="15" hidden="1" x14ac:dyDescent="0.25">
      <c r="B369" s="219">
        <v>365</v>
      </c>
      <c r="C369" s="219" t="s">
        <v>1247</v>
      </c>
      <c r="D369" s="220" t="s">
        <v>1151</v>
      </c>
      <c r="E369" s="219"/>
      <c r="F369" s="221"/>
      <c r="G369" s="222"/>
      <c r="H369" s="223">
        <v>1310</v>
      </c>
      <c r="I369" s="223"/>
      <c r="J369" s="223"/>
      <c r="K369" s="222"/>
      <c r="L369" s="222"/>
      <c r="M369" s="223">
        <v>8</v>
      </c>
      <c r="N369" s="223"/>
      <c r="O369" s="223"/>
      <c r="P369" s="223"/>
      <c r="Q369" s="223"/>
      <c r="R369" s="223"/>
      <c r="S369" s="223">
        <v>104</v>
      </c>
      <c r="T369" s="223"/>
      <c r="U369" s="223"/>
      <c r="V369" s="223"/>
      <c r="W369" s="223"/>
      <c r="X369" s="223"/>
      <c r="Y369" s="222"/>
      <c r="Z369" s="231">
        <v>1371</v>
      </c>
      <c r="AA369" s="222"/>
      <c r="AB369" s="222"/>
      <c r="AC369" s="225"/>
    </row>
    <row r="370" spans="2:39" ht="15" hidden="1" x14ac:dyDescent="0.25">
      <c r="B370" s="1">
        <v>366</v>
      </c>
      <c r="C370" s="1" t="s">
        <v>1247</v>
      </c>
      <c r="D370" s="214" t="s">
        <v>1151</v>
      </c>
      <c r="F370" s="215"/>
      <c r="G370" s="105"/>
      <c r="H370" s="216">
        <v>1310</v>
      </c>
      <c r="I370" s="216"/>
      <c r="J370" s="216"/>
      <c r="K370" s="105"/>
      <c r="L370" s="105"/>
      <c r="M370" s="216">
        <v>8</v>
      </c>
      <c r="N370" s="216"/>
      <c r="O370" s="216"/>
      <c r="P370" s="216"/>
      <c r="Q370" s="216"/>
      <c r="R370" s="216"/>
      <c r="S370" s="216">
        <v>96</v>
      </c>
      <c r="T370" s="216"/>
      <c r="U370" s="216"/>
      <c r="V370" s="216"/>
      <c r="W370" s="216"/>
      <c r="X370" s="216"/>
      <c r="Y370" s="105"/>
      <c r="Z370" s="107">
        <v>1296</v>
      </c>
      <c r="AA370" s="105"/>
      <c r="AB370" s="105"/>
      <c r="AC370" s="218"/>
      <c r="AE370" s="1">
        <v>1</v>
      </c>
      <c r="AF370" s="1">
        <v>2</v>
      </c>
      <c r="AG370" s="1">
        <v>3</v>
      </c>
      <c r="AH370" s="1">
        <v>4</v>
      </c>
      <c r="AI370" s="1">
        <v>5</v>
      </c>
      <c r="AJ370" s="1">
        <v>6</v>
      </c>
      <c r="AK370" s="1">
        <v>7</v>
      </c>
      <c r="AL370" s="1">
        <v>8</v>
      </c>
      <c r="AM370" s="1">
        <v>9</v>
      </c>
    </row>
    <row r="371" spans="2:39" ht="15" hidden="1" x14ac:dyDescent="0.25">
      <c r="B371" s="219">
        <v>367</v>
      </c>
      <c r="C371" s="219" t="s">
        <v>1247</v>
      </c>
      <c r="D371" s="220" t="s">
        <v>1151</v>
      </c>
      <c r="E371" s="219"/>
      <c r="F371" s="221"/>
      <c r="G371" s="222"/>
      <c r="H371" s="223">
        <v>1310</v>
      </c>
      <c r="I371" s="223"/>
      <c r="J371" s="223"/>
      <c r="K371" s="222"/>
      <c r="L371" s="222"/>
      <c r="M371" s="223">
        <v>8</v>
      </c>
      <c r="N371" s="223"/>
      <c r="O371" s="223"/>
      <c r="P371" s="223"/>
      <c r="Q371" s="223"/>
      <c r="R371" s="223"/>
      <c r="S371" s="223">
        <v>88</v>
      </c>
      <c r="T371" s="223"/>
      <c r="U371" s="223"/>
      <c r="V371" s="223"/>
      <c r="W371" s="223"/>
      <c r="X371" s="223"/>
      <c r="Y371" s="222"/>
      <c r="Z371" s="231">
        <v>1123</v>
      </c>
      <c r="AA371" s="222"/>
      <c r="AB371" s="222"/>
      <c r="AC371" s="225"/>
      <c r="AD371" s="1" t="s">
        <v>1260</v>
      </c>
      <c r="AE371" s="1">
        <v>12.6</v>
      </c>
      <c r="AF371" s="1">
        <v>20</v>
      </c>
      <c r="AG371" s="1">
        <v>28.5</v>
      </c>
      <c r="AH371" s="1">
        <v>37.6</v>
      </c>
      <c r="AI371" s="1">
        <v>47</v>
      </c>
      <c r="AJ371" s="1">
        <v>56</v>
      </c>
      <c r="AK371" s="1">
        <v>65</v>
      </c>
      <c r="AL371" s="1">
        <v>73.75</v>
      </c>
      <c r="AM371" s="1">
        <v>80</v>
      </c>
    </row>
    <row r="372" spans="2:39" ht="15" hidden="1" x14ac:dyDescent="0.25">
      <c r="B372" s="1">
        <v>368</v>
      </c>
      <c r="C372" s="1" t="s">
        <v>1247</v>
      </c>
      <c r="D372" s="214" t="s">
        <v>1151</v>
      </c>
      <c r="F372" s="215"/>
      <c r="G372" s="105"/>
      <c r="H372" s="216">
        <v>1310</v>
      </c>
      <c r="I372" s="216"/>
      <c r="J372" s="216"/>
      <c r="K372" s="105"/>
      <c r="L372" s="105"/>
      <c r="M372" s="216">
        <v>8</v>
      </c>
      <c r="N372" s="216"/>
      <c r="O372" s="216"/>
      <c r="P372" s="216"/>
      <c r="Q372" s="216"/>
      <c r="R372" s="216"/>
      <c r="S372" s="216">
        <v>80</v>
      </c>
      <c r="T372" s="216"/>
      <c r="U372" s="216"/>
      <c r="V372" s="216"/>
      <c r="W372" s="216"/>
      <c r="X372" s="216"/>
      <c r="Y372" s="105"/>
      <c r="Z372" s="107">
        <v>1003</v>
      </c>
      <c r="AA372" s="105"/>
      <c r="AB372" s="105"/>
      <c r="AC372" s="218"/>
      <c r="AD372" s="1" t="s">
        <v>1261</v>
      </c>
      <c r="AE372" s="1">
        <v>16</v>
      </c>
      <c r="AF372" s="1">
        <v>28.5</v>
      </c>
      <c r="AG372" s="1">
        <v>41.3</v>
      </c>
      <c r="AH372" s="1">
        <v>54</v>
      </c>
      <c r="AI372" s="1">
        <v>66</v>
      </c>
      <c r="AJ372" s="1">
        <v>79</v>
      </c>
      <c r="AK372" s="1">
        <v>92</v>
      </c>
      <c r="AL372" s="1">
        <v>101</v>
      </c>
      <c r="AM372" s="1">
        <v>116</v>
      </c>
    </row>
    <row r="373" spans="2:39" ht="15" hidden="1" x14ac:dyDescent="0.25">
      <c r="B373" s="219">
        <v>369</v>
      </c>
      <c r="C373" s="219" t="s">
        <v>1247</v>
      </c>
      <c r="D373" s="220" t="s">
        <v>1151</v>
      </c>
      <c r="E373" s="219"/>
      <c r="F373" s="221"/>
      <c r="G373" s="222"/>
      <c r="H373" s="223">
        <v>1310</v>
      </c>
      <c r="I373" s="223"/>
      <c r="J373" s="223"/>
      <c r="K373" s="222"/>
      <c r="L373" s="222"/>
      <c r="M373" s="223">
        <v>8</v>
      </c>
      <c r="N373" s="223"/>
      <c r="O373" s="223"/>
      <c r="P373" s="223"/>
      <c r="Q373" s="223"/>
      <c r="R373" s="223"/>
      <c r="S373" s="223">
        <v>72</v>
      </c>
      <c r="T373" s="223"/>
      <c r="U373" s="223"/>
      <c r="V373" s="223"/>
      <c r="W373" s="223"/>
      <c r="X373" s="223"/>
      <c r="Y373" s="222"/>
      <c r="Z373" s="231">
        <v>885</v>
      </c>
      <c r="AA373" s="222"/>
      <c r="AB373" s="222"/>
      <c r="AC373" s="225"/>
      <c r="AD373" s="1" t="s">
        <v>1262</v>
      </c>
      <c r="AE373" s="1">
        <v>17.399999999999999</v>
      </c>
      <c r="AF373" s="1">
        <v>31.5</v>
      </c>
      <c r="AG373" s="1">
        <v>45</v>
      </c>
      <c r="AH373" s="1">
        <v>60</v>
      </c>
      <c r="AI373" s="1">
        <v>73.599999999999994</v>
      </c>
      <c r="AJ373" s="1">
        <v>87.5</v>
      </c>
      <c r="AK373" s="1">
        <v>110</v>
      </c>
      <c r="AL373" s="1">
        <v>120</v>
      </c>
      <c r="AM373" s="1">
        <v>130</v>
      </c>
    </row>
    <row r="374" spans="2:39" ht="15" hidden="1" x14ac:dyDescent="0.25">
      <c r="B374" s="1">
        <v>370</v>
      </c>
      <c r="C374" s="1" t="s">
        <v>1247</v>
      </c>
      <c r="D374" s="214" t="s">
        <v>1151</v>
      </c>
      <c r="F374" s="215"/>
      <c r="G374" s="105"/>
      <c r="H374" s="216">
        <v>1310</v>
      </c>
      <c r="I374" s="216"/>
      <c r="J374" s="216"/>
      <c r="K374" s="105"/>
      <c r="L374" s="105"/>
      <c r="M374" s="216">
        <v>8</v>
      </c>
      <c r="N374" s="216"/>
      <c r="O374" s="216"/>
      <c r="P374" s="216"/>
      <c r="Q374" s="216"/>
      <c r="R374" s="216"/>
      <c r="S374" s="216">
        <v>64</v>
      </c>
      <c r="T374" s="216"/>
      <c r="U374" s="216"/>
      <c r="V374" s="216"/>
      <c r="W374" s="216"/>
      <c r="X374" s="216"/>
      <c r="Y374" s="105"/>
      <c r="Z374" s="107">
        <v>769</v>
      </c>
      <c r="AA374" s="105"/>
      <c r="AB374" s="105"/>
      <c r="AC374" s="218"/>
    </row>
    <row r="375" spans="2:39" ht="15" hidden="1" x14ac:dyDescent="0.25">
      <c r="B375" s="219">
        <v>371</v>
      </c>
      <c r="C375" s="219" t="s">
        <v>1247</v>
      </c>
      <c r="D375" s="220" t="s">
        <v>1151</v>
      </c>
      <c r="E375" s="219"/>
      <c r="F375" s="221"/>
      <c r="G375" s="222"/>
      <c r="H375" s="223">
        <v>1310</v>
      </c>
      <c r="I375" s="223"/>
      <c r="J375" s="223"/>
      <c r="K375" s="222"/>
      <c r="L375" s="222"/>
      <c r="M375" s="223">
        <v>8</v>
      </c>
      <c r="N375" s="223"/>
      <c r="O375" s="223"/>
      <c r="P375" s="223"/>
      <c r="Q375" s="223"/>
      <c r="R375" s="223"/>
      <c r="S375" s="223">
        <v>58</v>
      </c>
      <c r="T375" s="223"/>
      <c r="U375" s="223"/>
      <c r="V375" s="223"/>
      <c r="W375" s="223"/>
      <c r="X375" s="223"/>
      <c r="Y375" s="222"/>
      <c r="Z375" s="231">
        <v>684</v>
      </c>
      <c r="AA375" s="222"/>
      <c r="AB375" s="222"/>
      <c r="AC375" s="225"/>
      <c r="AD375" s="1" t="s">
        <v>1253</v>
      </c>
      <c r="AE375" s="1">
        <v>1</v>
      </c>
      <c r="AF375" s="1">
        <v>2</v>
      </c>
      <c r="AG375" s="1">
        <v>3</v>
      </c>
      <c r="AH375" s="1">
        <v>4</v>
      </c>
      <c r="AI375" s="1">
        <v>5</v>
      </c>
      <c r="AJ375" s="1">
        <v>6</v>
      </c>
      <c r="AK375" s="1">
        <v>7</v>
      </c>
      <c r="AL375" s="1">
        <v>8</v>
      </c>
      <c r="AM375" s="1">
        <v>9</v>
      </c>
    </row>
    <row r="376" spans="2:39" ht="15" hidden="1" x14ac:dyDescent="0.25">
      <c r="B376" s="1">
        <v>372</v>
      </c>
      <c r="C376" s="1" t="s">
        <v>1247</v>
      </c>
      <c r="D376" s="214" t="s">
        <v>1151</v>
      </c>
      <c r="F376" s="215"/>
      <c r="G376" s="105"/>
      <c r="H376" s="216">
        <v>1310</v>
      </c>
      <c r="I376" s="216"/>
      <c r="J376" s="216"/>
      <c r="K376" s="105"/>
      <c r="L376" s="105"/>
      <c r="M376" s="216">
        <v>8</v>
      </c>
      <c r="N376" s="216"/>
      <c r="O376" s="216"/>
      <c r="P376" s="216"/>
      <c r="Q376" s="216"/>
      <c r="R376" s="216"/>
      <c r="S376" s="216">
        <v>50</v>
      </c>
      <c r="T376" s="216"/>
      <c r="U376" s="216"/>
      <c r="V376" s="216"/>
      <c r="W376" s="216"/>
      <c r="X376" s="216"/>
      <c r="Y376" s="105"/>
      <c r="Z376" s="107">
        <v>573</v>
      </c>
      <c r="AA376" s="105"/>
      <c r="AB376" s="105"/>
      <c r="AC376" s="218"/>
      <c r="AD376" s="1" t="s">
        <v>1254</v>
      </c>
      <c r="AE376" s="1">
        <v>0</v>
      </c>
      <c r="AF376" s="1">
        <f>AE371+1</f>
        <v>13.6</v>
      </c>
      <c r="AG376" s="1">
        <f t="shared" ref="AG376:AM376" si="4">AF371+1</f>
        <v>21</v>
      </c>
      <c r="AH376" s="1">
        <f t="shared" si="4"/>
        <v>29.5</v>
      </c>
      <c r="AI376" s="1">
        <f t="shared" si="4"/>
        <v>38.6</v>
      </c>
      <c r="AJ376" s="1">
        <f t="shared" si="4"/>
        <v>48</v>
      </c>
      <c r="AK376" s="1">
        <f t="shared" si="4"/>
        <v>57</v>
      </c>
      <c r="AL376" s="1">
        <f t="shared" si="4"/>
        <v>66</v>
      </c>
      <c r="AM376" s="1">
        <f t="shared" si="4"/>
        <v>74.75</v>
      </c>
    </row>
    <row r="377" spans="2:39" ht="15" hidden="1" x14ac:dyDescent="0.25">
      <c r="B377" s="219">
        <v>373</v>
      </c>
      <c r="C377" s="219" t="s">
        <v>1247</v>
      </c>
      <c r="D377" s="220" t="s">
        <v>1151</v>
      </c>
      <c r="E377" s="219"/>
      <c r="F377" s="221"/>
      <c r="G377" s="222"/>
      <c r="H377" s="223">
        <v>1310</v>
      </c>
      <c r="I377" s="223"/>
      <c r="J377" s="223"/>
      <c r="K377" s="222"/>
      <c r="L377" s="222"/>
      <c r="M377" s="223">
        <v>8</v>
      </c>
      <c r="N377" s="223"/>
      <c r="O377" s="223"/>
      <c r="P377" s="223"/>
      <c r="Q377" s="223"/>
      <c r="R377" s="223"/>
      <c r="S377" s="223">
        <v>46</v>
      </c>
      <c r="T377" s="223"/>
      <c r="U377" s="223"/>
      <c r="V377" s="223"/>
      <c r="W377" s="223"/>
      <c r="X377" s="223"/>
      <c r="Y377" s="222"/>
      <c r="Z377" s="231">
        <v>519</v>
      </c>
      <c r="AA377" s="222"/>
      <c r="AB377" s="222"/>
      <c r="AC377" s="225"/>
      <c r="AD377" s="1" t="s">
        <v>1250</v>
      </c>
      <c r="AE377" s="1">
        <v>0</v>
      </c>
      <c r="AF377" s="1">
        <f>AE371+1</f>
        <v>13.6</v>
      </c>
      <c r="AG377" s="1">
        <f t="shared" ref="AG377:AM379" si="5">AF371+1</f>
        <v>21</v>
      </c>
      <c r="AH377" s="1">
        <f t="shared" si="5"/>
        <v>29.5</v>
      </c>
      <c r="AI377" s="1">
        <f t="shared" si="5"/>
        <v>38.6</v>
      </c>
      <c r="AJ377" s="1">
        <f t="shared" si="5"/>
        <v>48</v>
      </c>
      <c r="AK377" s="1">
        <f t="shared" si="5"/>
        <v>57</v>
      </c>
      <c r="AL377" s="1">
        <f t="shared" si="5"/>
        <v>66</v>
      </c>
      <c r="AM377" s="1">
        <f t="shared" si="5"/>
        <v>74.75</v>
      </c>
    </row>
    <row r="378" spans="2:39" ht="15" hidden="1" x14ac:dyDescent="0.25">
      <c r="B378" s="1">
        <v>374</v>
      </c>
      <c r="C378" s="1" t="s">
        <v>1247</v>
      </c>
      <c r="D378" s="214" t="s">
        <v>1151</v>
      </c>
      <c r="F378" s="215"/>
      <c r="G378" s="105"/>
      <c r="H378" s="216">
        <v>1310</v>
      </c>
      <c r="I378" s="216"/>
      <c r="J378" s="216"/>
      <c r="K378" s="105"/>
      <c r="L378" s="105"/>
      <c r="M378" s="216">
        <v>8</v>
      </c>
      <c r="N378" s="216"/>
      <c r="O378" s="216"/>
      <c r="P378" s="216"/>
      <c r="Q378" s="216"/>
      <c r="R378" s="216"/>
      <c r="S378" s="216">
        <v>42</v>
      </c>
      <c r="T378" s="216"/>
      <c r="U378" s="216"/>
      <c r="V378" s="216"/>
      <c r="W378" s="216"/>
      <c r="X378" s="216"/>
      <c r="Y378" s="105"/>
      <c r="Z378" s="107">
        <v>466</v>
      </c>
      <c r="AA378" s="105"/>
      <c r="AB378" s="105"/>
      <c r="AC378" s="218"/>
      <c r="AD378" s="1" t="s">
        <v>1251</v>
      </c>
      <c r="AE378" s="1">
        <v>0</v>
      </c>
      <c r="AF378" s="1">
        <f>AE372+1</f>
        <v>17</v>
      </c>
      <c r="AG378" s="1">
        <f t="shared" si="5"/>
        <v>29.5</v>
      </c>
      <c r="AH378" s="1">
        <f t="shared" si="5"/>
        <v>42.3</v>
      </c>
      <c r="AI378" s="1">
        <f t="shared" si="5"/>
        <v>55</v>
      </c>
      <c r="AJ378" s="1">
        <f t="shared" si="5"/>
        <v>67</v>
      </c>
      <c r="AK378" s="1">
        <f t="shared" si="5"/>
        <v>80</v>
      </c>
      <c r="AL378" s="1">
        <f t="shared" si="5"/>
        <v>93</v>
      </c>
      <c r="AM378" s="1">
        <f t="shared" si="5"/>
        <v>102</v>
      </c>
    </row>
    <row r="379" spans="2:39" ht="15" hidden="1" x14ac:dyDescent="0.25">
      <c r="B379" s="219">
        <v>375</v>
      </c>
      <c r="C379" s="219" t="s">
        <v>1247</v>
      </c>
      <c r="D379" s="220" t="s">
        <v>1151</v>
      </c>
      <c r="E379" s="219"/>
      <c r="F379" s="221"/>
      <c r="G379" s="222"/>
      <c r="H379" s="223">
        <v>1310</v>
      </c>
      <c r="I379" s="223"/>
      <c r="J379" s="223"/>
      <c r="K379" s="222"/>
      <c r="L379" s="222"/>
      <c r="M379" s="223">
        <v>8</v>
      </c>
      <c r="N379" s="223"/>
      <c r="O379" s="223"/>
      <c r="P379" s="223"/>
      <c r="Q379" s="223"/>
      <c r="R379" s="223"/>
      <c r="S379" s="223">
        <v>38</v>
      </c>
      <c r="T379" s="223"/>
      <c r="U379" s="223"/>
      <c r="V379" s="223"/>
      <c r="W379" s="223"/>
      <c r="X379" s="223"/>
      <c r="Y379" s="222"/>
      <c r="Z379" s="231">
        <v>414</v>
      </c>
      <c r="AA379" s="222"/>
      <c r="AB379" s="222"/>
      <c r="AC379" s="225"/>
      <c r="AD379" s="1" t="s">
        <v>1252</v>
      </c>
      <c r="AE379" s="1">
        <v>0</v>
      </c>
      <c r="AF379" s="1">
        <f>AE373+1</f>
        <v>18.399999999999999</v>
      </c>
      <c r="AG379" s="1">
        <f t="shared" si="5"/>
        <v>32.5</v>
      </c>
      <c r="AH379" s="1">
        <f t="shared" si="5"/>
        <v>46</v>
      </c>
      <c r="AI379" s="1">
        <f t="shared" si="5"/>
        <v>61</v>
      </c>
      <c r="AJ379" s="1">
        <f t="shared" si="5"/>
        <v>74.599999999999994</v>
      </c>
      <c r="AK379" s="1">
        <f t="shared" si="5"/>
        <v>88.5</v>
      </c>
      <c r="AL379" s="1">
        <f t="shared" si="5"/>
        <v>111</v>
      </c>
      <c r="AM379" s="1">
        <f t="shared" si="5"/>
        <v>121</v>
      </c>
    </row>
    <row r="380" spans="2:39" ht="15" hidden="1" x14ac:dyDescent="0.25">
      <c r="B380" s="1">
        <v>376</v>
      </c>
      <c r="C380" s="1" t="s">
        <v>1247</v>
      </c>
      <c r="D380" s="214" t="s">
        <v>1151</v>
      </c>
      <c r="F380" s="215"/>
      <c r="G380" s="105"/>
      <c r="H380" s="216">
        <v>1310</v>
      </c>
      <c r="I380" s="216"/>
      <c r="J380" s="216"/>
      <c r="K380" s="105"/>
      <c r="L380" s="105"/>
      <c r="M380" s="216">
        <v>8</v>
      </c>
      <c r="N380" s="216"/>
      <c r="O380" s="216"/>
      <c r="P380" s="216"/>
      <c r="Q380" s="216"/>
      <c r="R380" s="216"/>
      <c r="S380" s="216">
        <v>34</v>
      </c>
      <c r="T380" s="216"/>
      <c r="U380" s="216"/>
      <c r="V380" s="216"/>
      <c r="W380" s="216"/>
      <c r="X380" s="216"/>
      <c r="Y380" s="105"/>
      <c r="Z380" s="107">
        <v>362</v>
      </c>
      <c r="AA380" s="105"/>
      <c r="AB380" s="105"/>
      <c r="AC380" s="218"/>
    </row>
    <row r="381" spans="2:39" ht="15" hidden="1" x14ac:dyDescent="0.25">
      <c r="B381" s="219">
        <v>377</v>
      </c>
      <c r="C381" s="219" t="s">
        <v>1247</v>
      </c>
      <c r="D381" s="220" t="s">
        <v>1151</v>
      </c>
      <c r="E381" s="219"/>
      <c r="F381" s="221"/>
      <c r="G381" s="222"/>
      <c r="H381" s="223">
        <v>1310</v>
      </c>
      <c r="I381" s="223"/>
      <c r="J381" s="223"/>
      <c r="K381" s="222"/>
      <c r="L381" s="222"/>
      <c r="M381" s="223">
        <v>8</v>
      </c>
      <c r="N381" s="223"/>
      <c r="O381" s="223"/>
      <c r="P381" s="223"/>
      <c r="Q381" s="223"/>
      <c r="R381" s="223"/>
      <c r="S381" s="223">
        <v>30</v>
      </c>
      <c r="T381" s="223"/>
      <c r="U381" s="223"/>
      <c r="V381" s="223"/>
      <c r="W381" s="223"/>
      <c r="X381" s="223"/>
      <c r="Y381" s="222"/>
      <c r="Z381" s="231">
        <v>312</v>
      </c>
      <c r="AA381" s="222"/>
      <c r="AB381" s="222"/>
      <c r="AC381" s="225"/>
      <c r="AD381" s="1" t="s">
        <v>1258</v>
      </c>
      <c r="AE381" s="1" t="s">
        <v>1263</v>
      </c>
    </row>
    <row r="382" spans="2:39" hidden="1" x14ac:dyDescent="0.2">
      <c r="B382" s="1">
        <v>378</v>
      </c>
      <c r="C382" s="1" t="s">
        <v>1264</v>
      </c>
      <c r="D382" s="214" t="s">
        <v>1265</v>
      </c>
      <c r="F382" s="215"/>
      <c r="G382" s="105"/>
      <c r="H382" s="216"/>
      <c r="I382" s="216"/>
      <c r="J382" s="216"/>
      <c r="K382" s="105"/>
      <c r="L382" s="105"/>
      <c r="M382" s="216"/>
      <c r="N382" s="216"/>
      <c r="O382" s="216"/>
      <c r="P382" s="216"/>
      <c r="Q382" s="216"/>
      <c r="R382" s="216"/>
      <c r="S382" s="216"/>
      <c r="T382" s="216"/>
      <c r="U382" s="216"/>
      <c r="V382" s="216"/>
      <c r="W382" s="216"/>
      <c r="X382" s="216">
        <v>1.1000000000000001</v>
      </c>
      <c r="Y382" s="105"/>
      <c r="Z382" s="105"/>
      <c r="AA382" s="105"/>
      <c r="AB382" s="105">
        <f>8.92*(29-20)^Data_radiator!$X382</f>
        <v>100.00727983233375</v>
      </c>
      <c r="AC382" s="218"/>
    </row>
    <row r="383" spans="2:39" hidden="1" x14ac:dyDescent="0.2">
      <c r="B383" s="219">
        <v>379</v>
      </c>
      <c r="C383" s="219" t="s">
        <v>1264</v>
      </c>
      <c r="D383" s="220" t="s">
        <v>1266</v>
      </c>
      <c r="E383" s="219"/>
      <c r="F383" s="221"/>
      <c r="G383" s="222"/>
      <c r="H383" s="223"/>
      <c r="I383" s="223"/>
      <c r="J383" s="223"/>
      <c r="K383" s="222"/>
      <c r="L383" s="222"/>
      <c r="M383" s="223"/>
      <c r="N383" s="223"/>
      <c r="O383" s="223"/>
      <c r="P383" s="223"/>
      <c r="Q383" s="223"/>
      <c r="R383" s="223"/>
      <c r="S383" s="223"/>
      <c r="T383" s="223"/>
      <c r="U383" s="223"/>
      <c r="V383" s="223"/>
      <c r="W383" s="223"/>
      <c r="X383" s="223">
        <v>1.1000000000000001</v>
      </c>
      <c r="Y383" s="222"/>
      <c r="Z383" s="222"/>
      <c r="AA383" s="222"/>
      <c r="AB383" s="222">
        <f>8.92*(35-20)^Data_radiator!$X383</f>
        <v>175.41439880271858</v>
      </c>
      <c r="AC383" s="225"/>
      <c r="AE383" s="1">
        <v>1</v>
      </c>
      <c r="AF383" s="1">
        <v>2</v>
      </c>
      <c r="AG383" s="1">
        <v>3</v>
      </c>
      <c r="AH383" s="1">
        <v>4</v>
      </c>
      <c r="AI383" s="1">
        <v>5</v>
      </c>
      <c r="AJ383" s="1">
        <v>6</v>
      </c>
      <c r="AK383" s="1">
        <v>7</v>
      </c>
      <c r="AL383" s="1">
        <v>8</v>
      </c>
      <c r="AM383" s="1">
        <v>9</v>
      </c>
    </row>
    <row r="384" spans="2:39" hidden="1" x14ac:dyDescent="0.2">
      <c r="B384" s="1">
        <v>380</v>
      </c>
      <c r="C384" s="1" t="s">
        <v>1264</v>
      </c>
      <c r="D384" s="214" t="s">
        <v>1201</v>
      </c>
      <c r="F384" s="215"/>
      <c r="G384" s="105"/>
      <c r="H384" s="216"/>
      <c r="I384" s="216"/>
      <c r="J384" s="216"/>
      <c r="K384" s="105"/>
      <c r="L384" s="105"/>
      <c r="M384" s="216"/>
      <c r="N384" s="216"/>
      <c r="O384" s="216"/>
      <c r="P384" s="216"/>
      <c r="Q384" s="216"/>
      <c r="R384" s="216"/>
      <c r="S384" s="216"/>
      <c r="T384" s="216"/>
      <c r="U384" s="216"/>
      <c r="V384" s="216"/>
      <c r="W384" s="216"/>
      <c r="X384" s="216">
        <v>1.1000000000000001</v>
      </c>
      <c r="Y384" s="105"/>
      <c r="Z384" s="105"/>
      <c r="AA384" s="105"/>
      <c r="AB384" s="105">
        <f>8.92*(33-24)^Data_radiator!$X384</f>
        <v>100.00727983233375</v>
      </c>
      <c r="AC384" s="218"/>
      <c r="AD384" s="1" t="s">
        <v>1250</v>
      </c>
      <c r="AE384" s="1">
        <v>11.4</v>
      </c>
      <c r="AF384" s="1">
        <v>20</v>
      </c>
      <c r="AG384" s="1">
        <v>31.3</v>
      </c>
      <c r="AH384" s="1">
        <v>45</v>
      </c>
      <c r="AI384" s="1">
        <v>57.5</v>
      </c>
      <c r="AJ384" s="1">
        <v>72</v>
      </c>
      <c r="AK384" s="1">
        <v>96</v>
      </c>
      <c r="AL384" s="1">
        <v>131</v>
      </c>
      <c r="AM384" s="1">
        <v>150</v>
      </c>
    </row>
    <row r="385" spans="2:39" hidden="1" x14ac:dyDescent="0.2">
      <c r="B385" s="219">
        <v>381</v>
      </c>
      <c r="C385" s="219" t="s">
        <v>1267</v>
      </c>
      <c r="D385" s="220"/>
      <c r="E385" s="219"/>
      <c r="F385" s="221"/>
      <c r="G385" s="234"/>
      <c r="H385" s="223"/>
      <c r="I385" s="223"/>
      <c r="J385" s="223"/>
      <c r="K385" s="234"/>
      <c r="L385" s="234"/>
      <c r="M385" s="223"/>
      <c r="N385" s="223"/>
      <c r="O385" s="223"/>
      <c r="P385" s="223"/>
      <c r="Q385" s="223"/>
      <c r="R385" s="223"/>
      <c r="S385" s="223"/>
      <c r="T385" s="223"/>
      <c r="U385" s="223"/>
      <c r="V385" s="223"/>
      <c r="W385" s="223"/>
      <c r="X385" s="223">
        <v>1.1000000000000001</v>
      </c>
      <c r="Y385" s="234"/>
      <c r="Z385" s="234"/>
      <c r="AA385" s="234"/>
      <c r="AB385" s="234">
        <v>100</v>
      </c>
      <c r="AC385" s="225"/>
      <c r="AD385" s="1" t="s">
        <v>1251</v>
      </c>
      <c r="AE385" s="1">
        <v>16</v>
      </c>
      <c r="AF385" s="1">
        <v>28</v>
      </c>
      <c r="AG385" s="1">
        <v>44</v>
      </c>
      <c r="AH385" s="1">
        <v>64</v>
      </c>
      <c r="AI385" s="1">
        <v>82.5</v>
      </c>
      <c r="AJ385" s="1">
        <v>100</v>
      </c>
      <c r="AK385" s="1">
        <v>139</v>
      </c>
      <c r="AL385" s="1">
        <v>160</v>
      </c>
      <c r="AM385" s="1">
        <v>212.5</v>
      </c>
    </row>
    <row r="386" spans="2:39" x14ac:dyDescent="0.2">
      <c r="AD386" s="1" t="s">
        <v>1252</v>
      </c>
      <c r="AE386" s="1">
        <v>17.8</v>
      </c>
      <c r="AF386" s="1">
        <v>32</v>
      </c>
      <c r="AG386" s="1">
        <v>49</v>
      </c>
      <c r="AH386" s="1">
        <v>70</v>
      </c>
      <c r="AI386" s="1">
        <v>91</v>
      </c>
      <c r="AJ386" s="1">
        <v>113</v>
      </c>
      <c r="AK386" s="1">
        <v>150</v>
      </c>
      <c r="AL386" s="1">
        <v>200</v>
      </c>
      <c r="AM386" s="1">
        <v>236</v>
      </c>
    </row>
    <row r="388" spans="2:39" x14ac:dyDescent="0.2">
      <c r="AD388" s="1" t="s">
        <v>1253</v>
      </c>
      <c r="AE388" s="1">
        <v>1</v>
      </c>
      <c r="AF388" s="1">
        <v>2</v>
      </c>
      <c r="AG388" s="1">
        <v>3</v>
      </c>
      <c r="AH388" s="1">
        <v>4</v>
      </c>
      <c r="AI388" s="1">
        <v>5</v>
      </c>
      <c r="AJ388" s="1">
        <v>6</v>
      </c>
      <c r="AK388" s="1">
        <v>7</v>
      </c>
      <c r="AL388" s="1">
        <v>8</v>
      </c>
      <c r="AM388" s="1">
        <v>9</v>
      </c>
    </row>
    <row r="389" spans="2:39" x14ac:dyDescent="0.2">
      <c r="AD389" s="1" t="s">
        <v>1254</v>
      </c>
      <c r="AE389" s="1">
        <v>0</v>
      </c>
      <c r="AF389" s="1">
        <f>AE384+1</f>
        <v>12.4</v>
      </c>
      <c r="AG389" s="1">
        <f t="shared" ref="AG389:AM389" si="6">AF384+1</f>
        <v>21</v>
      </c>
      <c r="AH389" s="1">
        <f t="shared" si="6"/>
        <v>32.299999999999997</v>
      </c>
      <c r="AI389" s="1">
        <f t="shared" si="6"/>
        <v>46</v>
      </c>
      <c r="AJ389" s="1">
        <f t="shared" si="6"/>
        <v>58.5</v>
      </c>
      <c r="AK389" s="1">
        <f t="shared" si="6"/>
        <v>73</v>
      </c>
      <c r="AL389" s="1">
        <f t="shared" si="6"/>
        <v>97</v>
      </c>
      <c r="AM389" s="1">
        <f t="shared" si="6"/>
        <v>132</v>
      </c>
    </row>
    <row r="390" spans="2:39" x14ac:dyDescent="0.2">
      <c r="AD390" s="1" t="s">
        <v>1250</v>
      </c>
      <c r="AE390" s="1">
        <v>0</v>
      </c>
      <c r="AF390" s="1">
        <f>AE384+1</f>
        <v>12.4</v>
      </c>
      <c r="AG390" s="1">
        <f t="shared" ref="AG390:AM392" si="7">AF384+1</f>
        <v>21</v>
      </c>
      <c r="AH390" s="1">
        <f t="shared" si="7"/>
        <v>32.299999999999997</v>
      </c>
      <c r="AI390" s="1">
        <f t="shared" si="7"/>
        <v>46</v>
      </c>
      <c r="AJ390" s="1">
        <f t="shared" si="7"/>
        <v>58.5</v>
      </c>
      <c r="AK390" s="1">
        <f t="shared" si="7"/>
        <v>73</v>
      </c>
      <c r="AL390" s="1">
        <f t="shared" si="7"/>
        <v>97</v>
      </c>
      <c r="AM390" s="1">
        <f t="shared" si="7"/>
        <v>132</v>
      </c>
    </row>
    <row r="391" spans="2:39" x14ac:dyDescent="0.2">
      <c r="AD391" s="1" t="s">
        <v>1251</v>
      </c>
      <c r="AE391" s="1">
        <v>0</v>
      </c>
      <c r="AF391" s="1">
        <f>AE385+1</f>
        <v>17</v>
      </c>
      <c r="AG391" s="1">
        <f t="shared" si="7"/>
        <v>29</v>
      </c>
      <c r="AH391" s="1">
        <f t="shared" si="7"/>
        <v>45</v>
      </c>
      <c r="AI391" s="1">
        <f t="shared" si="7"/>
        <v>65</v>
      </c>
      <c r="AJ391" s="1">
        <f t="shared" si="7"/>
        <v>83.5</v>
      </c>
      <c r="AK391" s="1">
        <f t="shared" si="7"/>
        <v>101</v>
      </c>
      <c r="AL391" s="1">
        <f t="shared" si="7"/>
        <v>140</v>
      </c>
      <c r="AM391" s="1">
        <f t="shared" si="7"/>
        <v>161</v>
      </c>
    </row>
    <row r="392" spans="2:39" x14ac:dyDescent="0.2">
      <c r="AD392" s="1" t="s">
        <v>1252</v>
      </c>
      <c r="AE392" s="1">
        <v>0</v>
      </c>
      <c r="AF392" s="1">
        <f>AE386+1</f>
        <v>18.8</v>
      </c>
      <c r="AG392" s="1">
        <f t="shared" si="7"/>
        <v>33</v>
      </c>
      <c r="AH392" s="1">
        <f t="shared" si="7"/>
        <v>50</v>
      </c>
      <c r="AI392" s="1">
        <f t="shared" si="7"/>
        <v>71</v>
      </c>
      <c r="AJ392" s="1">
        <f t="shared" si="7"/>
        <v>92</v>
      </c>
      <c r="AK392" s="1">
        <f t="shared" si="7"/>
        <v>114</v>
      </c>
      <c r="AL392" s="1">
        <f t="shared" si="7"/>
        <v>151</v>
      </c>
      <c r="AM392" s="1">
        <f t="shared" si="7"/>
        <v>201</v>
      </c>
    </row>
    <row r="397" spans="2:39" x14ac:dyDescent="0.2">
      <c r="AD397" s="10" t="s">
        <v>1255</v>
      </c>
      <c r="AE397" s="11" t="s">
        <v>1254</v>
      </c>
      <c r="AG397" s="1" t="str">
        <f ca="1">IFERROR(INDEX(Data_radiator!AE$388:AM$388,,MATCH(#REF!*60,INDEX(Data_radiator!AE$389:AM$392,MATCH(INDIRECT("'Eingabetabelle'!G"&amp;AI47&amp;"",TRUE),Data_radiator!AD$389:AD$392,0),),1)),"")</f>
        <v/>
      </c>
    </row>
    <row r="398" spans="2:39" x14ac:dyDescent="0.2">
      <c r="AD398" s="12" t="s">
        <v>1256</v>
      </c>
      <c r="AE398" s="13">
        <v>1.44</v>
      </c>
      <c r="AF398" s="1">
        <f>AE398*60</f>
        <v>86.399999999999991</v>
      </c>
      <c r="AG398" s="1" t="str">
        <f ca="1">IFERROR(INDEX(Data_radiator!AE$388:AM$388,,MATCH(#REF!*60,INDEX(Data_radiator!AE$389:AM$392,MATCH(INDIRECT("'Eingabetabelle'!G"&amp;AI51&amp;"",TRUE),Data_radiator!AD$389:AD$392,0),),1)),"")</f>
        <v/>
      </c>
    </row>
    <row r="399" spans="2:39" x14ac:dyDescent="0.2">
      <c r="AD399" s="14" t="s">
        <v>1257</v>
      </c>
      <c r="AE399" s="15" cm="1">
        <f t="array" ref="AE399">INDEX($AE$388:$AM$388,,MATCH(AE398*60,INDEX($AE$389:$AM$392,MATCH(AE397,$AD$389:$AD$392,0),),1))</f>
        <v>7</v>
      </c>
      <c r="AG399" s="1" t="str">
        <f ca="1">IFERROR(INDEX(AE388:AM388,,MATCH(AE398*60,INDEX(Data_radiator!$AE$389:$AM$392,MATCH(INDIRECT("!Eingabetabelle!G"&amp;AI47&amp;"",TRUE),Data_radiator!AD$389:$AD$392,0),),1)),"")</f>
        <v/>
      </c>
    </row>
    <row r="402" spans="30:39" x14ac:dyDescent="0.2">
      <c r="AD402" s="8"/>
      <c r="AE402" s="8"/>
      <c r="AF402" s="8"/>
      <c r="AG402" s="8"/>
      <c r="AH402" s="8"/>
      <c r="AI402" s="8"/>
      <c r="AJ402" s="8"/>
      <c r="AK402" s="8"/>
    </row>
    <row r="403" spans="30:39" x14ac:dyDescent="0.2">
      <c r="AD403" s="8" t="s">
        <v>1268</v>
      </c>
      <c r="AE403" s="8" t="s">
        <v>1263</v>
      </c>
      <c r="AF403" s="8"/>
      <c r="AG403" s="8"/>
      <c r="AH403" s="8"/>
      <c r="AI403" s="8"/>
      <c r="AJ403" s="8"/>
      <c r="AK403" s="8"/>
    </row>
    <row r="404" spans="30:39" x14ac:dyDescent="0.2">
      <c r="AD404" s="8"/>
      <c r="AE404" s="8"/>
      <c r="AF404" s="8"/>
      <c r="AG404" s="8"/>
      <c r="AH404" s="8"/>
      <c r="AI404" s="8"/>
      <c r="AJ404" s="8"/>
      <c r="AK404" s="8"/>
    </row>
    <row r="405" spans="30:39" x14ac:dyDescent="0.2">
      <c r="AD405" s="8"/>
      <c r="AE405" s="8">
        <v>1</v>
      </c>
      <c r="AF405" s="8">
        <v>2</v>
      </c>
      <c r="AG405" s="8">
        <v>3</v>
      </c>
      <c r="AH405" s="8">
        <v>4</v>
      </c>
      <c r="AI405" s="8">
        <v>5</v>
      </c>
      <c r="AJ405" s="8">
        <v>6</v>
      </c>
      <c r="AK405" s="8">
        <v>7</v>
      </c>
      <c r="AL405" s="1">
        <v>8</v>
      </c>
      <c r="AM405" s="1">
        <v>9</v>
      </c>
    </row>
    <row r="406" spans="30:39" x14ac:dyDescent="0.2">
      <c r="AD406" s="8" t="s">
        <v>1250</v>
      </c>
      <c r="AE406" s="8">
        <v>6</v>
      </c>
      <c r="AF406" s="8">
        <v>12.5</v>
      </c>
      <c r="AG406" s="8">
        <v>39</v>
      </c>
      <c r="AH406" s="8">
        <v>70</v>
      </c>
      <c r="AI406" s="8">
        <v>100</v>
      </c>
      <c r="AJ406" s="8">
        <v>125</v>
      </c>
      <c r="AK406" s="8">
        <v>140</v>
      </c>
    </row>
    <row r="407" spans="30:39" x14ac:dyDescent="0.2">
      <c r="AD407" s="8" t="s">
        <v>1251</v>
      </c>
      <c r="AE407" s="8">
        <v>8.5</v>
      </c>
      <c r="AF407" s="8">
        <v>17.5</v>
      </c>
      <c r="AG407" s="8">
        <v>55</v>
      </c>
      <c r="AH407" s="8">
        <v>100</v>
      </c>
      <c r="AI407" s="8">
        <v>140</v>
      </c>
      <c r="AJ407" s="8">
        <v>175</v>
      </c>
      <c r="AK407" s="8">
        <v>210</v>
      </c>
    </row>
    <row r="408" spans="30:39" x14ac:dyDescent="0.2">
      <c r="AD408" s="8" t="s">
        <v>1252</v>
      </c>
      <c r="AE408" s="8">
        <v>9.5</v>
      </c>
      <c r="AF408" s="8">
        <v>19</v>
      </c>
      <c r="AG408" s="8">
        <v>60</v>
      </c>
      <c r="AH408" s="8">
        <v>113</v>
      </c>
      <c r="AI408" s="8">
        <v>160</v>
      </c>
      <c r="AJ408" s="8">
        <v>190</v>
      </c>
      <c r="AK408" s="8">
        <v>230</v>
      </c>
    </row>
    <row r="409" spans="30:39" x14ac:dyDescent="0.2">
      <c r="AD409" s="8"/>
      <c r="AE409" s="8"/>
      <c r="AF409" s="8"/>
      <c r="AG409" s="8"/>
      <c r="AH409" s="8"/>
      <c r="AI409" s="8"/>
      <c r="AJ409" s="8"/>
      <c r="AK409" s="8"/>
    </row>
    <row r="410" spans="30:39" x14ac:dyDescent="0.2">
      <c r="AD410" s="8" t="s">
        <v>1253</v>
      </c>
      <c r="AE410" s="8">
        <v>1</v>
      </c>
      <c r="AF410" s="8">
        <v>2</v>
      </c>
      <c r="AG410" s="8">
        <v>3</v>
      </c>
      <c r="AH410" s="8">
        <v>4</v>
      </c>
      <c r="AI410" s="8">
        <v>5</v>
      </c>
      <c r="AJ410" s="8">
        <v>6</v>
      </c>
      <c r="AK410" s="8">
        <v>7</v>
      </c>
      <c r="AL410" s="1">
        <v>8</v>
      </c>
      <c r="AM410" s="1">
        <v>9</v>
      </c>
    </row>
    <row r="411" spans="30:39" x14ac:dyDescent="0.2">
      <c r="AD411" s="8" t="s">
        <v>1254</v>
      </c>
      <c r="AE411" s="8">
        <f t="shared" ref="AE411:AK411" si="8">AE406+1</f>
        <v>7</v>
      </c>
      <c r="AF411" s="8">
        <f t="shared" si="8"/>
        <v>13.5</v>
      </c>
      <c r="AG411" s="8">
        <f t="shared" si="8"/>
        <v>40</v>
      </c>
      <c r="AH411" s="8">
        <f t="shared" si="8"/>
        <v>71</v>
      </c>
      <c r="AI411" s="8">
        <f t="shared" si="8"/>
        <v>101</v>
      </c>
      <c r="AJ411" s="8">
        <f t="shared" si="8"/>
        <v>126</v>
      </c>
      <c r="AK411" s="8">
        <f t="shared" si="8"/>
        <v>141</v>
      </c>
      <c r="AM411" s="1">
        <f t="shared" ref="AM411" si="9">AL406+1</f>
        <v>1</v>
      </c>
    </row>
    <row r="412" spans="30:39" x14ac:dyDescent="0.2">
      <c r="AD412" s="8" t="s">
        <v>1250</v>
      </c>
      <c r="AE412" s="8">
        <f t="shared" ref="AE412:AK414" si="10">AE406+1</f>
        <v>7</v>
      </c>
      <c r="AF412" s="8">
        <f t="shared" si="10"/>
        <v>13.5</v>
      </c>
      <c r="AG412" s="8">
        <f t="shared" si="10"/>
        <v>40</v>
      </c>
      <c r="AH412" s="8">
        <f t="shared" si="10"/>
        <v>71</v>
      </c>
      <c r="AI412" s="8">
        <f t="shared" si="10"/>
        <v>101</v>
      </c>
      <c r="AJ412" s="8">
        <f t="shared" si="10"/>
        <v>126</v>
      </c>
      <c r="AK412" s="8">
        <f t="shared" si="10"/>
        <v>141</v>
      </c>
      <c r="AM412" s="1">
        <f t="shared" ref="AM412:AM414" si="11">AL406+1</f>
        <v>1</v>
      </c>
    </row>
    <row r="413" spans="30:39" x14ac:dyDescent="0.2">
      <c r="AD413" s="8" t="s">
        <v>1251</v>
      </c>
      <c r="AE413" s="8">
        <f t="shared" si="10"/>
        <v>9.5</v>
      </c>
      <c r="AF413" s="8">
        <f t="shared" si="10"/>
        <v>18.5</v>
      </c>
      <c r="AG413" s="8">
        <f t="shared" si="10"/>
        <v>56</v>
      </c>
      <c r="AH413" s="8">
        <f t="shared" si="10"/>
        <v>101</v>
      </c>
      <c r="AI413" s="8">
        <f t="shared" si="10"/>
        <v>141</v>
      </c>
      <c r="AJ413" s="8">
        <f t="shared" si="10"/>
        <v>176</v>
      </c>
      <c r="AK413" s="8">
        <f t="shared" si="10"/>
        <v>211</v>
      </c>
      <c r="AM413" s="1">
        <f t="shared" si="11"/>
        <v>1</v>
      </c>
    </row>
    <row r="414" spans="30:39" x14ac:dyDescent="0.2">
      <c r="AD414" s="8" t="s">
        <v>1252</v>
      </c>
      <c r="AE414" s="8">
        <f t="shared" si="10"/>
        <v>10.5</v>
      </c>
      <c r="AF414" s="8">
        <f t="shared" si="10"/>
        <v>20</v>
      </c>
      <c r="AG414" s="8">
        <f t="shared" si="10"/>
        <v>61</v>
      </c>
      <c r="AH414" s="8">
        <f t="shared" si="10"/>
        <v>114</v>
      </c>
      <c r="AI414" s="8">
        <f t="shared" si="10"/>
        <v>161</v>
      </c>
      <c r="AJ414" s="8">
        <f t="shared" si="10"/>
        <v>191</v>
      </c>
      <c r="AK414" s="8">
        <f t="shared" si="10"/>
        <v>231</v>
      </c>
      <c r="AM414" s="1">
        <f t="shared" si="11"/>
        <v>1</v>
      </c>
    </row>
    <row r="415" spans="30:39" x14ac:dyDescent="0.2">
      <c r="AD415" s="8"/>
      <c r="AE415" s="8"/>
      <c r="AF415" s="8"/>
      <c r="AG415" s="8"/>
      <c r="AH415" s="8"/>
      <c r="AI415" s="8"/>
      <c r="AJ415" s="8"/>
      <c r="AK415" s="8"/>
    </row>
    <row r="416" spans="30:39" x14ac:dyDescent="0.2">
      <c r="AD416" s="8"/>
      <c r="AE416" s="8"/>
      <c r="AF416" s="8"/>
      <c r="AG416" s="8"/>
      <c r="AH416" s="8"/>
      <c r="AI416" s="8"/>
      <c r="AJ416" s="8"/>
      <c r="AK416" s="8"/>
    </row>
    <row r="417" spans="30:39" x14ac:dyDescent="0.2">
      <c r="AD417" s="8"/>
      <c r="AE417" s="8"/>
      <c r="AF417" s="8"/>
      <c r="AG417" s="8"/>
      <c r="AH417" s="8"/>
      <c r="AI417" s="8"/>
      <c r="AJ417" s="8"/>
      <c r="AK417" s="8"/>
    </row>
    <row r="418" spans="30:39" x14ac:dyDescent="0.2">
      <c r="AD418" s="10" t="s">
        <v>1255</v>
      </c>
      <c r="AE418" s="11" t="s">
        <v>1254</v>
      </c>
    </row>
    <row r="419" spans="30:39" x14ac:dyDescent="0.2">
      <c r="AD419" s="12" t="s">
        <v>1256</v>
      </c>
      <c r="AE419" s="13">
        <v>0.12</v>
      </c>
    </row>
    <row r="420" spans="30:39" x14ac:dyDescent="0.2">
      <c r="AD420" s="14" t="s">
        <v>1257</v>
      </c>
      <c r="AE420" s="15" cm="1">
        <f t="array" ref="AE420">INDEX($AE$410:$AK$410,,MATCH(AE419*60,INDEX($AE$411:$AJ$414,MATCH(AE418,$AD$411:$AD$414,0),),1))</f>
        <v>1</v>
      </c>
      <c r="AH420" s="1" t="s">
        <v>582</v>
      </c>
    </row>
    <row r="425" spans="30:39" x14ac:dyDescent="0.2">
      <c r="AD425" s="1" t="s">
        <v>1269</v>
      </c>
      <c r="AE425" s="1" t="s">
        <v>1263</v>
      </c>
    </row>
    <row r="427" spans="30:39" x14ac:dyDescent="0.2">
      <c r="AE427" s="1">
        <v>1</v>
      </c>
      <c r="AF427" s="1">
        <v>2</v>
      </c>
      <c r="AG427" s="1">
        <v>3</v>
      </c>
      <c r="AH427" s="1">
        <v>4</v>
      </c>
      <c r="AI427" s="1">
        <v>5</v>
      </c>
      <c r="AJ427" s="1">
        <v>6</v>
      </c>
      <c r="AK427" s="1">
        <v>7</v>
      </c>
      <c r="AL427" s="1" t="s">
        <v>1270</v>
      </c>
    </row>
    <row r="428" spans="30:39" x14ac:dyDescent="0.2">
      <c r="AD428" s="1" t="s">
        <v>1250</v>
      </c>
      <c r="AE428" s="1">
        <v>9</v>
      </c>
      <c r="AF428" s="1">
        <v>17.5</v>
      </c>
      <c r="AG428" s="1">
        <v>26</v>
      </c>
      <c r="AH428" s="1">
        <v>43</v>
      </c>
      <c r="AI428" s="1">
        <v>68</v>
      </c>
      <c r="AJ428" s="1">
        <v>90</v>
      </c>
      <c r="AK428" s="1">
        <v>120</v>
      </c>
      <c r="AL428" s="1">
        <v>170</v>
      </c>
    </row>
    <row r="429" spans="30:39" x14ac:dyDescent="0.2">
      <c r="AD429" s="1" t="s">
        <v>1251</v>
      </c>
      <c r="AE429" s="1">
        <v>12</v>
      </c>
      <c r="AF429" s="1">
        <v>25</v>
      </c>
      <c r="AG429" s="1">
        <v>37</v>
      </c>
      <c r="AH429" s="1">
        <v>57</v>
      </c>
      <c r="AI429" s="1">
        <v>95</v>
      </c>
      <c r="AJ429" s="1">
        <v>125</v>
      </c>
      <c r="AK429" s="1">
        <v>166</v>
      </c>
      <c r="AL429" s="1">
        <v>240</v>
      </c>
    </row>
    <row r="430" spans="30:39" x14ac:dyDescent="0.2">
      <c r="AD430" s="1" t="s">
        <v>1252</v>
      </c>
      <c r="AE430" s="1">
        <v>16</v>
      </c>
      <c r="AF430" s="1">
        <v>30</v>
      </c>
      <c r="AG430" s="1">
        <v>45</v>
      </c>
      <c r="AH430" s="1">
        <v>79</v>
      </c>
      <c r="AI430" s="1">
        <v>120</v>
      </c>
      <c r="AJ430" s="1">
        <v>160</v>
      </c>
      <c r="AK430" s="1">
        <v>200</v>
      </c>
      <c r="AL430" s="1">
        <v>290</v>
      </c>
    </row>
    <row r="432" spans="30:39" x14ac:dyDescent="0.2">
      <c r="AD432" s="1" t="s">
        <v>1253</v>
      </c>
      <c r="AE432" s="1">
        <v>1</v>
      </c>
      <c r="AF432" s="1">
        <v>2</v>
      </c>
      <c r="AG432" s="1">
        <v>3</v>
      </c>
      <c r="AH432" s="1">
        <v>4</v>
      </c>
      <c r="AI432" s="1">
        <v>5</v>
      </c>
      <c r="AJ432" s="1">
        <v>6</v>
      </c>
      <c r="AK432" s="1">
        <v>7</v>
      </c>
      <c r="AL432" s="1" t="s">
        <v>1270</v>
      </c>
      <c r="AM432" s="1">
        <v>9</v>
      </c>
    </row>
    <row r="433" spans="3:38" x14ac:dyDescent="0.2">
      <c r="AD433" s="1" t="s">
        <v>1254</v>
      </c>
      <c r="AE433" s="1">
        <v>0</v>
      </c>
      <c r="AF433" s="1">
        <f t="shared" ref="AF433:AL433" si="12">AE428+1</f>
        <v>10</v>
      </c>
      <c r="AG433" s="1">
        <f t="shared" si="12"/>
        <v>18.5</v>
      </c>
      <c r="AH433" s="1">
        <f t="shared" si="12"/>
        <v>27</v>
      </c>
      <c r="AI433" s="1">
        <f t="shared" si="12"/>
        <v>44</v>
      </c>
      <c r="AJ433" s="1">
        <f t="shared" si="12"/>
        <v>69</v>
      </c>
      <c r="AK433" s="1">
        <f t="shared" si="12"/>
        <v>91</v>
      </c>
      <c r="AL433" s="1">
        <f t="shared" si="12"/>
        <v>121</v>
      </c>
    </row>
    <row r="434" spans="3:38" ht="15" x14ac:dyDescent="0.25">
      <c r="C434"/>
      <c r="D434"/>
      <c r="E434"/>
      <c r="AD434" s="1" t="s">
        <v>1250</v>
      </c>
      <c r="AE434" s="1">
        <v>0</v>
      </c>
      <c r="AF434" s="1">
        <f t="shared" ref="AF434:AL436" si="13">AE428+1</f>
        <v>10</v>
      </c>
      <c r="AG434" s="1">
        <f t="shared" si="13"/>
        <v>18.5</v>
      </c>
      <c r="AH434" s="1">
        <f t="shared" si="13"/>
        <v>27</v>
      </c>
      <c r="AI434" s="1">
        <f>AH428+1</f>
        <v>44</v>
      </c>
      <c r="AJ434" s="1">
        <f t="shared" si="13"/>
        <v>69</v>
      </c>
      <c r="AK434" s="1">
        <f t="shared" si="13"/>
        <v>91</v>
      </c>
      <c r="AL434" s="1">
        <f t="shared" si="13"/>
        <v>121</v>
      </c>
    </row>
    <row r="435" spans="3:38" ht="15" x14ac:dyDescent="0.25">
      <c r="C435"/>
      <c r="D435"/>
      <c r="E435"/>
      <c r="AD435" s="1" t="s">
        <v>1251</v>
      </c>
      <c r="AE435" s="1">
        <v>0</v>
      </c>
      <c r="AF435" s="1">
        <f t="shared" si="13"/>
        <v>13</v>
      </c>
      <c r="AG435" s="1">
        <f t="shared" si="13"/>
        <v>26</v>
      </c>
      <c r="AH435" s="1">
        <f t="shared" si="13"/>
        <v>38</v>
      </c>
      <c r="AI435" s="1">
        <f t="shared" si="13"/>
        <v>58</v>
      </c>
      <c r="AJ435" s="1">
        <f t="shared" si="13"/>
        <v>96</v>
      </c>
      <c r="AK435" s="1">
        <f t="shared" si="13"/>
        <v>126</v>
      </c>
      <c r="AL435" s="1">
        <f t="shared" si="13"/>
        <v>167</v>
      </c>
    </row>
    <row r="436" spans="3:38" ht="15" x14ac:dyDescent="0.25">
      <c r="C436"/>
      <c r="D436"/>
      <c r="E436"/>
      <c r="AD436" s="1" t="s">
        <v>1252</v>
      </c>
      <c r="AE436" s="1">
        <v>0</v>
      </c>
      <c r="AF436" s="1">
        <f t="shared" si="13"/>
        <v>17</v>
      </c>
      <c r="AG436" s="1">
        <f t="shared" si="13"/>
        <v>31</v>
      </c>
      <c r="AH436" s="1">
        <f t="shared" si="13"/>
        <v>46</v>
      </c>
      <c r="AI436" s="1">
        <f t="shared" si="13"/>
        <v>80</v>
      </c>
      <c r="AJ436" s="1">
        <f t="shared" si="13"/>
        <v>121</v>
      </c>
      <c r="AK436" s="1">
        <f t="shared" si="13"/>
        <v>161</v>
      </c>
      <c r="AL436" s="1">
        <f t="shared" si="13"/>
        <v>201</v>
      </c>
    </row>
    <row r="437" spans="3:38" ht="15" x14ac:dyDescent="0.25">
      <c r="C437"/>
      <c r="D437"/>
      <c r="E437"/>
    </row>
    <row r="438" spans="3:38" ht="15" x14ac:dyDescent="0.25">
      <c r="C438"/>
      <c r="D438"/>
      <c r="E438"/>
    </row>
    <row r="439" spans="3:38" ht="15" x14ac:dyDescent="0.25">
      <c r="C439"/>
      <c r="D439"/>
      <c r="E439"/>
    </row>
    <row r="440" spans="3:38" ht="15" x14ac:dyDescent="0.25">
      <c r="C440"/>
      <c r="D440"/>
      <c r="E440"/>
      <c r="AD440" s="10" t="s">
        <v>1255</v>
      </c>
      <c r="AE440" s="11" t="s">
        <v>1254</v>
      </c>
    </row>
    <row r="441" spans="3:38" ht="15" x14ac:dyDescent="0.25">
      <c r="C441"/>
      <c r="D441"/>
      <c r="E441"/>
      <c r="AD441" s="12" t="s">
        <v>1256</v>
      </c>
      <c r="AE441" s="13">
        <v>0.91</v>
      </c>
      <c r="AH441" s="1" t="str" cm="1">
        <f t="array" aca="1" ref="AH441" ca="1">IFERROR(INDEX(Data_radiator!$AE$432:$AL$432,,MATCH(AL77*60,INDEX(Data_radiator!$AE$433:$AL$436,MATCH(INDIRECT("'Eingabetabelle'!G"&amp;AI47&amp;"",TRUE),Data_radiator!AD354:AD357),1))),"")</f>
        <v/>
      </c>
    </row>
    <row r="442" spans="3:38" ht="15" x14ac:dyDescent="0.25">
      <c r="C442"/>
      <c r="D442"/>
      <c r="E442"/>
      <c r="AD442" s="14" t="s">
        <v>1257</v>
      </c>
      <c r="AE442" s="15" cm="1">
        <f t="array" ref="AE442">INDEX($AE$432:$AL$432,,MATCH(AE441*60,INDEX($AE$433:$AL$436,MATCH(AE440,$AD$433:$AD$436,0),),1))</f>
        <v>5</v>
      </c>
      <c r="AG442" s="16" t="str" cm="1">
        <f t="array" aca="1" ref="AG442" ca="1">IFERROR(INDEX(Data_radiator!$AE$432:$AL$432,,MATCH(AE441*60,INDEX(Data_radiator!$AE$433:$AL$436,MATCH(INDIRECT("'Eingabetabelle'!G"&amp;AI47&amp;"",TRUE),Data_radiator!$AD$354:$AD$357),1))),"")</f>
        <v/>
      </c>
    </row>
    <row r="443" spans="3:38" ht="15" x14ac:dyDescent="0.25">
      <c r="C443"/>
      <c r="D443"/>
      <c r="E443"/>
    </row>
    <row r="444" spans="3:38" ht="15" x14ac:dyDescent="0.25">
      <c r="C444"/>
      <c r="D444"/>
      <c r="E444"/>
    </row>
    <row r="445" spans="3:38" ht="15" x14ac:dyDescent="0.25">
      <c r="C445"/>
      <c r="D445"/>
      <c r="E445"/>
    </row>
    <row r="446" spans="3:38" ht="15" x14ac:dyDescent="0.25">
      <c r="C446"/>
      <c r="D446"/>
      <c r="E446"/>
      <c r="AD446" s="1" t="s">
        <v>1271</v>
      </c>
      <c r="AE446" s="1" t="s">
        <v>1263</v>
      </c>
    </row>
    <row r="447" spans="3:38" ht="15" x14ac:dyDescent="0.25">
      <c r="C447"/>
      <c r="D447"/>
      <c r="E447"/>
    </row>
    <row r="448" spans="3:38" ht="15" x14ac:dyDescent="0.25">
      <c r="C448"/>
      <c r="D448"/>
      <c r="E448"/>
      <c r="AE448" s="8">
        <v>1</v>
      </c>
      <c r="AF448" s="8">
        <v>2</v>
      </c>
      <c r="AG448" s="8">
        <v>3</v>
      </c>
      <c r="AH448" s="8">
        <v>4</v>
      </c>
      <c r="AI448" s="1">
        <v>5</v>
      </c>
      <c r="AJ448" s="1">
        <v>6</v>
      </c>
      <c r="AK448" s="1">
        <v>7</v>
      </c>
      <c r="AL448" s="1" t="s">
        <v>1270</v>
      </c>
    </row>
    <row r="449" spans="3:38" ht="15" x14ac:dyDescent="0.25">
      <c r="C449"/>
      <c r="D449"/>
      <c r="E449"/>
      <c r="AD449" s="1" t="s">
        <v>1250</v>
      </c>
      <c r="AE449" s="1">
        <v>7.7</v>
      </c>
      <c r="AF449" s="1">
        <v>11</v>
      </c>
      <c r="AG449" s="1">
        <v>15</v>
      </c>
      <c r="AH449" s="1">
        <v>20</v>
      </c>
      <c r="AI449" s="1">
        <v>34</v>
      </c>
      <c r="AJ449" s="1">
        <v>60</v>
      </c>
      <c r="AK449" s="1">
        <v>80</v>
      </c>
      <c r="AL449" s="1">
        <v>100</v>
      </c>
    </row>
    <row r="450" spans="3:38" ht="15" x14ac:dyDescent="0.25">
      <c r="C450"/>
      <c r="D450"/>
      <c r="E450"/>
      <c r="AD450" s="1" t="s">
        <v>1251</v>
      </c>
      <c r="AE450" s="1">
        <v>10</v>
      </c>
      <c r="AF450" s="1">
        <v>13</v>
      </c>
      <c r="AG450" s="1">
        <v>18</v>
      </c>
      <c r="AH450" s="1">
        <v>33</v>
      </c>
      <c r="AI450" s="1">
        <v>48</v>
      </c>
      <c r="AJ450" s="1">
        <v>77</v>
      </c>
      <c r="AK450" s="1">
        <v>95</v>
      </c>
      <c r="AL450" s="1">
        <v>129</v>
      </c>
    </row>
    <row r="451" spans="3:38" ht="15" x14ac:dyDescent="0.25">
      <c r="C451"/>
      <c r="D451"/>
      <c r="E451"/>
      <c r="AD451" s="1" t="s">
        <v>1252</v>
      </c>
      <c r="AE451" s="1">
        <v>10.25</v>
      </c>
      <c r="AF451" s="1">
        <v>15.5</v>
      </c>
      <c r="AG451" s="1">
        <v>19</v>
      </c>
      <c r="AH451" s="1">
        <v>34</v>
      </c>
      <c r="AI451" s="1">
        <v>50</v>
      </c>
      <c r="AJ451" s="1">
        <v>80</v>
      </c>
      <c r="AK451" s="1">
        <v>99</v>
      </c>
      <c r="AL451" s="1">
        <v>135</v>
      </c>
    </row>
    <row r="452" spans="3:38" ht="15" x14ac:dyDescent="0.25">
      <c r="C452"/>
      <c r="D452"/>
      <c r="E452"/>
    </row>
    <row r="453" spans="3:38" ht="15" x14ac:dyDescent="0.25">
      <c r="C453"/>
      <c r="D453"/>
      <c r="E453"/>
      <c r="AD453" s="1" t="s">
        <v>1253</v>
      </c>
      <c r="AE453" s="1">
        <v>1</v>
      </c>
      <c r="AF453" s="1">
        <v>2</v>
      </c>
      <c r="AG453" s="1">
        <v>3</v>
      </c>
      <c r="AH453" s="1">
        <v>4</v>
      </c>
      <c r="AI453" s="1">
        <v>5</v>
      </c>
      <c r="AJ453" s="1">
        <v>6</v>
      </c>
      <c r="AK453" s="1">
        <v>7</v>
      </c>
      <c r="AL453" s="1" t="s">
        <v>1270</v>
      </c>
    </row>
    <row r="454" spans="3:38" ht="15" x14ac:dyDescent="0.25">
      <c r="C454"/>
      <c r="D454"/>
      <c r="E454"/>
      <c r="AD454" s="1" t="s">
        <v>1254</v>
      </c>
      <c r="AE454" s="1">
        <v>0</v>
      </c>
      <c r="AF454" s="1">
        <f t="shared" ref="AF454:AL454" si="14">AE449+1</f>
        <v>8.6999999999999993</v>
      </c>
      <c r="AG454" s="1">
        <f t="shared" si="14"/>
        <v>12</v>
      </c>
      <c r="AH454" s="1">
        <f t="shared" si="14"/>
        <v>16</v>
      </c>
      <c r="AI454" s="1">
        <f t="shared" si="14"/>
        <v>21</v>
      </c>
      <c r="AJ454" s="1">
        <f t="shared" si="14"/>
        <v>35</v>
      </c>
      <c r="AK454" s="1">
        <f t="shared" si="14"/>
        <v>61</v>
      </c>
      <c r="AL454" s="1">
        <f t="shared" si="14"/>
        <v>81</v>
      </c>
    </row>
    <row r="455" spans="3:38" ht="15" x14ac:dyDescent="0.25">
      <c r="C455"/>
      <c r="D455"/>
      <c r="E455"/>
      <c r="AD455" s="1" t="s">
        <v>1250</v>
      </c>
      <c r="AE455" s="1">
        <v>0</v>
      </c>
      <c r="AF455" s="1">
        <f t="shared" ref="AF455:AL457" si="15">AE449+1</f>
        <v>8.6999999999999993</v>
      </c>
      <c r="AG455" s="1">
        <f t="shared" si="15"/>
        <v>12</v>
      </c>
      <c r="AH455" s="1">
        <f t="shared" si="15"/>
        <v>16</v>
      </c>
      <c r="AI455" s="1">
        <f t="shared" si="15"/>
        <v>21</v>
      </c>
      <c r="AJ455" s="1">
        <f t="shared" si="15"/>
        <v>35</v>
      </c>
      <c r="AK455" s="1">
        <f t="shared" si="15"/>
        <v>61</v>
      </c>
      <c r="AL455" s="1">
        <f t="shared" si="15"/>
        <v>81</v>
      </c>
    </row>
    <row r="456" spans="3:38" ht="15" x14ac:dyDescent="0.25">
      <c r="C456"/>
      <c r="D456"/>
      <c r="E456"/>
      <c r="AD456" s="1" t="s">
        <v>1251</v>
      </c>
      <c r="AE456" s="1">
        <v>0</v>
      </c>
      <c r="AF456" s="1">
        <f t="shared" si="15"/>
        <v>11</v>
      </c>
      <c r="AG456" s="1">
        <f t="shared" si="15"/>
        <v>14</v>
      </c>
      <c r="AH456" s="1">
        <f t="shared" si="15"/>
        <v>19</v>
      </c>
      <c r="AI456" s="1">
        <f t="shared" si="15"/>
        <v>34</v>
      </c>
      <c r="AJ456" s="1">
        <f t="shared" si="15"/>
        <v>49</v>
      </c>
      <c r="AK456" s="1">
        <f t="shared" si="15"/>
        <v>78</v>
      </c>
      <c r="AL456" s="1">
        <f t="shared" si="15"/>
        <v>96</v>
      </c>
    </row>
    <row r="457" spans="3:38" ht="15" x14ac:dyDescent="0.25">
      <c r="C457"/>
      <c r="D457"/>
      <c r="E457"/>
      <c r="AD457" s="1" t="s">
        <v>1252</v>
      </c>
      <c r="AE457" s="1">
        <v>0</v>
      </c>
      <c r="AF457" s="1">
        <f t="shared" si="15"/>
        <v>11.25</v>
      </c>
      <c r="AG457" s="1">
        <f t="shared" si="15"/>
        <v>16.5</v>
      </c>
      <c r="AH457" s="1">
        <f t="shared" si="15"/>
        <v>20</v>
      </c>
      <c r="AI457" s="1">
        <f t="shared" si="15"/>
        <v>35</v>
      </c>
      <c r="AJ457" s="1">
        <f t="shared" si="15"/>
        <v>51</v>
      </c>
      <c r="AK457" s="1">
        <f t="shared" si="15"/>
        <v>81</v>
      </c>
      <c r="AL457" s="1">
        <f t="shared" si="15"/>
        <v>100</v>
      </c>
    </row>
    <row r="458" spans="3:38" ht="15" x14ac:dyDescent="0.25">
      <c r="C458"/>
      <c r="D458"/>
      <c r="E458"/>
    </row>
    <row r="459" spans="3:38" ht="15" x14ac:dyDescent="0.25">
      <c r="C459"/>
      <c r="D459"/>
      <c r="E459"/>
    </row>
    <row r="460" spans="3:38" ht="15" x14ac:dyDescent="0.25">
      <c r="C460"/>
      <c r="D460"/>
      <c r="E460"/>
    </row>
    <row r="461" spans="3:38" ht="15" x14ac:dyDescent="0.25">
      <c r="C461"/>
      <c r="D461"/>
      <c r="E461"/>
      <c r="AD461" s="10" t="s">
        <v>1255</v>
      </c>
      <c r="AE461" s="11" t="s">
        <v>1254</v>
      </c>
    </row>
    <row r="462" spans="3:38" ht="15" x14ac:dyDescent="0.25">
      <c r="C462"/>
      <c r="D462"/>
      <c r="E462"/>
      <c r="AD462" s="12" t="s">
        <v>1256</v>
      </c>
      <c r="AE462" s="13">
        <v>0.72</v>
      </c>
      <c r="AH462" s="1" t="str" cm="1">
        <f t="array" aca="1" ref="AH462" ca="1">IFERROR(INDEX(Data_radiator!$AE$432:$AL$432,,MATCH(AL98*60,INDEX(Data_radiator!$AE$433:$AL$436,MATCH(INDIRECT("'Eingabetabelle'!G"&amp;AH81&amp;"",TRUE),Data_radiator!AD375:AD378),1))),"")</f>
        <v/>
      </c>
    </row>
    <row r="463" spans="3:38" ht="15" x14ac:dyDescent="0.25">
      <c r="C463"/>
      <c r="D463"/>
      <c r="E463"/>
      <c r="AD463" s="14" t="s">
        <v>1257</v>
      </c>
      <c r="AE463" s="15" cm="1">
        <f t="array" ref="AE463">INDEX($AE$453:$AL$453,,MATCH(AE462*60,INDEX($AE$454:$AL$457,MATCH(AE461,$AD$454:$AD$457,0),),1))</f>
        <v>6</v>
      </c>
      <c r="AG463" s="16" t="str" cm="1">
        <f t="array" aca="1" ref="AG463" ca="1">IFERROR(INDEX(Data_radiator!$AE$432:$AL$432,,MATCH(AE462*60,INDEX(Data_radiator!$AE$433:$AL$436,MATCH(INDIRECT("'Eingabetabelle'!G"&amp;AH81&amp;"",TRUE),Data_radiator!$AD$354:$AD$357),1))),"")</f>
        <v/>
      </c>
    </row>
    <row r="464" spans="3:38" ht="15" x14ac:dyDescent="0.25">
      <c r="C464"/>
      <c r="D464"/>
      <c r="E464"/>
    </row>
    <row r="465" spans="3:38" ht="15" x14ac:dyDescent="0.25">
      <c r="C465"/>
      <c r="D465"/>
      <c r="E465"/>
    </row>
    <row r="466" spans="3:38" ht="15" x14ac:dyDescent="0.25">
      <c r="C466"/>
      <c r="D466"/>
      <c r="E466"/>
    </row>
    <row r="467" spans="3:38" ht="15" x14ac:dyDescent="0.25">
      <c r="C467"/>
      <c r="D467"/>
      <c r="E467"/>
    </row>
    <row r="468" spans="3:38" ht="15" x14ac:dyDescent="0.25">
      <c r="C468"/>
      <c r="D468"/>
      <c r="E468"/>
      <c r="AD468" s="1" t="s">
        <v>1272</v>
      </c>
      <c r="AE468" s="1" t="s">
        <v>1263</v>
      </c>
    </row>
    <row r="469" spans="3:38" ht="15" x14ac:dyDescent="0.25">
      <c r="C469"/>
      <c r="D469"/>
      <c r="E469"/>
    </row>
    <row r="470" spans="3:38" ht="15" x14ac:dyDescent="0.25">
      <c r="C470"/>
      <c r="D470"/>
      <c r="E470"/>
      <c r="AE470" s="1">
        <v>1</v>
      </c>
      <c r="AF470" s="1">
        <v>2</v>
      </c>
      <c r="AG470" s="1">
        <v>3</v>
      </c>
      <c r="AH470" s="1">
        <v>4</v>
      </c>
      <c r="AI470" s="1">
        <v>5</v>
      </c>
      <c r="AJ470" s="1">
        <v>6</v>
      </c>
      <c r="AK470" s="1">
        <v>7</v>
      </c>
      <c r="AL470" s="1">
        <v>8</v>
      </c>
    </row>
    <row r="471" spans="3:38" ht="15" x14ac:dyDescent="0.25">
      <c r="C471"/>
      <c r="D471"/>
      <c r="E471"/>
      <c r="AD471" s="1" t="s">
        <v>1260</v>
      </c>
      <c r="AE471" s="1">
        <v>11</v>
      </c>
      <c r="AF471" s="1">
        <v>20</v>
      </c>
      <c r="AG471" s="1">
        <v>34</v>
      </c>
      <c r="AH471" s="1">
        <v>60</v>
      </c>
      <c r="AI471" s="1">
        <v>75</v>
      </c>
      <c r="AJ471" s="1">
        <v>92</v>
      </c>
      <c r="AK471" s="1">
        <v>145</v>
      </c>
      <c r="AL471" s="1">
        <v>170</v>
      </c>
    </row>
    <row r="472" spans="3:38" ht="15" x14ac:dyDescent="0.25">
      <c r="C472"/>
      <c r="D472"/>
      <c r="E472"/>
      <c r="AD472" s="1" t="s">
        <v>1261</v>
      </c>
      <c r="AE472" s="1">
        <v>15.5</v>
      </c>
      <c r="AF472" s="1">
        <v>28</v>
      </c>
      <c r="AG472" s="1">
        <v>47</v>
      </c>
      <c r="AH472" s="1">
        <v>70</v>
      </c>
      <c r="AI472" s="1">
        <v>106</v>
      </c>
      <c r="AJ472" s="1">
        <v>130</v>
      </c>
      <c r="AK472" s="1">
        <v>175</v>
      </c>
      <c r="AL472" s="1">
        <v>190</v>
      </c>
    </row>
    <row r="473" spans="3:38" ht="15" x14ac:dyDescent="0.25">
      <c r="C473"/>
      <c r="D473"/>
      <c r="E473"/>
      <c r="AD473" s="1" t="s">
        <v>1262</v>
      </c>
      <c r="AE473" s="1">
        <v>19</v>
      </c>
      <c r="AF473" s="1">
        <v>35</v>
      </c>
      <c r="AG473" s="1">
        <v>57.5</v>
      </c>
      <c r="AH473" s="1">
        <v>105</v>
      </c>
      <c r="AI473" s="1">
        <v>130</v>
      </c>
      <c r="AJ473" s="1">
        <v>160</v>
      </c>
      <c r="AK473" s="1">
        <v>215</v>
      </c>
      <c r="AL473" s="1">
        <v>225</v>
      </c>
    </row>
    <row r="474" spans="3:38" ht="15" x14ac:dyDescent="0.25">
      <c r="C474"/>
      <c r="D474"/>
      <c r="E474"/>
    </row>
    <row r="475" spans="3:38" ht="15" x14ac:dyDescent="0.25">
      <c r="C475"/>
      <c r="D475"/>
      <c r="E475"/>
      <c r="AD475" s="1" t="s">
        <v>1253</v>
      </c>
      <c r="AE475" s="1">
        <v>1</v>
      </c>
      <c r="AF475" s="1">
        <v>2</v>
      </c>
      <c r="AG475" s="1">
        <v>3</v>
      </c>
      <c r="AH475" s="1">
        <v>4</v>
      </c>
      <c r="AI475" s="1">
        <v>5</v>
      </c>
      <c r="AJ475" s="1">
        <v>6</v>
      </c>
      <c r="AK475" s="1">
        <v>7</v>
      </c>
      <c r="AL475" s="1">
        <v>8</v>
      </c>
    </row>
    <row r="476" spans="3:38" ht="15" x14ac:dyDescent="0.25">
      <c r="C476"/>
      <c r="D476"/>
      <c r="E476"/>
      <c r="AD476" s="1" t="s">
        <v>1254</v>
      </c>
      <c r="AE476" s="1">
        <v>0</v>
      </c>
      <c r="AF476" s="1">
        <f>AE471+1</f>
        <v>12</v>
      </c>
      <c r="AG476" s="1">
        <f t="shared" ref="AG476:AL476" si="16">AF471+1</f>
        <v>21</v>
      </c>
      <c r="AH476" s="1">
        <f t="shared" si="16"/>
        <v>35</v>
      </c>
      <c r="AI476" s="1">
        <f t="shared" si="16"/>
        <v>61</v>
      </c>
      <c r="AJ476" s="1">
        <f t="shared" si="16"/>
        <v>76</v>
      </c>
      <c r="AK476" s="1">
        <f t="shared" si="16"/>
        <v>93</v>
      </c>
      <c r="AL476" s="1">
        <f t="shared" si="16"/>
        <v>146</v>
      </c>
    </row>
    <row r="477" spans="3:38" ht="15" x14ac:dyDescent="0.25">
      <c r="C477"/>
      <c r="D477"/>
      <c r="E477"/>
      <c r="AD477" s="1" t="s">
        <v>1250</v>
      </c>
      <c r="AE477" s="1">
        <v>0</v>
      </c>
      <c r="AF477" s="1">
        <f t="shared" ref="AF477:AL479" si="17">AE471+1</f>
        <v>12</v>
      </c>
      <c r="AG477" s="1">
        <f t="shared" si="17"/>
        <v>21</v>
      </c>
      <c r="AH477" s="1">
        <f t="shared" si="17"/>
        <v>35</v>
      </c>
      <c r="AI477" s="1">
        <f t="shared" si="17"/>
        <v>61</v>
      </c>
      <c r="AJ477" s="1">
        <f t="shared" si="17"/>
        <v>76</v>
      </c>
      <c r="AK477" s="1">
        <f t="shared" si="17"/>
        <v>93</v>
      </c>
      <c r="AL477" s="1">
        <f t="shared" si="17"/>
        <v>146</v>
      </c>
    </row>
    <row r="478" spans="3:38" ht="15" x14ac:dyDescent="0.25">
      <c r="C478"/>
      <c r="D478"/>
      <c r="E478"/>
      <c r="AD478" s="1" t="s">
        <v>1251</v>
      </c>
      <c r="AE478" s="1">
        <v>0</v>
      </c>
      <c r="AF478" s="1">
        <f t="shared" si="17"/>
        <v>16.5</v>
      </c>
      <c r="AG478" s="1">
        <f t="shared" si="17"/>
        <v>29</v>
      </c>
      <c r="AH478" s="1">
        <f t="shared" si="17"/>
        <v>48</v>
      </c>
      <c r="AI478" s="1">
        <f t="shared" si="17"/>
        <v>71</v>
      </c>
      <c r="AJ478" s="1">
        <f t="shared" si="17"/>
        <v>107</v>
      </c>
      <c r="AK478" s="1">
        <f t="shared" si="17"/>
        <v>131</v>
      </c>
      <c r="AL478" s="1">
        <f t="shared" si="17"/>
        <v>176</v>
      </c>
    </row>
    <row r="479" spans="3:38" ht="15" x14ac:dyDescent="0.25">
      <c r="C479"/>
      <c r="D479"/>
      <c r="E479"/>
      <c r="AD479" s="1" t="s">
        <v>1252</v>
      </c>
      <c r="AE479" s="1">
        <v>0</v>
      </c>
      <c r="AF479" s="1">
        <f t="shared" si="17"/>
        <v>20</v>
      </c>
      <c r="AG479" s="1">
        <f t="shared" si="17"/>
        <v>36</v>
      </c>
      <c r="AH479" s="1">
        <f t="shared" si="17"/>
        <v>58.5</v>
      </c>
      <c r="AI479" s="1">
        <f t="shared" si="17"/>
        <v>106</v>
      </c>
      <c r="AJ479" s="1">
        <f t="shared" si="17"/>
        <v>131</v>
      </c>
      <c r="AK479" s="1">
        <f t="shared" si="17"/>
        <v>161</v>
      </c>
      <c r="AL479" s="1">
        <f t="shared" si="17"/>
        <v>216</v>
      </c>
    </row>
    <row r="480" spans="3:38" ht="15" x14ac:dyDescent="0.25">
      <c r="C480"/>
      <c r="D480"/>
      <c r="E480"/>
    </row>
    <row r="481" spans="3:36" ht="15" x14ac:dyDescent="0.25">
      <c r="C481"/>
      <c r="D481"/>
      <c r="E481"/>
    </row>
    <row r="482" spans="3:36" ht="15" x14ac:dyDescent="0.25">
      <c r="C482"/>
      <c r="D482"/>
      <c r="E482"/>
    </row>
    <row r="483" spans="3:36" ht="15" x14ac:dyDescent="0.25">
      <c r="C483"/>
      <c r="D483"/>
      <c r="E483"/>
      <c r="AD483" s="10" t="s">
        <v>1255</v>
      </c>
      <c r="AE483" s="11" t="s">
        <v>1254</v>
      </c>
    </row>
    <row r="484" spans="3:36" ht="15" x14ac:dyDescent="0.25">
      <c r="C484"/>
      <c r="D484"/>
      <c r="E484"/>
      <c r="AD484" s="12" t="s">
        <v>1256</v>
      </c>
      <c r="AE484" s="13">
        <v>0.72</v>
      </c>
      <c r="AH484" s="1" t="s">
        <v>1273</v>
      </c>
    </row>
    <row r="485" spans="3:36" ht="15" x14ac:dyDescent="0.25">
      <c r="C485"/>
      <c r="D485"/>
      <c r="E485"/>
      <c r="AD485" s="14" t="s">
        <v>1257</v>
      </c>
      <c r="AE485" s="15" cm="1">
        <f t="array" ref="AE485">INDEX($AE$475:$AL$475,,MATCH(AE484*60,INDEX($AE$476:$AL$479,MATCH(AE483,$AD$476:$AD$479,0),),1))</f>
        <v>4</v>
      </c>
      <c r="AG485" s="1" t="s">
        <v>1273</v>
      </c>
    </row>
    <row r="486" spans="3:36" ht="15" x14ac:dyDescent="0.25">
      <c r="C486"/>
      <c r="D486"/>
      <c r="E486"/>
    </row>
    <row r="487" spans="3:36" ht="15" x14ac:dyDescent="0.25">
      <c r="C487"/>
      <c r="D487"/>
      <c r="E487"/>
    </row>
    <row r="488" spans="3:36" ht="15" x14ac:dyDescent="0.25">
      <c r="C488"/>
      <c r="D488"/>
      <c r="E488"/>
    </row>
    <row r="489" spans="3:36" ht="15" x14ac:dyDescent="0.25">
      <c r="C489"/>
      <c r="D489"/>
      <c r="E489"/>
      <c r="AD489" s="1" t="s">
        <v>1274</v>
      </c>
      <c r="AE489" s="1" t="s">
        <v>1263</v>
      </c>
    </row>
    <row r="490" spans="3:36" ht="15" x14ac:dyDescent="0.25">
      <c r="C490"/>
      <c r="D490"/>
      <c r="E490"/>
    </row>
    <row r="491" spans="3:36" ht="15" x14ac:dyDescent="0.25">
      <c r="C491"/>
      <c r="D491"/>
      <c r="E491"/>
      <c r="AE491" s="1">
        <v>1</v>
      </c>
      <c r="AF491" s="1">
        <v>2</v>
      </c>
      <c r="AG491" s="1">
        <v>3</v>
      </c>
      <c r="AH491" s="1">
        <v>4</v>
      </c>
      <c r="AI491" s="1">
        <v>5</v>
      </c>
      <c r="AJ491" s="1">
        <v>6</v>
      </c>
    </row>
    <row r="492" spans="3:36" ht="15" x14ac:dyDescent="0.25">
      <c r="C492"/>
      <c r="D492"/>
      <c r="E492"/>
      <c r="AD492" s="1" t="s">
        <v>1260</v>
      </c>
      <c r="AE492" s="1">
        <v>10.5</v>
      </c>
      <c r="AF492" s="1">
        <v>22</v>
      </c>
      <c r="AG492" s="1">
        <v>37</v>
      </c>
      <c r="AH492" s="1">
        <v>55</v>
      </c>
      <c r="AI492" s="1">
        <v>82</v>
      </c>
      <c r="AJ492" s="1">
        <v>105</v>
      </c>
    </row>
    <row r="493" spans="3:36" ht="15" x14ac:dyDescent="0.25">
      <c r="C493"/>
      <c r="D493"/>
      <c r="E493"/>
      <c r="AD493" s="1" t="s">
        <v>1261</v>
      </c>
      <c r="AE493" s="1">
        <v>15</v>
      </c>
      <c r="AF493" s="1">
        <v>30.5</v>
      </c>
      <c r="AG493" s="1">
        <v>52</v>
      </c>
      <c r="AH493" s="1">
        <v>72</v>
      </c>
      <c r="AI493" s="1">
        <v>115</v>
      </c>
      <c r="AJ493" s="1">
        <v>150</v>
      </c>
    </row>
    <row r="494" spans="3:36" ht="15" x14ac:dyDescent="0.25">
      <c r="C494"/>
      <c r="D494"/>
      <c r="E494"/>
      <c r="AD494" s="1" t="s">
        <v>1262</v>
      </c>
      <c r="AE494" s="1">
        <v>18.5</v>
      </c>
      <c r="AF494" s="1">
        <v>38</v>
      </c>
      <c r="AG494" s="1">
        <v>62</v>
      </c>
      <c r="AH494" s="1">
        <v>90</v>
      </c>
      <c r="AI494" s="1">
        <v>146</v>
      </c>
      <c r="AJ494" s="1">
        <v>180</v>
      </c>
    </row>
    <row r="495" spans="3:36" ht="15" x14ac:dyDescent="0.25">
      <c r="C495"/>
      <c r="D495"/>
      <c r="E495"/>
    </row>
    <row r="496" spans="3:36" ht="15" x14ac:dyDescent="0.25">
      <c r="C496"/>
      <c r="D496"/>
      <c r="E496"/>
      <c r="AD496" s="1" t="s">
        <v>1253</v>
      </c>
      <c r="AE496" s="1">
        <v>1</v>
      </c>
      <c r="AF496" s="1">
        <v>2</v>
      </c>
      <c r="AG496" s="1">
        <v>3</v>
      </c>
      <c r="AH496" s="1">
        <v>4</v>
      </c>
      <c r="AI496" s="1">
        <v>5</v>
      </c>
      <c r="AJ496" s="1">
        <v>6</v>
      </c>
    </row>
    <row r="497" spans="3:36" ht="15" x14ac:dyDescent="0.25">
      <c r="C497"/>
      <c r="D497"/>
      <c r="E497"/>
      <c r="AD497" s="1" t="s">
        <v>1254</v>
      </c>
      <c r="AE497" s="1">
        <v>0</v>
      </c>
      <c r="AF497" s="1">
        <f>AE492+1</f>
        <v>11.5</v>
      </c>
      <c r="AG497" s="1">
        <f t="shared" ref="AG497:AJ497" si="18">AF492+1</f>
        <v>23</v>
      </c>
      <c r="AH497" s="1">
        <f t="shared" si="18"/>
        <v>38</v>
      </c>
      <c r="AI497" s="1">
        <f t="shared" si="18"/>
        <v>56</v>
      </c>
      <c r="AJ497" s="1">
        <f t="shared" si="18"/>
        <v>83</v>
      </c>
    </row>
    <row r="498" spans="3:36" ht="15" x14ac:dyDescent="0.25">
      <c r="C498"/>
      <c r="D498"/>
      <c r="E498"/>
      <c r="AD498" s="1" t="s">
        <v>1250</v>
      </c>
      <c r="AE498" s="1">
        <v>0</v>
      </c>
      <c r="AF498" s="1">
        <f t="shared" ref="AF498:AJ500" si="19">AE492+1</f>
        <v>11.5</v>
      </c>
      <c r="AG498" s="1">
        <f t="shared" si="19"/>
        <v>23</v>
      </c>
      <c r="AH498" s="1">
        <f t="shared" si="19"/>
        <v>38</v>
      </c>
      <c r="AI498" s="1">
        <f t="shared" si="19"/>
        <v>56</v>
      </c>
      <c r="AJ498" s="1">
        <f t="shared" si="19"/>
        <v>83</v>
      </c>
    </row>
    <row r="499" spans="3:36" ht="15" x14ac:dyDescent="0.25">
      <c r="C499"/>
      <c r="D499"/>
      <c r="E499"/>
      <c r="AD499" s="1" t="s">
        <v>1251</v>
      </c>
      <c r="AE499" s="1">
        <v>0</v>
      </c>
      <c r="AF499" s="1">
        <f t="shared" si="19"/>
        <v>16</v>
      </c>
      <c r="AG499" s="1">
        <f t="shared" si="19"/>
        <v>31.5</v>
      </c>
      <c r="AH499" s="1">
        <f t="shared" si="19"/>
        <v>53</v>
      </c>
      <c r="AI499" s="1">
        <f t="shared" si="19"/>
        <v>73</v>
      </c>
      <c r="AJ499" s="1">
        <f t="shared" si="19"/>
        <v>116</v>
      </c>
    </row>
    <row r="500" spans="3:36" ht="15" x14ac:dyDescent="0.25">
      <c r="C500"/>
      <c r="D500"/>
      <c r="E500"/>
      <c r="AD500" s="1" t="s">
        <v>1252</v>
      </c>
      <c r="AE500" s="1">
        <v>0</v>
      </c>
      <c r="AF500" s="1">
        <f t="shared" si="19"/>
        <v>19.5</v>
      </c>
      <c r="AG500" s="1">
        <f t="shared" si="19"/>
        <v>39</v>
      </c>
      <c r="AH500" s="1">
        <f t="shared" si="19"/>
        <v>63</v>
      </c>
      <c r="AI500" s="1">
        <f t="shared" si="19"/>
        <v>91</v>
      </c>
      <c r="AJ500" s="1">
        <f t="shared" si="19"/>
        <v>147</v>
      </c>
    </row>
    <row r="501" spans="3:36" ht="15" x14ac:dyDescent="0.25">
      <c r="C501"/>
      <c r="D501"/>
      <c r="E501"/>
    </row>
    <row r="502" spans="3:36" ht="15" x14ac:dyDescent="0.25">
      <c r="C502"/>
      <c r="D502"/>
      <c r="E502"/>
    </row>
    <row r="503" spans="3:36" ht="15" x14ac:dyDescent="0.25">
      <c r="C503"/>
      <c r="D503"/>
      <c r="E503"/>
    </row>
    <row r="504" spans="3:36" ht="15" x14ac:dyDescent="0.25">
      <c r="C504"/>
      <c r="D504"/>
      <c r="E504"/>
      <c r="AD504" s="10" t="s">
        <v>1255</v>
      </c>
      <c r="AE504" s="11" t="s">
        <v>1254</v>
      </c>
    </row>
    <row r="505" spans="3:36" ht="15" x14ac:dyDescent="0.25">
      <c r="C505"/>
      <c r="D505"/>
      <c r="E505"/>
      <c r="AD505" s="12" t="s">
        <v>1256</v>
      </c>
      <c r="AE505" s="13">
        <v>0.2</v>
      </c>
      <c r="AH505" s="1" t="s">
        <v>1273</v>
      </c>
    </row>
    <row r="506" spans="3:36" ht="15" x14ac:dyDescent="0.25">
      <c r="C506"/>
      <c r="D506"/>
      <c r="E506"/>
      <c r="AD506" s="14" t="s">
        <v>1257</v>
      </c>
      <c r="AE506" s="15" cm="1">
        <f t="array" ref="AE506">INDEX($AE$496:$AL$496,,MATCH(AE505*60,INDEX($AE$497:$AL$500,MATCH(AE504,$AD$497:$AD$500,0),),1))</f>
        <v>2</v>
      </c>
      <c r="AG506" s="1" t="s">
        <v>1273</v>
      </c>
    </row>
    <row r="507" spans="3:36" ht="15" x14ac:dyDescent="0.25">
      <c r="C507"/>
      <c r="D507"/>
      <c r="E507"/>
    </row>
    <row r="508" spans="3:36" ht="15" x14ac:dyDescent="0.25">
      <c r="C508"/>
      <c r="D508"/>
      <c r="E508"/>
    </row>
    <row r="509" spans="3:36" ht="15" x14ac:dyDescent="0.25">
      <c r="C509"/>
      <c r="D509"/>
      <c r="E509"/>
    </row>
    <row r="510" spans="3:36" ht="15" x14ac:dyDescent="0.25">
      <c r="C510"/>
      <c r="D510"/>
      <c r="E510"/>
    </row>
    <row r="511" spans="3:36" ht="15" x14ac:dyDescent="0.25">
      <c r="C511"/>
      <c r="D511"/>
      <c r="E511"/>
      <c r="AD511" s="1" t="s">
        <v>1275</v>
      </c>
      <c r="AE511" s="1" t="s">
        <v>1263</v>
      </c>
    </row>
    <row r="512" spans="3:36" ht="15" x14ac:dyDescent="0.25">
      <c r="C512"/>
      <c r="D512"/>
      <c r="E512"/>
    </row>
    <row r="513" spans="3:45" ht="15" x14ac:dyDescent="0.25">
      <c r="C513"/>
      <c r="D513"/>
      <c r="E513"/>
      <c r="AE513" s="1">
        <v>1</v>
      </c>
      <c r="AF513" s="1">
        <v>1.5</v>
      </c>
      <c r="AG513" s="1">
        <v>2</v>
      </c>
      <c r="AH513" s="1">
        <v>2.5</v>
      </c>
      <c r="AI513" s="1">
        <v>3</v>
      </c>
      <c r="AJ513" s="1">
        <v>3.5</v>
      </c>
      <c r="AK513" s="1">
        <v>4</v>
      </c>
      <c r="AL513" s="1">
        <v>4.5</v>
      </c>
      <c r="AM513" s="1">
        <v>5</v>
      </c>
      <c r="AN513" s="1">
        <v>5.5</v>
      </c>
      <c r="AO513" s="1">
        <v>6</v>
      </c>
      <c r="AP513" s="1">
        <v>6.5</v>
      </c>
      <c r="AQ513" s="1">
        <v>7</v>
      </c>
      <c r="AR513" s="1">
        <v>7.5</v>
      </c>
      <c r="AS513" s="1">
        <v>8</v>
      </c>
    </row>
    <row r="514" spans="3:45" ht="15" x14ac:dyDescent="0.25">
      <c r="C514"/>
      <c r="D514"/>
      <c r="E514"/>
      <c r="AD514" s="1" t="s">
        <v>1260</v>
      </c>
      <c r="AE514" s="1">
        <v>28</v>
      </c>
      <c r="AF514" s="1">
        <v>40</v>
      </c>
      <c r="AG514" s="1">
        <v>49</v>
      </c>
      <c r="AH514" s="1">
        <v>60</v>
      </c>
      <c r="AI514" s="1">
        <v>69</v>
      </c>
      <c r="AJ514" s="1">
        <v>77</v>
      </c>
      <c r="AK514" s="1">
        <v>85</v>
      </c>
      <c r="AL514" s="1">
        <v>96</v>
      </c>
      <c r="AM514" s="1">
        <v>110</v>
      </c>
      <c r="AN514" s="1">
        <v>125</v>
      </c>
      <c r="AO514" s="1">
        <v>139</v>
      </c>
      <c r="AP514" s="1">
        <v>150</v>
      </c>
      <c r="AQ514" s="1">
        <v>160</v>
      </c>
      <c r="AR514" s="1">
        <v>170</v>
      </c>
      <c r="AS514" s="1">
        <v>180</v>
      </c>
    </row>
    <row r="515" spans="3:45" ht="15" x14ac:dyDescent="0.25">
      <c r="C515"/>
      <c r="D515"/>
      <c r="E515"/>
      <c r="AD515" s="1" t="s">
        <v>1261</v>
      </c>
      <c r="AE515" s="1">
        <v>40</v>
      </c>
      <c r="AF515" s="1">
        <v>57</v>
      </c>
      <c r="AG515" s="1">
        <v>70</v>
      </c>
      <c r="AH515" s="1">
        <v>86</v>
      </c>
      <c r="AI515" s="1">
        <v>100</v>
      </c>
      <c r="AJ515" s="1">
        <v>115</v>
      </c>
      <c r="AK515" s="1">
        <v>126</v>
      </c>
      <c r="AL515" s="1">
        <v>145</v>
      </c>
      <c r="AM515" s="1">
        <v>160</v>
      </c>
      <c r="AN515" s="1">
        <v>176</v>
      </c>
      <c r="AO515" s="1">
        <v>190</v>
      </c>
      <c r="AP515" s="1">
        <v>200</v>
      </c>
      <c r="AQ515" s="1">
        <v>221</v>
      </c>
      <c r="AR515" s="1">
        <v>238</v>
      </c>
      <c r="AS515" s="1">
        <v>254</v>
      </c>
    </row>
    <row r="516" spans="3:45" ht="15" x14ac:dyDescent="0.25">
      <c r="C516"/>
      <c r="D516"/>
      <c r="E516"/>
      <c r="AD516" s="1" t="s">
        <v>1262</v>
      </c>
      <c r="AE516" s="1">
        <v>49</v>
      </c>
      <c r="AF516" s="1">
        <v>68</v>
      </c>
      <c r="AG516" s="1">
        <v>84</v>
      </c>
      <c r="AH516" s="1">
        <v>105</v>
      </c>
      <c r="AI516" s="1">
        <v>125</v>
      </c>
      <c r="AJ516" s="1">
        <v>140</v>
      </c>
      <c r="AK516" s="1">
        <v>155</v>
      </c>
      <c r="AL516" s="1">
        <v>171</v>
      </c>
      <c r="AM516" s="1">
        <v>187</v>
      </c>
      <c r="AN516" s="1">
        <v>203</v>
      </c>
      <c r="AO516" s="1">
        <v>226</v>
      </c>
      <c r="AP516" s="1">
        <v>247</v>
      </c>
      <c r="AQ516" s="1">
        <v>263</v>
      </c>
      <c r="AR516" s="1">
        <v>281</v>
      </c>
      <c r="AS516" s="1">
        <v>300</v>
      </c>
    </row>
    <row r="517" spans="3:45" ht="15" x14ac:dyDescent="0.25">
      <c r="C517"/>
      <c r="D517"/>
      <c r="E517"/>
    </row>
    <row r="518" spans="3:45" ht="15" x14ac:dyDescent="0.25">
      <c r="C518"/>
      <c r="D518"/>
      <c r="E518"/>
      <c r="AD518" s="1" t="s">
        <v>1253</v>
      </c>
      <c r="AE518" s="1">
        <v>1</v>
      </c>
      <c r="AF518" s="1">
        <v>1.5</v>
      </c>
      <c r="AG518" s="1">
        <v>2</v>
      </c>
      <c r="AH518" s="1">
        <v>2.5</v>
      </c>
      <c r="AI518" s="1">
        <v>3</v>
      </c>
      <c r="AJ518" s="1">
        <v>3.5</v>
      </c>
      <c r="AK518" s="1">
        <v>4</v>
      </c>
      <c r="AL518" s="1">
        <v>4.5</v>
      </c>
      <c r="AM518" s="1">
        <v>5</v>
      </c>
      <c r="AN518" s="1">
        <v>5.5</v>
      </c>
      <c r="AO518" s="1">
        <v>6</v>
      </c>
      <c r="AP518" s="1">
        <v>6.5</v>
      </c>
      <c r="AQ518" s="1">
        <v>7</v>
      </c>
      <c r="AR518" s="1">
        <v>7.5</v>
      </c>
      <c r="AS518" s="1">
        <v>8</v>
      </c>
    </row>
    <row r="519" spans="3:45" ht="15" x14ac:dyDescent="0.25">
      <c r="C519"/>
      <c r="D519"/>
      <c r="E519"/>
      <c r="AD519" s="1" t="s">
        <v>1254</v>
      </c>
      <c r="AE519" s="1">
        <v>0</v>
      </c>
      <c r="AF519" s="1">
        <f>AE514+1</f>
        <v>29</v>
      </c>
      <c r="AG519" s="1">
        <f t="shared" ref="AG519:AS519" si="20">AF514+1</f>
        <v>41</v>
      </c>
      <c r="AH519" s="1">
        <f t="shared" si="20"/>
        <v>50</v>
      </c>
      <c r="AI519" s="1">
        <f t="shared" si="20"/>
        <v>61</v>
      </c>
      <c r="AJ519" s="1">
        <f t="shared" si="20"/>
        <v>70</v>
      </c>
      <c r="AK519" s="1">
        <f t="shared" si="20"/>
        <v>78</v>
      </c>
      <c r="AL519" s="1">
        <f t="shared" si="20"/>
        <v>86</v>
      </c>
      <c r="AM519" s="1">
        <f t="shared" si="20"/>
        <v>97</v>
      </c>
      <c r="AN519" s="1">
        <f t="shared" si="20"/>
        <v>111</v>
      </c>
      <c r="AO519" s="1">
        <f t="shared" si="20"/>
        <v>126</v>
      </c>
      <c r="AP519" s="1">
        <f t="shared" si="20"/>
        <v>140</v>
      </c>
      <c r="AQ519" s="1">
        <f t="shared" si="20"/>
        <v>151</v>
      </c>
      <c r="AR519" s="1">
        <f t="shared" si="20"/>
        <v>161</v>
      </c>
      <c r="AS519" s="1">
        <f t="shared" si="20"/>
        <v>171</v>
      </c>
    </row>
    <row r="520" spans="3:45" ht="15" x14ac:dyDescent="0.25">
      <c r="C520"/>
      <c r="D520"/>
      <c r="E520"/>
      <c r="AD520" s="1" t="s">
        <v>1250</v>
      </c>
      <c r="AE520" s="1">
        <v>0</v>
      </c>
      <c r="AF520" s="1">
        <f t="shared" ref="AF520:AS522" si="21">AE514+1</f>
        <v>29</v>
      </c>
      <c r="AG520" s="1">
        <f t="shared" si="21"/>
        <v>41</v>
      </c>
      <c r="AH520" s="1">
        <f t="shared" si="21"/>
        <v>50</v>
      </c>
      <c r="AI520" s="1">
        <f t="shared" si="21"/>
        <v>61</v>
      </c>
      <c r="AJ520" s="1">
        <f t="shared" si="21"/>
        <v>70</v>
      </c>
      <c r="AK520" s="1">
        <f t="shared" si="21"/>
        <v>78</v>
      </c>
      <c r="AL520" s="1">
        <f t="shared" si="21"/>
        <v>86</v>
      </c>
      <c r="AM520" s="1">
        <f t="shared" si="21"/>
        <v>97</v>
      </c>
      <c r="AN520" s="1">
        <f t="shared" si="21"/>
        <v>111</v>
      </c>
      <c r="AO520" s="1">
        <f t="shared" si="21"/>
        <v>126</v>
      </c>
      <c r="AP520" s="1">
        <f t="shared" si="21"/>
        <v>140</v>
      </c>
      <c r="AQ520" s="1">
        <f t="shared" si="21"/>
        <v>151</v>
      </c>
      <c r="AR520" s="1">
        <f t="shared" si="21"/>
        <v>161</v>
      </c>
      <c r="AS520" s="1">
        <f t="shared" si="21"/>
        <v>171</v>
      </c>
    </row>
    <row r="521" spans="3:45" ht="15" x14ac:dyDescent="0.25">
      <c r="C521"/>
      <c r="D521"/>
      <c r="E521"/>
      <c r="AD521" s="1" t="s">
        <v>1251</v>
      </c>
      <c r="AE521" s="1">
        <v>0</v>
      </c>
      <c r="AF521" s="1">
        <f t="shared" si="21"/>
        <v>41</v>
      </c>
      <c r="AG521" s="1">
        <f t="shared" si="21"/>
        <v>58</v>
      </c>
      <c r="AH521" s="1">
        <f t="shared" si="21"/>
        <v>71</v>
      </c>
      <c r="AI521" s="1">
        <f t="shared" si="21"/>
        <v>87</v>
      </c>
      <c r="AJ521" s="1">
        <f t="shared" si="21"/>
        <v>101</v>
      </c>
      <c r="AK521" s="1">
        <f t="shared" si="21"/>
        <v>116</v>
      </c>
      <c r="AL521" s="1">
        <f t="shared" si="21"/>
        <v>127</v>
      </c>
      <c r="AM521" s="1">
        <f t="shared" si="21"/>
        <v>146</v>
      </c>
      <c r="AN521" s="1">
        <f t="shared" si="21"/>
        <v>161</v>
      </c>
      <c r="AO521" s="1">
        <f t="shared" si="21"/>
        <v>177</v>
      </c>
      <c r="AP521" s="1">
        <f t="shared" si="21"/>
        <v>191</v>
      </c>
      <c r="AQ521" s="1">
        <f t="shared" si="21"/>
        <v>201</v>
      </c>
      <c r="AR521" s="1">
        <f t="shared" si="21"/>
        <v>222</v>
      </c>
      <c r="AS521" s="1">
        <f t="shared" si="21"/>
        <v>239</v>
      </c>
    </row>
    <row r="522" spans="3:45" ht="15" x14ac:dyDescent="0.25">
      <c r="C522"/>
      <c r="D522"/>
      <c r="E522"/>
      <c r="AD522" s="1" t="s">
        <v>1252</v>
      </c>
      <c r="AE522" s="1">
        <v>0</v>
      </c>
      <c r="AF522" s="1">
        <f t="shared" si="21"/>
        <v>50</v>
      </c>
      <c r="AG522" s="1">
        <f t="shared" si="21"/>
        <v>69</v>
      </c>
      <c r="AH522" s="1">
        <f t="shared" si="21"/>
        <v>85</v>
      </c>
      <c r="AI522" s="1">
        <f t="shared" si="21"/>
        <v>106</v>
      </c>
      <c r="AJ522" s="1">
        <f t="shared" si="21"/>
        <v>126</v>
      </c>
      <c r="AK522" s="1">
        <f t="shared" si="21"/>
        <v>141</v>
      </c>
      <c r="AL522" s="1">
        <f t="shared" si="21"/>
        <v>156</v>
      </c>
      <c r="AM522" s="1">
        <f t="shared" si="21"/>
        <v>172</v>
      </c>
      <c r="AN522" s="1">
        <f t="shared" si="21"/>
        <v>188</v>
      </c>
      <c r="AO522" s="1">
        <f t="shared" si="21"/>
        <v>204</v>
      </c>
      <c r="AP522" s="1">
        <f t="shared" si="21"/>
        <v>227</v>
      </c>
      <c r="AQ522" s="1">
        <f t="shared" si="21"/>
        <v>248</v>
      </c>
      <c r="AR522" s="1">
        <f t="shared" si="21"/>
        <v>264</v>
      </c>
      <c r="AS522" s="1">
        <f t="shared" si="21"/>
        <v>282</v>
      </c>
    </row>
    <row r="523" spans="3:45" ht="15" x14ac:dyDescent="0.25">
      <c r="C523"/>
      <c r="D523"/>
      <c r="E523"/>
    </row>
    <row r="524" spans="3:45" ht="15" x14ac:dyDescent="0.25">
      <c r="C524"/>
      <c r="D524"/>
      <c r="E524"/>
    </row>
    <row r="525" spans="3:45" ht="15" x14ac:dyDescent="0.25">
      <c r="C525"/>
      <c r="D525"/>
      <c r="E525"/>
    </row>
    <row r="526" spans="3:45" ht="15" x14ac:dyDescent="0.25">
      <c r="C526"/>
      <c r="D526"/>
      <c r="E526"/>
      <c r="AD526" s="10" t="s">
        <v>1255</v>
      </c>
      <c r="AE526" s="11" t="s">
        <v>1254</v>
      </c>
    </row>
    <row r="527" spans="3:45" ht="15" x14ac:dyDescent="0.25">
      <c r="C527"/>
      <c r="D527"/>
      <c r="E527"/>
      <c r="AD527" s="12" t="s">
        <v>1256</v>
      </c>
      <c r="AE527" s="13">
        <v>1.44</v>
      </c>
      <c r="AH527" s="1" t="s">
        <v>1273</v>
      </c>
    </row>
    <row r="528" spans="3:45" ht="15" x14ac:dyDescent="0.25">
      <c r="C528"/>
      <c r="D528"/>
      <c r="E528"/>
      <c r="AD528" s="14" t="s">
        <v>1257</v>
      </c>
      <c r="AE528" s="15" cm="1">
        <f t="array" ref="AE528">INDEX($AE$518:$AS$518,,MATCH(AE527*60,INDEX($AE$519:$AS$522,MATCH(AE526,$AD$519:$AD$522,0),),1))</f>
        <v>4.5</v>
      </c>
      <c r="AG528" s="1" t="s">
        <v>1273</v>
      </c>
    </row>
    <row r="529" spans="3:5" ht="15" x14ac:dyDescent="0.25">
      <c r="C529"/>
      <c r="D529"/>
      <c r="E529"/>
    </row>
    <row r="530" spans="3:5" ht="15" x14ac:dyDescent="0.25">
      <c r="C530"/>
      <c r="D530"/>
      <c r="E530"/>
    </row>
    <row r="531" spans="3:5" ht="15" x14ac:dyDescent="0.25">
      <c r="C531"/>
      <c r="D531"/>
      <c r="E531"/>
    </row>
    <row r="532" spans="3:5" ht="15" x14ac:dyDescent="0.25">
      <c r="C532"/>
      <c r="D532"/>
      <c r="E532"/>
    </row>
    <row r="533" spans="3:5" ht="15" x14ac:dyDescent="0.25">
      <c r="C533"/>
      <c r="D533"/>
      <c r="E533"/>
    </row>
    <row r="534" spans="3:5" ht="15" x14ac:dyDescent="0.25">
      <c r="C534"/>
      <c r="D534"/>
      <c r="E534"/>
    </row>
    <row r="535" spans="3:5" ht="15" x14ac:dyDescent="0.25">
      <c r="C535"/>
      <c r="D535"/>
      <c r="E535"/>
    </row>
    <row r="536" spans="3:5" ht="15" x14ac:dyDescent="0.25">
      <c r="C536"/>
      <c r="D536"/>
      <c r="E536"/>
    </row>
    <row r="537" spans="3:5" ht="15" x14ac:dyDescent="0.25">
      <c r="C537"/>
      <c r="D537"/>
      <c r="E537"/>
    </row>
    <row r="538" spans="3:5" ht="15" x14ac:dyDescent="0.25">
      <c r="C538"/>
      <c r="D538"/>
      <c r="E538"/>
    </row>
    <row r="539" spans="3:5" ht="15" x14ac:dyDescent="0.25">
      <c r="C539"/>
      <c r="D539"/>
      <c r="E539"/>
    </row>
    <row r="540" spans="3:5" ht="15" x14ac:dyDescent="0.25">
      <c r="C540"/>
      <c r="D540"/>
      <c r="E540"/>
    </row>
    <row r="541" spans="3:5" ht="15" x14ac:dyDescent="0.25">
      <c r="C541"/>
      <c r="D541"/>
      <c r="E541"/>
    </row>
    <row r="542" spans="3:5" ht="15" x14ac:dyDescent="0.25">
      <c r="C542"/>
      <c r="D542"/>
      <c r="E542"/>
    </row>
    <row r="543" spans="3:5" ht="15" x14ac:dyDescent="0.25">
      <c r="C543"/>
      <c r="D543"/>
      <c r="E543"/>
    </row>
    <row r="544" spans="3:5" ht="15" x14ac:dyDescent="0.25">
      <c r="C544"/>
      <c r="D544"/>
      <c r="E544"/>
    </row>
    <row r="545" spans="3:5" ht="15" x14ac:dyDescent="0.25">
      <c r="C545"/>
      <c r="D545"/>
      <c r="E545"/>
    </row>
    <row r="546" spans="3:5" ht="15" x14ac:dyDescent="0.25">
      <c r="C546"/>
      <c r="D546"/>
      <c r="E546"/>
    </row>
    <row r="547" spans="3:5" ht="15" x14ac:dyDescent="0.25">
      <c r="C547"/>
      <c r="D547"/>
      <c r="E547"/>
    </row>
    <row r="548" spans="3:5" ht="15" x14ac:dyDescent="0.25">
      <c r="C548"/>
      <c r="D548"/>
      <c r="E548"/>
    </row>
    <row r="549" spans="3:5" ht="15" x14ac:dyDescent="0.25">
      <c r="C549"/>
      <c r="D549"/>
      <c r="E549"/>
    </row>
    <row r="550" spans="3:5" ht="15" x14ac:dyDescent="0.25">
      <c r="C550"/>
      <c r="D550"/>
      <c r="E550"/>
    </row>
    <row r="551" spans="3:5" ht="15" x14ac:dyDescent="0.25">
      <c r="C551"/>
      <c r="D551"/>
      <c r="E551"/>
    </row>
    <row r="552" spans="3:5" ht="15" x14ac:dyDescent="0.25">
      <c r="C552"/>
      <c r="D552"/>
      <c r="E552"/>
    </row>
    <row r="553" spans="3:5" ht="15" x14ac:dyDescent="0.25">
      <c r="C553"/>
      <c r="D553"/>
      <c r="E553"/>
    </row>
    <row r="554" spans="3:5" ht="15" x14ac:dyDescent="0.25">
      <c r="C554"/>
      <c r="D554"/>
      <c r="E554"/>
    </row>
    <row r="555" spans="3:5" ht="15" x14ac:dyDescent="0.25">
      <c r="C555"/>
      <c r="D555"/>
      <c r="E555"/>
    </row>
    <row r="556" spans="3:5" ht="15" x14ac:dyDescent="0.25">
      <c r="C556"/>
      <c r="D556"/>
      <c r="E556"/>
    </row>
    <row r="557" spans="3:5" ht="15" x14ac:dyDescent="0.25">
      <c r="C557"/>
      <c r="D557"/>
      <c r="E557"/>
    </row>
    <row r="558" spans="3:5" ht="15" x14ac:dyDescent="0.25">
      <c r="C558"/>
      <c r="D558"/>
      <c r="E558"/>
    </row>
    <row r="559" spans="3:5" ht="15" x14ac:dyDescent="0.25">
      <c r="C559"/>
      <c r="D559"/>
      <c r="E559"/>
    </row>
    <row r="560" spans="3:5" ht="15" x14ac:dyDescent="0.25">
      <c r="C560"/>
      <c r="D560"/>
      <c r="E560"/>
    </row>
    <row r="561" spans="3:5" ht="15" x14ac:dyDescent="0.25">
      <c r="C561"/>
      <c r="D561"/>
      <c r="E561"/>
    </row>
    <row r="562" spans="3:5" ht="15" x14ac:dyDescent="0.25">
      <c r="C562"/>
      <c r="D562"/>
      <c r="E562"/>
    </row>
    <row r="563" spans="3:5" ht="15" x14ac:dyDescent="0.25">
      <c r="C563"/>
      <c r="D563"/>
      <c r="E563"/>
    </row>
    <row r="564" spans="3:5" ht="15" x14ac:dyDescent="0.25">
      <c r="C564"/>
      <c r="D564"/>
      <c r="E564"/>
    </row>
    <row r="565" spans="3:5" ht="15" x14ac:dyDescent="0.25">
      <c r="C565"/>
      <c r="D565"/>
      <c r="E565"/>
    </row>
    <row r="566" spans="3:5" ht="15" x14ac:dyDescent="0.25">
      <c r="C566"/>
      <c r="D566"/>
      <c r="E566"/>
    </row>
    <row r="567" spans="3:5" ht="15" x14ac:dyDescent="0.25">
      <c r="C567"/>
      <c r="D567"/>
      <c r="E567"/>
    </row>
    <row r="568" spans="3:5" ht="15" x14ac:dyDescent="0.25">
      <c r="C568"/>
      <c r="D568"/>
      <c r="E568"/>
    </row>
    <row r="569" spans="3:5" ht="15" x14ac:dyDescent="0.25">
      <c r="C569"/>
      <c r="D569"/>
      <c r="E569"/>
    </row>
    <row r="570" spans="3:5" ht="15" x14ac:dyDescent="0.25">
      <c r="C570"/>
      <c r="D570"/>
      <c r="E570"/>
    </row>
    <row r="571" spans="3:5" ht="15" x14ac:dyDescent="0.25">
      <c r="C571"/>
      <c r="D571"/>
      <c r="E571"/>
    </row>
    <row r="572" spans="3:5" ht="15" x14ac:dyDescent="0.25">
      <c r="C572"/>
      <c r="D572"/>
      <c r="E572"/>
    </row>
    <row r="573" spans="3:5" ht="15" x14ac:dyDescent="0.25">
      <c r="C573"/>
      <c r="D573"/>
      <c r="E573"/>
    </row>
    <row r="574" spans="3:5" ht="15" x14ac:dyDescent="0.25">
      <c r="C574"/>
      <c r="D574"/>
      <c r="E574"/>
    </row>
    <row r="575" spans="3:5" ht="15" x14ac:dyDescent="0.25">
      <c r="C575"/>
      <c r="D575"/>
      <c r="E575"/>
    </row>
    <row r="576" spans="3:5" ht="15" x14ac:dyDescent="0.25">
      <c r="C576"/>
      <c r="D576"/>
      <c r="E576"/>
    </row>
    <row r="577" spans="3:5" ht="15" x14ac:dyDescent="0.25">
      <c r="C577"/>
      <c r="D577"/>
      <c r="E577"/>
    </row>
    <row r="578" spans="3:5" ht="15" x14ac:dyDescent="0.25">
      <c r="C578"/>
      <c r="D578"/>
      <c r="E578"/>
    </row>
    <row r="579" spans="3:5" ht="15" x14ac:dyDescent="0.25">
      <c r="C579"/>
      <c r="D579"/>
      <c r="E579"/>
    </row>
    <row r="580" spans="3:5" ht="15" x14ac:dyDescent="0.25">
      <c r="C580"/>
      <c r="D580"/>
      <c r="E580"/>
    </row>
    <row r="581" spans="3:5" ht="15" x14ac:dyDescent="0.25">
      <c r="C581"/>
      <c r="D581"/>
      <c r="E581"/>
    </row>
    <row r="582" spans="3:5" ht="15" x14ac:dyDescent="0.25">
      <c r="C582"/>
      <c r="D582"/>
      <c r="E582"/>
    </row>
    <row r="583" spans="3:5" ht="15" x14ac:dyDescent="0.25">
      <c r="C583"/>
      <c r="D583"/>
      <c r="E583"/>
    </row>
    <row r="584" spans="3:5" ht="15" x14ac:dyDescent="0.25">
      <c r="C584"/>
      <c r="D584"/>
      <c r="E584"/>
    </row>
    <row r="585" spans="3:5" ht="15" x14ac:dyDescent="0.25">
      <c r="C585"/>
      <c r="D585"/>
      <c r="E585"/>
    </row>
    <row r="586" spans="3:5" ht="15" x14ac:dyDescent="0.25">
      <c r="C586"/>
      <c r="D586"/>
      <c r="E586"/>
    </row>
    <row r="587" spans="3:5" ht="15" x14ac:dyDescent="0.25">
      <c r="C587"/>
      <c r="D587"/>
      <c r="E587"/>
    </row>
    <row r="588" spans="3:5" ht="15" x14ac:dyDescent="0.25">
      <c r="C588"/>
      <c r="D588"/>
      <c r="E588"/>
    </row>
    <row r="589" spans="3:5" ht="15" x14ac:dyDescent="0.25">
      <c r="C589"/>
      <c r="D589"/>
      <c r="E589"/>
    </row>
    <row r="590" spans="3:5" ht="15" x14ac:dyDescent="0.25">
      <c r="C590"/>
      <c r="D590"/>
      <c r="E590"/>
    </row>
    <row r="591" spans="3:5" ht="15" x14ac:dyDescent="0.25">
      <c r="C591"/>
      <c r="D591"/>
      <c r="E591"/>
    </row>
    <row r="592" spans="3:5" ht="15" x14ac:dyDescent="0.25">
      <c r="C592"/>
      <c r="D592"/>
      <c r="E592"/>
    </row>
    <row r="593" spans="3:5" ht="15" x14ac:dyDescent="0.25">
      <c r="C593"/>
      <c r="D593"/>
      <c r="E593"/>
    </row>
    <row r="594" spans="3:5" ht="15" x14ac:dyDescent="0.25">
      <c r="C594"/>
      <c r="D594"/>
      <c r="E594"/>
    </row>
    <row r="595" spans="3:5" ht="15" x14ac:dyDescent="0.25">
      <c r="C595"/>
      <c r="D595"/>
      <c r="E595"/>
    </row>
    <row r="596" spans="3:5" ht="15" x14ac:dyDescent="0.25">
      <c r="C596"/>
      <c r="D596"/>
      <c r="E596"/>
    </row>
    <row r="597" spans="3:5" ht="15" x14ac:dyDescent="0.25">
      <c r="C597"/>
      <c r="D597"/>
      <c r="E597"/>
    </row>
    <row r="598" spans="3:5" ht="15" x14ac:dyDescent="0.25">
      <c r="C598"/>
      <c r="D598"/>
      <c r="E598"/>
    </row>
    <row r="599" spans="3:5" ht="15" x14ac:dyDescent="0.25">
      <c r="C599"/>
      <c r="D599"/>
      <c r="E599"/>
    </row>
    <row r="600" spans="3:5" ht="15" x14ac:dyDescent="0.25">
      <c r="C600"/>
      <c r="D600"/>
      <c r="E600"/>
    </row>
    <row r="601" spans="3:5" ht="15" x14ac:dyDescent="0.25">
      <c r="C601"/>
      <c r="D601"/>
      <c r="E601"/>
    </row>
    <row r="602" spans="3:5" ht="15" x14ac:dyDescent="0.25">
      <c r="C602"/>
      <c r="D602"/>
      <c r="E602"/>
    </row>
    <row r="603" spans="3:5" ht="15" x14ac:dyDescent="0.25">
      <c r="C603"/>
      <c r="D603"/>
      <c r="E603"/>
    </row>
    <row r="604" spans="3:5" ht="15" x14ac:dyDescent="0.25">
      <c r="C604"/>
      <c r="D604"/>
      <c r="E604"/>
    </row>
    <row r="605" spans="3:5" ht="15" x14ac:dyDescent="0.25">
      <c r="C605"/>
      <c r="D605"/>
      <c r="E605"/>
    </row>
    <row r="606" spans="3:5" ht="15" x14ac:dyDescent="0.25">
      <c r="C606"/>
      <c r="D606"/>
      <c r="E606"/>
    </row>
    <row r="607" spans="3:5" ht="15" x14ac:dyDescent="0.25">
      <c r="C607"/>
      <c r="D607"/>
      <c r="E607"/>
    </row>
    <row r="608" spans="3:5" ht="15" x14ac:dyDescent="0.25">
      <c r="C608"/>
      <c r="D608"/>
      <c r="E608"/>
    </row>
    <row r="609" spans="3:5" ht="15" x14ac:dyDescent="0.25">
      <c r="C609"/>
      <c r="D609"/>
      <c r="E609"/>
    </row>
    <row r="610" spans="3:5" ht="15" x14ac:dyDescent="0.25">
      <c r="C610"/>
      <c r="D610"/>
      <c r="E610"/>
    </row>
    <row r="611" spans="3:5" ht="15" x14ac:dyDescent="0.25">
      <c r="C611"/>
      <c r="D611"/>
      <c r="E611"/>
    </row>
    <row r="612" spans="3:5" ht="15" x14ac:dyDescent="0.25">
      <c r="C612"/>
      <c r="D612"/>
      <c r="E612"/>
    </row>
    <row r="613" spans="3:5" ht="15" x14ac:dyDescent="0.25">
      <c r="C613"/>
      <c r="D613"/>
      <c r="E613"/>
    </row>
    <row r="614" spans="3:5" ht="15" x14ac:dyDescent="0.25">
      <c r="C614"/>
      <c r="D614"/>
      <c r="E614"/>
    </row>
    <row r="615" spans="3:5" ht="15" x14ac:dyDescent="0.25">
      <c r="C615"/>
      <c r="D615"/>
      <c r="E615"/>
    </row>
    <row r="616" spans="3:5" ht="15" x14ac:dyDescent="0.25">
      <c r="C616"/>
      <c r="D616"/>
      <c r="E616"/>
    </row>
    <row r="617" spans="3:5" ht="15" x14ac:dyDescent="0.25">
      <c r="C617"/>
      <c r="D617"/>
      <c r="E617"/>
    </row>
    <row r="618" spans="3:5" ht="15" x14ac:dyDescent="0.25">
      <c r="C618"/>
      <c r="D618"/>
      <c r="E618"/>
    </row>
    <row r="619" spans="3:5" ht="15" x14ac:dyDescent="0.25">
      <c r="C619"/>
      <c r="D619"/>
      <c r="E619"/>
    </row>
    <row r="620" spans="3:5" ht="15" x14ac:dyDescent="0.25">
      <c r="C620"/>
      <c r="D620"/>
      <c r="E620"/>
    </row>
    <row r="621" spans="3:5" ht="15" x14ac:dyDescent="0.25">
      <c r="C621"/>
      <c r="D621"/>
      <c r="E621"/>
    </row>
    <row r="622" spans="3:5" ht="15" x14ac:dyDescent="0.25">
      <c r="C622"/>
      <c r="D622"/>
      <c r="E622"/>
    </row>
    <row r="623" spans="3:5" ht="15" x14ac:dyDescent="0.25">
      <c r="C623"/>
      <c r="D623"/>
      <c r="E623"/>
    </row>
    <row r="624" spans="3:5" ht="15" x14ac:dyDescent="0.25">
      <c r="C624"/>
      <c r="D624"/>
      <c r="E624"/>
    </row>
    <row r="625" spans="3:5" ht="15" x14ac:dyDescent="0.25">
      <c r="C625"/>
      <c r="D625"/>
      <c r="E625"/>
    </row>
    <row r="626" spans="3:5" ht="15" x14ac:dyDescent="0.25">
      <c r="C626"/>
      <c r="D626"/>
      <c r="E626"/>
    </row>
    <row r="627" spans="3:5" ht="15" x14ac:dyDescent="0.25">
      <c r="C627"/>
      <c r="D627"/>
      <c r="E627"/>
    </row>
    <row r="628" spans="3:5" ht="15" x14ac:dyDescent="0.25">
      <c r="C628"/>
      <c r="D628"/>
      <c r="E628"/>
    </row>
    <row r="629" spans="3:5" ht="15" x14ac:dyDescent="0.25">
      <c r="C629"/>
      <c r="D629"/>
      <c r="E629"/>
    </row>
    <row r="630" spans="3:5" ht="15" x14ac:dyDescent="0.25">
      <c r="C630"/>
      <c r="D630"/>
      <c r="E630"/>
    </row>
    <row r="631" spans="3:5" ht="15" x14ac:dyDescent="0.25">
      <c r="C631"/>
      <c r="D631"/>
      <c r="E631"/>
    </row>
    <row r="632" spans="3:5" ht="15" x14ac:dyDescent="0.25">
      <c r="C632"/>
      <c r="D632"/>
      <c r="E632"/>
    </row>
    <row r="633" spans="3:5" ht="15" x14ac:dyDescent="0.25">
      <c r="C633"/>
      <c r="D633"/>
      <c r="E633"/>
    </row>
    <row r="634" spans="3:5" ht="15" x14ac:dyDescent="0.25">
      <c r="C634"/>
      <c r="D634"/>
      <c r="E634"/>
    </row>
    <row r="635" spans="3:5" ht="15" x14ac:dyDescent="0.25">
      <c r="C635"/>
      <c r="D635"/>
      <c r="E635"/>
    </row>
    <row r="636" spans="3:5" ht="15" x14ac:dyDescent="0.25">
      <c r="C636"/>
      <c r="D636"/>
      <c r="E636"/>
    </row>
    <row r="637" spans="3:5" ht="15" x14ac:dyDescent="0.25">
      <c r="C637"/>
      <c r="D637"/>
      <c r="E637"/>
    </row>
    <row r="638" spans="3:5" ht="15" x14ac:dyDescent="0.25">
      <c r="C638"/>
      <c r="D638"/>
      <c r="E638"/>
    </row>
    <row r="639" spans="3:5" ht="15" x14ac:dyDescent="0.25">
      <c r="C639"/>
      <c r="D639"/>
      <c r="E639"/>
    </row>
    <row r="640" spans="3:5" ht="15" x14ac:dyDescent="0.25">
      <c r="C640"/>
      <c r="D640"/>
      <c r="E640"/>
    </row>
    <row r="641" spans="3:5" ht="15" x14ac:dyDescent="0.25">
      <c r="C641"/>
      <c r="D641"/>
      <c r="E641"/>
    </row>
    <row r="642" spans="3:5" ht="15" x14ac:dyDescent="0.25">
      <c r="C642"/>
      <c r="D642"/>
      <c r="E642"/>
    </row>
    <row r="643" spans="3:5" ht="15" x14ac:dyDescent="0.25">
      <c r="C643"/>
      <c r="D643"/>
      <c r="E643"/>
    </row>
    <row r="644" spans="3:5" ht="15" x14ac:dyDescent="0.25">
      <c r="C644"/>
      <c r="D644"/>
      <c r="E644"/>
    </row>
    <row r="645" spans="3:5" ht="15" x14ac:dyDescent="0.25">
      <c r="C645"/>
      <c r="D645"/>
      <c r="E645"/>
    </row>
    <row r="646" spans="3:5" ht="15" x14ac:dyDescent="0.25">
      <c r="C646"/>
      <c r="D646"/>
      <c r="E646"/>
    </row>
    <row r="647" spans="3:5" ht="15" x14ac:dyDescent="0.25">
      <c r="C647"/>
      <c r="D647"/>
      <c r="E647"/>
    </row>
    <row r="648" spans="3:5" ht="15" x14ac:dyDescent="0.25">
      <c r="C648"/>
      <c r="D648"/>
      <c r="E648"/>
    </row>
    <row r="649" spans="3:5" ht="15" x14ac:dyDescent="0.25">
      <c r="C649"/>
      <c r="D649"/>
      <c r="E649"/>
    </row>
    <row r="650" spans="3:5" ht="15" x14ac:dyDescent="0.25">
      <c r="C650"/>
      <c r="D650"/>
      <c r="E650"/>
    </row>
    <row r="651" spans="3:5" ht="15" x14ac:dyDescent="0.25">
      <c r="C651"/>
      <c r="D651"/>
      <c r="E651"/>
    </row>
    <row r="652" spans="3:5" ht="15" x14ac:dyDescent="0.25">
      <c r="C652"/>
      <c r="D652"/>
      <c r="E652"/>
    </row>
    <row r="653" spans="3:5" ht="15" x14ac:dyDescent="0.25">
      <c r="C653"/>
      <c r="D653"/>
      <c r="E653"/>
    </row>
    <row r="654" spans="3:5" ht="15" x14ac:dyDescent="0.25">
      <c r="C654"/>
      <c r="D654"/>
      <c r="E654"/>
    </row>
    <row r="655" spans="3:5" ht="15" x14ac:dyDescent="0.25">
      <c r="C655"/>
      <c r="D655"/>
      <c r="E655"/>
    </row>
    <row r="656" spans="3:5" ht="15" x14ac:dyDescent="0.25">
      <c r="C656"/>
      <c r="D656"/>
      <c r="E656"/>
    </row>
    <row r="657" spans="3:5" ht="15" x14ac:dyDescent="0.25">
      <c r="C657"/>
      <c r="D657"/>
      <c r="E657"/>
    </row>
    <row r="658" spans="3:5" ht="15" x14ac:dyDescent="0.25">
      <c r="C658"/>
      <c r="D658"/>
      <c r="E658"/>
    </row>
    <row r="659" spans="3:5" ht="15" x14ac:dyDescent="0.25">
      <c r="C659"/>
      <c r="D659"/>
      <c r="E659"/>
    </row>
    <row r="660" spans="3:5" ht="15" x14ac:dyDescent="0.25">
      <c r="C660"/>
      <c r="D660"/>
      <c r="E660"/>
    </row>
    <row r="661" spans="3:5" ht="15" x14ac:dyDescent="0.25">
      <c r="C661"/>
      <c r="D661"/>
      <c r="E661"/>
    </row>
    <row r="662" spans="3:5" ht="15" x14ac:dyDescent="0.25">
      <c r="C662"/>
      <c r="D662"/>
      <c r="E662"/>
    </row>
    <row r="663" spans="3:5" ht="15" x14ac:dyDescent="0.25">
      <c r="C663"/>
      <c r="D663"/>
      <c r="E663"/>
    </row>
    <row r="664" spans="3:5" ht="15" x14ac:dyDescent="0.25">
      <c r="C664"/>
      <c r="D664"/>
      <c r="E664"/>
    </row>
    <row r="665" spans="3:5" ht="15" x14ac:dyDescent="0.25">
      <c r="C665"/>
      <c r="D665"/>
      <c r="E665"/>
    </row>
    <row r="666" spans="3:5" ht="15" x14ac:dyDescent="0.25">
      <c r="C666"/>
      <c r="D666"/>
      <c r="E666"/>
    </row>
    <row r="667" spans="3:5" ht="15" x14ac:dyDescent="0.25">
      <c r="C667"/>
      <c r="D667"/>
      <c r="E667"/>
    </row>
    <row r="668" spans="3:5" ht="15" x14ac:dyDescent="0.25">
      <c r="C668"/>
      <c r="D668"/>
      <c r="E668"/>
    </row>
    <row r="669" spans="3:5" ht="15" x14ac:dyDescent="0.25">
      <c r="C669"/>
      <c r="D669"/>
      <c r="E669"/>
    </row>
    <row r="670" spans="3:5" ht="15" x14ac:dyDescent="0.25">
      <c r="C670"/>
      <c r="D670"/>
      <c r="E670"/>
    </row>
    <row r="671" spans="3:5" ht="15" x14ac:dyDescent="0.25">
      <c r="C671"/>
      <c r="D671"/>
      <c r="E671"/>
    </row>
    <row r="672" spans="3:5" ht="15" x14ac:dyDescent="0.25">
      <c r="C672"/>
      <c r="D672"/>
      <c r="E672"/>
    </row>
    <row r="673" spans="3:5" ht="15" x14ac:dyDescent="0.25">
      <c r="C673"/>
      <c r="D673"/>
      <c r="E673"/>
    </row>
    <row r="674" spans="3:5" ht="15" x14ac:dyDescent="0.25">
      <c r="C674"/>
      <c r="D674"/>
      <c r="E674"/>
    </row>
    <row r="675" spans="3:5" ht="15" x14ac:dyDescent="0.25">
      <c r="C675"/>
      <c r="D675"/>
      <c r="E675"/>
    </row>
    <row r="676" spans="3:5" ht="15" x14ac:dyDescent="0.25">
      <c r="C676"/>
      <c r="D676"/>
      <c r="E676"/>
    </row>
    <row r="677" spans="3:5" ht="15" x14ac:dyDescent="0.25">
      <c r="C677"/>
      <c r="D677"/>
      <c r="E677"/>
    </row>
    <row r="678" spans="3:5" ht="15" x14ac:dyDescent="0.25">
      <c r="C678"/>
      <c r="D678"/>
      <c r="E678"/>
    </row>
    <row r="679" spans="3:5" ht="15" x14ac:dyDescent="0.25">
      <c r="C679"/>
      <c r="D679"/>
      <c r="E679"/>
    </row>
    <row r="680" spans="3:5" ht="15" x14ac:dyDescent="0.25">
      <c r="C680"/>
      <c r="D680"/>
      <c r="E680"/>
    </row>
    <row r="681" spans="3:5" ht="15" x14ac:dyDescent="0.25">
      <c r="C681"/>
      <c r="D681"/>
      <c r="E681"/>
    </row>
    <row r="682" spans="3:5" ht="15" x14ac:dyDescent="0.25">
      <c r="C682"/>
      <c r="D682"/>
      <c r="E682"/>
    </row>
    <row r="683" spans="3:5" ht="15" x14ac:dyDescent="0.25">
      <c r="C683"/>
      <c r="D683"/>
      <c r="E683"/>
    </row>
    <row r="684" spans="3:5" ht="15" x14ac:dyDescent="0.25">
      <c r="C684"/>
      <c r="D684"/>
      <c r="E684"/>
    </row>
    <row r="685" spans="3:5" ht="15" x14ac:dyDescent="0.25">
      <c r="C685"/>
      <c r="D685"/>
      <c r="E685"/>
    </row>
    <row r="686" spans="3:5" ht="15" x14ac:dyDescent="0.25">
      <c r="C686"/>
      <c r="D686"/>
      <c r="E686"/>
    </row>
    <row r="687" spans="3:5" ht="15" x14ac:dyDescent="0.25">
      <c r="C687"/>
      <c r="D687"/>
      <c r="E687"/>
    </row>
    <row r="688" spans="3:5" ht="15" x14ac:dyDescent="0.25">
      <c r="C688"/>
      <c r="D688"/>
      <c r="E688"/>
    </row>
    <row r="689" spans="3:5" ht="15" x14ac:dyDescent="0.25">
      <c r="C689"/>
      <c r="D689"/>
      <c r="E689"/>
    </row>
    <row r="690" spans="3:5" ht="15" x14ac:dyDescent="0.25">
      <c r="C690"/>
      <c r="D690"/>
      <c r="E690"/>
    </row>
    <row r="691" spans="3:5" ht="15" x14ac:dyDescent="0.25">
      <c r="C691"/>
      <c r="D691"/>
      <c r="E691"/>
    </row>
    <row r="692" spans="3:5" ht="15" x14ac:dyDescent="0.25">
      <c r="C692"/>
      <c r="D692"/>
      <c r="E692"/>
    </row>
    <row r="693" spans="3:5" ht="15" x14ac:dyDescent="0.25">
      <c r="C693"/>
      <c r="D693"/>
      <c r="E693"/>
    </row>
    <row r="694" spans="3:5" ht="15" x14ac:dyDescent="0.25">
      <c r="C694"/>
      <c r="D694"/>
      <c r="E694"/>
    </row>
    <row r="695" spans="3:5" ht="15" x14ac:dyDescent="0.25">
      <c r="C695"/>
      <c r="D695"/>
      <c r="E695"/>
    </row>
    <row r="696" spans="3:5" ht="15" x14ac:dyDescent="0.25">
      <c r="C696"/>
      <c r="D696"/>
      <c r="E696"/>
    </row>
    <row r="697" spans="3:5" ht="15" x14ac:dyDescent="0.25">
      <c r="C697"/>
      <c r="D697"/>
      <c r="E697"/>
    </row>
    <row r="698" spans="3:5" ht="15" x14ac:dyDescent="0.25">
      <c r="C698"/>
      <c r="D698"/>
      <c r="E698"/>
    </row>
    <row r="699" spans="3:5" ht="15" x14ac:dyDescent="0.25">
      <c r="C699"/>
      <c r="D699"/>
      <c r="E699"/>
    </row>
    <row r="700" spans="3:5" ht="15" x14ac:dyDescent="0.25">
      <c r="C700"/>
      <c r="D700"/>
      <c r="E700"/>
    </row>
    <row r="701" spans="3:5" ht="15" x14ac:dyDescent="0.25">
      <c r="C701"/>
      <c r="D701"/>
      <c r="E701"/>
    </row>
    <row r="702" spans="3:5" ht="15" x14ac:dyDescent="0.25">
      <c r="C702"/>
      <c r="D702"/>
      <c r="E702"/>
    </row>
    <row r="703" spans="3:5" ht="15" x14ac:dyDescent="0.25">
      <c r="C703"/>
      <c r="D703"/>
      <c r="E703"/>
    </row>
    <row r="704" spans="3:5" ht="15" x14ac:dyDescent="0.25">
      <c r="C704"/>
      <c r="D704"/>
      <c r="E704"/>
    </row>
    <row r="705" spans="3:5" ht="15" x14ac:dyDescent="0.25">
      <c r="C705"/>
      <c r="D705"/>
      <c r="E705"/>
    </row>
    <row r="706" spans="3:5" ht="15" x14ac:dyDescent="0.25">
      <c r="C706"/>
      <c r="D706"/>
      <c r="E706"/>
    </row>
    <row r="707" spans="3:5" ht="15" x14ac:dyDescent="0.25">
      <c r="C707"/>
      <c r="D707"/>
      <c r="E707"/>
    </row>
    <row r="708" spans="3:5" ht="15" x14ac:dyDescent="0.25">
      <c r="C708"/>
      <c r="D708"/>
      <c r="E708"/>
    </row>
    <row r="709" spans="3:5" ht="15" x14ac:dyDescent="0.25">
      <c r="C709"/>
      <c r="D709"/>
      <c r="E709"/>
    </row>
    <row r="710" spans="3:5" ht="15" x14ac:dyDescent="0.25">
      <c r="C710"/>
      <c r="D710"/>
      <c r="E710"/>
    </row>
    <row r="711" spans="3:5" ht="15" x14ac:dyDescent="0.25">
      <c r="C711"/>
      <c r="D711"/>
      <c r="E711"/>
    </row>
    <row r="712" spans="3:5" ht="15" x14ac:dyDescent="0.25">
      <c r="C712"/>
      <c r="D712"/>
      <c r="E712"/>
    </row>
    <row r="713" spans="3:5" ht="15" x14ac:dyDescent="0.25">
      <c r="C713"/>
      <c r="D713"/>
      <c r="E713"/>
    </row>
    <row r="714" spans="3:5" ht="15" x14ac:dyDescent="0.25">
      <c r="C714"/>
      <c r="D714"/>
      <c r="E714"/>
    </row>
    <row r="715" spans="3:5" ht="15" x14ac:dyDescent="0.25">
      <c r="C715"/>
      <c r="D715"/>
      <c r="E715"/>
    </row>
    <row r="716" spans="3:5" ht="15" x14ac:dyDescent="0.25">
      <c r="C716"/>
      <c r="D716"/>
      <c r="E716"/>
    </row>
    <row r="717" spans="3:5" ht="15" x14ac:dyDescent="0.25">
      <c r="C717"/>
      <c r="D717"/>
      <c r="E717"/>
    </row>
    <row r="718" spans="3:5" ht="15" x14ac:dyDescent="0.25">
      <c r="C718"/>
      <c r="D718"/>
      <c r="E718"/>
    </row>
    <row r="719" spans="3:5" ht="15" x14ac:dyDescent="0.25">
      <c r="C719"/>
      <c r="D719"/>
      <c r="E719"/>
    </row>
    <row r="720" spans="3:5" ht="15" x14ac:dyDescent="0.25">
      <c r="C720"/>
      <c r="D720"/>
      <c r="E720"/>
    </row>
    <row r="721" spans="3:5" ht="15" x14ac:dyDescent="0.25">
      <c r="C721"/>
      <c r="D721"/>
      <c r="E721"/>
    </row>
    <row r="722" spans="3:5" ht="15" x14ac:dyDescent="0.25">
      <c r="C722"/>
      <c r="D722"/>
      <c r="E722"/>
    </row>
    <row r="723" spans="3:5" ht="15" x14ac:dyDescent="0.25">
      <c r="C723"/>
      <c r="D723"/>
      <c r="E723"/>
    </row>
    <row r="724" spans="3:5" ht="15" x14ac:dyDescent="0.25">
      <c r="C724"/>
      <c r="D724"/>
      <c r="E724"/>
    </row>
    <row r="725" spans="3:5" ht="15" x14ac:dyDescent="0.25">
      <c r="C725"/>
      <c r="D725"/>
      <c r="E725"/>
    </row>
    <row r="726" spans="3:5" ht="15" x14ac:dyDescent="0.25">
      <c r="C726"/>
      <c r="D726"/>
      <c r="E726"/>
    </row>
    <row r="727" spans="3:5" ht="15" x14ac:dyDescent="0.25">
      <c r="C727"/>
      <c r="D727"/>
      <c r="E727"/>
    </row>
    <row r="728" spans="3:5" ht="15" x14ac:dyDescent="0.25">
      <c r="C728"/>
      <c r="D728"/>
      <c r="E728"/>
    </row>
    <row r="729" spans="3:5" ht="15" x14ac:dyDescent="0.25">
      <c r="C729"/>
      <c r="D729"/>
      <c r="E729"/>
    </row>
    <row r="730" spans="3:5" ht="15" x14ac:dyDescent="0.25">
      <c r="C730"/>
      <c r="D730"/>
      <c r="E730"/>
    </row>
    <row r="731" spans="3:5" ht="15" x14ac:dyDescent="0.25">
      <c r="C731"/>
      <c r="D731"/>
      <c r="E731"/>
    </row>
    <row r="732" spans="3:5" ht="15" x14ac:dyDescent="0.25">
      <c r="C732"/>
      <c r="D732"/>
      <c r="E732"/>
    </row>
    <row r="733" spans="3:5" ht="15" x14ac:dyDescent="0.25">
      <c r="C733"/>
      <c r="D733"/>
      <c r="E733"/>
    </row>
    <row r="734" spans="3:5" ht="15" x14ac:dyDescent="0.25">
      <c r="C734"/>
      <c r="D734"/>
      <c r="E734"/>
    </row>
    <row r="735" spans="3:5" ht="15" x14ac:dyDescent="0.25">
      <c r="C735"/>
      <c r="D735"/>
      <c r="E735"/>
    </row>
    <row r="736" spans="3:5" ht="15" x14ac:dyDescent="0.25">
      <c r="C736"/>
      <c r="D736"/>
      <c r="E736"/>
    </row>
    <row r="737" spans="3:5" ht="15" x14ac:dyDescent="0.25">
      <c r="C737"/>
      <c r="D737"/>
      <c r="E737"/>
    </row>
    <row r="738" spans="3:5" ht="15" x14ac:dyDescent="0.25">
      <c r="C738"/>
      <c r="D738"/>
      <c r="E738"/>
    </row>
    <row r="739" spans="3:5" ht="15" x14ac:dyDescent="0.25">
      <c r="C739"/>
      <c r="D739"/>
      <c r="E739"/>
    </row>
    <row r="740" spans="3:5" ht="15" x14ac:dyDescent="0.25">
      <c r="C740"/>
      <c r="D740"/>
      <c r="E740"/>
    </row>
    <row r="741" spans="3:5" ht="15" x14ac:dyDescent="0.25">
      <c r="C741"/>
      <c r="D741"/>
      <c r="E741"/>
    </row>
    <row r="742" spans="3:5" ht="15" x14ac:dyDescent="0.25">
      <c r="C742"/>
      <c r="D742"/>
      <c r="E742"/>
    </row>
    <row r="743" spans="3:5" ht="15" x14ac:dyDescent="0.25">
      <c r="C743"/>
      <c r="D743"/>
      <c r="E743"/>
    </row>
    <row r="744" spans="3:5" ht="15" x14ac:dyDescent="0.25">
      <c r="C744"/>
      <c r="D744"/>
      <c r="E744"/>
    </row>
    <row r="745" spans="3:5" ht="15" x14ac:dyDescent="0.25">
      <c r="C745"/>
      <c r="D745"/>
      <c r="E745"/>
    </row>
    <row r="746" spans="3:5" ht="15" x14ac:dyDescent="0.25">
      <c r="C746"/>
      <c r="D746"/>
      <c r="E746"/>
    </row>
    <row r="747" spans="3:5" ht="15" x14ac:dyDescent="0.25">
      <c r="C747"/>
      <c r="D747"/>
      <c r="E747"/>
    </row>
    <row r="748" spans="3:5" ht="15" x14ac:dyDescent="0.25">
      <c r="C748"/>
      <c r="D748"/>
      <c r="E748"/>
    </row>
    <row r="749" spans="3:5" ht="15" x14ac:dyDescent="0.25">
      <c r="C749"/>
      <c r="D749"/>
      <c r="E749"/>
    </row>
    <row r="750" spans="3:5" ht="15" x14ac:dyDescent="0.25">
      <c r="C750"/>
      <c r="D750"/>
      <c r="E750"/>
    </row>
    <row r="751" spans="3:5" ht="15" x14ac:dyDescent="0.25">
      <c r="C751"/>
      <c r="D751"/>
      <c r="E751"/>
    </row>
    <row r="752" spans="3:5" ht="15" x14ac:dyDescent="0.25">
      <c r="C752"/>
      <c r="D752"/>
      <c r="E752"/>
    </row>
    <row r="753" spans="3:5" ht="15" x14ac:dyDescent="0.25">
      <c r="C753"/>
      <c r="D753"/>
      <c r="E753"/>
    </row>
    <row r="754" spans="3:5" ht="15" x14ac:dyDescent="0.25">
      <c r="C754"/>
      <c r="D754"/>
      <c r="E754"/>
    </row>
    <row r="755" spans="3:5" ht="15" x14ac:dyDescent="0.25">
      <c r="C755"/>
      <c r="D755"/>
      <c r="E755"/>
    </row>
    <row r="756" spans="3:5" ht="15" x14ac:dyDescent="0.25">
      <c r="C756"/>
      <c r="D756"/>
      <c r="E756"/>
    </row>
    <row r="757" spans="3:5" ht="15" x14ac:dyDescent="0.25">
      <c r="C757"/>
      <c r="D757"/>
      <c r="E757"/>
    </row>
    <row r="758" spans="3:5" ht="15" x14ac:dyDescent="0.25">
      <c r="C758"/>
      <c r="D758"/>
      <c r="E758"/>
    </row>
    <row r="759" spans="3:5" ht="15" x14ac:dyDescent="0.25">
      <c r="C759"/>
      <c r="D759"/>
      <c r="E759"/>
    </row>
    <row r="760" spans="3:5" ht="15" x14ac:dyDescent="0.25">
      <c r="C760"/>
      <c r="D760"/>
      <c r="E760"/>
    </row>
    <row r="761" spans="3:5" ht="15" x14ac:dyDescent="0.25">
      <c r="C761"/>
      <c r="D761"/>
      <c r="E761"/>
    </row>
    <row r="762" spans="3:5" ht="15" x14ac:dyDescent="0.25">
      <c r="C762"/>
      <c r="D762"/>
      <c r="E762"/>
    </row>
    <row r="763" spans="3:5" ht="15" x14ac:dyDescent="0.25">
      <c r="C763"/>
      <c r="D763"/>
      <c r="E763"/>
    </row>
    <row r="764" spans="3:5" ht="15" x14ac:dyDescent="0.25">
      <c r="C764"/>
      <c r="D764"/>
      <c r="E764"/>
    </row>
    <row r="765" spans="3:5" ht="15" x14ac:dyDescent="0.25">
      <c r="C765"/>
      <c r="D765"/>
      <c r="E765"/>
    </row>
    <row r="766" spans="3:5" ht="15" x14ac:dyDescent="0.25">
      <c r="C766"/>
      <c r="D766"/>
      <c r="E766"/>
    </row>
    <row r="767" spans="3:5" ht="15" x14ac:dyDescent="0.25">
      <c r="C767"/>
      <c r="D767"/>
      <c r="E767"/>
    </row>
    <row r="768" spans="3:5" ht="15" x14ac:dyDescent="0.25">
      <c r="C768"/>
      <c r="D768"/>
      <c r="E768"/>
    </row>
    <row r="769" spans="3:5" ht="15" x14ac:dyDescent="0.25">
      <c r="C769"/>
      <c r="D769"/>
      <c r="E769"/>
    </row>
    <row r="770" spans="3:5" ht="15" x14ac:dyDescent="0.25">
      <c r="C770"/>
      <c r="D770"/>
      <c r="E770"/>
    </row>
    <row r="771" spans="3:5" ht="15" x14ac:dyDescent="0.25">
      <c r="C771"/>
      <c r="D771"/>
      <c r="E771"/>
    </row>
    <row r="772" spans="3:5" ht="15" x14ac:dyDescent="0.25">
      <c r="C772"/>
      <c r="D772"/>
      <c r="E772"/>
    </row>
    <row r="773" spans="3:5" ht="15" x14ac:dyDescent="0.25">
      <c r="C773"/>
      <c r="D773"/>
      <c r="E773"/>
    </row>
    <row r="774" spans="3:5" ht="15" x14ac:dyDescent="0.25">
      <c r="C774"/>
      <c r="D774"/>
      <c r="E774"/>
    </row>
    <row r="775" spans="3:5" ht="15" x14ac:dyDescent="0.25">
      <c r="C775"/>
      <c r="D775"/>
      <c r="E775"/>
    </row>
  </sheetData>
  <mergeCells count="14">
    <mergeCell ref="AF35:AF46"/>
    <mergeCell ref="AF47:AF53"/>
    <mergeCell ref="AF54:AF58"/>
    <mergeCell ref="AF60:AF63"/>
    <mergeCell ref="AE77:AE81"/>
    <mergeCell ref="AF77:AF81"/>
    <mergeCell ref="AE101:AE103"/>
    <mergeCell ref="AF101:AF103"/>
    <mergeCell ref="AE82:AE86"/>
    <mergeCell ref="AF82:AF86"/>
    <mergeCell ref="AE87:AE91"/>
    <mergeCell ref="AF87:AF91"/>
    <mergeCell ref="AE92:AE96"/>
    <mergeCell ref="AF92:AF96"/>
  </mergeCells>
  <phoneticPr fontId="25" type="noConversion"/>
  <dataValidations disablePrompts="1" count="1">
    <dataValidation type="list" allowBlank="1" showInputMessage="1" showErrorMessage="1" sqref="AE361 AE526 AE504 AE483 AE461 AE440 AE418 AE397" xr:uid="{899FCE75-78CA-49CE-A165-64162F5EBDD4}">
      <formula1>$AD$354:$AD$357</formula1>
    </dataValidation>
  </dataValidations>
  <pageMargins left="0.7" right="0.7" top="0.78740157499999996" bottom="0.78740157499999996" header="0.3" footer="0.3"/>
  <pageSetup paperSize="9" orientation="portrait" r:id="rId1"/>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1B0D-8C88-42E7-B244-0D8656D218B3}">
  <sheetPr>
    <tabColor rgb="FFFF0000"/>
  </sheetPr>
  <dimension ref="D19:AH84"/>
  <sheetViews>
    <sheetView zoomScale="55" zoomScaleNormal="55" workbookViewId="0">
      <selection activeCell="Z17" sqref="Z17"/>
    </sheetView>
  </sheetViews>
  <sheetFormatPr baseColWidth="10" defaultColWidth="11.42578125" defaultRowHeight="15" x14ac:dyDescent="0.25"/>
  <sheetData>
    <row r="19" spans="4:34" x14ac:dyDescent="0.25">
      <c r="L19" t="s">
        <v>1276</v>
      </c>
      <c r="Q19" t="s">
        <v>1277</v>
      </c>
      <c r="X19" t="s">
        <v>1278</v>
      </c>
      <c r="AA19" t="s">
        <v>1247</v>
      </c>
    </row>
    <row r="20" spans="4:34" x14ac:dyDescent="0.25">
      <c r="L20">
        <v>145</v>
      </c>
      <c r="M20">
        <v>905</v>
      </c>
      <c r="N20">
        <v>10.4</v>
      </c>
      <c r="O20">
        <v>22.8</v>
      </c>
      <c r="Q20">
        <v>451</v>
      </c>
      <c r="R20">
        <v>516</v>
      </c>
      <c r="S20">
        <v>1.22</v>
      </c>
      <c r="T20">
        <v>406</v>
      </c>
      <c r="U20">
        <v>2.7</v>
      </c>
      <c r="V20">
        <v>7.9</v>
      </c>
      <c r="X20">
        <v>10</v>
      </c>
      <c r="Y20">
        <v>513</v>
      </c>
      <c r="AA20">
        <v>120</v>
      </c>
      <c r="AB20">
        <v>512</v>
      </c>
      <c r="AC20">
        <v>688</v>
      </c>
      <c r="AD20">
        <v>867</v>
      </c>
      <c r="AE20">
        <v>1050</v>
      </c>
      <c r="AF20">
        <v>1256</v>
      </c>
      <c r="AG20">
        <v>1395</v>
      </c>
      <c r="AH20">
        <v>1625</v>
      </c>
    </row>
    <row r="21" spans="4:34" x14ac:dyDescent="0.25">
      <c r="F21" t="s">
        <v>1279</v>
      </c>
      <c r="L21">
        <v>185</v>
      </c>
      <c r="M21">
        <v>1088</v>
      </c>
      <c r="N21">
        <v>13</v>
      </c>
      <c r="O21">
        <v>27.3</v>
      </c>
      <c r="Q21">
        <v>551</v>
      </c>
      <c r="R21">
        <v>616</v>
      </c>
      <c r="S21">
        <v>1.21</v>
      </c>
      <c r="T21">
        <v>482</v>
      </c>
      <c r="U21">
        <v>2.88</v>
      </c>
      <c r="V21">
        <v>9.08</v>
      </c>
      <c r="X21">
        <v>12</v>
      </c>
      <c r="Y21">
        <v>482</v>
      </c>
      <c r="AA21">
        <v>112</v>
      </c>
      <c r="AB21">
        <v>471</v>
      </c>
      <c r="AC21">
        <v>634</v>
      </c>
      <c r="AD21">
        <v>799</v>
      </c>
      <c r="AE21">
        <v>968</v>
      </c>
      <c r="AF21">
        <v>1157</v>
      </c>
      <c r="AG21">
        <v>1288</v>
      </c>
      <c r="AH21">
        <v>1497</v>
      </c>
    </row>
    <row r="22" spans="4:34" x14ac:dyDescent="0.25">
      <c r="F22">
        <v>65</v>
      </c>
      <c r="G22">
        <v>2</v>
      </c>
      <c r="H22">
        <v>14</v>
      </c>
      <c r="I22">
        <v>0.28000000000000003</v>
      </c>
      <c r="J22">
        <v>0.32</v>
      </c>
      <c r="L22">
        <v>225</v>
      </c>
      <c r="M22">
        <v>1284</v>
      </c>
      <c r="N22">
        <v>15.5</v>
      </c>
      <c r="O22">
        <v>31.8</v>
      </c>
      <c r="Q22">
        <v>701</v>
      </c>
      <c r="R22">
        <v>766</v>
      </c>
      <c r="S22">
        <v>1.19</v>
      </c>
      <c r="T22">
        <v>595</v>
      </c>
      <c r="U22">
        <v>3.15</v>
      </c>
      <c r="V22">
        <v>10.85</v>
      </c>
      <c r="X22">
        <v>14</v>
      </c>
      <c r="Y22">
        <v>461</v>
      </c>
      <c r="AA22">
        <v>104</v>
      </c>
      <c r="AB22">
        <v>431</v>
      </c>
      <c r="AC22">
        <v>581</v>
      </c>
      <c r="AD22">
        <v>733</v>
      </c>
      <c r="AE22">
        <v>888</v>
      </c>
      <c r="AF22">
        <v>1059</v>
      </c>
      <c r="AG22">
        <v>1182</v>
      </c>
      <c r="AH22">
        <v>1371</v>
      </c>
    </row>
    <row r="23" spans="4:34" x14ac:dyDescent="0.25">
      <c r="D23">
        <v>190</v>
      </c>
      <c r="E23">
        <v>120</v>
      </c>
      <c r="F23">
        <v>105</v>
      </c>
      <c r="G23">
        <v>3</v>
      </c>
      <c r="H23">
        <v>20</v>
      </c>
      <c r="I23">
        <v>0.4</v>
      </c>
      <c r="J23">
        <v>0.52</v>
      </c>
      <c r="L23">
        <v>145</v>
      </c>
      <c r="M23">
        <v>1220</v>
      </c>
      <c r="N23">
        <v>13.6</v>
      </c>
      <c r="O23">
        <v>28.4</v>
      </c>
      <c r="Q23">
        <v>951</v>
      </c>
      <c r="R23">
        <v>1016</v>
      </c>
      <c r="S23">
        <v>1.17</v>
      </c>
      <c r="T23">
        <v>781</v>
      </c>
      <c r="U23">
        <v>3.6</v>
      </c>
      <c r="V23">
        <v>13.8</v>
      </c>
      <c r="X23">
        <v>10</v>
      </c>
      <c r="Y23">
        <v>598</v>
      </c>
      <c r="AA23">
        <v>96</v>
      </c>
      <c r="AB23">
        <v>392</v>
      </c>
      <c r="AC23">
        <v>529</v>
      </c>
      <c r="AD23">
        <v>668</v>
      </c>
      <c r="AE23">
        <v>809</v>
      </c>
      <c r="AF23">
        <v>963</v>
      </c>
      <c r="AG23">
        <v>1077</v>
      </c>
      <c r="AH23">
        <v>1296</v>
      </c>
    </row>
    <row r="24" spans="4:34" x14ac:dyDescent="0.25">
      <c r="F24">
        <v>145</v>
      </c>
      <c r="G24">
        <v>4</v>
      </c>
      <c r="H24">
        <v>26</v>
      </c>
      <c r="I24">
        <v>0.52</v>
      </c>
      <c r="J24">
        <v>0.71</v>
      </c>
      <c r="L24">
        <v>185</v>
      </c>
      <c r="M24">
        <v>1466</v>
      </c>
      <c r="N24">
        <v>17</v>
      </c>
      <c r="O24">
        <v>34.4</v>
      </c>
      <c r="Q24">
        <v>451</v>
      </c>
      <c r="R24">
        <v>516</v>
      </c>
      <c r="S24">
        <v>1.24</v>
      </c>
      <c r="T24">
        <v>588</v>
      </c>
      <c r="U24">
        <v>4</v>
      </c>
      <c r="V24">
        <v>12.2</v>
      </c>
      <c r="X24">
        <v>12</v>
      </c>
      <c r="Y24">
        <v>564</v>
      </c>
      <c r="AA24">
        <v>88</v>
      </c>
      <c r="AB24">
        <v>353</v>
      </c>
      <c r="AC24">
        <v>477</v>
      </c>
      <c r="AD24">
        <v>603</v>
      </c>
      <c r="AE24">
        <v>730</v>
      </c>
      <c r="AF24">
        <v>868</v>
      </c>
      <c r="AG24">
        <v>974</v>
      </c>
      <c r="AH24">
        <v>1123</v>
      </c>
    </row>
    <row r="25" spans="4:34" x14ac:dyDescent="0.25">
      <c r="F25">
        <v>65</v>
      </c>
      <c r="G25">
        <v>2</v>
      </c>
      <c r="H25">
        <v>19</v>
      </c>
      <c r="I25">
        <v>0.34</v>
      </c>
      <c r="J25">
        <v>0.42</v>
      </c>
      <c r="L25">
        <v>225</v>
      </c>
      <c r="M25">
        <v>1731</v>
      </c>
      <c r="N25">
        <v>20.3</v>
      </c>
      <c r="O25">
        <v>40.299999999999997</v>
      </c>
      <c r="Q25">
        <v>551</v>
      </c>
      <c r="R25">
        <v>616</v>
      </c>
      <c r="S25">
        <v>1.22</v>
      </c>
      <c r="T25">
        <v>698</v>
      </c>
      <c r="U25">
        <v>4.46</v>
      </c>
      <c r="V25">
        <v>13.92</v>
      </c>
      <c r="X25">
        <v>14</v>
      </c>
      <c r="Y25">
        <v>543</v>
      </c>
      <c r="AA25">
        <v>80</v>
      </c>
      <c r="AB25">
        <v>315</v>
      </c>
      <c r="AC25">
        <v>426</v>
      </c>
      <c r="AD25">
        <v>539</v>
      </c>
      <c r="AE25">
        <v>653</v>
      </c>
      <c r="AF25">
        <v>775</v>
      </c>
      <c r="AG25">
        <v>872</v>
      </c>
      <c r="AH25">
        <v>1003</v>
      </c>
    </row>
    <row r="26" spans="4:34" x14ac:dyDescent="0.25">
      <c r="F26">
        <v>105</v>
      </c>
      <c r="G26">
        <v>3</v>
      </c>
      <c r="H26">
        <v>26</v>
      </c>
      <c r="I26">
        <v>0.48</v>
      </c>
      <c r="J26">
        <v>0.67</v>
      </c>
      <c r="L26">
        <v>145</v>
      </c>
      <c r="M26">
        <v>1556</v>
      </c>
      <c r="N26">
        <v>16.8</v>
      </c>
      <c r="O26">
        <v>35.799999999999997</v>
      </c>
      <c r="Q26">
        <v>701</v>
      </c>
      <c r="R26">
        <v>766</v>
      </c>
      <c r="S26">
        <v>1.19</v>
      </c>
      <c r="T26">
        <v>862</v>
      </c>
      <c r="U26">
        <v>5.15</v>
      </c>
      <c r="V26">
        <v>16.5</v>
      </c>
      <c r="X26">
        <v>10</v>
      </c>
      <c r="Y26">
        <v>682</v>
      </c>
      <c r="AA26">
        <v>72</v>
      </c>
      <c r="AB26">
        <v>277</v>
      </c>
      <c r="AC26">
        <v>377</v>
      </c>
      <c r="AD26">
        <v>477</v>
      </c>
      <c r="AE26">
        <v>578</v>
      </c>
      <c r="AF26">
        <v>684</v>
      </c>
      <c r="AG26">
        <v>771</v>
      </c>
      <c r="AH26">
        <v>885</v>
      </c>
    </row>
    <row r="27" spans="4:34" x14ac:dyDescent="0.25">
      <c r="F27">
        <v>145</v>
      </c>
      <c r="G27">
        <v>4</v>
      </c>
      <c r="H27">
        <v>33</v>
      </c>
      <c r="I27">
        <v>0.63</v>
      </c>
      <c r="J27">
        <v>0.91</v>
      </c>
      <c r="L27">
        <v>185</v>
      </c>
      <c r="M27">
        <v>1871</v>
      </c>
      <c r="N27">
        <v>20.9</v>
      </c>
      <c r="O27">
        <v>43.2</v>
      </c>
      <c r="Q27">
        <v>951</v>
      </c>
      <c r="R27">
        <v>1016</v>
      </c>
      <c r="S27">
        <v>1.1499999999999999</v>
      </c>
      <c r="T27">
        <v>1133</v>
      </c>
      <c r="U27">
        <v>6.3</v>
      </c>
      <c r="V27">
        <v>20.8</v>
      </c>
      <c r="X27">
        <v>12</v>
      </c>
      <c r="Y27">
        <v>635</v>
      </c>
      <c r="AA27">
        <v>64</v>
      </c>
      <c r="AB27">
        <v>241</v>
      </c>
      <c r="AC27">
        <v>328</v>
      </c>
      <c r="AD27">
        <v>415</v>
      </c>
      <c r="AE27">
        <v>503</v>
      </c>
      <c r="AF27">
        <v>594</v>
      </c>
      <c r="AG27">
        <v>673</v>
      </c>
      <c r="AH27">
        <v>769</v>
      </c>
    </row>
    <row r="28" spans="4:34" x14ac:dyDescent="0.25">
      <c r="F28">
        <v>185</v>
      </c>
      <c r="G28">
        <v>5</v>
      </c>
      <c r="H28">
        <v>42</v>
      </c>
      <c r="I28">
        <v>0.78</v>
      </c>
      <c r="J28">
        <v>1.1599999999999999</v>
      </c>
      <c r="L28">
        <v>225</v>
      </c>
      <c r="M28">
        <v>2209</v>
      </c>
      <c r="N28">
        <v>25.1</v>
      </c>
      <c r="O28">
        <v>50.5</v>
      </c>
      <c r="Q28">
        <v>451</v>
      </c>
      <c r="R28">
        <v>516</v>
      </c>
      <c r="S28">
        <v>1.25</v>
      </c>
      <c r="T28">
        <v>764</v>
      </c>
      <c r="U28">
        <v>5.4</v>
      </c>
      <c r="V28">
        <v>15.75</v>
      </c>
      <c r="X28">
        <v>14</v>
      </c>
      <c r="Y28">
        <v>607</v>
      </c>
      <c r="AA28">
        <v>58</v>
      </c>
      <c r="AB28">
        <v>214</v>
      </c>
      <c r="AC28">
        <v>292</v>
      </c>
      <c r="AD28">
        <v>370</v>
      </c>
      <c r="AE28">
        <v>449</v>
      </c>
      <c r="AF28">
        <v>529</v>
      </c>
      <c r="AG28">
        <v>600</v>
      </c>
      <c r="AH28">
        <v>684</v>
      </c>
    </row>
    <row r="29" spans="4:34" x14ac:dyDescent="0.25">
      <c r="F29">
        <v>225</v>
      </c>
      <c r="G29">
        <v>6</v>
      </c>
      <c r="H29">
        <v>47</v>
      </c>
      <c r="I29">
        <v>0.93</v>
      </c>
      <c r="J29">
        <v>1.4</v>
      </c>
      <c r="L29">
        <v>145</v>
      </c>
      <c r="M29">
        <v>1086</v>
      </c>
      <c r="N29">
        <v>13</v>
      </c>
      <c r="O29">
        <v>27.2</v>
      </c>
      <c r="Q29">
        <v>551</v>
      </c>
      <c r="R29">
        <v>616</v>
      </c>
      <c r="S29">
        <v>1.24</v>
      </c>
      <c r="T29">
        <v>906</v>
      </c>
      <c r="U29">
        <v>5.86</v>
      </c>
      <c r="V29">
        <v>18.079999999999998</v>
      </c>
      <c r="X29">
        <v>10</v>
      </c>
      <c r="Y29">
        <v>776</v>
      </c>
      <c r="AA29">
        <v>50</v>
      </c>
      <c r="AB29">
        <v>179</v>
      </c>
      <c r="AC29">
        <v>245</v>
      </c>
      <c r="AD29">
        <v>311</v>
      </c>
      <c r="AE29">
        <v>377</v>
      </c>
      <c r="AF29">
        <v>443</v>
      </c>
      <c r="AG29">
        <v>505</v>
      </c>
      <c r="AH29">
        <v>573</v>
      </c>
    </row>
    <row r="30" spans="4:34" x14ac:dyDescent="0.25">
      <c r="F30">
        <v>65</v>
      </c>
      <c r="G30">
        <v>2</v>
      </c>
      <c r="H30">
        <v>22</v>
      </c>
      <c r="I30">
        <v>0.37</v>
      </c>
      <c r="J30">
        <v>0.48</v>
      </c>
      <c r="L30">
        <v>185</v>
      </c>
      <c r="M30">
        <v>1306</v>
      </c>
      <c r="N30">
        <v>16.2</v>
      </c>
      <c r="O30">
        <v>32.799999999999997</v>
      </c>
      <c r="Q30">
        <v>701</v>
      </c>
      <c r="R30">
        <v>766</v>
      </c>
      <c r="S30">
        <v>1.21</v>
      </c>
      <c r="T30">
        <v>1119</v>
      </c>
      <c r="U30">
        <v>6.55</v>
      </c>
      <c r="V30">
        <v>21.53</v>
      </c>
      <c r="X30">
        <v>12</v>
      </c>
      <c r="Y30">
        <v>725</v>
      </c>
      <c r="AA30">
        <v>46</v>
      </c>
      <c r="AB30">
        <v>162</v>
      </c>
      <c r="AC30">
        <v>222</v>
      </c>
      <c r="AD30">
        <v>282</v>
      </c>
      <c r="AE30">
        <v>342</v>
      </c>
      <c r="AF30">
        <v>401</v>
      </c>
      <c r="AG30">
        <v>459</v>
      </c>
      <c r="AH30">
        <v>519</v>
      </c>
    </row>
    <row r="31" spans="4:34" x14ac:dyDescent="0.25">
      <c r="F31">
        <v>105</v>
      </c>
      <c r="G31">
        <v>3</v>
      </c>
      <c r="H31">
        <v>31</v>
      </c>
      <c r="I31">
        <v>0.53</v>
      </c>
      <c r="J31">
        <v>0.75</v>
      </c>
      <c r="L31">
        <v>225</v>
      </c>
      <c r="M31">
        <v>1528</v>
      </c>
      <c r="N31">
        <v>19.399999999999999</v>
      </c>
      <c r="O31">
        <v>38.5</v>
      </c>
      <c r="Q31">
        <v>951</v>
      </c>
      <c r="R31">
        <v>1016</v>
      </c>
      <c r="S31">
        <v>1.18</v>
      </c>
      <c r="T31">
        <v>1470</v>
      </c>
      <c r="U31">
        <v>7.7</v>
      </c>
      <c r="V31">
        <v>27.3</v>
      </c>
      <c r="X31">
        <v>14</v>
      </c>
      <c r="Y31">
        <v>693</v>
      </c>
      <c r="AA31">
        <v>42</v>
      </c>
      <c r="AB31">
        <v>145</v>
      </c>
      <c r="AC31">
        <v>199</v>
      </c>
      <c r="AD31">
        <v>254</v>
      </c>
      <c r="AE31">
        <v>308</v>
      </c>
      <c r="AF31">
        <v>360</v>
      </c>
      <c r="AG31">
        <v>413</v>
      </c>
      <c r="AH31">
        <v>466</v>
      </c>
    </row>
    <row r="32" spans="4:34" x14ac:dyDescent="0.25">
      <c r="F32">
        <v>145</v>
      </c>
      <c r="G32">
        <v>4</v>
      </c>
      <c r="H32">
        <v>40</v>
      </c>
      <c r="I32">
        <v>0.69</v>
      </c>
      <c r="J32">
        <v>1.03</v>
      </c>
      <c r="L32">
        <v>145</v>
      </c>
      <c r="M32">
        <v>1435</v>
      </c>
      <c r="N32">
        <v>17</v>
      </c>
      <c r="O32">
        <v>34.299999999999997</v>
      </c>
      <c r="Q32">
        <v>451</v>
      </c>
      <c r="R32">
        <v>516</v>
      </c>
      <c r="S32">
        <v>1.26</v>
      </c>
      <c r="T32">
        <v>934</v>
      </c>
      <c r="U32">
        <v>6.8</v>
      </c>
      <c r="V32">
        <v>19.3</v>
      </c>
      <c r="X32">
        <v>10</v>
      </c>
      <c r="Y32">
        <v>880</v>
      </c>
      <c r="AA32">
        <v>38</v>
      </c>
      <c r="AB32">
        <v>129</v>
      </c>
      <c r="AC32">
        <v>177</v>
      </c>
      <c r="AD32">
        <v>226</v>
      </c>
      <c r="AE32">
        <v>274</v>
      </c>
      <c r="AF32">
        <v>320</v>
      </c>
      <c r="AG32">
        <v>368</v>
      </c>
      <c r="AH32">
        <v>414</v>
      </c>
    </row>
    <row r="33" spans="6:34" x14ac:dyDescent="0.25">
      <c r="F33">
        <v>185</v>
      </c>
      <c r="G33">
        <v>5</v>
      </c>
      <c r="H33">
        <v>48</v>
      </c>
      <c r="I33">
        <v>0.86</v>
      </c>
      <c r="J33">
        <v>1.3</v>
      </c>
      <c r="L33">
        <v>185</v>
      </c>
      <c r="M33">
        <v>1724</v>
      </c>
      <c r="N33">
        <v>21.2</v>
      </c>
      <c r="O33">
        <v>41.7</v>
      </c>
      <c r="Q33">
        <v>551</v>
      </c>
      <c r="R33">
        <v>616</v>
      </c>
      <c r="S33">
        <v>1.25</v>
      </c>
      <c r="T33">
        <v>1108</v>
      </c>
      <c r="U33">
        <v>7.26</v>
      </c>
      <c r="V33">
        <v>22.2</v>
      </c>
      <c r="X33">
        <v>12</v>
      </c>
      <c r="Y33">
        <v>824</v>
      </c>
      <c r="AA33">
        <v>34</v>
      </c>
      <c r="AB33">
        <v>113</v>
      </c>
      <c r="AC33">
        <v>155</v>
      </c>
      <c r="AD33">
        <v>198</v>
      </c>
      <c r="AE33">
        <v>240</v>
      </c>
      <c r="AF33">
        <v>280</v>
      </c>
      <c r="AG33">
        <v>323</v>
      </c>
      <c r="AH33">
        <v>362</v>
      </c>
    </row>
    <row r="34" spans="6:34" x14ac:dyDescent="0.25">
      <c r="F34">
        <v>225</v>
      </c>
      <c r="G34">
        <v>6</v>
      </c>
      <c r="H34">
        <v>57</v>
      </c>
      <c r="I34">
        <v>1.02</v>
      </c>
      <c r="J34">
        <v>1.57</v>
      </c>
      <c r="L34">
        <v>225</v>
      </c>
      <c r="M34">
        <v>2060</v>
      </c>
      <c r="N34">
        <v>25.4</v>
      </c>
      <c r="O34">
        <v>49.2</v>
      </c>
      <c r="Q34">
        <v>701</v>
      </c>
      <c r="R34">
        <v>766</v>
      </c>
      <c r="S34">
        <v>1.23</v>
      </c>
      <c r="T34">
        <v>1368</v>
      </c>
      <c r="U34">
        <v>7.95</v>
      </c>
      <c r="V34">
        <v>26.55</v>
      </c>
      <c r="X34">
        <v>14</v>
      </c>
      <c r="Y34">
        <v>784</v>
      </c>
      <c r="AA34">
        <v>30</v>
      </c>
      <c r="AB34">
        <v>97</v>
      </c>
      <c r="AC34">
        <v>134</v>
      </c>
      <c r="AD34">
        <v>171</v>
      </c>
      <c r="AE34">
        <v>207</v>
      </c>
      <c r="AF34">
        <v>241</v>
      </c>
      <c r="AG34">
        <v>280</v>
      </c>
      <c r="AH34">
        <v>312</v>
      </c>
    </row>
    <row r="35" spans="6:34" x14ac:dyDescent="0.25">
      <c r="F35">
        <v>65</v>
      </c>
      <c r="G35">
        <v>2</v>
      </c>
      <c r="H35">
        <v>28</v>
      </c>
      <c r="I35">
        <v>0.45</v>
      </c>
      <c r="J35">
        <v>0.62</v>
      </c>
      <c r="L35">
        <v>145</v>
      </c>
      <c r="M35">
        <v>1868</v>
      </c>
      <c r="N35">
        <v>21</v>
      </c>
      <c r="O35">
        <v>43.1</v>
      </c>
      <c r="Q35">
        <v>951</v>
      </c>
      <c r="R35">
        <v>1016</v>
      </c>
      <c r="S35">
        <v>1.21</v>
      </c>
      <c r="T35">
        <v>1798</v>
      </c>
      <c r="U35">
        <v>9.1</v>
      </c>
      <c r="V35">
        <v>33.799999999999997</v>
      </c>
      <c r="X35">
        <v>10</v>
      </c>
      <c r="Y35">
        <v>988</v>
      </c>
    </row>
    <row r="36" spans="6:34" x14ac:dyDescent="0.25">
      <c r="F36">
        <v>105</v>
      </c>
      <c r="G36">
        <v>3</v>
      </c>
      <c r="H36">
        <v>41</v>
      </c>
      <c r="I36">
        <v>0.65</v>
      </c>
      <c r="J36">
        <v>0.97</v>
      </c>
      <c r="L36">
        <v>185</v>
      </c>
      <c r="M36">
        <v>2247</v>
      </c>
      <c r="N36">
        <v>26.2</v>
      </c>
      <c r="O36">
        <v>52.3</v>
      </c>
      <c r="X36">
        <v>12</v>
      </c>
      <c r="Y36">
        <v>925</v>
      </c>
    </row>
    <row r="37" spans="6:34" x14ac:dyDescent="0.25">
      <c r="F37">
        <v>145</v>
      </c>
      <c r="G37">
        <v>4</v>
      </c>
      <c r="H37">
        <v>52</v>
      </c>
      <c r="I37">
        <v>0.85</v>
      </c>
      <c r="J37">
        <v>1.31</v>
      </c>
      <c r="L37">
        <v>225</v>
      </c>
      <c r="M37">
        <v>2627</v>
      </c>
      <c r="N37">
        <v>31.4</v>
      </c>
      <c r="O37">
        <v>61.5</v>
      </c>
      <c r="X37">
        <v>14</v>
      </c>
      <c r="Y37">
        <v>877</v>
      </c>
    </row>
    <row r="38" spans="6:34" x14ac:dyDescent="0.25">
      <c r="F38">
        <v>185</v>
      </c>
      <c r="G38">
        <v>5</v>
      </c>
      <c r="H38">
        <v>64</v>
      </c>
      <c r="I38">
        <v>1.06</v>
      </c>
      <c r="J38">
        <v>1.66</v>
      </c>
      <c r="L38">
        <v>145</v>
      </c>
      <c r="M38">
        <v>1306</v>
      </c>
      <c r="N38">
        <v>15.6</v>
      </c>
      <c r="O38">
        <v>31.6</v>
      </c>
    </row>
    <row r="39" spans="6:34" x14ac:dyDescent="0.25">
      <c r="F39">
        <v>225</v>
      </c>
      <c r="G39">
        <v>6</v>
      </c>
      <c r="H39">
        <v>75</v>
      </c>
      <c r="I39">
        <v>1.26</v>
      </c>
      <c r="J39">
        <v>2</v>
      </c>
      <c r="L39">
        <v>185</v>
      </c>
      <c r="M39">
        <v>1516</v>
      </c>
      <c r="N39">
        <v>19.5</v>
      </c>
      <c r="O39">
        <v>38.4</v>
      </c>
    </row>
    <row r="40" spans="6:34" x14ac:dyDescent="0.25">
      <c r="F40">
        <v>65</v>
      </c>
      <c r="G40">
        <v>2</v>
      </c>
      <c r="H40">
        <v>37</v>
      </c>
      <c r="I40">
        <v>0.53</v>
      </c>
      <c r="J40">
        <v>0.76</v>
      </c>
      <c r="L40">
        <v>225</v>
      </c>
      <c r="M40">
        <v>1783</v>
      </c>
      <c r="N40">
        <v>23.3</v>
      </c>
      <c r="O40">
        <v>45.2</v>
      </c>
    </row>
    <row r="41" spans="6:34" x14ac:dyDescent="0.25">
      <c r="F41">
        <v>105</v>
      </c>
      <c r="G41">
        <v>3</v>
      </c>
      <c r="H41">
        <v>51</v>
      </c>
      <c r="I41">
        <v>0.77</v>
      </c>
      <c r="J41">
        <v>1.18</v>
      </c>
      <c r="L41">
        <v>145</v>
      </c>
      <c r="M41">
        <v>1711</v>
      </c>
      <c r="N41">
        <v>20.399999999999999</v>
      </c>
      <c r="O41">
        <v>40.200000000000003</v>
      </c>
    </row>
    <row r="42" spans="6:34" x14ac:dyDescent="0.25">
      <c r="F42">
        <v>145</v>
      </c>
      <c r="G42">
        <v>4</v>
      </c>
      <c r="H42">
        <v>65</v>
      </c>
      <c r="I42">
        <v>1.01</v>
      </c>
      <c r="J42">
        <v>1.6</v>
      </c>
      <c r="L42">
        <v>185</v>
      </c>
      <c r="M42">
        <v>2043</v>
      </c>
      <c r="N42">
        <v>25.4</v>
      </c>
      <c r="O42">
        <v>49.1</v>
      </c>
    </row>
    <row r="43" spans="6:34" x14ac:dyDescent="0.25">
      <c r="F43">
        <v>185</v>
      </c>
      <c r="G43">
        <v>5</v>
      </c>
      <c r="H43">
        <v>80</v>
      </c>
      <c r="I43">
        <v>1.26</v>
      </c>
      <c r="J43">
        <v>2.0099999999999998</v>
      </c>
      <c r="L43">
        <v>225</v>
      </c>
      <c r="M43">
        <v>2403</v>
      </c>
      <c r="N43">
        <v>30.5</v>
      </c>
      <c r="O43">
        <v>58</v>
      </c>
    </row>
    <row r="44" spans="6:34" x14ac:dyDescent="0.25">
      <c r="F44">
        <v>225</v>
      </c>
      <c r="G44">
        <v>6</v>
      </c>
      <c r="H44">
        <v>94</v>
      </c>
      <c r="I44">
        <v>1.5</v>
      </c>
      <c r="J44">
        <v>2.4300000000000002</v>
      </c>
      <c r="L44">
        <v>145</v>
      </c>
      <c r="M44">
        <v>2183</v>
      </c>
      <c r="N44">
        <v>25.2</v>
      </c>
      <c r="O44">
        <v>50.4</v>
      </c>
    </row>
    <row r="45" spans="6:34" x14ac:dyDescent="0.25">
      <c r="F45">
        <v>65</v>
      </c>
      <c r="G45">
        <v>2</v>
      </c>
      <c r="H45">
        <v>44</v>
      </c>
      <c r="I45">
        <v>0.61</v>
      </c>
      <c r="J45">
        <v>0.91</v>
      </c>
      <c r="L45">
        <v>185</v>
      </c>
      <c r="M45">
        <v>2608</v>
      </c>
      <c r="N45">
        <v>31.4</v>
      </c>
      <c r="O45">
        <v>61.4</v>
      </c>
    </row>
    <row r="46" spans="6:34" x14ac:dyDescent="0.25">
      <c r="F46">
        <v>105</v>
      </c>
      <c r="G46">
        <v>3</v>
      </c>
      <c r="H46">
        <v>60</v>
      </c>
      <c r="I46">
        <v>0.89</v>
      </c>
      <c r="J46">
        <v>1.39</v>
      </c>
      <c r="L46">
        <v>225</v>
      </c>
      <c r="M46">
        <v>3066</v>
      </c>
      <c r="N46">
        <v>37.6</v>
      </c>
      <c r="O46">
        <v>72.5</v>
      </c>
    </row>
    <row r="47" spans="6:34" x14ac:dyDescent="0.25">
      <c r="F47">
        <v>145</v>
      </c>
      <c r="G47">
        <v>4</v>
      </c>
      <c r="H47">
        <v>77</v>
      </c>
      <c r="I47">
        <v>1.17</v>
      </c>
      <c r="J47">
        <v>1.88</v>
      </c>
      <c r="L47">
        <v>145</v>
      </c>
      <c r="M47">
        <v>1465</v>
      </c>
      <c r="N47">
        <v>18.2</v>
      </c>
      <c r="O47">
        <v>36.1</v>
      </c>
    </row>
    <row r="48" spans="6:34" x14ac:dyDescent="0.25">
      <c r="F48">
        <v>185</v>
      </c>
      <c r="G48">
        <v>5</v>
      </c>
      <c r="H48">
        <v>65</v>
      </c>
      <c r="I48">
        <v>1.45</v>
      </c>
      <c r="J48">
        <v>2.37</v>
      </c>
      <c r="L48">
        <v>185</v>
      </c>
      <c r="M48">
        <v>1758</v>
      </c>
      <c r="N48">
        <v>22.7</v>
      </c>
      <c r="O48">
        <v>44</v>
      </c>
    </row>
    <row r="49" spans="6:15" x14ac:dyDescent="0.25">
      <c r="F49">
        <v>225</v>
      </c>
      <c r="G49">
        <v>6</v>
      </c>
      <c r="H49">
        <v>113</v>
      </c>
      <c r="I49">
        <v>1.74</v>
      </c>
      <c r="J49">
        <v>2.86</v>
      </c>
      <c r="L49">
        <v>225</v>
      </c>
      <c r="M49">
        <v>2049</v>
      </c>
      <c r="N49">
        <v>27.2</v>
      </c>
      <c r="O49">
        <v>51.9</v>
      </c>
    </row>
    <row r="50" spans="6:15" x14ac:dyDescent="0.25">
      <c r="F50">
        <v>65</v>
      </c>
      <c r="G50">
        <v>2</v>
      </c>
      <c r="H50">
        <v>55</v>
      </c>
      <c r="I50">
        <v>0.73</v>
      </c>
      <c r="J50">
        <v>1.1200000000000001</v>
      </c>
      <c r="L50">
        <v>145</v>
      </c>
      <c r="M50">
        <v>1975</v>
      </c>
      <c r="N50">
        <v>23.8</v>
      </c>
      <c r="O50">
        <v>46.1</v>
      </c>
    </row>
    <row r="51" spans="6:15" x14ac:dyDescent="0.25">
      <c r="F51">
        <v>105</v>
      </c>
      <c r="G51">
        <v>3</v>
      </c>
      <c r="H51">
        <v>75</v>
      </c>
      <c r="I51">
        <v>1.07</v>
      </c>
      <c r="J51">
        <v>1.71</v>
      </c>
      <c r="L51">
        <v>185</v>
      </c>
      <c r="M51">
        <v>2371</v>
      </c>
      <c r="N51">
        <v>29.7</v>
      </c>
      <c r="O51">
        <v>56.4</v>
      </c>
    </row>
    <row r="52" spans="6:15" x14ac:dyDescent="0.25">
      <c r="F52">
        <v>145</v>
      </c>
      <c r="G52">
        <v>4</v>
      </c>
      <c r="H52">
        <v>95</v>
      </c>
      <c r="I52">
        <v>1.41</v>
      </c>
      <c r="J52">
        <v>2.31</v>
      </c>
      <c r="L52">
        <v>225</v>
      </c>
      <c r="M52">
        <v>2763</v>
      </c>
      <c r="N52">
        <v>35.5</v>
      </c>
      <c r="O52">
        <v>66.8</v>
      </c>
    </row>
    <row r="53" spans="6:15" x14ac:dyDescent="0.25">
      <c r="F53">
        <v>185</v>
      </c>
      <c r="G53">
        <v>5</v>
      </c>
      <c r="H53">
        <v>117</v>
      </c>
      <c r="I53">
        <v>1.75</v>
      </c>
      <c r="J53">
        <v>2.9</v>
      </c>
      <c r="L53">
        <v>145</v>
      </c>
      <c r="M53">
        <v>2520</v>
      </c>
      <c r="N53">
        <v>29.4</v>
      </c>
      <c r="O53">
        <v>57.7</v>
      </c>
    </row>
    <row r="54" spans="6:15" x14ac:dyDescent="0.25">
      <c r="F54">
        <v>225</v>
      </c>
      <c r="G54">
        <v>6</v>
      </c>
      <c r="H54">
        <v>137</v>
      </c>
      <c r="I54">
        <v>2.1</v>
      </c>
      <c r="J54">
        <v>3.5</v>
      </c>
      <c r="L54">
        <v>185</v>
      </c>
      <c r="M54">
        <v>3024</v>
      </c>
      <c r="N54">
        <v>36.6</v>
      </c>
      <c r="O54">
        <v>70.599999999999994</v>
      </c>
    </row>
    <row r="55" spans="6:15" x14ac:dyDescent="0.25">
      <c r="F55">
        <v>65</v>
      </c>
      <c r="G55">
        <v>2</v>
      </c>
      <c r="H55">
        <v>67</v>
      </c>
      <c r="I55">
        <v>0.84</v>
      </c>
      <c r="J55">
        <v>1.33</v>
      </c>
      <c r="L55">
        <v>225</v>
      </c>
      <c r="M55">
        <v>3524</v>
      </c>
      <c r="N55">
        <v>43.9</v>
      </c>
      <c r="O55">
        <v>83.4</v>
      </c>
    </row>
    <row r="56" spans="6:15" x14ac:dyDescent="0.25">
      <c r="F56">
        <v>105</v>
      </c>
      <c r="G56">
        <v>3</v>
      </c>
      <c r="H56">
        <v>89</v>
      </c>
      <c r="I56">
        <v>1.25</v>
      </c>
      <c r="J56">
        <v>2.0299999999999998</v>
      </c>
    </row>
    <row r="57" spans="6:15" x14ac:dyDescent="0.25">
      <c r="F57">
        <v>145</v>
      </c>
      <c r="G57">
        <v>4</v>
      </c>
      <c r="H57">
        <v>112</v>
      </c>
      <c r="I57">
        <v>1.65</v>
      </c>
      <c r="J57">
        <v>2.73</v>
      </c>
    </row>
    <row r="58" spans="6:15" x14ac:dyDescent="0.25">
      <c r="F58">
        <v>185</v>
      </c>
      <c r="G58">
        <v>5</v>
      </c>
      <c r="H58">
        <v>138</v>
      </c>
      <c r="I58">
        <v>2.0499999999999998</v>
      </c>
      <c r="J58">
        <v>3.44</v>
      </c>
    </row>
    <row r="59" spans="6:15" x14ac:dyDescent="0.25">
      <c r="F59">
        <v>225</v>
      </c>
      <c r="G59">
        <v>6</v>
      </c>
      <c r="H59">
        <v>163</v>
      </c>
      <c r="I59">
        <v>2.4500000000000002</v>
      </c>
      <c r="J59">
        <v>4.1399999999999997</v>
      </c>
    </row>
    <row r="60" spans="6:15" x14ac:dyDescent="0.25">
      <c r="F60">
        <v>65</v>
      </c>
      <c r="G60">
        <v>2</v>
      </c>
      <c r="H60">
        <v>73</v>
      </c>
      <c r="I60">
        <v>0.92</v>
      </c>
      <c r="J60">
        <v>1.47</v>
      </c>
    </row>
    <row r="61" spans="6:15" x14ac:dyDescent="0.25">
      <c r="F61">
        <v>105</v>
      </c>
      <c r="G61">
        <v>3</v>
      </c>
      <c r="H61">
        <v>98</v>
      </c>
      <c r="I61">
        <v>1.37</v>
      </c>
      <c r="J61">
        <v>2.25</v>
      </c>
    </row>
    <row r="62" spans="6:15" x14ac:dyDescent="0.25">
      <c r="F62">
        <v>145</v>
      </c>
      <c r="G62">
        <v>4</v>
      </c>
      <c r="H62">
        <v>124</v>
      </c>
      <c r="I62">
        <v>1.81</v>
      </c>
      <c r="J62">
        <v>3.02</v>
      </c>
    </row>
    <row r="63" spans="6:15" x14ac:dyDescent="0.25">
      <c r="F63">
        <v>185</v>
      </c>
      <c r="G63">
        <v>5</v>
      </c>
      <c r="H63">
        <v>151</v>
      </c>
      <c r="I63">
        <v>2.25</v>
      </c>
      <c r="J63">
        <v>3.79</v>
      </c>
    </row>
    <row r="64" spans="6:15" x14ac:dyDescent="0.25">
      <c r="F64">
        <v>225</v>
      </c>
      <c r="G64">
        <v>6</v>
      </c>
      <c r="H64">
        <v>180</v>
      </c>
      <c r="I64">
        <v>2.69</v>
      </c>
      <c r="J64">
        <v>4.5599999999999996</v>
      </c>
    </row>
    <row r="65" spans="6:10" x14ac:dyDescent="0.25">
      <c r="F65">
        <v>65</v>
      </c>
      <c r="G65">
        <v>2</v>
      </c>
      <c r="H65">
        <v>86</v>
      </c>
      <c r="I65">
        <v>1.08</v>
      </c>
      <c r="J65">
        <v>1.76</v>
      </c>
    </row>
    <row r="66" spans="6:10" x14ac:dyDescent="0.25">
      <c r="F66">
        <v>105</v>
      </c>
      <c r="G66">
        <v>3</v>
      </c>
      <c r="H66">
        <v>116</v>
      </c>
      <c r="I66">
        <v>1.6</v>
      </c>
      <c r="J66">
        <v>2.67</v>
      </c>
    </row>
    <row r="67" spans="6:10" x14ac:dyDescent="0.25">
      <c r="F67">
        <v>145</v>
      </c>
      <c r="G67">
        <v>4</v>
      </c>
      <c r="H67">
        <v>147</v>
      </c>
      <c r="I67">
        <v>2.13</v>
      </c>
      <c r="J67">
        <v>3.59</v>
      </c>
    </row>
    <row r="68" spans="6:10" x14ac:dyDescent="0.25">
      <c r="F68">
        <v>185</v>
      </c>
      <c r="G68">
        <v>5</v>
      </c>
      <c r="H68">
        <v>179</v>
      </c>
      <c r="I68">
        <v>2.65</v>
      </c>
      <c r="J68">
        <v>4.5</v>
      </c>
    </row>
    <row r="69" spans="6:10" x14ac:dyDescent="0.25">
      <c r="F69">
        <v>225</v>
      </c>
      <c r="G69">
        <v>6</v>
      </c>
      <c r="H69">
        <v>209</v>
      </c>
      <c r="I69">
        <v>3.17</v>
      </c>
      <c r="J69">
        <v>5.42</v>
      </c>
    </row>
    <row r="70" spans="6:10" x14ac:dyDescent="0.25">
      <c r="F70">
        <v>65</v>
      </c>
      <c r="G70">
        <v>2</v>
      </c>
      <c r="H70">
        <v>106</v>
      </c>
      <c r="I70">
        <v>1.32</v>
      </c>
      <c r="J70">
        <v>2.19</v>
      </c>
    </row>
    <row r="71" spans="6:10" x14ac:dyDescent="0.25">
      <c r="F71">
        <v>105</v>
      </c>
      <c r="G71">
        <v>3</v>
      </c>
      <c r="H71">
        <v>143</v>
      </c>
      <c r="I71">
        <v>1.96</v>
      </c>
      <c r="J71">
        <v>3.31</v>
      </c>
    </row>
    <row r="72" spans="6:10" x14ac:dyDescent="0.25">
      <c r="F72">
        <v>145</v>
      </c>
      <c r="G72">
        <v>4</v>
      </c>
      <c r="H72">
        <v>180</v>
      </c>
      <c r="I72">
        <v>2.6</v>
      </c>
      <c r="J72">
        <v>4.4400000000000004</v>
      </c>
    </row>
    <row r="73" spans="6:10" x14ac:dyDescent="0.25">
      <c r="F73">
        <v>185</v>
      </c>
      <c r="G73">
        <v>5</v>
      </c>
      <c r="H73">
        <v>215</v>
      </c>
      <c r="I73">
        <v>3.24</v>
      </c>
      <c r="J73">
        <v>5.57</v>
      </c>
    </row>
    <row r="74" spans="6:10" x14ac:dyDescent="0.25">
      <c r="F74">
        <v>225</v>
      </c>
      <c r="G74">
        <v>6</v>
      </c>
      <c r="H74">
        <v>250</v>
      </c>
      <c r="I74">
        <v>3.88</v>
      </c>
      <c r="J74">
        <v>6.7</v>
      </c>
    </row>
    <row r="75" spans="6:10" x14ac:dyDescent="0.25">
      <c r="F75">
        <v>65</v>
      </c>
      <c r="G75">
        <v>2</v>
      </c>
      <c r="H75">
        <v>140</v>
      </c>
      <c r="I75">
        <v>1.72</v>
      </c>
      <c r="J75">
        <v>2.9</v>
      </c>
    </row>
    <row r="76" spans="6:10" x14ac:dyDescent="0.25">
      <c r="F76">
        <v>105</v>
      </c>
      <c r="G76">
        <v>3</v>
      </c>
      <c r="H76">
        <v>189</v>
      </c>
      <c r="I76">
        <v>2.56</v>
      </c>
      <c r="J76">
        <v>4.38</v>
      </c>
    </row>
    <row r="77" spans="6:10" x14ac:dyDescent="0.25">
      <c r="F77">
        <v>145</v>
      </c>
      <c r="G77">
        <v>4</v>
      </c>
      <c r="H77">
        <v>237</v>
      </c>
      <c r="I77">
        <v>3.4</v>
      </c>
      <c r="J77">
        <v>5.87</v>
      </c>
    </row>
    <row r="78" spans="6:10" x14ac:dyDescent="0.25">
      <c r="F78">
        <v>185</v>
      </c>
      <c r="G78">
        <v>5</v>
      </c>
      <c r="H78">
        <v>282</v>
      </c>
      <c r="I78">
        <v>4.24</v>
      </c>
      <c r="J78">
        <v>7.35</v>
      </c>
    </row>
    <row r="79" spans="6:10" x14ac:dyDescent="0.25">
      <c r="F79">
        <v>225</v>
      </c>
      <c r="G79">
        <v>6</v>
      </c>
      <c r="H79">
        <v>330</v>
      </c>
      <c r="I79">
        <v>5.08</v>
      </c>
      <c r="J79">
        <v>8.84</v>
      </c>
    </row>
    <row r="80" spans="6:10" x14ac:dyDescent="0.25">
      <c r="F80">
        <v>65</v>
      </c>
      <c r="G80">
        <v>2</v>
      </c>
      <c r="H80">
        <v>174</v>
      </c>
      <c r="I80">
        <v>2.12</v>
      </c>
      <c r="J80">
        <v>3.61</v>
      </c>
    </row>
    <row r="81" spans="6:10" x14ac:dyDescent="0.25">
      <c r="F81">
        <v>105</v>
      </c>
      <c r="G81">
        <v>3</v>
      </c>
      <c r="H81">
        <v>236</v>
      </c>
      <c r="I81">
        <v>3.16</v>
      </c>
      <c r="J81">
        <v>5.45</v>
      </c>
    </row>
    <row r="82" spans="6:10" x14ac:dyDescent="0.25">
      <c r="F82">
        <v>145</v>
      </c>
      <c r="G82">
        <v>4</v>
      </c>
      <c r="H82">
        <v>295</v>
      </c>
      <c r="I82">
        <v>4.1900000000000004</v>
      </c>
      <c r="J82">
        <v>7.29</v>
      </c>
    </row>
    <row r="83" spans="6:10" x14ac:dyDescent="0.25">
      <c r="F83">
        <v>185</v>
      </c>
      <c r="G83">
        <v>5</v>
      </c>
      <c r="H83">
        <v>347</v>
      </c>
      <c r="I83">
        <v>5.23</v>
      </c>
      <c r="J83">
        <v>9.1300000000000008</v>
      </c>
    </row>
    <row r="84" spans="6:10" x14ac:dyDescent="0.25">
      <c r="F84">
        <v>225</v>
      </c>
      <c r="G84">
        <v>6</v>
      </c>
      <c r="H84">
        <v>403</v>
      </c>
      <c r="I84">
        <v>6.27</v>
      </c>
      <c r="J84">
        <v>10.97</v>
      </c>
    </row>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2F0F-4FCA-4322-AFC2-2A499B569828}">
  <sheetPr>
    <tabColor theme="5"/>
  </sheetPr>
  <dimension ref="B1:BE262"/>
  <sheetViews>
    <sheetView topLeftCell="A21" zoomScale="85" zoomScaleNormal="85" workbookViewId="0">
      <selection activeCell="D48" sqref="D48:F49"/>
    </sheetView>
  </sheetViews>
  <sheetFormatPr baseColWidth="10" defaultColWidth="11.42578125" defaultRowHeight="15" x14ac:dyDescent="0.25"/>
  <cols>
    <col min="2" max="2" width="27.5703125" customWidth="1"/>
    <col min="3" max="5" width="15.85546875" customWidth="1"/>
    <col min="6" max="6" width="16.28515625" customWidth="1"/>
    <col min="7" max="40" width="15.85546875" customWidth="1"/>
    <col min="41" max="41" width="2.5703125" customWidth="1"/>
    <col min="42" max="47" width="15.85546875" customWidth="1"/>
    <col min="48" max="49" width="17.140625" bestFit="1" customWidth="1"/>
    <col min="50" max="50" width="15.85546875" bestFit="1" customWidth="1"/>
    <col min="51" max="52" width="16" bestFit="1" customWidth="1"/>
    <col min="53" max="53" width="14.85546875" bestFit="1" customWidth="1"/>
    <col min="54" max="55" width="17.85546875" bestFit="1" customWidth="1"/>
    <col min="56" max="56" width="16.7109375" bestFit="1" customWidth="1"/>
    <col min="258" max="258" width="27.5703125" customWidth="1"/>
    <col min="259" max="296" width="15.85546875" customWidth="1"/>
    <col min="297" max="297" width="2.5703125" customWidth="1"/>
    <col min="298" max="303" width="15.85546875" customWidth="1"/>
    <col min="514" max="514" width="27.5703125" customWidth="1"/>
    <col min="515" max="552" width="15.85546875" customWidth="1"/>
    <col min="553" max="553" width="2.5703125" customWidth="1"/>
    <col min="554" max="559" width="15.85546875" customWidth="1"/>
    <col min="770" max="770" width="27.5703125" customWidth="1"/>
    <col min="771" max="808" width="15.85546875" customWidth="1"/>
    <col min="809" max="809" width="2.5703125" customWidth="1"/>
    <col min="810" max="815" width="15.85546875" customWidth="1"/>
    <col min="1026" max="1026" width="27.5703125" customWidth="1"/>
    <col min="1027" max="1064" width="15.85546875" customWidth="1"/>
    <col min="1065" max="1065" width="2.5703125" customWidth="1"/>
    <col min="1066" max="1071" width="15.85546875" customWidth="1"/>
    <col min="1282" max="1282" width="27.5703125" customWidth="1"/>
    <col min="1283" max="1320" width="15.85546875" customWidth="1"/>
    <col min="1321" max="1321" width="2.5703125" customWidth="1"/>
    <col min="1322" max="1327" width="15.85546875" customWidth="1"/>
    <col min="1538" max="1538" width="27.5703125" customWidth="1"/>
    <col min="1539" max="1576" width="15.85546875" customWidth="1"/>
    <col min="1577" max="1577" width="2.5703125" customWidth="1"/>
    <col min="1578" max="1583" width="15.85546875" customWidth="1"/>
    <col min="1794" max="1794" width="27.5703125" customWidth="1"/>
    <col min="1795" max="1832" width="15.85546875" customWidth="1"/>
    <col min="1833" max="1833" width="2.5703125" customWidth="1"/>
    <col min="1834" max="1839" width="15.85546875" customWidth="1"/>
    <col min="2050" max="2050" width="27.5703125" customWidth="1"/>
    <col min="2051" max="2088" width="15.85546875" customWidth="1"/>
    <col min="2089" max="2089" width="2.5703125" customWidth="1"/>
    <col min="2090" max="2095" width="15.85546875" customWidth="1"/>
    <col min="2306" max="2306" width="27.5703125" customWidth="1"/>
    <col min="2307" max="2344" width="15.85546875" customWidth="1"/>
    <col min="2345" max="2345" width="2.5703125" customWidth="1"/>
    <col min="2346" max="2351" width="15.85546875" customWidth="1"/>
    <col min="2562" max="2562" width="27.5703125" customWidth="1"/>
    <col min="2563" max="2600" width="15.85546875" customWidth="1"/>
    <col min="2601" max="2601" width="2.5703125" customWidth="1"/>
    <col min="2602" max="2607" width="15.85546875" customWidth="1"/>
    <col min="2818" max="2818" width="27.5703125" customWidth="1"/>
    <col min="2819" max="2856" width="15.85546875" customWidth="1"/>
    <col min="2857" max="2857" width="2.5703125" customWidth="1"/>
    <col min="2858" max="2863" width="15.85546875" customWidth="1"/>
    <col min="3074" max="3074" width="27.5703125" customWidth="1"/>
    <col min="3075" max="3112" width="15.85546875" customWidth="1"/>
    <col min="3113" max="3113" width="2.5703125" customWidth="1"/>
    <col min="3114" max="3119" width="15.85546875" customWidth="1"/>
    <col min="3330" max="3330" width="27.5703125" customWidth="1"/>
    <col min="3331" max="3368" width="15.85546875" customWidth="1"/>
    <col min="3369" max="3369" width="2.5703125" customWidth="1"/>
    <col min="3370" max="3375" width="15.85546875" customWidth="1"/>
    <col min="3586" max="3586" width="27.5703125" customWidth="1"/>
    <col min="3587" max="3624" width="15.85546875" customWidth="1"/>
    <col min="3625" max="3625" width="2.5703125" customWidth="1"/>
    <col min="3626" max="3631" width="15.85546875" customWidth="1"/>
    <col min="3842" max="3842" width="27.5703125" customWidth="1"/>
    <col min="3843" max="3880" width="15.85546875" customWidth="1"/>
    <col min="3881" max="3881" width="2.5703125" customWidth="1"/>
    <col min="3882" max="3887" width="15.85546875" customWidth="1"/>
    <col min="4098" max="4098" width="27.5703125" customWidth="1"/>
    <col min="4099" max="4136" width="15.85546875" customWidth="1"/>
    <col min="4137" max="4137" width="2.5703125" customWidth="1"/>
    <col min="4138" max="4143" width="15.85546875" customWidth="1"/>
    <col min="4354" max="4354" width="27.5703125" customWidth="1"/>
    <col min="4355" max="4392" width="15.85546875" customWidth="1"/>
    <col min="4393" max="4393" width="2.5703125" customWidth="1"/>
    <col min="4394" max="4399" width="15.85546875" customWidth="1"/>
    <col min="4610" max="4610" width="27.5703125" customWidth="1"/>
    <col min="4611" max="4648" width="15.85546875" customWidth="1"/>
    <col min="4649" max="4649" width="2.5703125" customWidth="1"/>
    <col min="4650" max="4655" width="15.85546875" customWidth="1"/>
    <col min="4866" max="4866" width="27.5703125" customWidth="1"/>
    <col min="4867" max="4904" width="15.85546875" customWidth="1"/>
    <col min="4905" max="4905" width="2.5703125" customWidth="1"/>
    <col min="4906" max="4911" width="15.85546875" customWidth="1"/>
    <col min="5122" max="5122" width="27.5703125" customWidth="1"/>
    <col min="5123" max="5160" width="15.85546875" customWidth="1"/>
    <col min="5161" max="5161" width="2.5703125" customWidth="1"/>
    <col min="5162" max="5167" width="15.85546875" customWidth="1"/>
    <col min="5378" max="5378" width="27.5703125" customWidth="1"/>
    <col min="5379" max="5416" width="15.85546875" customWidth="1"/>
    <col min="5417" max="5417" width="2.5703125" customWidth="1"/>
    <col min="5418" max="5423" width="15.85546875" customWidth="1"/>
    <col min="5634" max="5634" width="27.5703125" customWidth="1"/>
    <col min="5635" max="5672" width="15.85546875" customWidth="1"/>
    <col min="5673" max="5673" width="2.5703125" customWidth="1"/>
    <col min="5674" max="5679" width="15.85546875" customWidth="1"/>
    <col min="5890" max="5890" width="27.5703125" customWidth="1"/>
    <col min="5891" max="5928" width="15.85546875" customWidth="1"/>
    <col min="5929" max="5929" width="2.5703125" customWidth="1"/>
    <col min="5930" max="5935" width="15.85546875" customWidth="1"/>
    <col min="6146" max="6146" width="27.5703125" customWidth="1"/>
    <col min="6147" max="6184" width="15.85546875" customWidth="1"/>
    <col min="6185" max="6185" width="2.5703125" customWidth="1"/>
    <col min="6186" max="6191" width="15.85546875" customWidth="1"/>
    <col min="6402" max="6402" width="27.5703125" customWidth="1"/>
    <col min="6403" max="6440" width="15.85546875" customWidth="1"/>
    <col min="6441" max="6441" width="2.5703125" customWidth="1"/>
    <col min="6442" max="6447" width="15.85546875" customWidth="1"/>
    <col min="6658" max="6658" width="27.5703125" customWidth="1"/>
    <col min="6659" max="6696" width="15.85546875" customWidth="1"/>
    <col min="6697" max="6697" width="2.5703125" customWidth="1"/>
    <col min="6698" max="6703" width="15.85546875" customWidth="1"/>
    <col min="6914" max="6914" width="27.5703125" customWidth="1"/>
    <col min="6915" max="6952" width="15.85546875" customWidth="1"/>
    <col min="6953" max="6953" width="2.5703125" customWidth="1"/>
    <col min="6954" max="6959" width="15.85546875" customWidth="1"/>
    <col min="7170" max="7170" width="27.5703125" customWidth="1"/>
    <col min="7171" max="7208" width="15.85546875" customWidth="1"/>
    <col min="7209" max="7209" width="2.5703125" customWidth="1"/>
    <col min="7210" max="7215" width="15.85546875" customWidth="1"/>
    <col min="7426" max="7426" width="27.5703125" customWidth="1"/>
    <col min="7427" max="7464" width="15.85546875" customWidth="1"/>
    <col min="7465" max="7465" width="2.5703125" customWidth="1"/>
    <col min="7466" max="7471" width="15.85546875" customWidth="1"/>
    <col min="7682" max="7682" width="27.5703125" customWidth="1"/>
    <col min="7683" max="7720" width="15.85546875" customWidth="1"/>
    <col min="7721" max="7721" width="2.5703125" customWidth="1"/>
    <col min="7722" max="7727" width="15.85546875" customWidth="1"/>
    <col min="7938" max="7938" width="27.5703125" customWidth="1"/>
    <col min="7939" max="7976" width="15.85546875" customWidth="1"/>
    <col min="7977" max="7977" width="2.5703125" customWidth="1"/>
    <col min="7978" max="7983" width="15.85546875" customWidth="1"/>
    <col min="8194" max="8194" width="27.5703125" customWidth="1"/>
    <col min="8195" max="8232" width="15.85546875" customWidth="1"/>
    <col min="8233" max="8233" width="2.5703125" customWidth="1"/>
    <col min="8234" max="8239" width="15.85546875" customWidth="1"/>
    <col min="8450" max="8450" width="27.5703125" customWidth="1"/>
    <col min="8451" max="8488" width="15.85546875" customWidth="1"/>
    <col min="8489" max="8489" width="2.5703125" customWidth="1"/>
    <col min="8490" max="8495" width="15.85546875" customWidth="1"/>
    <col min="8706" max="8706" width="27.5703125" customWidth="1"/>
    <col min="8707" max="8744" width="15.85546875" customWidth="1"/>
    <col min="8745" max="8745" width="2.5703125" customWidth="1"/>
    <col min="8746" max="8751" width="15.85546875" customWidth="1"/>
    <col min="8962" max="8962" width="27.5703125" customWidth="1"/>
    <col min="8963" max="9000" width="15.85546875" customWidth="1"/>
    <col min="9001" max="9001" width="2.5703125" customWidth="1"/>
    <col min="9002" max="9007" width="15.85546875" customWidth="1"/>
    <col min="9218" max="9218" width="27.5703125" customWidth="1"/>
    <col min="9219" max="9256" width="15.85546875" customWidth="1"/>
    <col min="9257" max="9257" width="2.5703125" customWidth="1"/>
    <col min="9258" max="9263" width="15.85546875" customWidth="1"/>
    <col min="9474" max="9474" width="27.5703125" customWidth="1"/>
    <col min="9475" max="9512" width="15.85546875" customWidth="1"/>
    <col min="9513" max="9513" width="2.5703125" customWidth="1"/>
    <col min="9514" max="9519" width="15.85546875" customWidth="1"/>
    <col min="9730" max="9730" width="27.5703125" customWidth="1"/>
    <col min="9731" max="9768" width="15.85546875" customWidth="1"/>
    <col min="9769" max="9769" width="2.5703125" customWidth="1"/>
    <col min="9770" max="9775" width="15.85546875" customWidth="1"/>
    <col min="9986" max="9986" width="27.5703125" customWidth="1"/>
    <col min="9987" max="10024" width="15.85546875" customWidth="1"/>
    <col min="10025" max="10025" width="2.5703125" customWidth="1"/>
    <col min="10026" max="10031" width="15.85546875" customWidth="1"/>
    <col min="10242" max="10242" width="27.5703125" customWidth="1"/>
    <col min="10243" max="10280" width="15.85546875" customWidth="1"/>
    <col min="10281" max="10281" width="2.5703125" customWidth="1"/>
    <col min="10282" max="10287" width="15.85546875" customWidth="1"/>
    <col min="10498" max="10498" width="27.5703125" customWidth="1"/>
    <col min="10499" max="10536" width="15.85546875" customWidth="1"/>
    <col min="10537" max="10537" width="2.5703125" customWidth="1"/>
    <col min="10538" max="10543" width="15.85546875" customWidth="1"/>
    <col min="10754" max="10754" width="27.5703125" customWidth="1"/>
    <col min="10755" max="10792" width="15.85546875" customWidth="1"/>
    <col min="10793" max="10793" width="2.5703125" customWidth="1"/>
    <col min="10794" max="10799" width="15.85546875" customWidth="1"/>
    <col min="11010" max="11010" width="27.5703125" customWidth="1"/>
    <col min="11011" max="11048" width="15.85546875" customWidth="1"/>
    <col min="11049" max="11049" width="2.5703125" customWidth="1"/>
    <col min="11050" max="11055" width="15.85546875" customWidth="1"/>
    <col min="11266" max="11266" width="27.5703125" customWidth="1"/>
    <col min="11267" max="11304" width="15.85546875" customWidth="1"/>
    <col min="11305" max="11305" width="2.5703125" customWidth="1"/>
    <col min="11306" max="11311" width="15.85546875" customWidth="1"/>
    <col min="11522" max="11522" width="27.5703125" customWidth="1"/>
    <col min="11523" max="11560" width="15.85546875" customWidth="1"/>
    <col min="11561" max="11561" width="2.5703125" customWidth="1"/>
    <col min="11562" max="11567" width="15.85546875" customWidth="1"/>
    <col min="11778" max="11778" width="27.5703125" customWidth="1"/>
    <col min="11779" max="11816" width="15.85546875" customWidth="1"/>
    <col min="11817" max="11817" width="2.5703125" customWidth="1"/>
    <col min="11818" max="11823" width="15.85546875" customWidth="1"/>
    <col min="12034" max="12034" width="27.5703125" customWidth="1"/>
    <col min="12035" max="12072" width="15.85546875" customWidth="1"/>
    <col min="12073" max="12073" width="2.5703125" customWidth="1"/>
    <col min="12074" max="12079" width="15.85546875" customWidth="1"/>
    <col min="12290" max="12290" width="27.5703125" customWidth="1"/>
    <col min="12291" max="12328" width="15.85546875" customWidth="1"/>
    <col min="12329" max="12329" width="2.5703125" customWidth="1"/>
    <col min="12330" max="12335" width="15.85546875" customWidth="1"/>
    <col min="12546" max="12546" width="27.5703125" customWidth="1"/>
    <col min="12547" max="12584" width="15.85546875" customWidth="1"/>
    <col min="12585" max="12585" width="2.5703125" customWidth="1"/>
    <col min="12586" max="12591" width="15.85546875" customWidth="1"/>
    <col min="12802" max="12802" width="27.5703125" customWidth="1"/>
    <col min="12803" max="12840" width="15.85546875" customWidth="1"/>
    <col min="12841" max="12841" width="2.5703125" customWidth="1"/>
    <col min="12842" max="12847" width="15.85546875" customWidth="1"/>
    <col min="13058" max="13058" width="27.5703125" customWidth="1"/>
    <col min="13059" max="13096" width="15.85546875" customWidth="1"/>
    <col min="13097" max="13097" width="2.5703125" customWidth="1"/>
    <col min="13098" max="13103" width="15.85546875" customWidth="1"/>
    <col min="13314" max="13314" width="27.5703125" customWidth="1"/>
    <col min="13315" max="13352" width="15.85546875" customWidth="1"/>
    <col min="13353" max="13353" width="2.5703125" customWidth="1"/>
    <col min="13354" max="13359" width="15.85546875" customWidth="1"/>
    <col min="13570" max="13570" width="27.5703125" customWidth="1"/>
    <col min="13571" max="13608" width="15.85546875" customWidth="1"/>
    <col min="13609" max="13609" width="2.5703125" customWidth="1"/>
    <col min="13610" max="13615" width="15.85546875" customWidth="1"/>
    <col min="13826" max="13826" width="27.5703125" customWidth="1"/>
    <col min="13827" max="13864" width="15.85546875" customWidth="1"/>
    <col min="13865" max="13865" width="2.5703125" customWidth="1"/>
    <col min="13866" max="13871" width="15.85546875" customWidth="1"/>
    <col min="14082" max="14082" width="27.5703125" customWidth="1"/>
    <col min="14083" max="14120" width="15.85546875" customWidth="1"/>
    <col min="14121" max="14121" width="2.5703125" customWidth="1"/>
    <col min="14122" max="14127" width="15.85546875" customWidth="1"/>
    <col min="14338" max="14338" width="27.5703125" customWidth="1"/>
    <col min="14339" max="14376" width="15.85546875" customWidth="1"/>
    <col min="14377" max="14377" width="2.5703125" customWidth="1"/>
    <col min="14378" max="14383" width="15.85546875" customWidth="1"/>
    <col min="14594" max="14594" width="27.5703125" customWidth="1"/>
    <col min="14595" max="14632" width="15.85546875" customWidth="1"/>
    <col min="14633" max="14633" width="2.5703125" customWidth="1"/>
    <col min="14634" max="14639" width="15.85546875" customWidth="1"/>
    <col min="14850" max="14850" width="27.5703125" customWidth="1"/>
    <col min="14851" max="14888" width="15.85546875" customWidth="1"/>
    <col min="14889" max="14889" width="2.5703125" customWidth="1"/>
    <col min="14890" max="14895" width="15.85546875" customWidth="1"/>
    <col min="15106" max="15106" width="27.5703125" customWidth="1"/>
    <col min="15107" max="15144" width="15.85546875" customWidth="1"/>
    <col min="15145" max="15145" width="2.5703125" customWidth="1"/>
    <col min="15146" max="15151" width="15.85546875" customWidth="1"/>
    <col min="15362" max="15362" width="27.5703125" customWidth="1"/>
    <col min="15363" max="15400" width="15.85546875" customWidth="1"/>
    <col min="15401" max="15401" width="2.5703125" customWidth="1"/>
    <col min="15402" max="15407" width="15.85546875" customWidth="1"/>
    <col min="15618" max="15618" width="27.5703125" customWidth="1"/>
    <col min="15619" max="15656" width="15.85546875" customWidth="1"/>
    <col min="15657" max="15657" width="2.5703125" customWidth="1"/>
    <col min="15658" max="15663" width="15.85546875" customWidth="1"/>
    <col min="15874" max="15874" width="27.5703125" customWidth="1"/>
    <col min="15875" max="15912" width="15.85546875" customWidth="1"/>
    <col min="15913" max="15913" width="2.5703125" customWidth="1"/>
    <col min="15914" max="15919" width="15.85546875" customWidth="1"/>
    <col min="16130" max="16130" width="27.5703125" customWidth="1"/>
    <col min="16131" max="16168" width="15.85546875" customWidth="1"/>
    <col min="16169" max="16169" width="2.5703125" customWidth="1"/>
    <col min="16170" max="16175" width="15.85546875" customWidth="1"/>
  </cols>
  <sheetData>
    <row r="1" spans="2:57" ht="31.5" customHeight="1" x14ac:dyDescent="0.25">
      <c r="B1" s="17" t="s">
        <v>1280</v>
      </c>
      <c r="C1" s="53" t="s">
        <v>1281</v>
      </c>
      <c r="D1" s="54" t="s">
        <v>1282</v>
      </c>
      <c r="E1" s="53" t="s">
        <v>1283</v>
      </c>
      <c r="F1" s="54" t="s">
        <v>1284</v>
      </c>
      <c r="G1" s="53" t="s">
        <v>1285</v>
      </c>
      <c r="H1" s="54" t="s">
        <v>1286</v>
      </c>
      <c r="I1" s="53" t="s">
        <v>1287</v>
      </c>
      <c r="J1" s="54" t="s">
        <v>1288</v>
      </c>
      <c r="K1" s="53" t="s">
        <v>1289</v>
      </c>
      <c r="L1" s="54" t="s">
        <v>1290</v>
      </c>
      <c r="M1" s="53" t="s">
        <v>1291</v>
      </c>
      <c r="N1" s="54" t="s">
        <v>1292</v>
      </c>
      <c r="O1" s="53" t="s">
        <v>1293</v>
      </c>
      <c r="P1" s="54" t="s">
        <v>1294</v>
      </c>
      <c r="Q1" s="53" t="s">
        <v>1295</v>
      </c>
      <c r="R1" s="54" t="s">
        <v>1296</v>
      </c>
      <c r="S1" s="53" t="s">
        <v>1297</v>
      </c>
      <c r="T1" s="54" t="s">
        <v>1298</v>
      </c>
      <c r="U1" s="53" t="s">
        <v>1299</v>
      </c>
      <c r="V1" s="54" t="s">
        <v>1300</v>
      </c>
      <c r="W1" s="53" t="s">
        <v>1301</v>
      </c>
      <c r="X1" s="54" t="s">
        <v>1302</v>
      </c>
      <c r="Y1" s="53" t="s">
        <v>1303</v>
      </c>
      <c r="Z1" s="54" t="s">
        <v>1304</v>
      </c>
      <c r="AA1" s="53" t="s">
        <v>1305</v>
      </c>
      <c r="AB1" s="54" t="s">
        <v>1306</v>
      </c>
      <c r="AC1" s="53" t="s">
        <v>1307</v>
      </c>
      <c r="AD1" s="54" t="s">
        <v>1308</v>
      </c>
      <c r="AE1" s="53" t="s">
        <v>1309</v>
      </c>
      <c r="AF1" s="54" t="s">
        <v>1310</v>
      </c>
      <c r="AG1" s="53" t="s">
        <v>1311</v>
      </c>
      <c r="AH1" s="54" t="s">
        <v>1312</v>
      </c>
      <c r="AI1" s="53" t="s">
        <v>1313</v>
      </c>
      <c r="AJ1" s="54" t="s">
        <v>1314</v>
      </c>
      <c r="AK1" s="53" t="s">
        <v>1315</v>
      </c>
      <c r="AL1" s="54" t="s">
        <v>1316</v>
      </c>
      <c r="AM1" s="53" t="s">
        <v>1317</v>
      </c>
      <c r="AN1" s="54" t="s">
        <v>1318</v>
      </c>
      <c r="AO1" s="61" t="s">
        <v>1319</v>
      </c>
      <c r="AP1" s="53" t="s">
        <v>1320</v>
      </c>
      <c r="AQ1" s="54" t="s">
        <v>1321</v>
      </c>
      <c r="AR1" s="53" t="s">
        <v>1322</v>
      </c>
      <c r="AS1" s="54" t="s">
        <v>1323</v>
      </c>
      <c r="AT1" s="53" t="s">
        <v>1324</v>
      </c>
      <c r="AU1" s="54" t="s">
        <v>1325</v>
      </c>
      <c r="AV1" s="53" t="s">
        <v>1326</v>
      </c>
      <c r="AW1" s="54" t="s">
        <v>1327</v>
      </c>
      <c r="AX1" s="53" t="s">
        <v>1328</v>
      </c>
      <c r="AY1" s="54" t="s">
        <v>1329</v>
      </c>
      <c r="AZ1" s="53" t="s">
        <v>1330</v>
      </c>
      <c r="BA1" s="54" t="s">
        <v>1331</v>
      </c>
      <c r="BB1" s="53" t="s">
        <v>1332</v>
      </c>
      <c r="BC1" s="54" t="s">
        <v>1333</v>
      </c>
      <c r="BD1" s="53" t="s">
        <v>1334</v>
      </c>
    </row>
    <row r="2" spans="2:57" ht="31.5" customHeight="1" x14ac:dyDescent="0.25">
      <c r="B2" s="17" t="s">
        <v>1335</v>
      </c>
      <c r="C2" s="53" t="str">
        <f>C3&amp;C4</f>
        <v>EFHvor 1859</v>
      </c>
      <c r="D2" s="53" t="str">
        <f t="shared" ref="D2:AW2" si="0">D3&amp;D4</f>
        <v>EFH1860-1918</v>
      </c>
      <c r="E2" s="53" t="str">
        <f t="shared" si="0"/>
        <v>EFH1919-1948</v>
      </c>
      <c r="F2" s="53" t="str">
        <f t="shared" si="0"/>
        <v>EFH1949-1957</v>
      </c>
      <c r="G2" s="53" t="str">
        <f t="shared" si="0"/>
        <v>EFH1958-1968</v>
      </c>
      <c r="H2" s="53" t="str">
        <f t="shared" si="0"/>
        <v>EFH1969-1978</v>
      </c>
      <c r="I2" s="53" t="str">
        <f t="shared" si="0"/>
        <v>EFH1979-1983</v>
      </c>
      <c r="J2" s="53" t="str">
        <f t="shared" si="0"/>
        <v>EFH1984-1994</v>
      </c>
      <c r="K2" s="53" t="str">
        <f t="shared" si="0"/>
        <v>RHvor 1918</v>
      </c>
      <c r="L2" s="53" t="str">
        <f t="shared" si="0"/>
        <v>RH1919-1948</v>
      </c>
      <c r="M2" s="53" t="str">
        <f t="shared" si="0"/>
        <v>RH1949-1957</v>
      </c>
      <c r="N2" s="53" t="str">
        <f t="shared" si="0"/>
        <v>RH1958-1968</v>
      </c>
      <c r="O2" s="53" t="str">
        <f t="shared" si="0"/>
        <v>RH1969-1978</v>
      </c>
      <c r="P2" s="53" t="str">
        <f t="shared" si="0"/>
        <v>RH1979-1983</v>
      </c>
      <c r="Q2" s="53" t="str">
        <f t="shared" si="0"/>
        <v>RH1984-1994</v>
      </c>
      <c r="R2" s="53" t="str">
        <f t="shared" si="0"/>
        <v>MFHvor 1918</v>
      </c>
      <c r="S2" s="53" t="str">
        <f t="shared" si="0"/>
        <v>MFHvor 1918</v>
      </c>
      <c r="T2" s="53" t="str">
        <f t="shared" si="0"/>
        <v>MFH1919-1948</v>
      </c>
      <c r="U2" s="53" t="str">
        <f t="shared" si="0"/>
        <v>MFH1949-1957</v>
      </c>
      <c r="V2" s="53" t="str">
        <f t="shared" si="0"/>
        <v>MFH1958-1968</v>
      </c>
      <c r="W2" s="53" t="str">
        <f t="shared" si="0"/>
        <v>MFH1969-1978</v>
      </c>
      <c r="X2" s="53" t="str">
        <f t="shared" si="0"/>
        <v>MFH1979-1983</v>
      </c>
      <c r="Y2" s="53" t="str">
        <f t="shared" si="0"/>
        <v>MFH1984-1994</v>
      </c>
      <c r="Z2" s="53" t="str">
        <f t="shared" si="0"/>
        <v>MFHvor 1918</v>
      </c>
      <c r="AA2" s="53" t="str">
        <f t="shared" si="0"/>
        <v>MFH1919-1948</v>
      </c>
      <c r="AB2" s="53" t="str">
        <f t="shared" si="0"/>
        <v>MFH1949-1957</v>
      </c>
      <c r="AC2" s="53" t="str">
        <f t="shared" si="0"/>
        <v>MFH1958-1968</v>
      </c>
      <c r="AD2" s="53" t="str">
        <f t="shared" si="0"/>
        <v>MFH1969-1978</v>
      </c>
      <c r="AE2" s="53" t="str">
        <f t="shared" si="0"/>
        <v>MFH1958-1968</v>
      </c>
      <c r="AF2" s="53" t="str">
        <f t="shared" si="0"/>
        <v>MFH1969-1978</v>
      </c>
      <c r="AG2" s="53" t="str">
        <f t="shared" si="0"/>
        <v>EFH1969-1978</v>
      </c>
      <c r="AH2" s="53" t="str">
        <f t="shared" si="0"/>
        <v>MFH1946-1960</v>
      </c>
      <c r="AI2" s="53" t="str">
        <f t="shared" si="0"/>
        <v>MFH1961-1969</v>
      </c>
      <c r="AJ2" s="53" t="str">
        <f t="shared" si="0"/>
        <v>MFH1970-1980</v>
      </c>
      <c r="AK2" s="53" t="str">
        <f t="shared" si="0"/>
        <v>MFH1981-1985</v>
      </c>
      <c r="AL2" s="53" t="str">
        <f t="shared" si="0"/>
        <v>MFH1986-1990</v>
      </c>
      <c r="AM2" s="53" t="str">
        <f t="shared" si="0"/>
        <v>HH1970-1980</v>
      </c>
      <c r="AN2" s="53" t="str">
        <f t="shared" si="0"/>
        <v>HH1981-1985</v>
      </c>
      <c r="AO2" s="53" t="str">
        <f t="shared" si="0"/>
        <v/>
      </c>
      <c r="AP2" s="53" t="str">
        <f t="shared" si="0"/>
        <v>EFH1995 - 2001</v>
      </c>
      <c r="AQ2" s="53" t="str">
        <f t="shared" si="0"/>
        <v>EFH2002 - heute</v>
      </c>
      <c r="AR2" s="53" t="str">
        <f t="shared" si="0"/>
        <v>RH1995 - 2001</v>
      </c>
      <c r="AS2" s="53" t="str">
        <f t="shared" si="0"/>
        <v>RH2002 - heute</v>
      </c>
      <c r="AT2" s="53" t="str">
        <f t="shared" si="0"/>
        <v>MFH1995 - 2001</v>
      </c>
      <c r="AU2" s="53" t="str">
        <f t="shared" si="0"/>
        <v>MFH2002 - 2008</v>
      </c>
      <c r="AV2" s="53" t="str">
        <f t="shared" si="0"/>
        <v>EFH2009 - 2022</v>
      </c>
      <c r="AW2" s="53" t="str">
        <f t="shared" si="0"/>
        <v>EFH2023 - 2026</v>
      </c>
      <c r="AX2" s="53" t="str">
        <f>AX3&amp;AX4</f>
        <v>EFH2027-2045</v>
      </c>
      <c r="AY2" s="53" t="str">
        <f t="shared" ref="AY2:BD2" si="1">AY3&amp;AY4</f>
        <v>RH2009 - 2022</v>
      </c>
      <c r="AZ2" s="53" t="str">
        <f t="shared" si="1"/>
        <v>RH2023 - 2026</v>
      </c>
      <c r="BA2" s="53" t="str">
        <f t="shared" si="1"/>
        <v>RH2027-2045</v>
      </c>
      <c r="BB2" s="53" t="str">
        <f t="shared" si="1"/>
        <v>MFH2009 - 2022</v>
      </c>
      <c r="BC2" s="53" t="str">
        <f t="shared" si="1"/>
        <v>MFH2023 - 2026</v>
      </c>
      <c r="BD2" s="53" t="str">
        <f t="shared" si="1"/>
        <v>MFH2027-2045</v>
      </c>
    </row>
    <row r="3" spans="2:57" x14ac:dyDescent="0.25">
      <c r="B3" s="17" t="s">
        <v>273</v>
      </c>
      <c r="C3" s="55" t="s">
        <v>1254</v>
      </c>
      <c r="D3" s="56" t="s">
        <v>1254</v>
      </c>
      <c r="E3" s="55" t="s">
        <v>1254</v>
      </c>
      <c r="F3" s="56" t="s">
        <v>1254</v>
      </c>
      <c r="G3" s="55" t="s">
        <v>1254</v>
      </c>
      <c r="H3" s="56" t="s">
        <v>1254</v>
      </c>
      <c r="I3" s="55" t="s">
        <v>1254</v>
      </c>
      <c r="J3" s="56" t="s">
        <v>1254</v>
      </c>
      <c r="K3" s="55" t="s">
        <v>1336</v>
      </c>
      <c r="L3" s="56" t="s">
        <v>1336</v>
      </c>
      <c r="M3" s="55" t="s">
        <v>1336</v>
      </c>
      <c r="N3" s="56" t="s">
        <v>1336</v>
      </c>
      <c r="O3" s="55" t="s">
        <v>1336</v>
      </c>
      <c r="P3" s="56" t="s">
        <v>1336</v>
      </c>
      <c r="Q3" s="55" t="s">
        <v>1336</v>
      </c>
      <c r="R3" s="56" t="s">
        <v>1337</v>
      </c>
      <c r="S3" s="55" t="s">
        <v>1337</v>
      </c>
      <c r="T3" s="56" t="s">
        <v>1337</v>
      </c>
      <c r="U3" s="55" t="s">
        <v>1337</v>
      </c>
      <c r="V3" s="56" t="s">
        <v>1337</v>
      </c>
      <c r="W3" s="55" t="s">
        <v>1337</v>
      </c>
      <c r="X3" s="56" t="s">
        <v>1337</v>
      </c>
      <c r="Y3" s="55" t="s">
        <v>1337</v>
      </c>
      <c r="Z3" s="56" t="s">
        <v>1337</v>
      </c>
      <c r="AA3" s="55" t="s">
        <v>1337</v>
      </c>
      <c r="AB3" s="56" t="s">
        <v>1337</v>
      </c>
      <c r="AC3" s="55" t="s">
        <v>1337</v>
      </c>
      <c r="AD3" s="56" t="s">
        <v>1337</v>
      </c>
      <c r="AE3" s="55" t="s">
        <v>1337</v>
      </c>
      <c r="AF3" s="56" t="s">
        <v>1337</v>
      </c>
      <c r="AG3" s="55" t="s">
        <v>1254</v>
      </c>
      <c r="AH3" s="56" t="s">
        <v>1337</v>
      </c>
      <c r="AI3" s="55" t="s">
        <v>1337</v>
      </c>
      <c r="AJ3" s="56" t="s">
        <v>1337</v>
      </c>
      <c r="AK3" s="55" t="s">
        <v>1337</v>
      </c>
      <c r="AL3" s="56" t="s">
        <v>1337</v>
      </c>
      <c r="AM3" s="55" t="s">
        <v>1338</v>
      </c>
      <c r="AN3" s="56" t="s">
        <v>1338</v>
      </c>
      <c r="AO3" s="61"/>
      <c r="AP3" s="55" t="s">
        <v>1254</v>
      </c>
      <c r="AQ3" s="56" t="s">
        <v>1254</v>
      </c>
      <c r="AR3" s="55" t="s">
        <v>1336</v>
      </c>
      <c r="AS3" s="56" t="s">
        <v>1336</v>
      </c>
      <c r="AT3" s="55" t="s">
        <v>1337</v>
      </c>
      <c r="AU3" s="56" t="s">
        <v>1337</v>
      </c>
      <c r="AV3" s="55" t="s">
        <v>1254</v>
      </c>
      <c r="AW3" s="56" t="s">
        <v>1254</v>
      </c>
      <c r="AX3" s="55" t="s">
        <v>1254</v>
      </c>
      <c r="AY3" s="56" t="s">
        <v>1336</v>
      </c>
      <c r="AZ3" s="56" t="s">
        <v>1336</v>
      </c>
      <c r="BA3" s="56" t="s">
        <v>1336</v>
      </c>
      <c r="BB3" s="56" t="s">
        <v>1337</v>
      </c>
      <c r="BC3" s="56" t="s">
        <v>1337</v>
      </c>
      <c r="BD3" s="56" t="s">
        <v>1337</v>
      </c>
    </row>
    <row r="4" spans="2:57" x14ac:dyDescent="0.25">
      <c r="B4" s="17" t="s">
        <v>246</v>
      </c>
      <c r="C4" s="55" t="s">
        <v>1124</v>
      </c>
      <c r="D4" s="56" t="s">
        <v>1129</v>
      </c>
      <c r="E4" s="55" t="s">
        <v>1339</v>
      </c>
      <c r="F4" s="56" t="s">
        <v>1340</v>
      </c>
      <c r="G4" s="55" t="s">
        <v>1341</v>
      </c>
      <c r="H4" s="56" t="s">
        <v>1342</v>
      </c>
      <c r="I4" s="55" t="s">
        <v>1343</v>
      </c>
      <c r="J4" s="56" t="s">
        <v>1344</v>
      </c>
      <c r="K4" s="55" t="s">
        <v>1345</v>
      </c>
      <c r="L4" s="56" t="s">
        <v>1339</v>
      </c>
      <c r="M4" s="55" t="s">
        <v>1340</v>
      </c>
      <c r="N4" s="56" t="s">
        <v>1341</v>
      </c>
      <c r="O4" s="55" t="s">
        <v>1342</v>
      </c>
      <c r="P4" s="56" t="s">
        <v>1343</v>
      </c>
      <c r="Q4" s="55" t="s">
        <v>1344</v>
      </c>
      <c r="R4" s="56" t="s">
        <v>1345</v>
      </c>
      <c r="S4" s="55" t="s">
        <v>1345</v>
      </c>
      <c r="T4" s="56" t="s">
        <v>1339</v>
      </c>
      <c r="U4" s="55" t="s">
        <v>1340</v>
      </c>
      <c r="V4" s="56" t="s">
        <v>1341</v>
      </c>
      <c r="W4" s="55" t="s">
        <v>1342</v>
      </c>
      <c r="X4" s="56" t="s">
        <v>1343</v>
      </c>
      <c r="Y4" s="55" t="s">
        <v>1344</v>
      </c>
      <c r="Z4" s="56" t="s">
        <v>1345</v>
      </c>
      <c r="AA4" s="55" t="s">
        <v>1339</v>
      </c>
      <c r="AB4" s="56" t="s">
        <v>1340</v>
      </c>
      <c r="AC4" s="55" t="s">
        <v>1341</v>
      </c>
      <c r="AD4" s="56" t="s">
        <v>1342</v>
      </c>
      <c r="AE4" s="55" t="s">
        <v>1341</v>
      </c>
      <c r="AF4" s="56" t="s">
        <v>1342</v>
      </c>
      <c r="AG4" s="55" t="s">
        <v>1342</v>
      </c>
      <c r="AH4" s="56" t="s">
        <v>1346</v>
      </c>
      <c r="AI4" s="55" t="s">
        <v>1347</v>
      </c>
      <c r="AJ4" s="56" t="s">
        <v>1348</v>
      </c>
      <c r="AK4" s="55" t="s">
        <v>1349</v>
      </c>
      <c r="AL4" s="56" t="s">
        <v>1350</v>
      </c>
      <c r="AM4" s="55" t="s">
        <v>1348</v>
      </c>
      <c r="AN4" s="56" t="s">
        <v>1349</v>
      </c>
      <c r="AO4" s="61"/>
      <c r="AP4" s="55" t="s">
        <v>1351</v>
      </c>
      <c r="AQ4" s="56" t="s">
        <v>1352</v>
      </c>
      <c r="AR4" s="55" t="s">
        <v>1351</v>
      </c>
      <c r="AS4" s="56" t="s">
        <v>1352</v>
      </c>
      <c r="AT4" s="55" t="s">
        <v>1351</v>
      </c>
      <c r="AU4" s="56" t="s">
        <v>1353</v>
      </c>
      <c r="AV4" s="18" t="s">
        <v>567</v>
      </c>
      <c r="AW4" s="55" t="s">
        <v>1154</v>
      </c>
      <c r="AX4" s="55" t="s">
        <v>1354</v>
      </c>
      <c r="AY4" s="55" t="s">
        <v>567</v>
      </c>
      <c r="AZ4" s="55" t="s">
        <v>1154</v>
      </c>
      <c r="BA4" s="55" t="s">
        <v>1354</v>
      </c>
      <c r="BB4" s="55" t="s">
        <v>567</v>
      </c>
      <c r="BC4" s="55" t="s">
        <v>1154</v>
      </c>
      <c r="BD4" s="55" t="s">
        <v>1354</v>
      </c>
      <c r="BE4" s="55"/>
    </row>
    <row r="5" spans="2:57" x14ac:dyDescent="0.25">
      <c r="B5" s="19" t="s">
        <v>340</v>
      </c>
      <c r="C5" s="57" t="s">
        <v>528</v>
      </c>
      <c r="D5" s="57" t="s">
        <v>528</v>
      </c>
      <c r="E5" s="57" t="s">
        <v>528</v>
      </c>
      <c r="F5" s="57" t="s">
        <v>528</v>
      </c>
      <c r="G5" s="57" t="s">
        <v>528</v>
      </c>
      <c r="H5" s="57" t="s">
        <v>528</v>
      </c>
      <c r="I5" s="57" t="s">
        <v>528</v>
      </c>
      <c r="J5" s="57" t="s">
        <v>528</v>
      </c>
      <c r="K5" s="57" t="s">
        <v>528</v>
      </c>
      <c r="L5" s="57" t="s">
        <v>528</v>
      </c>
      <c r="M5" s="57" t="s">
        <v>528</v>
      </c>
      <c r="N5" s="57" t="s">
        <v>528</v>
      </c>
      <c r="O5" s="57" t="s">
        <v>528</v>
      </c>
      <c r="P5" s="57" t="s">
        <v>528</v>
      </c>
      <c r="Q5" s="57" t="s">
        <v>528</v>
      </c>
      <c r="R5" s="57" t="s">
        <v>528</v>
      </c>
      <c r="S5" s="57" t="s">
        <v>528</v>
      </c>
      <c r="T5" s="57" t="s">
        <v>528</v>
      </c>
      <c r="U5" s="57" t="s">
        <v>528</v>
      </c>
      <c r="V5" s="57" t="s">
        <v>528</v>
      </c>
      <c r="W5" s="57" t="s">
        <v>528</v>
      </c>
      <c r="X5" s="57" t="s">
        <v>528</v>
      </c>
      <c r="Y5" s="57" t="s">
        <v>528</v>
      </c>
      <c r="Z5" s="57" t="s">
        <v>528</v>
      </c>
      <c r="AA5" s="57" t="s">
        <v>528</v>
      </c>
      <c r="AB5" s="57" t="s">
        <v>528</v>
      </c>
      <c r="AC5" s="57" t="s">
        <v>528</v>
      </c>
      <c r="AD5" s="57" t="s">
        <v>528</v>
      </c>
      <c r="AE5" s="57" t="s">
        <v>528</v>
      </c>
      <c r="AF5" s="57" t="s">
        <v>528</v>
      </c>
      <c r="AG5" s="57" t="s">
        <v>528</v>
      </c>
      <c r="AH5" s="57" t="s">
        <v>528</v>
      </c>
      <c r="AI5" s="57" t="s">
        <v>528</v>
      </c>
      <c r="AJ5" s="57" t="s">
        <v>528</v>
      </c>
      <c r="AK5" s="57" t="s">
        <v>528</v>
      </c>
      <c r="AL5" s="57" t="s">
        <v>528</v>
      </c>
      <c r="AM5" s="57" t="s">
        <v>528</v>
      </c>
      <c r="AN5" s="57" t="s">
        <v>528</v>
      </c>
      <c r="AO5" s="61"/>
      <c r="AP5" s="57" t="s">
        <v>528</v>
      </c>
      <c r="AQ5" s="57" t="s">
        <v>528</v>
      </c>
      <c r="AR5" s="57" t="s">
        <v>528</v>
      </c>
      <c r="AS5" s="57" t="s">
        <v>528</v>
      </c>
      <c r="AT5" s="57" t="s">
        <v>528</v>
      </c>
      <c r="AU5" s="57" t="s">
        <v>528</v>
      </c>
    </row>
    <row r="6" spans="2:57" x14ac:dyDescent="0.25">
      <c r="B6" s="19" t="s">
        <v>1355</v>
      </c>
      <c r="C6" s="57">
        <v>1.8</v>
      </c>
      <c r="D6" s="58">
        <v>1.1100000000000001</v>
      </c>
      <c r="E6" s="57">
        <v>1.1100000000000001</v>
      </c>
      <c r="F6" s="58">
        <v>1.1100000000000001</v>
      </c>
      <c r="G6" s="57">
        <v>0.92</v>
      </c>
      <c r="H6" s="58">
        <v>0.63</v>
      </c>
      <c r="I6" s="57">
        <v>0.43</v>
      </c>
      <c r="J6" s="58">
        <v>0.3</v>
      </c>
      <c r="K6" s="57">
        <v>0.78</v>
      </c>
      <c r="L6" s="58">
        <v>0.78</v>
      </c>
      <c r="M6" s="57">
        <v>0.78</v>
      </c>
      <c r="N6" s="58">
        <v>1.23</v>
      </c>
      <c r="O6" s="57">
        <v>0.52</v>
      </c>
      <c r="P6" s="58">
        <v>0.43</v>
      </c>
      <c r="Q6" s="57">
        <v>0.3</v>
      </c>
      <c r="R6" s="58">
        <v>2.6</v>
      </c>
      <c r="S6" s="57">
        <v>2.6</v>
      </c>
      <c r="T6" s="58">
        <v>1.41</v>
      </c>
      <c r="U6" s="57">
        <v>1.17</v>
      </c>
      <c r="V6" s="58">
        <v>2.2999999999999998</v>
      </c>
      <c r="W6" s="57">
        <v>0.59</v>
      </c>
      <c r="X6" s="58">
        <v>0.44</v>
      </c>
      <c r="Y6" s="57">
        <v>0.3</v>
      </c>
      <c r="Z6" s="58">
        <v>2.6</v>
      </c>
      <c r="AA6" s="57">
        <v>0.78</v>
      </c>
      <c r="AB6" s="58">
        <v>2.08</v>
      </c>
      <c r="AC6" s="57">
        <v>0.82</v>
      </c>
      <c r="AD6" s="58">
        <v>0.82</v>
      </c>
      <c r="AE6" s="57">
        <v>0.68</v>
      </c>
      <c r="AF6" s="58">
        <v>0.35</v>
      </c>
      <c r="AG6" s="57">
        <v>0.52</v>
      </c>
      <c r="AH6" s="58">
        <v>1.1399999999999999</v>
      </c>
      <c r="AI6" s="57">
        <v>1.1399999999999999</v>
      </c>
      <c r="AJ6" s="58">
        <v>0.97</v>
      </c>
      <c r="AK6" s="57">
        <v>0.97</v>
      </c>
      <c r="AL6" s="58">
        <v>0.84</v>
      </c>
      <c r="AM6" s="57">
        <v>1.1399999999999999</v>
      </c>
      <c r="AN6" s="58">
        <v>0.68</v>
      </c>
      <c r="AO6" s="59"/>
      <c r="AP6" s="57">
        <v>0.22</v>
      </c>
      <c r="AQ6" s="58">
        <v>0.22</v>
      </c>
      <c r="AR6" s="57">
        <v>0.22</v>
      </c>
      <c r="AS6" s="58">
        <v>0.14000000000000001</v>
      </c>
      <c r="AT6" s="57">
        <v>0.21</v>
      </c>
      <c r="AU6" s="58">
        <v>0.22</v>
      </c>
    </row>
    <row r="7" spans="2:57" x14ac:dyDescent="0.25">
      <c r="B7" s="19" t="s">
        <v>185</v>
      </c>
      <c r="C7" s="57" t="s">
        <v>185</v>
      </c>
      <c r="D7" s="57" t="s">
        <v>185</v>
      </c>
      <c r="E7" s="57" t="s">
        <v>185</v>
      </c>
      <c r="F7" s="57" t="s">
        <v>185</v>
      </c>
      <c r="G7" s="57" t="s">
        <v>185</v>
      </c>
      <c r="H7" s="57" t="s">
        <v>185</v>
      </c>
      <c r="I7" s="57" t="s">
        <v>185</v>
      </c>
      <c r="J7" s="57" t="s">
        <v>185</v>
      </c>
      <c r="K7" s="57" t="s">
        <v>185</v>
      </c>
      <c r="L7" s="57" t="s">
        <v>185</v>
      </c>
      <c r="M7" s="57" t="s">
        <v>185</v>
      </c>
      <c r="N7" s="57" t="s">
        <v>185</v>
      </c>
      <c r="O7" s="57" t="s">
        <v>185</v>
      </c>
      <c r="P7" s="57" t="s">
        <v>185</v>
      </c>
      <c r="Q7" s="57" t="s">
        <v>185</v>
      </c>
      <c r="R7" s="57" t="s">
        <v>185</v>
      </c>
      <c r="S7" s="57" t="s">
        <v>185</v>
      </c>
      <c r="T7" s="57" t="s">
        <v>185</v>
      </c>
      <c r="U7" s="57" t="s">
        <v>185</v>
      </c>
      <c r="V7" s="57" t="s">
        <v>185</v>
      </c>
      <c r="W7" s="57" t="s">
        <v>185</v>
      </c>
      <c r="X7" s="57" t="s">
        <v>185</v>
      </c>
      <c r="Y7" s="57" t="s">
        <v>185</v>
      </c>
      <c r="Z7" s="57" t="s">
        <v>185</v>
      </c>
      <c r="AA7" s="57" t="s">
        <v>185</v>
      </c>
      <c r="AB7" s="57" t="s">
        <v>185</v>
      </c>
      <c r="AC7" s="57" t="s">
        <v>185</v>
      </c>
      <c r="AD7" s="57" t="s">
        <v>185</v>
      </c>
      <c r="AE7" s="57" t="s">
        <v>185</v>
      </c>
      <c r="AF7" s="57" t="s">
        <v>185</v>
      </c>
      <c r="AG7" s="57" t="s">
        <v>185</v>
      </c>
      <c r="AH7" s="57" t="s">
        <v>185</v>
      </c>
      <c r="AI7" s="57" t="s">
        <v>185</v>
      </c>
      <c r="AJ7" s="57" t="s">
        <v>185</v>
      </c>
      <c r="AK7" s="57" t="s">
        <v>185</v>
      </c>
      <c r="AL7" s="57" t="s">
        <v>185</v>
      </c>
      <c r="AM7" s="57" t="s">
        <v>185</v>
      </c>
      <c r="AN7" s="57" t="s">
        <v>185</v>
      </c>
      <c r="AO7" s="59"/>
      <c r="AP7" s="57" t="s">
        <v>185</v>
      </c>
      <c r="AQ7" s="57" t="s">
        <v>185</v>
      </c>
      <c r="AR7" s="57" t="s">
        <v>185</v>
      </c>
      <c r="AS7" s="57" t="s">
        <v>185</v>
      </c>
      <c r="AT7" s="57" t="s">
        <v>185</v>
      </c>
      <c r="AU7" s="57" t="s">
        <v>185</v>
      </c>
    </row>
    <row r="8" spans="2:57" x14ac:dyDescent="0.25">
      <c r="B8" s="19" t="s">
        <v>1355</v>
      </c>
      <c r="C8" s="57">
        <v>1.9</v>
      </c>
      <c r="D8" s="58">
        <v>1.7</v>
      </c>
      <c r="E8" s="57">
        <v>1.7</v>
      </c>
      <c r="F8" s="58">
        <v>0.93</v>
      </c>
      <c r="G8" s="57">
        <v>1.44</v>
      </c>
      <c r="H8" s="58">
        <v>1.21</v>
      </c>
      <c r="I8" s="57">
        <v>0.8</v>
      </c>
      <c r="J8" s="58">
        <v>0.68</v>
      </c>
      <c r="K8" s="57">
        <v>1.7</v>
      </c>
      <c r="L8" s="58">
        <v>1.39</v>
      </c>
      <c r="M8" s="57">
        <v>0.86</v>
      </c>
      <c r="N8" s="58">
        <v>1.44</v>
      </c>
      <c r="O8" s="57">
        <v>0.8</v>
      </c>
      <c r="P8" s="58">
        <v>0.68</v>
      </c>
      <c r="Q8" s="57">
        <v>0.77</v>
      </c>
      <c r="R8" s="58">
        <v>1.9</v>
      </c>
      <c r="S8" s="57">
        <v>1.45</v>
      </c>
      <c r="T8" s="58">
        <v>1.64</v>
      </c>
      <c r="U8" s="57">
        <v>1.44</v>
      </c>
      <c r="V8" s="58">
        <v>1.21</v>
      </c>
      <c r="W8" s="57">
        <v>0.74</v>
      </c>
      <c r="X8" s="58">
        <v>0.8</v>
      </c>
      <c r="Y8" s="57">
        <v>0.66</v>
      </c>
      <c r="Z8" s="58">
        <v>1.45</v>
      </c>
      <c r="AA8" s="57">
        <v>1.45</v>
      </c>
      <c r="AB8" s="58">
        <v>1.21</v>
      </c>
      <c r="AC8" s="57">
        <v>1.3</v>
      </c>
      <c r="AD8" s="58">
        <v>1.46</v>
      </c>
      <c r="AE8" s="57">
        <v>1.1100000000000001</v>
      </c>
      <c r="AF8" s="58">
        <v>0.82</v>
      </c>
      <c r="AG8" s="57">
        <v>0.40239999999999998</v>
      </c>
      <c r="AH8" s="58">
        <v>1.21</v>
      </c>
      <c r="AI8" s="57">
        <v>1.46</v>
      </c>
      <c r="AJ8" s="58">
        <v>0.88</v>
      </c>
      <c r="AK8" s="57">
        <v>0.88</v>
      </c>
      <c r="AL8" s="58">
        <v>0.76</v>
      </c>
      <c r="AM8" s="57">
        <v>0.99</v>
      </c>
      <c r="AN8" s="58">
        <v>0.99</v>
      </c>
      <c r="AO8" s="59"/>
      <c r="AP8" s="57">
        <v>0.5</v>
      </c>
      <c r="AQ8" s="58">
        <v>0.35</v>
      </c>
      <c r="AR8" s="57">
        <v>0.49</v>
      </c>
      <c r="AS8" s="58">
        <v>0.24</v>
      </c>
      <c r="AT8" s="57">
        <v>0.28000000000000003</v>
      </c>
      <c r="AU8" s="58">
        <v>0.35</v>
      </c>
    </row>
    <row r="9" spans="2:57" x14ac:dyDescent="0.25">
      <c r="B9" s="19" t="s">
        <v>334</v>
      </c>
      <c r="C9" s="57" t="s">
        <v>334</v>
      </c>
      <c r="D9" s="58" t="s">
        <v>1356</v>
      </c>
      <c r="E9" s="57" t="s">
        <v>1356</v>
      </c>
      <c r="F9" s="58" t="s">
        <v>1356</v>
      </c>
      <c r="G9" s="57" t="s">
        <v>1356</v>
      </c>
      <c r="H9" s="58" t="s">
        <v>1356</v>
      </c>
      <c r="I9" s="57" t="s">
        <v>1356</v>
      </c>
      <c r="J9" s="58" t="s">
        <v>1356</v>
      </c>
      <c r="K9" s="57" t="s">
        <v>1356</v>
      </c>
      <c r="L9" s="58" t="s">
        <v>1356</v>
      </c>
      <c r="M9" s="57" t="s">
        <v>1356</v>
      </c>
      <c r="N9" s="58" t="s">
        <v>1356</v>
      </c>
      <c r="O9" s="57" t="s">
        <v>1356</v>
      </c>
      <c r="P9" s="58" t="s">
        <v>1356</v>
      </c>
      <c r="Q9" s="57" t="s">
        <v>1356</v>
      </c>
      <c r="R9" s="58" t="s">
        <v>1356</v>
      </c>
      <c r="S9" s="57" t="s">
        <v>1356</v>
      </c>
      <c r="T9" s="58" t="s">
        <v>1356</v>
      </c>
      <c r="U9" s="57" t="s">
        <v>1356</v>
      </c>
      <c r="V9" s="58" t="s">
        <v>1356</v>
      </c>
      <c r="W9" s="57" t="s">
        <v>1356</v>
      </c>
      <c r="X9" s="58" t="s">
        <v>1356</v>
      </c>
      <c r="Y9" s="57" t="s">
        <v>1356</v>
      </c>
      <c r="Z9" s="58" t="s">
        <v>1356</v>
      </c>
      <c r="AA9" s="57" t="s">
        <v>1356</v>
      </c>
      <c r="AB9" s="58" t="s">
        <v>1356</v>
      </c>
      <c r="AC9" s="57" t="s">
        <v>1356</v>
      </c>
      <c r="AD9" s="58" t="s">
        <v>1356</v>
      </c>
      <c r="AE9" s="57" t="s">
        <v>1356</v>
      </c>
      <c r="AF9" s="58" t="s">
        <v>1356</v>
      </c>
      <c r="AG9" s="57" t="s">
        <v>1357</v>
      </c>
      <c r="AH9" s="58" t="s">
        <v>1356</v>
      </c>
      <c r="AI9" s="57" t="s">
        <v>1356</v>
      </c>
      <c r="AJ9" s="58" t="s">
        <v>1356</v>
      </c>
      <c r="AK9" s="57" t="s">
        <v>1356</v>
      </c>
      <c r="AL9" s="58" t="s">
        <v>1356</v>
      </c>
      <c r="AM9" s="57" t="s">
        <v>1356</v>
      </c>
      <c r="AN9" s="58" t="s">
        <v>1356</v>
      </c>
      <c r="AO9" s="59"/>
      <c r="AP9" s="57" t="s">
        <v>1356</v>
      </c>
      <c r="AQ9" s="58" t="s">
        <v>1356</v>
      </c>
      <c r="AR9" s="57" t="s">
        <v>1358</v>
      </c>
      <c r="AS9" s="58" t="s">
        <v>1356</v>
      </c>
      <c r="AT9" s="57" t="s">
        <v>1356</v>
      </c>
      <c r="AU9" s="58" t="s">
        <v>1356</v>
      </c>
    </row>
    <row r="10" spans="2:57" x14ac:dyDescent="0.25">
      <c r="B10" s="19" t="s">
        <v>1355</v>
      </c>
      <c r="C10" s="57">
        <v>1.04</v>
      </c>
      <c r="D10" s="58">
        <v>1.1100000000000001</v>
      </c>
      <c r="E10" s="57">
        <v>1.1100000000000001</v>
      </c>
      <c r="F10" s="58">
        <v>1.01</v>
      </c>
      <c r="G10" s="57">
        <v>0.97</v>
      </c>
      <c r="H10" s="58">
        <v>0.84599999999999997</v>
      </c>
      <c r="I10" s="57">
        <v>0.81</v>
      </c>
      <c r="J10" s="58">
        <v>0.55000000000000004</v>
      </c>
      <c r="K10" s="57">
        <v>0.91</v>
      </c>
      <c r="L10" s="58">
        <v>1.6</v>
      </c>
      <c r="M10" s="57">
        <v>1.01</v>
      </c>
      <c r="N10" s="58">
        <v>0.97</v>
      </c>
      <c r="O10" s="57">
        <v>0.97</v>
      </c>
      <c r="P10" s="58">
        <v>0.67</v>
      </c>
      <c r="Q10" s="57">
        <v>0.55000000000000004</v>
      </c>
      <c r="R10" s="58">
        <v>1.04</v>
      </c>
      <c r="S10" s="57">
        <v>1.37</v>
      </c>
      <c r="T10" s="58">
        <v>1.1100000000000001</v>
      </c>
      <c r="U10" s="57">
        <v>1.65</v>
      </c>
      <c r="V10" s="58">
        <v>0.97</v>
      </c>
      <c r="W10" s="57">
        <v>0.97</v>
      </c>
      <c r="X10" s="58">
        <v>0.67</v>
      </c>
      <c r="Y10" s="57">
        <v>0.55000000000000004</v>
      </c>
      <c r="Z10" s="58">
        <v>1.37</v>
      </c>
      <c r="AA10" s="57">
        <v>1.1100000000000001</v>
      </c>
      <c r="AB10" s="58">
        <v>1.55</v>
      </c>
      <c r="AC10" s="57">
        <v>0.84599999999999997</v>
      </c>
      <c r="AD10" s="58">
        <v>0.97</v>
      </c>
      <c r="AE10" s="57">
        <v>0.97</v>
      </c>
      <c r="AF10" s="58">
        <v>0.70579999999999998</v>
      </c>
      <c r="AG10" s="57">
        <v>0.97</v>
      </c>
      <c r="AH10" s="58">
        <v>1.01</v>
      </c>
      <c r="AI10" s="57">
        <v>1.01</v>
      </c>
      <c r="AJ10" s="58">
        <v>1.01</v>
      </c>
      <c r="AK10" s="57">
        <v>0.85</v>
      </c>
      <c r="AL10" s="58">
        <v>0.85</v>
      </c>
      <c r="AM10" s="57">
        <v>1.01</v>
      </c>
      <c r="AN10" s="58">
        <v>1.01</v>
      </c>
      <c r="AO10" s="59"/>
      <c r="AP10" s="57">
        <v>0.34</v>
      </c>
      <c r="AQ10" s="58">
        <v>0.4</v>
      </c>
      <c r="AR10" s="57">
        <v>0.317</v>
      </c>
      <c r="AS10" s="58">
        <v>0.28999999999999998</v>
      </c>
      <c r="AT10" s="57">
        <v>0.34</v>
      </c>
      <c r="AU10" s="58">
        <v>0.34</v>
      </c>
    </row>
    <row r="11" spans="2:57" x14ac:dyDescent="0.25">
      <c r="B11" s="19" t="s">
        <v>1359</v>
      </c>
      <c r="C11" s="57">
        <v>0</v>
      </c>
      <c r="D11" s="58">
        <v>0</v>
      </c>
      <c r="E11" s="57">
        <v>0</v>
      </c>
      <c r="F11" s="58">
        <v>0</v>
      </c>
      <c r="G11" s="57">
        <v>0</v>
      </c>
      <c r="H11" s="58">
        <v>0</v>
      </c>
      <c r="I11" s="57">
        <v>0</v>
      </c>
      <c r="J11" s="58">
        <v>0</v>
      </c>
      <c r="K11" s="57">
        <v>0</v>
      </c>
      <c r="L11" s="58">
        <v>0</v>
      </c>
      <c r="M11" s="57">
        <v>0</v>
      </c>
      <c r="N11" s="58">
        <v>0</v>
      </c>
      <c r="O11" s="57">
        <v>0</v>
      </c>
      <c r="P11" s="58">
        <v>0</v>
      </c>
      <c r="Q11" s="57">
        <v>0</v>
      </c>
      <c r="R11" s="58">
        <v>0</v>
      </c>
      <c r="S11" s="57">
        <v>0</v>
      </c>
      <c r="T11" s="58" t="s">
        <v>1360</v>
      </c>
      <c r="U11" s="57">
        <v>0</v>
      </c>
      <c r="V11" s="58">
        <v>0</v>
      </c>
      <c r="W11" s="57">
        <v>0</v>
      </c>
      <c r="X11" s="58">
        <v>0</v>
      </c>
      <c r="Y11" s="57">
        <v>0</v>
      </c>
      <c r="Z11" s="58">
        <v>0</v>
      </c>
      <c r="AA11" s="57">
        <v>0</v>
      </c>
      <c r="AB11" s="58">
        <v>0</v>
      </c>
      <c r="AC11" s="57">
        <v>0</v>
      </c>
      <c r="AD11" s="58">
        <v>0</v>
      </c>
      <c r="AE11" s="57">
        <v>0</v>
      </c>
      <c r="AF11" s="58">
        <v>0</v>
      </c>
      <c r="AG11" s="57" t="s">
        <v>1361</v>
      </c>
      <c r="AH11" s="58">
        <v>0</v>
      </c>
      <c r="AI11" s="57">
        <v>0</v>
      </c>
      <c r="AJ11" s="58">
        <v>0</v>
      </c>
      <c r="AK11" s="57">
        <v>0</v>
      </c>
      <c r="AL11" s="58">
        <v>0</v>
      </c>
      <c r="AM11" s="57">
        <v>0</v>
      </c>
      <c r="AN11" s="58">
        <v>0</v>
      </c>
      <c r="AO11" s="59"/>
      <c r="AP11" s="57">
        <v>0</v>
      </c>
      <c r="AQ11" s="58">
        <v>0</v>
      </c>
      <c r="AR11" s="57"/>
      <c r="AS11" s="58">
        <v>0</v>
      </c>
      <c r="AT11" s="57">
        <v>0</v>
      </c>
      <c r="AU11" s="58">
        <v>0</v>
      </c>
    </row>
    <row r="12" spans="2:57" x14ac:dyDescent="0.25">
      <c r="B12" s="19" t="s">
        <v>1355</v>
      </c>
      <c r="C12" s="57"/>
      <c r="D12" s="58"/>
      <c r="E12" s="57"/>
      <c r="F12" s="58"/>
      <c r="G12" s="57"/>
      <c r="H12" s="58"/>
      <c r="I12" s="57"/>
      <c r="J12" s="58"/>
      <c r="K12" s="57"/>
      <c r="L12" s="58"/>
      <c r="M12" s="57"/>
      <c r="N12" s="58"/>
      <c r="O12" s="57"/>
      <c r="P12" s="58"/>
      <c r="Q12" s="57"/>
      <c r="R12" s="58"/>
      <c r="S12" s="57"/>
      <c r="T12" s="58">
        <v>0.78</v>
      </c>
      <c r="U12" s="57"/>
      <c r="V12" s="58"/>
      <c r="W12" s="57"/>
      <c r="X12" s="58"/>
      <c r="Y12" s="57"/>
      <c r="Z12" s="58"/>
      <c r="AA12" s="57"/>
      <c r="AB12" s="58"/>
      <c r="AC12" s="57"/>
      <c r="AD12" s="58"/>
      <c r="AE12" s="57"/>
      <c r="AF12" s="58"/>
      <c r="AG12" s="57">
        <v>2.5</v>
      </c>
      <c r="AH12" s="58"/>
      <c r="AI12" s="57"/>
      <c r="AJ12" s="58"/>
      <c r="AK12" s="57"/>
      <c r="AL12" s="58"/>
      <c r="AM12" s="57"/>
      <c r="AN12" s="58"/>
      <c r="AO12" s="59"/>
      <c r="AP12" s="57"/>
      <c r="AQ12" s="58"/>
      <c r="AR12" s="57"/>
      <c r="AS12" s="58"/>
      <c r="AT12" s="57"/>
      <c r="AU12" s="58"/>
    </row>
    <row r="13" spans="2:57" ht="30" x14ac:dyDescent="0.25">
      <c r="B13" s="19" t="s">
        <v>1362</v>
      </c>
      <c r="C13" s="57">
        <v>0</v>
      </c>
      <c r="D13" s="58">
        <v>0</v>
      </c>
      <c r="E13" s="57">
        <v>0</v>
      </c>
      <c r="F13" s="58">
        <v>0</v>
      </c>
      <c r="G13" s="57">
        <v>0</v>
      </c>
      <c r="H13" s="58" t="s">
        <v>1363</v>
      </c>
      <c r="I13" s="57">
        <v>0</v>
      </c>
      <c r="J13" s="58">
        <v>0</v>
      </c>
      <c r="K13" s="57">
        <v>0</v>
      </c>
      <c r="L13" s="58">
        <v>0</v>
      </c>
      <c r="M13" s="57">
        <v>0</v>
      </c>
      <c r="N13" s="58">
        <v>0</v>
      </c>
      <c r="O13" s="57">
        <v>0</v>
      </c>
      <c r="P13" s="58">
        <v>0</v>
      </c>
      <c r="Q13" s="57">
        <v>0</v>
      </c>
      <c r="R13" s="58" t="s">
        <v>1364</v>
      </c>
      <c r="S13" s="57">
        <v>0</v>
      </c>
      <c r="T13" s="58">
        <v>0</v>
      </c>
      <c r="U13" s="57">
        <v>0</v>
      </c>
      <c r="V13" s="58">
        <v>0</v>
      </c>
      <c r="W13" s="57">
        <v>0</v>
      </c>
      <c r="X13" s="58">
        <v>0</v>
      </c>
      <c r="Y13" s="57">
        <v>0</v>
      </c>
      <c r="Z13" s="58">
        <v>0</v>
      </c>
      <c r="AA13" s="57">
        <v>0</v>
      </c>
      <c r="AB13" s="58">
        <v>0</v>
      </c>
      <c r="AC13" s="57">
        <v>0</v>
      </c>
      <c r="AD13" s="58">
        <v>0</v>
      </c>
      <c r="AE13" s="57" t="s">
        <v>1365</v>
      </c>
      <c r="AF13" s="58" t="s">
        <v>1366</v>
      </c>
      <c r="AG13" s="57" t="s">
        <v>1367</v>
      </c>
      <c r="AH13" s="58">
        <v>0</v>
      </c>
      <c r="AI13" s="57">
        <v>0</v>
      </c>
      <c r="AJ13" s="58">
        <v>0</v>
      </c>
      <c r="AK13" s="57">
        <v>0</v>
      </c>
      <c r="AL13" s="58">
        <v>0</v>
      </c>
      <c r="AM13" s="57">
        <v>0</v>
      </c>
      <c r="AN13" s="58">
        <v>0</v>
      </c>
      <c r="AO13" s="59"/>
      <c r="AP13" s="57">
        <v>0</v>
      </c>
      <c r="AQ13" s="58">
        <v>0</v>
      </c>
      <c r="AR13" s="57" t="s">
        <v>1368</v>
      </c>
      <c r="AS13" s="58">
        <v>0</v>
      </c>
      <c r="AT13" s="57">
        <v>0</v>
      </c>
      <c r="AU13" s="58">
        <v>0</v>
      </c>
    </row>
    <row r="14" spans="2:57" x14ac:dyDescent="0.25">
      <c r="B14" s="19" t="s">
        <v>1355</v>
      </c>
      <c r="C14" s="57"/>
      <c r="D14" s="58"/>
      <c r="E14" s="57"/>
      <c r="F14" s="58"/>
      <c r="G14" s="57"/>
      <c r="H14" s="58">
        <v>1</v>
      </c>
      <c r="I14" s="57"/>
      <c r="J14" s="58"/>
      <c r="K14" s="57"/>
      <c r="L14" s="58"/>
      <c r="M14" s="57"/>
      <c r="N14" s="58"/>
      <c r="O14" s="57"/>
      <c r="P14" s="58"/>
      <c r="Q14" s="57"/>
      <c r="R14" s="58">
        <v>1.85</v>
      </c>
      <c r="S14" s="57"/>
      <c r="T14" s="58"/>
      <c r="U14" s="57"/>
      <c r="V14" s="58"/>
      <c r="W14" s="57"/>
      <c r="X14" s="58"/>
      <c r="Y14" s="57"/>
      <c r="Z14" s="58"/>
      <c r="AA14" s="57"/>
      <c r="AB14" s="58"/>
      <c r="AC14" s="57"/>
      <c r="AD14" s="58"/>
      <c r="AE14" s="57">
        <v>0.95</v>
      </c>
      <c r="AF14" s="58">
        <v>0.82</v>
      </c>
      <c r="AG14" s="57">
        <v>2.5</v>
      </c>
      <c r="AH14" s="58"/>
      <c r="AI14" s="57"/>
      <c r="AJ14" s="58"/>
      <c r="AK14" s="57"/>
      <c r="AL14" s="58"/>
      <c r="AM14" s="57"/>
      <c r="AN14" s="58"/>
      <c r="AO14" s="59"/>
      <c r="AP14" s="57"/>
      <c r="AQ14" s="58"/>
      <c r="AR14" s="57">
        <v>0.32</v>
      </c>
      <c r="AS14" s="58"/>
      <c r="AT14" s="57"/>
      <c r="AU14" s="58"/>
    </row>
    <row r="15" spans="2:57" ht="25.5" x14ac:dyDescent="0.25">
      <c r="B15" s="17" t="s">
        <v>1369</v>
      </c>
      <c r="C15" s="57"/>
      <c r="D15" s="58"/>
      <c r="E15" s="57"/>
      <c r="F15" s="58"/>
      <c r="G15" s="57"/>
      <c r="H15" s="58"/>
      <c r="I15" s="57"/>
      <c r="J15" s="58"/>
      <c r="K15" s="57"/>
      <c r="L15" s="58"/>
      <c r="M15" s="57"/>
      <c r="N15" s="58"/>
      <c r="O15" s="57"/>
      <c r="P15" s="58"/>
      <c r="Q15" s="57"/>
      <c r="R15" s="58"/>
      <c r="S15" s="57"/>
      <c r="T15" s="58"/>
      <c r="U15" s="57"/>
      <c r="V15" s="58"/>
      <c r="W15" s="57"/>
      <c r="X15" s="58"/>
      <c r="Y15" s="57"/>
      <c r="Z15" s="58"/>
      <c r="AA15" s="57"/>
      <c r="AB15" s="58"/>
      <c r="AC15" s="57"/>
      <c r="AD15" s="58"/>
      <c r="AE15" s="57"/>
      <c r="AF15" s="58"/>
      <c r="AG15" s="57"/>
      <c r="AH15" s="58"/>
      <c r="AI15" s="57"/>
      <c r="AJ15" s="58"/>
      <c r="AK15" s="57"/>
      <c r="AL15" s="58"/>
      <c r="AM15" s="57"/>
      <c r="AN15" s="58"/>
      <c r="AO15" s="59"/>
      <c r="AP15" s="57"/>
      <c r="AQ15" s="58"/>
      <c r="AR15" s="57"/>
      <c r="AS15" s="58"/>
      <c r="AT15" s="57"/>
      <c r="AU15" s="58"/>
    </row>
    <row r="16" spans="2:57" ht="30" x14ac:dyDescent="0.25">
      <c r="B16" s="19" t="s">
        <v>1370</v>
      </c>
      <c r="C16" s="57">
        <v>0</v>
      </c>
      <c r="D16" s="58" t="s">
        <v>1371</v>
      </c>
      <c r="E16" s="57">
        <v>0</v>
      </c>
      <c r="F16" s="58" t="s">
        <v>1372</v>
      </c>
      <c r="G16" s="57">
        <v>0</v>
      </c>
      <c r="H16" s="58" t="s">
        <v>1372</v>
      </c>
      <c r="I16" s="57">
        <v>0</v>
      </c>
      <c r="J16" s="58">
        <v>0</v>
      </c>
      <c r="K16" s="57">
        <v>0</v>
      </c>
      <c r="L16" s="58">
        <v>0</v>
      </c>
      <c r="M16" s="57">
        <v>0</v>
      </c>
      <c r="N16" s="58">
        <v>0</v>
      </c>
      <c r="O16" s="57">
        <v>0</v>
      </c>
      <c r="P16" s="58">
        <v>0</v>
      </c>
      <c r="Q16" s="57">
        <v>0</v>
      </c>
      <c r="R16" s="58" t="s">
        <v>1373</v>
      </c>
      <c r="S16" s="57">
        <v>0</v>
      </c>
      <c r="T16" s="58" t="s">
        <v>1374</v>
      </c>
      <c r="U16" s="57">
        <v>0</v>
      </c>
      <c r="V16" s="58">
        <v>0</v>
      </c>
      <c r="W16" s="57">
        <v>0</v>
      </c>
      <c r="X16" s="58">
        <v>0</v>
      </c>
      <c r="Y16" s="57">
        <v>0</v>
      </c>
      <c r="Z16" s="58">
        <v>0</v>
      </c>
      <c r="AA16" s="57">
        <v>0</v>
      </c>
      <c r="AB16" s="58">
        <v>0</v>
      </c>
      <c r="AC16" s="57">
        <v>0</v>
      </c>
      <c r="AD16" s="58">
        <v>0</v>
      </c>
      <c r="AE16" s="57">
        <v>0</v>
      </c>
      <c r="AF16" s="58">
        <v>0</v>
      </c>
      <c r="AG16" s="57">
        <v>0</v>
      </c>
      <c r="AH16" s="58">
        <v>0</v>
      </c>
      <c r="AI16" s="57">
        <v>0</v>
      </c>
      <c r="AJ16" s="58">
        <v>0</v>
      </c>
      <c r="AK16" s="57">
        <v>0</v>
      </c>
      <c r="AL16" s="58">
        <v>0</v>
      </c>
      <c r="AM16" s="57">
        <v>0</v>
      </c>
      <c r="AN16" s="58">
        <v>0</v>
      </c>
      <c r="AO16" s="59"/>
      <c r="AP16" s="57">
        <v>0</v>
      </c>
      <c r="AQ16" s="58">
        <v>0</v>
      </c>
      <c r="AR16" s="57">
        <v>0</v>
      </c>
      <c r="AS16" s="58">
        <v>0</v>
      </c>
      <c r="AT16" s="57">
        <v>0</v>
      </c>
      <c r="AU16" s="58">
        <v>0</v>
      </c>
    </row>
    <row r="17" spans="2:47" x14ac:dyDescent="0.25">
      <c r="B17" s="19" t="s">
        <v>675</v>
      </c>
      <c r="C17" s="57">
        <v>0</v>
      </c>
      <c r="D17" s="58">
        <v>32.700000000000003</v>
      </c>
      <c r="E17" s="57">
        <v>0</v>
      </c>
      <c r="F17" s="58">
        <v>17.899999999999999</v>
      </c>
      <c r="G17" s="57">
        <v>0</v>
      </c>
      <c r="H17" s="58">
        <v>74</v>
      </c>
      <c r="I17" s="57">
        <v>0</v>
      </c>
      <c r="J17" s="58">
        <v>0</v>
      </c>
      <c r="K17" s="57">
        <v>0</v>
      </c>
      <c r="L17" s="58">
        <v>0</v>
      </c>
      <c r="M17" s="57">
        <v>0</v>
      </c>
      <c r="N17" s="58">
        <v>0</v>
      </c>
      <c r="O17" s="57">
        <v>0</v>
      </c>
      <c r="P17" s="58">
        <v>0</v>
      </c>
      <c r="Q17" s="57">
        <v>0</v>
      </c>
      <c r="R17" s="58">
        <v>48.97</v>
      </c>
      <c r="S17" s="57">
        <v>0</v>
      </c>
      <c r="T17" s="58">
        <v>31.1</v>
      </c>
      <c r="U17" s="57">
        <v>0</v>
      </c>
      <c r="V17" s="58">
        <v>0</v>
      </c>
      <c r="W17" s="57">
        <v>0</v>
      </c>
      <c r="X17" s="58">
        <v>0</v>
      </c>
      <c r="Y17" s="57">
        <v>0</v>
      </c>
      <c r="Z17" s="58">
        <v>0</v>
      </c>
      <c r="AA17" s="57">
        <v>0</v>
      </c>
      <c r="AB17" s="58">
        <v>0</v>
      </c>
      <c r="AC17" s="57">
        <v>0</v>
      </c>
      <c r="AD17" s="58">
        <v>0</v>
      </c>
      <c r="AE17" s="57">
        <v>0</v>
      </c>
      <c r="AF17" s="58">
        <v>0</v>
      </c>
      <c r="AG17" s="57">
        <v>0</v>
      </c>
      <c r="AH17" s="58">
        <v>0</v>
      </c>
      <c r="AI17" s="57">
        <v>0</v>
      </c>
      <c r="AJ17" s="58">
        <v>0</v>
      </c>
      <c r="AK17" s="57">
        <v>0</v>
      </c>
      <c r="AL17" s="58">
        <v>0</v>
      </c>
      <c r="AM17" s="57">
        <v>0</v>
      </c>
      <c r="AN17" s="58">
        <v>0</v>
      </c>
      <c r="AO17" s="59"/>
      <c r="AP17" s="57">
        <v>0</v>
      </c>
      <c r="AQ17" s="58">
        <v>0</v>
      </c>
      <c r="AR17" s="57">
        <v>0</v>
      </c>
      <c r="AS17" s="58">
        <v>0</v>
      </c>
      <c r="AT17" s="57">
        <v>0</v>
      </c>
      <c r="AU17" s="58">
        <v>0</v>
      </c>
    </row>
    <row r="18" spans="2:47" x14ac:dyDescent="0.25">
      <c r="B18" s="17" t="s">
        <v>1375</v>
      </c>
      <c r="C18" s="57"/>
      <c r="D18" s="58"/>
      <c r="E18" s="57"/>
      <c r="F18" s="58"/>
      <c r="G18" s="57"/>
      <c r="H18" s="58"/>
      <c r="I18" s="57"/>
      <c r="J18" s="58"/>
      <c r="K18" s="57"/>
      <c r="L18" s="58"/>
      <c r="M18" s="57"/>
      <c r="N18" s="58"/>
      <c r="O18" s="57"/>
      <c r="P18" s="58"/>
      <c r="Q18" s="57"/>
      <c r="R18" s="58"/>
      <c r="S18" s="57"/>
      <c r="T18" s="58"/>
      <c r="U18" s="57"/>
      <c r="V18" s="58"/>
      <c r="W18" s="57"/>
      <c r="X18" s="58"/>
      <c r="Y18" s="57"/>
      <c r="Z18" s="58"/>
      <c r="AA18" s="57"/>
      <c r="AB18" s="58"/>
      <c r="AC18" s="57"/>
      <c r="AD18" s="58"/>
      <c r="AE18" s="57"/>
      <c r="AF18" s="58"/>
      <c r="AG18" s="57"/>
      <c r="AH18" s="58"/>
      <c r="AI18" s="57"/>
      <c r="AJ18" s="58"/>
      <c r="AK18" s="57"/>
      <c r="AL18" s="58"/>
      <c r="AM18" s="57"/>
      <c r="AN18" s="58"/>
      <c r="AO18" s="59"/>
      <c r="AP18" s="57"/>
      <c r="AQ18" s="58"/>
      <c r="AR18" s="57"/>
      <c r="AS18" s="58"/>
      <c r="AT18" s="57"/>
      <c r="AU18" s="58"/>
    </row>
    <row r="19" spans="2:47" x14ac:dyDescent="0.25">
      <c r="B19" s="19" t="s">
        <v>1355</v>
      </c>
      <c r="C19" s="57"/>
      <c r="D19" s="58"/>
      <c r="E19" s="57"/>
      <c r="F19" s="58"/>
      <c r="G19" s="57">
        <v>1.7</v>
      </c>
      <c r="H19" s="58"/>
      <c r="I19" s="57"/>
      <c r="J19" s="58"/>
      <c r="K19" s="57"/>
      <c r="L19" s="58"/>
      <c r="M19" s="57"/>
      <c r="N19" s="58"/>
      <c r="O19" s="57"/>
      <c r="P19" s="58"/>
      <c r="Q19" s="57"/>
      <c r="R19" s="58"/>
      <c r="S19" s="57"/>
      <c r="T19" s="58"/>
      <c r="U19" s="57"/>
      <c r="V19" s="58"/>
      <c r="W19" s="57"/>
      <c r="X19" s="58"/>
      <c r="Y19" s="57"/>
      <c r="Z19" s="58"/>
      <c r="AA19" s="57"/>
      <c r="AB19" s="58"/>
      <c r="AC19" s="57"/>
      <c r="AD19" s="58"/>
      <c r="AE19" s="57">
        <v>1</v>
      </c>
      <c r="AF19" s="58">
        <v>0.7</v>
      </c>
      <c r="AG19" s="57"/>
      <c r="AH19" s="58"/>
      <c r="AI19" s="57"/>
      <c r="AJ19" s="58"/>
      <c r="AK19" s="57"/>
      <c r="AL19" s="58"/>
      <c r="AM19" s="57"/>
      <c r="AN19" s="58"/>
      <c r="AO19" s="59"/>
      <c r="AP19" s="57"/>
      <c r="AQ19" s="58"/>
      <c r="AR19" s="57">
        <v>1.5</v>
      </c>
      <c r="AS19" s="58"/>
      <c r="AT19" s="57"/>
      <c r="AU19" s="58"/>
    </row>
    <row r="20" spans="2:47" x14ac:dyDescent="0.25">
      <c r="B20" s="60" t="s">
        <v>1376</v>
      </c>
      <c r="C20" s="57">
        <v>0</v>
      </c>
      <c r="D20" s="58">
        <v>0</v>
      </c>
      <c r="E20" s="57">
        <v>0</v>
      </c>
      <c r="F20" s="58">
        <v>0</v>
      </c>
      <c r="G20" s="57">
        <v>0</v>
      </c>
      <c r="H20" s="58">
        <v>0</v>
      </c>
      <c r="I20" s="57">
        <v>0</v>
      </c>
      <c r="J20" s="58">
        <v>0</v>
      </c>
      <c r="K20" s="57">
        <v>0</v>
      </c>
      <c r="L20" s="58">
        <v>0</v>
      </c>
      <c r="M20" s="57">
        <v>0</v>
      </c>
      <c r="N20" s="58">
        <v>0</v>
      </c>
      <c r="O20" s="57">
        <v>0</v>
      </c>
      <c r="P20" s="58">
        <v>0</v>
      </c>
      <c r="Q20" s="57">
        <v>0</v>
      </c>
      <c r="R20" s="58">
        <v>0</v>
      </c>
      <c r="S20" s="57">
        <v>0</v>
      </c>
      <c r="T20" s="58">
        <v>0</v>
      </c>
      <c r="U20" s="57">
        <v>0</v>
      </c>
      <c r="V20" s="58">
        <v>0</v>
      </c>
      <c r="W20" s="57">
        <v>0</v>
      </c>
      <c r="X20" s="58">
        <v>0</v>
      </c>
      <c r="Y20" s="57">
        <v>0</v>
      </c>
      <c r="Z20" s="58">
        <v>0</v>
      </c>
      <c r="AA20" s="57">
        <v>0</v>
      </c>
      <c r="AB20" s="58">
        <v>0</v>
      </c>
      <c r="AC20" s="57">
        <v>0</v>
      </c>
      <c r="AD20" s="58">
        <v>0</v>
      </c>
      <c r="AE20" s="57">
        <v>0</v>
      </c>
      <c r="AF20" s="58">
        <v>0</v>
      </c>
      <c r="AG20" s="57">
        <v>0</v>
      </c>
      <c r="AH20" s="58">
        <v>0</v>
      </c>
      <c r="AI20" s="57">
        <v>0</v>
      </c>
      <c r="AJ20" s="58">
        <v>0</v>
      </c>
      <c r="AK20" s="57">
        <v>0</v>
      </c>
      <c r="AL20" s="58">
        <v>0</v>
      </c>
      <c r="AM20" s="57">
        <v>0</v>
      </c>
      <c r="AN20" s="58">
        <v>0</v>
      </c>
      <c r="AO20" s="59"/>
      <c r="AP20" s="57">
        <v>0</v>
      </c>
      <c r="AQ20" s="58">
        <v>0</v>
      </c>
      <c r="AR20" s="57">
        <v>0</v>
      </c>
      <c r="AS20" s="58">
        <v>0</v>
      </c>
      <c r="AT20" s="57">
        <v>0</v>
      </c>
      <c r="AU20" s="58">
        <v>0</v>
      </c>
    </row>
    <row r="21" spans="2:47" ht="25.5" customHeight="1" x14ac:dyDescent="0.25">
      <c r="B21" s="19" t="s">
        <v>1355</v>
      </c>
      <c r="C21" s="57"/>
      <c r="D21" s="58"/>
      <c r="E21" s="57"/>
      <c r="F21" s="58"/>
      <c r="G21" s="57"/>
      <c r="H21" s="58"/>
      <c r="I21" s="57"/>
      <c r="J21" s="58"/>
      <c r="K21" s="57"/>
      <c r="L21" s="58"/>
      <c r="M21" s="57"/>
      <c r="N21" s="58"/>
      <c r="O21" s="57"/>
      <c r="P21" s="58"/>
      <c r="Q21" s="57"/>
      <c r="R21" s="58"/>
      <c r="S21" s="57"/>
      <c r="T21" s="58"/>
      <c r="U21" s="57"/>
      <c r="V21" s="58"/>
      <c r="W21" s="57"/>
      <c r="X21" s="58"/>
      <c r="Y21" s="57"/>
      <c r="Z21" s="58"/>
      <c r="AA21" s="57"/>
      <c r="AB21" s="58"/>
      <c r="AC21" s="57"/>
      <c r="AD21" s="58"/>
      <c r="AE21" s="57"/>
      <c r="AF21" s="58"/>
      <c r="AG21" s="57"/>
      <c r="AH21" s="58"/>
      <c r="AI21" s="57"/>
      <c r="AJ21" s="58"/>
      <c r="AK21" s="57"/>
      <c r="AL21" s="58"/>
      <c r="AM21" s="57"/>
      <c r="AN21" s="58"/>
      <c r="AO21" s="59"/>
      <c r="AP21" s="57"/>
      <c r="AQ21" s="58"/>
      <c r="AR21" s="57"/>
      <c r="AS21" s="58"/>
      <c r="AT21" s="57"/>
      <c r="AU21" s="58"/>
    </row>
    <row r="22" spans="2:47" ht="30" x14ac:dyDescent="0.25">
      <c r="B22" s="19" t="s">
        <v>1359</v>
      </c>
      <c r="C22" s="57" t="s">
        <v>1377</v>
      </c>
      <c r="D22" s="58" t="s">
        <v>1377</v>
      </c>
      <c r="E22" s="57" t="s">
        <v>1377</v>
      </c>
      <c r="F22" s="58" t="s">
        <v>1377</v>
      </c>
      <c r="G22" s="57" t="s">
        <v>1377</v>
      </c>
      <c r="H22" s="58" t="s">
        <v>1377</v>
      </c>
      <c r="I22" s="57" t="s">
        <v>1377</v>
      </c>
      <c r="J22" s="58" t="s">
        <v>1377</v>
      </c>
      <c r="K22" s="57" t="s">
        <v>1377</v>
      </c>
      <c r="L22" s="58" t="s">
        <v>1377</v>
      </c>
      <c r="M22" s="57" t="s">
        <v>1377</v>
      </c>
      <c r="N22" s="58" t="s">
        <v>1377</v>
      </c>
      <c r="O22" s="57" t="s">
        <v>1377</v>
      </c>
      <c r="P22" s="58" t="s">
        <v>1377</v>
      </c>
      <c r="Q22" s="57" t="s">
        <v>1377</v>
      </c>
      <c r="R22" s="58" t="s">
        <v>1377</v>
      </c>
      <c r="S22" s="57" t="s">
        <v>1377</v>
      </c>
      <c r="T22" s="58" t="s">
        <v>1377</v>
      </c>
      <c r="U22" s="57" t="s">
        <v>1377</v>
      </c>
      <c r="V22" s="58" t="s">
        <v>1377</v>
      </c>
      <c r="W22" s="57" t="s">
        <v>1377</v>
      </c>
      <c r="X22" s="58" t="s">
        <v>1377</v>
      </c>
      <c r="Y22" s="57" t="s">
        <v>1377</v>
      </c>
      <c r="Z22" s="58" t="s">
        <v>1377</v>
      </c>
      <c r="AA22" s="57" t="s">
        <v>1377</v>
      </c>
      <c r="AB22" s="58" t="s">
        <v>1377</v>
      </c>
      <c r="AC22" s="57" t="s">
        <v>1377</v>
      </c>
      <c r="AD22" s="58" t="s">
        <v>1377</v>
      </c>
      <c r="AE22" s="57" t="s">
        <v>1377</v>
      </c>
      <c r="AF22" s="58" t="s">
        <v>1377</v>
      </c>
      <c r="AG22" s="57" t="s">
        <v>1377</v>
      </c>
      <c r="AH22" s="58" t="s">
        <v>1377</v>
      </c>
      <c r="AI22" s="57" t="s">
        <v>1377</v>
      </c>
      <c r="AJ22" s="58" t="s">
        <v>1377</v>
      </c>
      <c r="AK22" s="57" t="s">
        <v>1377</v>
      </c>
      <c r="AL22" s="58" t="s">
        <v>1377</v>
      </c>
      <c r="AM22" s="57" t="s">
        <v>1377</v>
      </c>
      <c r="AN22" s="58" t="s">
        <v>1377</v>
      </c>
      <c r="AO22" s="59"/>
      <c r="AP22" s="57" t="s">
        <v>1378</v>
      </c>
      <c r="AQ22" s="58" t="s">
        <v>1378</v>
      </c>
      <c r="AR22" s="57" t="s">
        <v>1378</v>
      </c>
      <c r="AS22" s="58" t="s">
        <v>1378</v>
      </c>
      <c r="AT22" s="57" t="s">
        <v>1378</v>
      </c>
      <c r="AU22" s="58" t="s">
        <v>1378</v>
      </c>
    </row>
    <row r="23" spans="2:47" x14ac:dyDescent="0.25">
      <c r="B23" s="19" t="s">
        <v>1379</v>
      </c>
      <c r="C23" s="57">
        <v>5.2</v>
      </c>
      <c r="D23" s="58">
        <v>2.57</v>
      </c>
      <c r="E23" s="57">
        <v>2.57</v>
      </c>
      <c r="F23" s="58">
        <v>2.57</v>
      </c>
      <c r="G23" s="57">
        <v>2.9</v>
      </c>
      <c r="H23" s="58">
        <v>2.57</v>
      </c>
      <c r="I23" s="57">
        <v>4.3</v>
      </c>
      <c r="J23" s="58">
        <v>2.57</v>
      </c>
      <c r="K23" s="57">
        <v>2.57</v>
      </c>
      <c r="L23" s="58">
        <v>2.8</v>
      </c>
      <c r="M23" s="57">
        <v>2.9</v>
      </c>
      <c r="N23" s="58">
        <v>2.57</v>
      </c>
      <c r="O23" s="57">
        <v>4.3</v>
      </c>
      <c r="P23" s="58">
        <v>2.57</v>
      </c>
      <c r="Q23" s="57">
        <v>2.57</v>
      </c>
      <c r="R23" s="58">
        <v>2.57</v>
      </c>
      <c r="S23" s="57">
        <v>2.57</v>
      </c>
      <c r="T23" s="58">
        <v>4.3</v>
      </c>
      <c r="U23" s="57">
        <v>2.8</v>
      </c>
      <c r="V23" s="58">
        <v>2.57</v>
      </c>
      <c r="W23" s="57">
        <v>2.8</v>
      </c>
      <c r="X23" s="58">
        <v>2.57</v>
      </c>
      <c r="Y23" s="57">
        <v>2.57</v>
      </c>
      <c r="Z23" s="58">
        <v>2.9</v>
      </c>
      <c r="AA23" s="57">
        <v>2.57</v>
      </c>
      <c r="AB23" s="58">
        <v>2.57</v>
      </c>
      <c r="AC23" s="57">
        <v>5.2</v>
      </c>
      <c r="AD23" s="58">
        <v>2.57</v>
      </c>
      <c r="AE23" s="57">
        <v>3.3</v>
      </c>
      <c r="AF23" s="58">
        <v>2.8</v>
      </c>
      <c r="AG23" s="57">
        <v>2.8</v>
      </c>
      <c r="AH23" s="58">
        <v>5.2</v>
      </c>
      <c r="AI23" s="57">
        <v>5.2</v>
      </c>
      <c r="AJ23" s="58">
        <v>5.2</v>
      </c>
      <c r="AK23" s="57">
        <v>2.57</v>
      </c>
      <c r="AL23" s="58">
        <v>2.57</v>
      </c>
      <c r="AM23" s="57">
        <v>4.3</v>
      </c>
      <c r="AN23" s="58">
        <v>2.57</v>
      </c>
      <c r="AO23" s="59"/>
      <c r="AP23" s="57">
        <v>1.6</v>
      </c>
      <c r="AQ23" s="58">
        <v>1.6</v>
      </c>
      <c r="AR23" s="57">
        <v>1.6</v>
      </c>
      <c r="AS23" s="58">
        <v>1.6</v>
      </c>
      <c r="AT23" s="57">
        <v>1.6</v>
      </c>
      <c r="AU23" s="58">
        <v>1.6</v>
      </c>
    </row>
    <row r="24" spans="2:47" ht="30" x14ac:dyDescent="0.25">
      <c r="B24" s="19" t="s">
        <v>1359</v>
      </c>
      <c r="C24" s="57" t="s">
        <v>1380</v>
      </c>
      <c r="D24" s="58" t="s">
        <v>1380</v>
      </c>
      <c r="E24" s="57" t="s">
        <v>1380</v>
      </c>
      <c r="F24" s="58" t="s">
        <v>1380</v>
      </c>
      <c r="G24" s="57" t="s">
        <v>1380</v>
      </c>
      <c r="H24" s="58" t="s">
        <v>1380</v>
      </c>
      <c r="I24" s="57" t="s">
        <v>1380</v>
      </c>
      <c r="J24" s="58" t="s">
        <v>1380</v>
      </c>
      <c r="K24" s="57" t="s">
        <v>1380</v>
      </c>
      <c r="L24" s="58" t="s">
        <v>1380</v>
      </c>
      <c r="M24" s="57" t="s">
        <v>1380</v>
      </c>
      <c r="N24" s="58" t="s">
        <v>1380</v>
      </c>
      <c r="O24" s="57" t="s">
        <v>1380</v>
      </c>
      <c r="P24" s="58" t="s">
        <v>1380</v>
      </c>
      <c r="Q24" s="57" t="s">
        <v>1380</v>
      </c>
      <c r="R24" s="58" t="s">
        <v>1380</v>
      </c>
      <c r="S24" s="57" t="s">
        <v>1380</v>
      </c>
      <c r="T24" s="58" t="s">
        <v>1380</v>
      </c>
      <c r="U24" s="57" t="s">
        <v>1380</v>
      </c>
      <c r="V24" s="58" t="s">
        <v>1380</v>
      </c>
      <c r="W24" s="57" t="s">
        <v>1380</v>
      </c>
      <c r="X24" s="58" t="s">
        <v>1380</v>
      </c>
      <c r="Y24" s="57" t="s">
        <v>1380</v>
      </c>
      <c r="Z24" s="58" t="s">
        <v>1380</v>
      </c>
      <c r="AA24" s="57" t="s">
        <v>1380</v>
      </c>
      <c r="AB24" s="58" t="s">
        <v>1380</v>
      </c>
      <c r="AC24" s="57" t="s">
        <v>1380</v>
      </c>
      <c r="AD24" s="58" t="s">
        <v>1380</v>
      </c>
      <c r="AE24" s="57" t="s">
        <v>1380</v>
      </c>
      <c r="AF24" s="58" t="s">
        <v>1380</v>
      </c>
      <c r="AG24" s="57" t="s">
        <v>1380</v>
      </c>
      <c r="AH24" s="58" t="s">
        <v>1380</v>
      </c>
      <c r="AI24" s="57" t="s">
        <v>1380</v>
      </c>
      <c r="AJ24" s="58" t="s">
        <v>1380</v>
      </c>
      <c r="AK24" s="57" t="s">
        <v>1380</v>
      </c>
      <c r="AL24" s="58" t="s">
        <v>1380</v>
      </c>
      <c r="AM24" s="57" t="s">
        <v>1380</v>
      </c>
      <c r="AN24" s="58" t="s">
        <v>1380</v>
      </c>
      <c r="AO24" s="59"/>
      <c r="AP24" s="57" t="s">
        <v>1381</v>
      </c>
      <c r="AQ24" s="58" t="s">
        <v>1381</v>
      </c>
      <c r="AR24" s="57" t="s">
        <v>1381</v>
      </c>
      <c r="AS24" s="58" t="s">
        <v>1381</v>
      </c>
      <c r="AT24" s="57" t="s">
        <v>1381</v>
      </c>
      <c r="AU24" s="58" t="s">
        <v>1381</v>
      </c>
    </row>
    <row r="25" spans="2:47" x14ac:dyDescent="0.25">
      <c r="B25" s="19" t="s">
        <v>1379</v>
      </c>
      <c r="C25" s="57">
        <v>5.2</v>
      </c>
      <c r="D25" s="58">
        <v>2.57</v>
      </c>
      <c r="E25" s="57">
        <v>2.57</v>
      </c>
      <c r="F25" s="58">
        <v>2.57</v>
      </c>
      <c r="G25" s="57">
        <v>2.9</v>
      </c>
      <c r="H25" s="58">
        <v>2.57</v>
      </c>
      <c r="I25" s="57">
        <v>4.3</v>
      </c>
      <c r="J25" s="58">
        <v>2.57</v>
      </c>
      <c r="K25" s="57">
        <v>2.57</v>
      </c>
      <c r="L25" s="58">
        <v>2.8</v>
      </c>
      <c r="M25" s="57">
        <v>2.9</v>
      </c>
      <c r="N25" s="58">
        <v>2.57</v>
      </c>
      <c r="O25" s="57">
        <v>4.3</v>
      </c>
      <c r="P25" s="58">
        <v>2.57</v>
      </c>
      <c r="Q25" s="57">
        <v>2.57</v>
      </c>
      <c r="R25" s="58">
        <v>2.57</v>
      </c>
      <c r="S25" s="57">
        <v>2.57</v>
      </c>
      <c r="T25" s="58">
        <v>4.3</v>
      </c>
      <c r="U25" s="57">
        <v>2.8</v>
      </c>
      <c r="V25" s="58">
        <v>2.57</v>
      </c>
      <c r="W25" s="57">
        <v>2.8</v>
      </c>
      <c r="X25" s="58">
        <v>2.57</v>
      </c>
      <c r="Y25" s="57">
        <v>2.57</v>
      </c>
      <c r="Z25" s="58">
        <v>2.9</v>
      </c>
      <c r="AA25" s="57">
        <v>2.57</v>
      </c>
      <c r="AB25" s="58">
        <v>2.57</v>
      </c>
      <c r="AC25" s="57">
        <v>5.2</v>
      </c>
      <c r="AD25" s="58">
        <v>2.57</v>
      </c>
      <c r="AE25" s="57">
        <v>3.3</v>
      </c>
      <c r="AF25" s="58">
        <v>2.8</v>
      </c>
      <c r="AG25" s="57">
        <v>2.8</v>
      </c>
      <c r="AH25" s="58">
        <v>5.2</v>
      </c>
      <c r="AI25" s="57">
        <v>5.2</v>
      </c>
      <c r="AJ25" s="58">
        <v>5.2</v>
      </c>
      <c r="AK25" s="57">
        <v>2.57</v>
      </c>
      <c r="AL25" s="58">
        <v>2.57</v>
      </c>
      <c r="AM25" s="57">
        <v>4.3</v>
      </c>
      <c r="AN25" s="58">
        <v>2.57</v>
      </c>
      <c r="AO25" s="59"/>
      <c r="AP25" s="57">
        <v>1.6</v>
      </c>
      <c r="AQ25" s="58">
        <v>1.6</v>
      </c>
      <c r="AR25" s="57">
        <v>1.6</v>
      </c>
      <c r="AS25" s="58">
        <v>1.6</v>
      </c>
      <c r="AT25" s="57">
        <v>1.6</v>
      </c>
      <c r="AU25" s="58">
        <v>1.6</v>
      </c>
    </row>
    <row r="26" spans="2:47" ht="30" x14ac:dyDescent="0.25">
      <c r="B26" s="19" t="s">
        <v>1359</v>
      </c>
      <c r="C26" s="57" t="s">
        <v>1382</v>
      </c>
      <c r="D26" s="58" t="s">
        <v>1382</v>
      </c>
      <c r="E26" s="57" t="s">
        <v>1382</v>
      </c>
      <c r="F26" s="58" t="s">
        <v>1382</v>
      </c>
      <c r="G26" s="57" t="s">
        <v>1382</v>
      </c>
      <c r="H26" s="58" t="s">
        <v>1382</v>
      </c>
      <c r="I26" s="57" t="s">
        <v>1382</v>
      </c>
      <c r="J26" s="58" t="s">
        <v>1382</v>
      </c>
      <c r="K26" s="57" t="s">
        <v>1382</v>
      </c>
      <c r="L26" s="58" t="s">
        <v>1382</v>
      </c>
      <c r="M26" s="57" t="s">
        <v>1382</v>
      </c>
      <c r="N26" s="58" t="s">
        <v>1382</v>
      </c>
      <c r="O26" s="57" t="s">
        <v>1382</v>
      </c>
      <c r="P26" s="58" t="s">
        <v>1382</v>
      </c>
      <c r="Q26" s="57" t="s">
        <v>1382</v>
      </c>
      <c r="R26" s="58" t="s">
        <v>1382</v>
      </c>
      <c r="S26" s="57" t="s">
        <v>1382</v>
      </c>
      <c r="T26" s="58" t="s">
        <v>1382</v>
      </c>
      <c r="U26" s="57" t="s">
        <v>1382</v>
      </c>
      <c r="V26" s="58" t="s">
        <v>1382</v>
      </c>
      <c r="W26" s="57" t="s">
        <v>1382</v>
      </c>
      <c r="X26" s="58" t="s">
        <v>1382</v>
      </c>
      <c r="Y26" s="57" t="s">
        <v>1382</v>
      </c>
      <c r="Z26" s="58" t="s">
        <v>1382</v>
      </c>
      <c r="AA26" s="57" t="s">
        <v>1382</v>
      </c>
      <c r="AB26" s="58" t="s">
        <v>1382</v>
      </c>
      <c r="AC26" s="57" t="s">
        <v>1382</v>
      </c>
      <c r="AD26" s="58" t="s">
        <v>1382</v>
      </c>
      <c r="AE26" s="57" t="s">
        <v>1382</v>
      </c>
      <c r="AF26" s="58" t="s">
        <v>1382</v>
      </c>
      <c r="AG26" s="57" t="s">
        <v>1382</v>
      </c>
      <c r="AH26" s="58" t="s">
        <v>1382</v>
      </c>
      <c r="AI26" s="57" t="s">
        <v>1382</v>
      </c>
      <c r="AJ26" s="58" t="s">
        <v>1382</v>
      </c>
      <c r="AK26" s="57" t="s">
        <v>1382</v>
      </c>
      <c r="AL26" s="58" t="s">
        <v>1382</v>
      </c>
      <c r="AM26" s="57" t="s">
        <v>1382</v>
      </c>
      <c r="AN26" s="58" t="s">
        <v>1382</v>
      </c>
      <c r="AO26" s="59"/>
      <c r="AP26" s="57" t="s">
        <v>1383</v>
      </c>
      <c r="AQ26" s="58" t="s">
        <v>1383</v>
      </c>
      <c r="AR26" s="57" t="s">
        <v>1383</v>
      </c>
      <c r="AS26" s="58" t="s">
        <v>1383</v>
      </c>
      <c r="AT26" s="57" t="s">
        <v>1383</v>
      </c>
      <c r="AU26" s="58" t="s">
        <v>1383</v>
      </c>
    </row>
    <row r="27" spans="2:47" x14ac:dyDescent="0.25">
      <c r="B27" s="19" t="s">
        <v>1379</v>
      </c>
      <c r="C27" s="57">
        <v>5.2</v>
      </c>
      <c r="D27" s="58">
        <v>2.57</v>
      </c>
      <c r="E27" s="57">
        <v>2.57</v>
      </c>
      <c r="F27" s="58">
        <v>2.57</v>
      </c>
      <c r="G27" s="57">
        <v>2.9</v>
      </c>
      <c r="H27" s="58">
        <v>2.57</v>
      </c>
      <c r="I27" s="57">
        <v>4.3</v>
      </c>
      <c r="J27" s="58">
        <v>2.57</v>
      </c>
      <c r="K27" s="57">
        <v>2.57</v>
      </c>
      <c r="L27" s="58">
        <v>2.8</v>
      </c>
      <c r="M27" s="57">
        <v>2.9</v>
      </c>
      <c r="N27" s="58">
        <v>2.57</v>
      </c>
      <c r="O27" s="57">
        <v>4.3</v>
      </c>
      <c r="P27" s="58">
        <v>2.57</v>
      </c>
      <c r="Q27" s="57">
        <v>2.57</v>
      </c>
      <c r="R27" s="58">
        <v>2.57</v>
      </c>
      <c r="S27" s="57">
        <v>2.57</v>
      </c>
      <c r="T27" s="58">
        <v>4.3</v>
      </c>
      <c r="U27" s="57">
        <v>2.8</v>
      </c>
      <c r="V27" s="58">
        <v>2.57</v>
      </c>
      <c r="W27" s="57">
        <v>2.8</v>
      </c>
      <c r="X27" s="58">
        <v>2.57</v>
      </c>
      <c r="Y27" s="57">
        <v>2.57</v>
      </c>
      <c r="Z27" s="58">
        <v>2.9</v>
      </c>
      <c r="AA27" s="57">
        <v>2.57</v>
      </c>
      <c r="AB27" s="58">
        <v>2.57</v>
      </c>
      <c r="AC27" s="57">
        <v>5.2</v>
      </c>
      <c r="AD27" s="58">
        <v>2.57</v>
      </c>
      <c r="AE27" s="57">
        <v>3.3</v>
      </c>
      <c r="AF27" s="58">
        <v>2.8</v>
      </c>
      <c r="AG27" s="57">
        <v>2.8</v>
      </c>
      <c r="AH27" s="58">
        <v>5.2</v>
      </c>
      <c r="AI27" s="57">
        <v>5.2</v>
      </c>
      <c r="AJ27" s="58">
        <v>5.2</v>
      </c>
      <c r="AK27" s="57">
        <v>2.57</v>
      </c>
      <c r="AL27" s="58">
        <v>2.57</v>
      </c>
      <c r="AM27" s="57">
        <v>4.3</v>
      </c>
      <c r="AN27" s="58">
        <v>2.57</v>
      </c>
      <c r="AO27" s="59"/>
      <c r="AP27" s="57">
        <v>1.6</v>
      </c>
      <c r="AQ27" s="58">
        <v>1.6</v>
      </c>
      <c r="AR27" s="57">
        <v>1.6</v>
      </c>
      <c r="AS27" s="58">
        <v>1.6</v>
      </c>
      <c r="AT27" s="57">
        <v>1.6</v>
      </c>
      <c r="AU27" s="58">
        <v>1.6</v>
      </c>
    </row>
    <row r="29" spans="2:47" x14ac:dyDescent="0.25">
      <c r="B29" s="19" t="s">
        <v>1384</v>
      </c>
      <c r="C29" s="19" t="s">
        <v>273</v>
      </c>
      <c r="D29" t="s">
        <v>246</v>
      </c>
      <c r="E29" t="s">
        <v>1184</v>
      </c>
      <c r="F29" t="s">
        <v>1183</v>
      </c>
      <c r="G29" t="s">
        <v>1385</v>
      </c>
      <c r="K29" s="65" t="s">
        <v>528</v>
      </c>
      <c r="L29" s="65" t="s">
        <v>185</v>
      </c>
      <c r="M29" s="65" t="s">
        <v>334</v>
      </c>
      <c r="N29" s="65" t="s">
        <v>526</v>
      </c>
    </row>
    <row r="30" spans="2:47" ht="45" hidden="1" x14ac:dyDescent="0.25">
      <c r="B30" s="19" t="str">
        <f>IWU[[#This Row],[Gebäudetyp]]&amp;"_"&amp;IWU[[#This Row],[Baujahr]]</f>
        <v>Ein- oder Zweifamilienhaus_vor 1859</v>
      </c>
      <c r="C30" s="19" t="s">
        <v>305</v>
      </c>
      <c r="D30" t="s">
        <v>1124</v>
      </c>
      <c r="E30" t="s">
        <v>528</v>
      </c>
      <c r="F30">
        <v>1.8</v>
      </c>
      <c r="G30" t="s">
        <v>120</v>
      </c>
      <c r="H30" t="s">
        <v>1386</v>
      </c>
      <c r="J30" s="62" t="s">
        <v>1387</v>
      </c>
      <c r="K30">
        <v>1.8</v>
      </c>
      <c r="L30">
        <v>1.9</v>
      </c>
      <c r="M30">
        <v>1.04</v>
      </c>
      <c r="N30">
        <v>5.2</v>
      </c>
    </row>
    <row r="31" spans="2:47" ht="45" hidden="1" x14ac:dyDescent="0.25">
      <c r="B31" s="19" t="str">
        <f>IWU[[#This Row],[Gebäudetyp]]&amp;"_"&amp;IWU[[#This Row],[Baujahr]]</f>
        <v>Ein- oder Zweifamilienhaus_1860 - 1918</v>
      </c>
      <c r="C31" s="19" t="s">
        <v>305</v>
      </c>
      <c r="D31" t="s">
        <v>1126</v>
      </c>
      <c r="E31" t="s">
        <v>528</v>
      </c>
      <c r="F31">
        <v>1.1100000000000001</v>
      </c>
      <c r="G31" t="s">
        <v>123</v>
      </c>
      <c r="H31" t="s">
        <v>1386</v>
      </c>
      <c r="J31" s="63" t="s">
        <v>1388</v>
      </c>
      <c r="K31">
        <v>1.1100000000000001</v>
      </c>
      <c r="L31">
        <v>1.7</v>
      </c>
      <c r="M31">
        <v>1.1100000000000001</v>
      </c>
      <c r="N31">
        <v>2.57</v>
      </c>
    </row>
    <row r="32" spans="2:47" ht="45" hidden="1" x14ac:dyDescent="0.25">
      <c r="B32" s="19" t="str">
        <f>IWU[[#This Row],[Gebäudetyp]]&amp;"_"&amp;IWU[[#This Row],[Baujahr]]</f>
        <v>Ein- oder Zweifamilienhaus_1919 - 1948</v>
      </c>
      <c r="C32" s="19" t="s">
        <v>305</v>
      </c>
      <c r="D32" t="s">
        <v>1128</v>
      </c>
      <c r="E32" t="s">
        <v>528</v>
      </c>
      <c r="F32">
        <v>1.1100000000000001</v>
      </c>
      <c r="G32" t="s">
        <v>1158</v>
      </c>
      <c r="H32" t="s">
        <v>1386</v>
      </c>
      <c r="J32" s="62" t="s">
        <v>1389</v>
      </c>
      <c r="K32">
        <v>1.1100000000000001</v>
      </c>
      <c r="L32">
        <v>1.7</v>
      </c>
      <c r="M32">
        <v>1.1100000000000001</v>
      </c>
      <c r="N32">
        <v>2.57</v>
      </c>
    </row>
    <row r="33" spans="2:14" ht="45" hidden="1" x14ac:dyDescent="0.25">
      <c r="B33" s="19" t="str">
        <f>IWU[[#This Row],[Gebäudetyp]]&amp;"_"&amp;IWU[[#This Row],[Baujahr]]</f>
        <v>Ein- oder Zweifamilienhaus_1949 - 1957</v>
      </c>
      <c r="C33" s="19" t="s">
        <v>305</v>
      </c>
      <c r="D33" t="s">
        <v>1131</v>
      </c>
      <c r="E33" t="s">
        <v>528</v>
      </c>
      <c r="F33">
        <v>1.1100000000000001</v>
      </c>
      <c r="G33" t="s">
        <v>1159</v>
      </c>
      <c r="H33" t="s">
        <v>1386</v>
      </c>
      <c r="J33" s="63" t="s">
        <v>1390</v>
      </c>
      <c r="K33">
        <v>1.1100000000000001</v>
      </c>
      <c r="L33">
        <v>0.93</v>
      </c>
      <c r="M33">
        <v>1.01</v>
      </c>
      <c r="N33">
        <v>2.57</v>
      </c>
    </row>
    <row r="34" spans="2:14" ht="45" hidden="1" x14ac:dyDescent="0.25">
      <c r="B34" s="19" t="str">
        <f>IWU[[#This Row],[Gebäudetyp]]&amp;"_"&amp;IWU[[#This Row],[Baujahr]]</f>
        <v>Ein- oder Zweifamilienhaus_1958 - 1968</v>
      </c>
      <c r="C34" s="19" t="s">
        <v>305</v>
      </c>
      <c r="D34" t="s">
        <v>1133</v>
      </c>
      <c r="E34" t="s">
        <v>528</v>
      </c>
      <c r="F34">
        <v>0.92</v>
      </c>
      <c r="G34" t="s">
        <v>1160</v>
      </c>
      <c r="H34" t="s">
        <v>1386</v>
      </c>
      <c r="J34" s="62" t="s">
        <v>1391</v>
      </c>
      <c r="K34">
        <v>0.92</v>
      </c>
      <c r="L34">
        <v>1.44</v>
      </c>
      <c r="M34">
        <v>0.97</v>
      </c>
      <c r="N34">
        <v>2.9</v>
      </c>
    </row>
    <row r="35" spans="2:14" ht="45" hidden="1" x14ac:dyDescent="0.25">
      <c r="B35" s="19" t="str">
        <f>IWU[[#This Row],[Gebäudetyp]]&amp;"_"&amp;IWU[[#This Row],[Baujahr]]</f>
        <v>Ein- oder Zweifamilienhaus_1969 - 1978</v>
      </c>
      <c r="C35" s="19" t="s">
        <v>305</v>
      </c>
      <c r="D35" t="s">
        <v>306</v>
      </c>
      <c r="E35" t="s">
        <v>528</v>
      </c>
      <c r="F35">
        <v>0.63</v>
      </c>
      <c r="G35" t="s">
        <v>1161</v>
      </c>
      <c r="H35" t="s">
        <v>1386</v>
      </c>
      <c r="J35" s="63" t="s">
        <v>1392</v>
      </c>
      <c r="K35">
        <v>0.63</v>
      </c>
      <c r="L35">
        <v>1.21</v>
      </c>
      <c r="M35">
        <v>0.84599999999999997</v>
      </c>
      <c r="N35">
        <v>2.57</v>
      </c>
    </row>
    <row r="36" spans="2:14" ht="45" hidden="1" x14ac:dyDescent="0.25">
      <c r="B36" s="19" t="str">
        <f>IWU[[#This Row],[Gebäudetyp]]&amp;"_"&amp;IWU[[#This Row],[Baujahr]]</f>
        <v>Ein- oder Zweifamilienhaus_1979 - 1983</v>
      </c>
      <c r="C36" s="19" t="s">
        <v>305</v>
      </c>
      <c r="D36" t="s">
        <v>521</v>
      </c>
      <c r="E36" t="s">
        <v>528</v>
      </c>
      <c r="F36">
        <v>0.43</v>
      </c>
      <c r="G36" t="s">
        <v>1162</v>
      </c>
      <c r="H36" t="s">
        <v>1386</v>
      </c>
      <c r="J36" s="62" t="s">
        <v>1393</v>
      </c>
      <c r="K36">
        <v>0.43</v>
      </c>
      <c r="L36">
        <v>0.8</v>
      </c>
      <c r="M36">
        <v>0.81</v>
      </c>
      <c r="N36">
        <v>4.3</v>
      </c>
    </row>
    <row r="37" spans="2:14" ht="45" hidden="1" x14ac:dyDescent="0.25">
      <c r="B37" s="19" t="str">
        <f>IWU[[#This Row],[Gebäudetyp]]&amp;"_"&amp;IWU[[#This Row],[Baujahr]]</f>
        <v>Ein- oder Zweifamilienhaus_1984 - 1994</v>
      </c>
      <c r="C37" s="19" t="s">
        <v>305</v>
      </c>
      <c r="D37" t="s">
        <v>1153</v>
      </c>
      <c r="E37" t="s">
        <v>528</v>
      </c>
      <c r="F37">
        <v>0.3</v>
      </c>
      <c r="G37" t="s">
        <v>1163</v>
      </c>
      <c r="H37" t="s">
        <v>1386</v>
      </c>
      <c r="J37" s="63" t="s">
        <v>1394</v>
      </c>
      <c r="K37">
        <v>0.3</v>
      </c>
      <c r="L37">
        <v>0.68</v>
      </c>
      <c r="M37">
        <v>0.55000000000000004</v>
      </c>
      <c r="N37">
        <v>2.57</v>
      </c>
    </row>
    <row r="38" spans="2:14" ht="45" hidden="1" x14ac:dyDescent="0.25">
      <c r="B38" s="19" t="str">
        <f>IWU[[#This Row],[Gebäudetyp]]&amp;"_"&amp;IWU[[#This Row],[Baujahr]]</f>
        <v>Ein- oder Zweifamilienhaus_1995 - 2002</v>
      </c>
      <c r="C38" s="19" t="s">
        <v>305</v>
      </c>
      <c r="D38" t="s">
        <v>1132</v>
      </c>
      <c r="E38" t="s">
        <v>528</v>
      </c>
      <c r="F38">
        <v>0.22</v>
      </c>
      <c r="G38" t="s">
        <v>1395</v>
      </c>
      <c r="H38" t="s">
        <v>1386</v>
      </c>
      <c r="J38" s="62" t="s">
        <v>1396</v>
      </c>
      <c r="K38">
        <v>0.22</v>
      </c>
      <c r="L38">
        <v>0.5</v>
      </c>
      <c r="M38">
        <v>0.34</v>
      </c>
      <c r="N38">
        <v>1.6</v>
      </c>
    </row>
    <row r="39" spans="2:14" ht="45" hidden="1" x14ac:dyDescent="0.25">
      <c r="B39" s="19" t="str">
        <f>IWU[[#This Row],[Gebäudetyp]]&amp;"_"&amp;IWU[[#This Row],[Baujahr]]</f>
        <v>Ein- oder Zweifamilienhaus_2003 - 2008</v>
      </c>
      <c r="C39" s="19" t="s">
        <v>305</v>
      </c>
      <c r="D39" t="s">
        <v>477</v>
      </c>
      <c r="E39" t="s">
        <v>528</v>
      </c>
      <c r="F39">
        <v>0.22</v>
      </c>
      <c r="G39" t="s">
        <v>1397</v>
      </c>
      <c r="H39" t="s">
        <v>1386</v>
      </c>
      <c r="J39" s="63" t="s">
        <v>1398</v>
      </c>
      <c r="K39">
        <v>0.22</v>
      </c>
      <c r="L39">
        <v>0.35</v>
      </c>
      <c r="M39">
        <v>0.4</v>
      </c>
      <c r="N39">
        <v>1.6</v>
      </c>
    </row>
    <row r="40" spans="2:14" ht="45" hidden="1" x14ac:dyDescent="0.25">
      <c r="B40" s="19" t="str">
        <f>IWU[[#This Row],[Gebäudetyp]]&amp;"_"&amp;IWU[[#This Row],[Baujahr]]</f>
        <v>Ein- oder Zweifamilienhaus_2009 - 2022</v>
      </c>
      <c r="C40" s="19" t="s">
        <v>305</v>
      </c>
      <c r="D40" t="s">
        <v>567</v>
      </c>
      <c r="E40" t="s">
        <v>528</v>
      </c>
      <c r="F40">
        <f>AVERAGE(0.24,0.2)</f>
        <v>0.22</v>
      </c>
      <c r="G40" t="s">
        <v>791</v>
      </c>
      <c r="H40" t="s">
        <v>1399</v>
      </c>
      <c r="J40" s="62" t="s">
        <v>1400</v>
      </c>
      <c r="K40">
        <v>0.22</v>
      </c>
      <c r="L40">
        <v>0.24</v>
      </c>
      <c r="M40">
        <v>0.3</v>
      </c>
      <c r="N40">
        <v>1.45</v>
      </c>
    </row>
    <row r="41" spans="2:14" ht="45" hidden="1" x14ac:dyDescent="0.25">
      <c r="B41" s="19" t="str">
        <f>IWU[[#This Row],[Gebäudetyp]]&amp;"_"&amp;IWU[[#This Row],[Baujahr]]</f>
        <v>Ein- oder Zweifamilienhaus_ab 2023</v>
      </c>
      <c r="C41" s="19" t="s">
        <v>305</v>
      </c>
      <c r="D41" t="s">
        <v>1152</v>
      </c>
      <c r="E41" t="s">
        <v>528</v>
      </c>
      <c r="F41">
        <f>AVERAGE(0.24,0.2)</f>
        <v>0.22</v>
      </c>
      <c r="G41" t="s">
        <v>134</v>
      </c>
      <c r="H41" t="s">
        <v>1401</v>
      </c>
      <c r="J41" s="63" t="s">
        <v>1402</v>
      </c>
      <c r="K41">
        <v>0.22</v>
      </c>
      <c r="L41">
        <v>0.24</v>
      </c>
      <c r="M41">
        <v>0.35</v>
      </c>
      <c r="N41">
        <v>1.7</v>
      </c>
    </row>
    <row r="42" spans="2:14" ht="45" hidden="1" x14ac:dyDescent="0.25">
      <c r="B42" s="19" t="str">
        <f>IWU[[#This Row],[Gebäudetyp]]&amp;"_"&amp;IWU[[#This Row],[Baujahr]]</f>
        <v>Ein- oder Zweifamilienhaus_2027 - 2045</v>
      </c>
      <c r="C42" s="19" t="s">
        <v>305</v>
      </c>
      <c r="D42" t="s">
        <v>1155</v>
      </c>
      <c r="E42" t="s">
        <v>528</v>
      </c>
      <c r="F42">
        <v>0.22</v>
      </c>
      <c r="G42" t="s">
        <v>1403</v>
      </c>
      <c r="H42" s="26" t="s">
        <v>1404</v>
      </c>
      <c r="J42" s="62" t="s">
        <v>1405</v>
      </c>
      <c r="K42">
        <v>0.22</v>
      </c>
      <c r="L42">
        <v>0.24</v>
      </c>
      <c r="M42">
        <v>0.35</v>
      </c>
      <c r="N42">
        <v>1.7000000000000002</v>
      </c>
    </row>
    <row r="43" spans="2:14" ht="45" x14ac:dyDescent="0.25">
      <c r="B43" s="19" t="str">
        <f>IWU[[#This Row],[Gebäudetyp]]&amp;"_"&amp;IWU[[#This Row],[Baujahr]]</f>
        <v>Ein- oder Zweifamilienhaus_vor 1859</v>
      </c>
      <c r="C43" s="19" t="s">
        <v>305</v>
      </c>
      <c r="D43" t="s">
        <v>1124</v>
      </c>
      <c r="E43" t="s">
        <v>185</v>
      </c>
      <c r="F43">
        <v>1.9</v>
      </c>
      <c r="G43" t="s">
        <v>120</v>
      </c>
      <c r="H43" t="s">
        <v>1386</v>
      </c>
      <c r="J43" s="62" t="s">
        <v>1406</v>
      </c>
      <c r="K43">
        <v>0.78</v>
      </c>
      <c r="L43">
        <v>1.7</v>
      </c>
      <c r="M43">
        <v>0.91</v>
      </c>
      <c r="N43">
        <v>2.57</v>
      </c>
    </row>
    <row r="44" spans="2:14" ht="45" x14ac:dyDescent="0.25">
      <c r="B44" s="19" t="str">
        <f>IWU[[#This Row],[Gebäudetyp]]&amp;"_"&amp;IWU[[#This Row],[Baujahr]]</f>
        <v>Ein- oder Zweifamilienhaus_1860 - 1918</v>
      </c>
      <c r="C44" s="19" t="s">
        <v>305</v>
      </c>
      <c r="D44" t="s">
        <v>1126</v>
      </c>
      <c r="E44" t="s">
        <v>185</v>
      </c>
      <c r="F44">
        <v>1.7</v>
      </c>
      <c r="G44" t="s">
        <v>123</v>
      </c>
      <c r="H44" t="s">
        <v>1386</v>
      </c>
      <c r="J44" s="63" t="s">
        <v>1407</v>
      </c>
      <c r="K44">
        <v>0.78</v>
      </c>
      <c r="L44">
        <v>1.39</v>
      </c>
      <c r="M44">
        <v>1.6</v>
      </c>
      <c r="N44">
        <v>2.8</v>
      </c>
    </row>
    <row r="45" spans="2:14" ht="45" x14ac:dyDescent="0.25">
      <c r="B45" s="19" t="str">
        <f>IWU[[#This Row],[Gebäudetyp]]&amp;"_"&amp;IWU[[#This Row],[Baujahr]]</f>
        <v>Ein- oder Zweifamilienhaus_1919 - 1948</v>
      </c>
      <c r="C45" s="19" t="s">
        <v>305</v>
      </c>
      <c r="D45" t="s">
        <v>1128</v>
      </c>
      <c r="E45" t="s">
        <v>185</v>
      </c>
      <c r="F45">
        <v>1.7</v>
      </c>
      <c r="G45" t="s">
        <v>1158</v>
      </c>
      <c r="H45" t="s">
        <v>1386</v>
      </c>
      <c r="J45" s="62" t="s">
        <v>1408</v>
      </c>
      <c r="K45">
        <v>0.78</v>
      </c>
      <c r="L45">
        <v>0.86</v>
      </c>
      <c r="M45">
        <v>1.01</v>
      </c>
      <c r="N45">
        <v>2.9</v>
      </c>
    </row>
    <row r="46" spans="2:14" ht="45" x14ac:dyDescent="0.25">
      <c r="B46" s="19" t="str">
        <f>IWU[[#This Row],[Gebäudetyp]]&amp;"_"&amp;IWU[[#This Row],[Baujahr]]</f>
        <v>Ein- oder Zweifamilienhaus_1949 - 1957</v>
      </c>
      <c r="C46" s="19" t="s">
        <v>305</v>
      </c>
      <c r="D46" t="s">
        <v>1131</v>
      </c>
      <c r="E46" t="s">
        <v>185</v>
      </c>
      <c r="F46">
        <v>0.93</v>
      </c>
      <c r="G46" t="s">
        <v>1159</v>
      </c>
      <c r="H46" t="s">
        <v>1386</v>
      </c>
      <c r="J46" s="63" t="s">
        <v>1409</v>
      </c>
      <c r="K46">
        <v>1.23</v>
      </c>
      <c r="L46">
        <v>1.44</v>
      </c>
      <c r="M46">
        <v>0.97</v>
      </c>
      <c r="N46">
        <v>2.57</v>
      </c>
    </row>
    <row r="47" spans="2:14" ht="45" x14ac:dyDescent="0.25">
      <c r="B47" s="19" t="str">
        <f>IWU[[#This Row],[Gebäudetyp]]&amp;"_"&amp;IWU[[#This Row],[Baujahr]]</f>
        <v>Ein- oder Zweifamilienhaus_1958 - 1968</v>
      </c>
      <c r="C47" s="19" t="s">
        <v>305</v>
      </c>
      <c r="D47" t="s">
        <v>1133</v>
      </c>
      <c r="E47" t="s">
        <v>185</v>
      </c>
      <c r="F47">
        <v>1.44</v>
      </c>
      <c r="G47" t="s">
        <v>1160</v>
      </c>
      <c r="H47" t="s">
        <v>1386</v>
      </c>
      <c r="J47" s="62" t="s">
        <v>1410</v>
      </c>
      <c r="K47">
        <v>0.52</v>
      </c>
      <c r="L47">
        <v>0.8</v>
      </c>
      <c r="M47">
        <v>0.97</v>
      </c>
      <c r="N47">
        <v>4.3</v>
      </c>
    </row>
    <row r="48" spans="2:14" ht="45" x14ac:dyDescent="0.25">
      <c r="B48" s="19" t="str">
        <f>IWU[[#This Row],[Gebäudetyp]]&amp;"_"&amp;IWU[[#This Row],[Baujahr]]</f>
        <v>Ein- oder Zweifamilienhaus_1969 - 1978</v>
      </c>
      <c r="C48" s="19" t="s">
        <v>305</v>
      </c>
      <c r="D48" t="s">
        <v>306</v>
      </c>
      <c r="E48" t="s">
        <v>185</v>
      </c>
      <c r="F48">
        <v>1.21</v>
      </c>
      <c r="G48" t="s">
        <v>1161</v>
      </c>
      <c r="H48" t="s">
        <v>1386</v>
      </c>
      <c r="J48" s="63" t="s">
        <v>1411</v>
      </c>
      <c r="K48">
        <v>0.43</v>
      </c>
      <c r="L48">
        <v>0.68</v>
      </c>
      <c r="M48">
        <v>0.67</v>
      </c>
      <c r="N48">
        <v>2.57</v>
      </c>
    </row>
    <row r="49" spans="2:14" ht="45" x14ac:dyDescent="0.25">
      <c r="B49" s="19" t="str">
        <f>IWU[[#This Row],[Gebäudetyp]]&amp;"_"&amp;IWU[[#This Row],[Baujahr]]</f>
        <v>Ein- oder Zweifamilienhaus_1979 - 1983</v>
      </c>
      <c r="C49" s="19" t="s">
        <v>305</v>
      </c>
      <c r="D49" t="s">
        <v>521</v>
      </c>
      <c r="E49" t="s">
        <v>185</v>
      </c>
      <c r="F49">
        <v>0.8</v>
      </c>
      <c r="G49" t="s">
        <v>1162</v>
      </c>
      <c r="H49" t="s">
        <v>1386</v>
      </c>
      <c r="J49" s="62" t="s">
        <v>1412</v>
      </c>
      <c r="K49">
        <v>0.3</v>
      </c>
      <c r="L49">
        <v>0.77</v>
      </c>
      <c r="M49">
        <v>0.55000000000000004</v>
      </c>
      <c r="N49">
        <v>2.57</v>
      </c>
    </row>
    <row r="50" spans="2:14" ht="45" x14ac:dyDescent="0.25">
      <c r="B50" s="19" t="str">
        <f>IWU[[#This Row],[Gebäudetyp]]&amp;"_"&amp;IWU[[#This Row],[Baujahr]]</f>
        <v>Ein- oder Zweifamilienhaus_1984 - 1994</v>
      </c>
      <c r="C50" s="19" t="s">
        <v>305</v>
      </c>
      <c r="D50" t="s">
        <v>1153</v>
      </c>
      <c r="E50" t="s">
        <v>185</v>
      </c>
      <c r="F50">
        <v>0.68</v>
      </c>
      <c r="G50" t="s">
        <v>1163</v>
      </c>
      <c r="H50" t="s">
        <v>1386</v>
      </c>
      <c r="J50" s="63" t="s">
        <v>1413</v>
      </c>
      <c r="K50">
        <v>0.22</v>
      </c>
      <c r="L50">
        <v>0.49</v>
      </c>
      <c r="M50">
        <v>0.32</v>
      </c>
      <c r="N50">
        <v>1.6</v>
      </c>
    </row>
    <row r="51" spans="2:14" ht="45" x14ac:dyDescent="0.25">
      <c r="B51" s="19" t="str">
        <f>IWU[[#This Row],[Gebäudetyp]]&amp;"_"&amp;IWU[[#This Row],[Baujahr]]</f>
        <v>Ein- oder Zweifamilienhaus_1995 - 2002</v>
      </c>
      <c r="C51" s="19" t="s">
        <v>305</v>
      </c>
      <c r="D51" t="s">
        <v>1132</v>
      </c>
      <c r="E51" t="s">
        <v>185</v>
      </c>
      <c r="F51">
        <v>0.5</v>
      </c>
      <c r="G51" t="s">
        <v>1395</v>
      </c>
      <c r="H51" t="s">
        <v>1386</v>
      </c>
      <c r="J51" s="62" t="s">
        <v>1414</v>
      </c>
      <c r="K51">
        <v>0.14000000000000001</v>
      </c>
      <c r="L51">
        <v>0.24</v>
      </c>
      <c r="M51">
        <v>0.28999999999999998</v>
      </c>
      <c r="N51">
        <v>1.6</v>
      </c>
    </row>
    <row r="52" spans="2:14" ht="45" x14ac:dyDescent="0.25">
      <c r="B52" s="19" t="str">
        <f>IWU[[#This Row],[Gebäudetyp]]&amp;"_"&amp;IWU[[#This Row],[Baujahr]]</f>
        <v>Ein- oder Zweifamilienhaus_2003 - 2008</v>
      </c>
      <c r="C52" s="19" t="s">
        <v>305</v>
      </c>
      <c r="D52" t="s">
        <v>477</v>
      </c>
      <c r="E52" t="s">
        <v>185</v>
      </c>
      <c r="F52">
        <v>0.35</v>
      </c>
      <c r="G52" t="s">
        <v>1397</v>
      </c>
      <c r="H52" t="s">
        <v>1386</v>
      </c>
      <c r="J52" s="63" t="s">
        <v>1415</v>
      </c>
      <c r="K52">
        <v>0.22</v>
      </c>
      <c r="L52">
        <v>0.24</v>
      </c>
      <c r="M52">
        <v>0.3</v>
      </c>
      <c r="N52">
        <v>1.45</v>
      </c>
    </row>
    <row r="53" spans="2:14" ht="45" x14ac:dyDescent="0.25">
      <c r="B53" s="19" t="str">
        <f>IWU[[#This Row],[Gebäudetyp]]&amp;"_"&amp;IWU[[#This Row],[Baujahr]]</f>
        <v>Ein- oder Zweifamilienhaus_2009 - 2022</v>
      </c>
      <c r="C53" s="19" t="s">
        <v>305</v>
      </c>
      <c r="D53" t="s">
        <v>567</v>
      </c>
      <c r="E53" t="s">
        <v>185</v>
      </c>
      <c r="F53">
        <v>0.24</v>
      </c>
      <c r="G53" t="s">
        <v>791</v>
      </c>
      <c r="H53" t="str">
        <f>$H$40</f>
        <v>EnEV 2009 Anlage 3, Tabelle 1</v>
      </c>
      <c r="J53" s="62" t="s">
        <v>1416</v>
      </c>
      <c r="K53">
        <v>0.22</v>
      </c>
      <c r="L53">
        <v>0.24</v>
      </c>
      <c r="M53">
        <v>0.35</v>
      </c>
      <c r="N53">
        <v>1.7000000000000002</v>
      </c>
    </row>
    <row r="54" spans="2:14" ht="45" x14ac:dyDescent="0.25">
      <c r="B54" s="19" t="str">
        <f>IWU[[#This Row],[Gebäudetyp]]&amp;"_"&amp;IWU[[#This Row],[Baujahr]]</f>
        <v>Ein- oder Zweifamilienhaus_ab 2023</v>
      </c>
      <c r="C54" s="19" t="s">
        <v>305</v>
      </c>
      <c r="D54" t="s">
        <v>1152</v>
      </c>
      <c r="E54" t="s">
        <v>185</v>
      </c>
      <c r="F54">
        <v>0.24</v>
      </c>
      <c r="G54" t="s">
        <v>134</v>
      </c>
      <c r="H54" t="str">
        <f>$H$41</f>
        <v>GEG 2023 Anlage 7</v>
      </c>
      <c r="J54" s="63" t="s">
        <v>1417</v>
      </c>
      <c r="K54">
        <v>0.22</v>
      </c>
      <c r="L54">
        <v>0.24</v>
      </c>
      <c r="M54">
        <v>0.35</v>
      </c>
      <c r="N54">
        <v>1.7000000000000002</v>
      </c>
    </row>
    <row r="55" spans="2:14" ht="45" x14ac:dyDescent="0.25">
      <c r="B55" s="19" t="str">
        <f>IWU[[#This Row],[Gebäudetyp]]&amp;"_"&amp;IWU[[#This Row],[Baujahr]]</f>
        <v>Ein- oder Zweifamilienhaus_2027 - 2045</v>
      </c>
      <c r="C55" s="19" t="s">
        <v>305</v>
      </c>
      <c r="D55" t="s">
        <v>1155</v>
      </c>
      <c r="E55" t="s">
        <v>185</v>
      </c>
      <c r="F55">
        <v>0.24</v>
      </c>
      <c r="G55" t="s">
        <v>1403</v>
      </c>
      <c r="H55" s="26" t="s">
        <v>1404</v>
      </c>
      <c r="J55" s="63" t="s">
        <v>1418</v>
      </c>
      <c r="K55">
        <v>2.6</v>
      </c>
      <c r="L55">
        <v>1.9</v>
      </c>
      <c r="M55">
        <v>1.04</v>
      </c>
      <c r="N55">
        <v>2.57</v>
      </c>
    </row>
    <row r="56" spans="2:14" ht="45" hidden="1" x14ac:dyDescent="0.25">
      <c r="B56" s="19" t="str">
        <f>IWU[[#This Row],[Gebäudetyp]]&amp;"_"&amp;IWU[[#This Row],[Baujahr]]</f>
        <v>Ein- oder Zweifamilienhaus_vor 1859</v>
      </c>
      <c r="C56" s="19" t="s">
        <v>305</v>
      </c>
      <c r="D56" t="s">
        <v>1124</v>
      </c>
      <c r="E56" t="s">
        <v>334</v>
      </c>
      <c r="F56">
        <v>1.04</v>
      </c>
      <c r="G56" t="s">
        <v>120</v>
      </c>
      <c r="H56" t="s">
        <v>1386</v>
      </c>
      <c r="J56" s="64" t="s">
        <v>1419</v>
      </c>
      <c r="K56">
        <v>2.6</v>
      </c>
      <c r="L56">
        <v>1.45</v>
      </c>
      <c r="M56">
        <v>1.37</v>
      </c>
      <c r="N56">
        <v>2.57</v>
      </c>
    </row>
    <row r="57" spans="2:14" ht="45" hidden="1" x14ac:dyDescent="0.25">
      <c r="B57" s="19" t="str">
        <f>IWU[[#This Row],[Gebäudetyp]]&amp;"_"&amp;IWU[[#This Row],[Baujahr]]</f>
        <v>Ein- oder Zweifamilienhaus_1860 - 1918</v>
      </c>
      <c r="C57" s="19" t="s">
        <v>305</v>
      </c>
      <c r="D57" t="s">
        <v>1126</v>
      </c>
      <c r="E57" t="s">
        <v>334</v>
      </c>
      <c r="F57">
        <v>1.1100000000000001</v>
      </c>
      <c r="G57" t="s">
        <v>123</v>
      </c>
      <c r="H57" t="s">
        <v>1386</v>
      </c>
      <c r="J57" s="64" t="s">
        <v>1420</v>
      </c>
      <c r="K57">
        <v>1.41</v>
      </c>
      <c r="L57">
        <v>1.64</v>
      </c>
      <c r="M57">
        <v>1.1100000000000001</v>
      </c>
      <c r="N57">
        <v>4.3</v>
      </c>
    </row>
    <row r="58" spans="2:14" ht="45" hidden="1" x14ac:dyDescent="0.25">
      <c r="B58" s="19" t="str">
        <f>IWU[[#This Row],[Gebäudetyp]]&amp;"_"&amp;IWU[[#This Row],[Baujahr]]</f>
        <v>Ein- oder Zweifamilienhaus_1919 - 1948</v>
      </c>
      <c r="C58" s="19" t="s">
        <v>305</v>
      </c>
      <c r="D58" t="s">
        <v>1128</v>
      </c>
      <c r="E58" t="s">
        <v>334</v>
      </c>
      <c r="F58">
        <v>1.1100000000000001</v>
      </c>
      <c r="G58" t="s">
        <v>1158</v>
      </c>
      <c r="H58" t="s">
        <v>1386</v>
      </c>
      <c r="J58" s="64" t="s">
        <v>1421</v>
      </c>
      <c r="K58">
        <v>1.17</v>
      </c>
      <c r="L58">
        <v>1.44</v>
      </c>
      <c r="M58">
        <v>1.65</v>
      </c>
      <c r="N58">
        <v>2.8</v>
      </c>
    </row>
    <row r="59" spans="2:14" ht="45" hidden="1" x14ac:dyDescent="0.25">
      <c r="B59" s="19" t="str">
        <f>IWU[[#This Row],[Gebäudetyp]]&amp;"_"&amp;IWU[[#This Row],[Baujahr]]</f>
        <v>Ein- oder Zweifamilienhaus_1949 - 1957</v>
      </c>
      <c r="C59" s="19" t="s">
        <v>305</v>
      </c>
      <c r="D59" t="s">
        <v>1131</v>
      </c>
      <c r="E59" t="s">
        <v>334</v>
      </c>
      <c r="F59">
        <v>1.01</v>
      </c>
      <c r="G59" t="s">
        <v>1159</v>
      </c>
      <c r="H59" t="s">
        <v>1386</v>
      </c>
      <c r="J59" s="64" t="s">
        <v>1422</v>
      </c>
      <c r="K59">
        <v>2.2999999999999998</v>
      </c>
      <c r="L59">
        <v>1.21</v>
      </c>
      <c r="M59">
        <v>0.97</v>
      </c>
      <c r="N59">
        <v>2.57</v>
      </c>
    </row>
    <row r="60" spans="2:14" ht="45" hidden="1" x14ac:dyDescent="0.25">
      <c r="B60" s="19" t="str">
        <f>IWU[[#This Row],[Gebäudetyp]]&amp;"_"&amp;IWU[[#This Row],[Baujahr]]</f>
        <v>Ein- oder Zweifamilienhaus_1958 - 1968</v>
      </c>
      <c r="C60" s="19" t="s">
        <v>305</v>
      </c>
      <c r="D60" t="s">
        <v>1133</v>
      </c>
      <c r="E60" t="s">
        <v>334</v>
      </c>
      <c r="F60">
        <v>0.97</v>
      </c>
      <c r="G60" t="s">
        <v>1160</v>
      </c>
      <c r="H60" t="s">
        <v>1386</v>
      </c>
      <c r="J60" s="64" t="s">
        <v>1423</v>
      </c>
      <c r="K60">
        <v>0.59</v>
      </c>
      <c r="L60">
        <v>0.74</v>
      </c>
      <c r="M60">
        <v>0.97</v>
      </c>
      <c r="N60">
        <v>2.8</v>
      </c>
    </row>
    <row r="61" spans="2:14" ht="45" hidden="1" x14ac:dyDescent="0.25">
      <c r="B61" s="19" t="str">
        <f>IWU[[#This Row],[Gebäudetyp]]&amp;"_"&amp;IWU[[#This Row],[Baujahr]]</f>
        <v>Ein- oder Zweifamilienhaus_1969 - 1978</v>
      </c>
      <c r="C61" s="19" t="s">
        <v>305</v>
      </c>
      <c r="D61" t="s">
        <v>306</v>
      </c>
      <c r="E61" t="s">
        <v>334</v>
      </c>
      <c r="F61">
        <v>0.84599999999999997</v>
      </c>
      <c r="G61" t="s">
        <v>1161</v>
      </c>
      <c r="H61" t="s">
        <v>1386</v>
      </c>
      <c r="J61" s="64" t="s">
        <v>1424</v>
      </c>
      <c r="K61">
        <v>0.44</v>
      </c>
      <c r="L61">
        <v>0.8</v>
      </c>
      <c r="M61">
        <v>0.67</v>
      </c>
      <c r="N61">
        <v>2.57</v>
      </c>
    </row>
    <row r="62" spans="2:14" ht="45" hidden="1" x14ac:dyDescent="0.25">
      <c r="B62" s="19" t="str">
        <f>IWU[[#This Row],[Gebäudetyp]]&amp;"_"&amp;IWU[[#This Row],[Baujahr]]</f>
        <v>Ein- oder Zweifamilienhaus_1979 - 1983</v>
      </c>
      <c r="C62" s="19" t="s">
        <v>305</v>
      </c>
      <c r="D62" t="s">
        <v>521</v>
      </c>
      <c r="E62" t="s">
        <v>334</v>
      </c>
      <c r="F62">
        <v>0.81</v>
      </c>
      <c r="G62" t="s">
        <v>1162</v>
      </c>
      <c r="H62" t="s">
        <v>1386</v>
      </c>
      <c r="J62" s="64" t="s">
        <v>1425</v>
      </c>
      <c r="K62">
        <v>0.3</v>
      </c>
      <c r="L62">
        <v>0.66</v>
      </c>
      <c r="M62">
        <v>0.55000000000000004</v>
      </c>
      <c r="N62">
        <v>2.57</v>
      </c>
    </row>
    <row r="63" spans="2:14" ht="45" hidden="1" x14ac:dyDescent="0.25">
      <c r="B63" s="19" t="str">
        <f>IWU[[#This Row],[Gebäudetyp]]&amp;"_"&amp;IWU[[#This Row],[Baujahr]]</f>
        <v>Ein- oder Zweifamilienhaus_1984 - 1994</v>
      </c>
      <c r="C63" s="19" t="s">
        <v>305</v>
      </c>
      <c r="D63" t="s">
        <v>1153</v>
      </c>
      <c r="E63" t="s">
        <v>334</v>
      </c>
      <c r="F63">
        <v>0.55000000000000004</v>
      </c>
      <c r="G63" t="s">
        <v>1163</v>
      </c>
      <c r="H63" t="s">
        <v>1386</v>
      </c>
      <c r="J63" s="64" t="s">
        <v>1426</v>
      </c>
      <c r="K63">
        <v>0.21</v>
      </c>
      <c r="L63">
        <v>0.28000000000000003</v>
      </c>
      <c r="M63">
        <v>0.34</v>
      </c>
      <c r="N63">
        <v>1.6</v>
      </c>
    </row>
    <row r="64" spans="2:14" ht="45" hidden="1" x14ac:dyDescent="0.25">
      <c r="B64" s="19" t="str">
        <f>IWU[[#This Row],[Gebäudetyp]]&amp;"_"&amp;IWU[[#This Row],[Baujahr]]</f>
        <v>Ein- oder Zweifamilienhaus_1995 - 2002</v>
      </c>
      <c r="C64" s="19" t="s">
        <v>305</v>
      </c>
      <c r="D64" t="s">
        <v>1132</v>
      </c>
      <c r="E64" t="s">
        <v>334</v>
      </c>
      <c r="F64">
        <v>0.34</v>
      </c>
      <c r="G64" t="s">
        <v>1395</v>
      </c>
      <c r="H64" t="s">
        <v>1386</v>
      </c>
      <c r="J64" s="64" t="s">
        <v>1427</v>
      </c>
      <c r="K64">
        <v>0.22</v>
      </c>
      <c r="L64">
        <v>0.35</v>
      </c>
      <c r="M64">
        <v>0.34</v>
      </c>
      <c r="N64">
        <v>1.6</v>
      </c>
    </row>
    <row r="65" spans="2:14" ht="45" hidden="1" x14ac:dyDescent="0.25">
      <c r="B65" s="19" t="str">
        <f>IWU[[#This Row],[Gebäudetyp]]&amp;"_"&amp;IWU[[#This Row],[Baujahr]]</f>
        <v>Ein- oder Zweifamilienhaus_2003 - 2008</v>
      </c>
      <c r="C65" s="19" t="s">
        <v>305</v>
      </c>
      <c r="D65" t="s">
        <v>477</v>
      </c>
      <c r="E65" t="s">
        <v>334</v>
      </c>
      <c r="F65">
        <v>0.4</v>
      </c>
      <c r="G65" t="s">
        <v>1397</v>
      </c>
      <c r="H65" t="s">
        <v>1386</v>
      </c>
      <c r="J65" s="64" t="s">
        <v>1428</v>
      </c>
      <c r="K65">
        <v>0.22</v>
      </c>
      <c r="L65">
        <v>0.24</v>
      </c>
      <c r="M65">
        <v>0.3</v>
      </c>
      <c r="N65">
        <v>1.45</v>
      </c>
    </row>
    <row r="66" spans="2:14" ht="45" hidden="1" x14ac:dyDescent="0.25">
      <c r="B66" s="19" t="str">
        <f>IWU[[#This Row],[Gebäudetyp]]&amp;"_"&amp;IWU[[#This Row],[Baujahr]]</f>
        <v>Ein- oder Zweifamilienhaus_2009 - 2022</v>
      </c>
      <c r="C66" s="19" t="s">
        <v>305</v>
      </c>
      <c r="D66" t="s">
        <v>567</v>
      </c>
      <c r="E66" t="s">
        <v>334</v>
      </c>
      <c r="F66">
        <v>0.3</v>
      </c>
      <c r="G66" t="s">
        <v>791</v>
      </c>
      <c r="H66" t="str">
        <f>$H$40</f>
        <v>EnEV 2009 Anlage 3, Tabelle 1</v>
      </c>
      <c r="J66" s="64" t="s">
        <v>1429</v>
      </c>
      <c r="K66">
        <v>0.22</v>
      </c>
      <c r="L66">
        <v>0.24</v>
      </c>
      <c r="M66">
        <v>0.35</v>
      </c>
      <c r="N66">
        <v>1.7000000000000002</v>
      </c>
    </row>
    <row r="67" spans="2:14" ht="45" hidden="1" x14ac:dyDescent="0.25">
      <c r="B67" s="19" t="str">
        <f>IWU[[#This Row],[Gebäudetyp]]&amp;"_"&amp;IWU[[#This Row],[Baujahr]]</f>
        <v>Ein- oder Zweifamilienhaus_ab 2023</v>
      </c>
      <c r="C67" s="19" t="s">
        <v>305</v>
      </c>
      <c r="D67" t="s">
        <v>1152</v>
      </c>
      <c r="E67" t="s">
        <v>334</v>
      </c>
      <c r="F67">
        <v>0.35</v>
      </c>
      <c r="G67" t="s">
        <v>134</v>
      </c>
      <c r="H67" s="26" t="s">
        <v>1430</v>
      </c>
      <c r="J67" s="64" t="s">
        <v>1431</v>
      </c>
      <c r="K67">
        <v>0.22</v>
      </c>
      <c r="L67">
        <v>0.24</v>
      </c>
      <c r="M67">
        <v>0.35</v>
      </c>
      <c r="N67">
        <v>1.7000000000000002</v>
      </c>
    </row>
    <row r="68" spans="2:14" ht="45" hidden="1" x14ac:dyDescent="0.25">
      <c r="B68" s="19" t="str">
        <f>IWU[[#This Row],[Gebäudetyp]]&amp;"_"&amp;IWU[[#This Row],[Baujahr]]</f>
        <v>Ein- oder Zweifamilienhaus_2027 - 2045</v>
      </c>
      <c r="C68" s="19" t="s">
        <v>305</v>
      </c>
      <c r="D68" t="s">
        <v>1155</v>
      </c>
      <c r="E68" t="s">
        <v>334</v>
      </c>
      <c r="F68">
        <v>0.35</v>
      </c>
      <c r="G68" t="s">
        <v>1403</v>
      </c>
      <c r="H68" s="26" t="s">
        <v>1404</v>
      </c>
      <c r="J68" s="64" t="s">
        <v>1432</v>
      </c>
      <c r="K68">
        <v>2.6</v>
      </c>
      <c r="L68">
        <v>1.45</v>
      </c>
      <c r="M68">
        <v>1.37</v>
      </c>
      <c r="N68">
        <v>2.57</v>
      </c>
    </row>
    <row r="69" spans="2:14" ht="45" hidden="1" x14ac:dyDescent="0.25">
      <c r="B69" s="19" t="str">
        <f>IWU[[#This Row],[Gebäudetyp]]&amp;"_"&amp;IWU[[#This Row],[Baujahr]]</f>
        <v>Ein- oder Zweifamilienhaus_vor 1859</v>
      </c>
      <c r="C69" s="19" t="s">
        <v>305</v>
      </c>
      <c r="D69" t="s">
        <v>1124</v>
      </c>
      <c r="E69" t="s">
        <v>526</v>
      </c>
      <c r="F69">
        <v>5.2</v>
      </c>
      <c r="G69" t="s">
        <v>120</v>
      </c>
      <c r="H69" t="s">
        <v>1386</v>
      </c>
      <c r="J69" s="64" t="s">
        <v>1433</v>
      </c>
      <c r="K69">
        <v>0.78</v>
      </c>
      <c r="L69">
        <v>1.45</v>
      </c>
      <c r="M69">
        <v>1.1100000000000001</v>
      </c>
      <c r="N69">
        <v>4.3</v>
      </c>
    </row>
    <row r="70" spans="2:14" ht="45" hidden="1" x14ac:dyDescent="0.25">
      <c r="B70" s="19" t="str">
        <f>IWU[[#This Row],[Gebäudetyp]]&amp;"_"&amp;IWU[[#This Row],[Baujahr]]</f>
        <v>Ein- oder Zweifamilienhaus_1860 - 1918</v>
      </c>
      <c r="C70" s="19" t="s">
        <v>305</v>
      </c>
      <c r="D70" t="s">
        <v>1126</v>
      </c>
      <c r="E70" t="s">
        <v>526</v>
      </c>
      <c r="F70">
        <v>2.57</v>
      </c>
      <c r="G70" t="s">
        <v>123</v>
      </c>
      <c r="H70" t="s">
        <v>1386</v>
      </c>
      <c r="J70" s="64" t="s">
        <v>1434</v>
      </c>
      <c r="K70">
        <v>2.08</v>
      </c>
      <c r="L70">
        <v>1.21</v>
      </c>
      <c r="M70">
        <v>1.65</v>
      </c>
      <c r="N70">
        <v>2.8</v>
      </c>
    </row>
    <row r="71" spans="2:14" ht="45" hidden="1" x14ac:dyDescent="0.25">
      <c r="B71" s="19" t="str">
        <f>IWU[[#This Row],[Gebäudetyp]]&amp;"_"&amp;IWU[[#This Row],[Baujahr]]</f>
        <v>Ein- oder Zweifamilienhaus_1919 - 1948</v>
      </c>
      <c r="C71" s="19" t="s">
        <v>305</v>
      </c>
      <c r="D71" t="s">
        <v>1128</v>
      </c>
      <c r="E71" t="s">
        <v>526</v>
      </c>
      <c r="F71">
        <v>2.57</v>
      </c>
      <c r="G71" t="s">
        <v>1158</v>
      </c>
      <c r="H71" t="s">
        <v>1386</v>
      </c>
      <c r="J71" s="64" t="s">
        <v>1435</v>
      </c>
      <c r="K71">
        <v>0.82</v>
      </c>
      <c r="L71">
        <v>1.3</v>
      </c>
      <c r="M71">
        <v>0.97</v>
      </c>
      <c r="N71">
        <v>2.57</v>
      </c>
    </row>
    <row r="72" spans="2:14" ht="45" hidden="1" x14ac:dyDescent="0.25">
      <c r="B72" s="19" t="str">
        <f>IWU[[#This Row],[Gebäudetyp]]&amp;"_"&amp;IWU[[#This Row],[Baujahr]]</f>
        <v>Ein- oder Zweifamilienhaus_1949 - 1957</v>
      </c>
      <c r="C72" s="19" t="s">
        <v>305</v>
      </c>
      <c r="D72" t="s">
        <v>1131</v>
      </c>
      <c r="E72" t="s">
        <v>526</v>
      </c>
      <c r="F72">
        <v>2.57</v>
      </c>
      <c r="G72" t="s">
        <v>1159</v>
      </c>
      <c r="H72" t="s">
        <v>1386</v>
      </c>
      <c r="J72" s="64" t="s">
        <v>1436</v>
      </c>
      <c r="K72">
        <v>0.82</v>
      </c>
      <c r="L72">
        <v>1.46</v>
      </c>
      <c r="M72">
        <v>0.97</v>
      </c>
      <c r="N72">
        <v>2.8</v>
      </c>
    </row>
    <row r="73" spans="2:14" ht="45" hidden="1" x14ac:dyDescent="0.25">
      <c r="B73" s="19" t="str">
        <f>IWU[[#This Row],[Gebäudetyp]]&amp;"_"&amp;IWU[[#This Row],[Baujahr]]</f>
        <v>Ein- oder Zweifamilienhaus_1958 - 1968</v>
      </c>
      <c r="C73" s="19" t="s">
        <v>305</v>
      </c>
      <c r="D73" t="s">
        <v>1133</v>
      </c>
      <c r="E73" t="s">
        <v>526</v>
      </c>
      <c r="F73">
        <v>2.9</v>
      </c>
      <c r="G73" t="s">
        <v>1160</v>
      </c>
      <c r="H73" t="s">
        <v>1386</v>
      </c>
      <c r="J73" s="64" t="s">
        <v>1437</v>
      </c>
      <c r="K73">
        <v>0.44</v>
      </c>
      <c r="L73">
        <v>0.8</v>
      </c>
      <c r="M73">
        <v>0.67</v>
      </c>
      <c r="N73">
        <v>2.57</v>
      </c>
    </row>
    <row r="74" spans="2:14" ht="45" hidden="1" x14ac:dyDescent="0.25">
      <c r="B74" s="19" t="str">
        <f>IWU[[#This Row],[Gebäudetyp]]&amp;"_"&amp;IWU[[#This Row],[Baujahr]]</f>
        <v>Ein- oder Zweifamilienhaus_1969 - 1978</v>
      </c>
      <c r="C74" s="19" t="s">
        <v>305</v>
      </c>
      <c r="D74" t="s">
        <v>306</v>
      </c>
      <c r="E74" t="s">
        <v>526</v>
      </c>
      <c r="F74">
        <v>2.57</v>
      </c>
      <c r="G74" t="s">
        <v>1161</v>
      </c>
      <c r="H74" t="s">
        <v>1386</v>
      </c>
      <c r="J74" s="64" t="s">
        <v>1438</v>
      </c>
      <c r="K74">
        <v>0.3</v>
      </c>
      <c r="L74">
        <v>0.66</v>
      </c>
      <c r="M74">
        <v>0.55000000000000004</v>
      </c>
      <c r="N74">
        <v>2.57</v>
      </c>
    </row>
    <row r="75" spans="2:14" ht="45" hidden="1" x14ac:dyDescent="0.25">
      <c r="B75" s="19" t="str">
        <f>IWU[[#This Row],[Gebäudetyp]]&amp;"_"&amp;IWU[[#This Row],[Baujahr]]</f>
        <v>Ein- oder Zweifamilienhaus_1979 - 1983</v>
      </c>
      <c r="C75" s="19" t="s">
        <v>305</v>
      </c>
      <c r="D75" t="s">
        <v>521</v>
      </c>
      <c r="E75" t="s">
        <v>526</v>
      </c>
      <c r="F75">
        <v>4.3</v>
      </c>
      <c r="G75" t="s">
        <v>1162</v>
      </c>
      <c r="H75" t="s">
        <v>1386</v>
      </c>
      <c r="J75" s="64" t="s">
        <v>1439</v>
      </c>
      <c r="K75">
        <v>0.21</v>
      </c>
      <c r="L75">
        <v>0.28000000000000003</v>
      </c>
      <c r="M75">
        <v>0.34</v>
      </c>
      <c r="N75">
        <v>1.6</v>
      </c>
    </row>
    <row r="76" spans="2:14" ht="45" hidden="1" x14ac:dyDescent="0.25">
      <c r="B76" s="19" t="str">
        <f>IWU[[#This Row],[Gebäudetyp]]&amp;"_"&amp;IWU[[#This Row],[Baujahr]]</f>
        <v>Ein- oder Zweifamilienhaus_1984 - 1994</v>
      </c>
      <c r="C76" s="19" t="s">
        <v>305</v>
      </c>
      <c r="D76" t="s">
        <v>1153</v>
      </c>
      <c r="E76" t="s">
        <v>526</v>
      </c>
      <c r="F76">
        <v>2.57</v>
      </c>
      <c r="G76" t="s">
        <v>1163</v>
      </c>
      <c r="H76" t="s">
        <v>1386</v>
      </c>
      <c r="J76" s="64" t="s">
        <v>1440</v>
      </c>
      <c r="K76">
        <v>0.22</v>
      </c>
      <c r="L76">
        <v>0.35</v>
      </c>
      <c r="M76">
        <v>0.34</v>
      </c>
      <c r="N76">
        <v>1.6</v>
      </c>
    </row>
    <row r="77" spans="2:14" ht="45" hidden="1" x14ac:dyDescent="0.25">
      <c r="B77" s="19" t="str">
        <f>IWU[[#This Row],[Gebäudetyp]]&amp;"_"&amp;IWU[[#This Row],[Baujahr]]</f>
        <v>Ein- oder Zweifamilienhaus_1995 - 2002</v>
      </c>
      <c r="C77" s="19" t="s">
        <v>305</v>
      </c>
      <c r="D77" t="s">
        <v>1132</v>
      </c>
      <c r="E77" t="s">
        <v>526</v>
      </c>
      <c r="F77">
        <v>1.6</v>
      </c>
      <c r="G77" t="s">
        <v>1395</v>
      </c>
      <c r="H77" t="s">
        <v>1386</v>
      </c>
      <c r="J77" s="64" t="s">
        <v>1441</v>
      </c>
      <c r="K77">
        <v>0.22</v>
      </c>
      <c r="L77">
        <v>0.24</v>
      </c>
      <c r="M77">
        <v>0.3</v>
      </c>
      <c r="N77">
        <v>1.45</v>
      </c>
    </row>
    <row r="78" spans="2:14" ht="45" hidden="1" x14ac:dyDescent="0.25">
      <c r="B78" s="19" t="str">
        <f>IWU[[#This Row],[Gebäudetyp]]&amp;"_"&amp;IWU[[#This Row],[Baujahr]]</f>
        <v>Ein- oder Zweifamilienhaus_2003 - 2008</v>
      </c>
      <c r="C78" s="19" t="s">
        <v>305</v>
      </c>
      <c r="D78" t="s">
        <v>477</v>
      </c>
      <c r="E78" t="s">
        <v>526</v>
      </c>
      <c r="F78">
        <v>1.6</v>
      </c>
      <c r="G78" t="s">
        <v>1397</v>
      </c>
      <c r="H78" t="s">
        <v>1386</v>
      </c>
      <c r="J78" s="64" t="s">
        <v>1442</v>
      </c>
      <c r="K78">
        <v>0.22</v>
      </c>
      <c r="L78">
        <v>0.24</v>
      </c>
      <c r="M78">
        <v>0.35</v>
      </c>
      <c r="N78">
        <v>1.7000000000000002</v>
      </c>
    </row>
    <row r="79" spans="2:14" ht="45" hidden="1" x14ac:dyDescent="0.25">
      <c r="B79" s="19" t="str">
        <f>IWU[[#This Row],[Gebäudetyp]]&amp;"_"&amp;IWU[[#This Row],[Baujahr]]</f>
        <v>Ein- oder Zweifamilienhaus_2009 - 2022</v>
      </c>
      <c r="C79" s="19" t="s">
        <v>305</v>
      </c>
      <c r="D79" t="s">
        <v>567</v>
      </c>
      <c r="E79" t="s">
        <v>526</v>
      </c>
      <c r="F79">
        <f>MEDIAN(1.3,1.4,1.1,1.5,2,1.6)</f>
        <v>1.45</v>
      </c>
      <c r="G79" t="s">
        <v>791</v>
      </c>
      <c r="H79" t="s">
        <v>1399</v>
      </c>
      <c r="J79" s="64" t="s">
        <v>1443</v>
      </c>
      <c r="K79">
        <v>0.22</v>
      </c>
      <c r="L79">
        <v>0.24</v>
      </c>
      <c r="M79">
        <v>0.35</v>
      </c>
      <c r="N79">
        <v>1.7000000000000002</v>
      </c>
    </row>
    <row r="80" spans="2:14" ht="45" hidden="1" x14ac:dyDescent="0.25">
      <c r="B80" s="19" t="str">
        <f>IWU[[#This Row],[Gebäudetyp]]&amp;"_"&amp;IWU[[#This Row],[Baujahr]]</f>
        <v>Ein- oder Zweifamilienhaus_ab 2023</v>
      </c>
      <c r="C80" s="19" t="s">
        <v>305</v>
      </c>
      <c r="D80" t="s">
        <v>1152</v>
      </c>
      <c r="E80" t="s">
        <v>526</v>
      </c>
      <c r="F80">
        <v>1.1000000000000001</v>
      </c>
      <c r="G80" t="s">
        <v>134</v>
      </c>
      <c r="H80" s="26" t="s">
        <v>8742</v>
      </c>
      <c r="J80" s="64" t="s">
        <v>1444</v>
      </c>
      <c r="K80">
        <v>1.1399999999999999</v>
      </c>
      <c r="L80">
        <v>1.21</v>
      </c>
      <c r="M80">
        <v>1.01</v>
      </c>
      <c r="N80">
        <v>5.2</v>
      </c>
    </row>
    <row r="81" spans="2:14" ht="45" hidden="1" x14ac:dyDescent="0.25">
      <c r="B81" s="19" t="str">
        <f>IWU[[#This Row],[Gebäudetyp]]&amp;"_"&amp;IWU[[#This Row],[Baujahr]]</f>
        <v>Ein- oder Zweifamilienhaus_2027 - 2045</v>
      </c>
      <c r="C81" s="19" t="s">
        <v>305</v>
      </c>
      <c r="D81" t="s">
        <v>1155</v>
      </c>
      <c r="E81" t="s">
        <v>526</v>
      </c>
      <c r="F81">
        <f>F80</f>
        <v>1.1000000000000001</v>
      </c>
      <c r="G81" t="s">
        <v>1403</v>
      </c>
      <c r="H81" s="26" t="s">
        <v>1404</v>
      </c>
      <c r="J81" s="64" t="s">
        <v>1445</v>
      </c>
      <c r="K81">
        <v>1.1399999999999999</v>
      </c>
      <c r="L81">
        <v>1.46</v>
      </c>
      <c r="M81">
        <v>1.01</v>
      </c>
      <c r="N81">
        <v>5.2</v>
      </c>
    </row>
    <row r="82" spans="2:14" hidden="1" x14ac:dyDescent="0.25">
      <c r="B82" s="19" t="str">
        <f>IWU[[#This Row],[Gebäudetyp]]&amp;"_"&amp;IWU[[#This Row],[Baujahr]]</f>
        <v>Reihenhaus_1860 - 1918</v>
      </c>
      <c r="C82" s="19" t="s">
        <v>1101</v>
      </c>
      <c r="D82" t="s">
        <v>1126</v>
      </c>
      <c r="E82" t="s">
        <v>528</v>
      </c>
      <c r="F82">
        <v>0.78</v>
      </c>
      <c r="G82" t="s">
        <v>123</v>
      </c>
      <c r="H82" t="s">
        <v>1386</v>
      </c>
      <c r="J82" s="64" t="s">
        <v>1446</v>
      </c>
      <c r="K82">
        <v>0.97</v>
      </c>
      <c r="L82">
        <v>0.88</v>
      </c>
      <c r="M82">
        <v>1.01</v>
      </c>
      <c r="N82">
        <v>5.2</v>
      </c>
    </row>
    <row r="83" spans="2:14" hidden="1" x14ac:dyDescent="0.25">
      <c r="B83" s="19" t="str">
        <f>IWU[[#This Row],[Gebäudetyp]]&amp;"_"&amp;IWU[[#This Row],[Baujahr]]</f>
        <v>Reihenhaus_1919 - 1948</v>
      </c>
      <c r="C83" s="19" t="s">
        <v>1101</v>
      </c>
      <c r="D83" t="s">
        <v>1128</v>
      </c>
      <c r="E83" t="s">
        <v>528</v>
      </c>
      <c r="F83">
        <v>0.78</v>
      </c>
      <c r="G83" t="s">
        <v>1158</v>
      </c>
      <c r="H83" t="s">
        <v>1386</v>
      </c>
      <c r="J83" s="64" t="s">
        <v>1447</v>
      </c>
      <c r="K83">
        <v>0.97</v>
      </c>
      <c r="L83">
        <v>0.88</v>
      </c>
      <c r="M83">
        <v>0.85</v>
      </c>
      <c r="N83">
        <v>2.57</v>
      </c>
    </row>
    <row r="84" spans="2:14" hidden="1" x14ac:dyDescent="0.25">
      <c r="B84" s="19" t="str">
        <f>IWU[[#This Row],[Gebäudetyp]]&amp;"_"&amp;IWU[[#This Row],[Baujahr]]</f>
        <v>Reihenhaus_1949 - 1957</v>
      </c>
      <c r="C84" s="19" t="s">
        <v>1101</v>
      </c>
      <c r="D84" t="s">
        <v>1131</v>
      </c>
      <c r="E84" t="s">
        <v>528</v>
      </c>
      <c r="F84">
        <v>0.78</v>
      </c>
      <c r="G84" t="s">
        <v>1159</v>
      </c>
      <c r="H84" t="s">
        <v>1386</v>
      </c>
      <c r="J84" s="64" t="s">
        <v>1448</v>
      </c>
      <c r="K84">
        <v>0.84</v>
      </c>
      <c r="L84">
        <v>0.76</v>
      </c>
      <c r="M84">
        <v>0.85</v>
      </c>
      <c r="N84">
        <v>2.57</v>
      </c>
    </row>
    <row r="85" spans="2:14" hidden="1" x14ac:dyDescent="0.25">
      <c r="B85" s="19" t="str">
        <f>IWU[[#This Row],[Gebäudetyp]]&amp;"_"&amp;IWU[[#This Row],[Baujahr]]</f>
        <v>Reihenhaus_1958 - 1968</v>
      </c>
      <c r="C85" s="19" t="s">
        <v>1101</v>
      </c>
      <c r="D85" t="s">
        <v>1133</v>
      </c>
      <c r="E85" t="s">
        <v>528</v>
      </c>
      <c r="F85">
        <v>1.23</v>
      </c>
      <c r="G85" t="s">
        <v>1160</v>
      </c>
      <c r="H85" t="s">
        <v>1386</v>
      </c>
    </row>
    <row r="86" spans="2:14" hidden="1" x14ac:dyDescent="0.25">
      <c r="B86" s="19" t="str">
        <f>IWU[[#This Row],[Gebäudetyp]]&amp;"_"&amp;IWU[[#This Row],[Baujahr]]</f>
        <v>Reihenhaus_1969 - 1978</v>
      </c>
      <c r="C86" s="19" t="s">
        <v>1101</v>
      </c>
      <c r="D86" t="s">
        <v>306</v>
      </c>
      <c r="E86" t="s">
        <v>528</v>
      </c>
      <c r="F86">
        <v>0.52</v>
      </c>
      <c r="G86" t="s">
        <v>1161</v>
      </c>
      <c r="H86" t="s">
        <v>1386</v>
      </c>
    </row>
    <row r="87" spans="2:14" hidden="1" x14ac:dyDescent="0.25">
      <c r="B87" s="19" t="str">
        <f>IWU[[#This Row],[Gebäudetyp]]&amp;"_"&amp;IWU[[#This Row],[Baujahr]]</f>
        <v>Reihenhaus_1979 - 1983</v>
      </c>
      <c r="C87" s="19" t="s">
        <v>1101</v>
      </c>
      <c r="D87" t="s">
        <v>521</v>
      </c>
      <c r="E87" t="s">
        <v>528</v>
      </c>
      <c r="F87">
        <v>0.43</v>
      </c>
      <c r="G87" t="s">
        <v>1162</v>
      </c>
      <c r="H87" t="s">
        <v>1386</v>
      </c>
    </row>
    <row r="88" spans="2:14" hidden="1" x14ac:dyDescent="0.25">
      <c r="B88" s="19" t="str">
        <f>IWU[[#This Row],[Gebäudetyp]]&amp;"_"&amp;IWU[[#This Row],[Baujahr]]</f>
        <v>Reihenhaus_1984 - 1994</v>
      </c>
      <c r="C88" s="19" t="s">
        <v>1101</v>
      </c>
      <c r="D88" t="s">
        <v>1153</v>
      </c>
      <c r="E88" t="s">
        <v>528</v>
      </c>
      <c r="F88">
        <v>0.3</v>
      </c>
      <c r="G88" t="s">
        <v>1163</v>
      </c>
      <c r="H88" t="s">
        <v>1386</v>
      </c>
    </row>
    <row r="89" spans="2:14" hidden="1" x14ac:dyDescent="0.25">
      <c r="B89" s="19" t="str">
        <f>IWU[[#This Row],[Gebäudetyp]]&amp;"_"&amp;IWU[[#This Row],[Baujahr]]</f>
        <v>Reihenhaus_1995 - 2002</v>
      </c>
      <c r="C89" s="19" t="s">
        <v>1101</v>
      </c>
      <c r="D89" t="s">
        <v>1132</v>
      </c>
      <c r="E89" t="s">
        <v>528</v>
      </c>
      <c r="F89">
        <v>0.22</v>
      </c>
      <c r="G89" t="s">
        <v>1395</v>
      </c>
      <c r="H89" t="s">
        <v>1386</v>
      </c>
    </row>
    <row r="90" spans="2:14" hidden="1" x14ac:dyDescent="0.25">
      <c r="B90" s="19" t="str">
        <f>IWU[[#This Row],[Gebäudetyp]]&amp;"_"&amp;IWU[[#This Row],[Baujahr]]</f>
        <v>Reihenhaus_2003 - 2008</v>
      </c>
      <c r="C90" s="19" t="s">
        <v>1101</v>
      </c>
      <c r="D90" t="s">
        <v>477</v>
      </c>
      <c r="E90" t="s">
        <v>528</v>
      </c>
      <c r="F90">
        <v>0.14000000000000001</v>
      </c>
      <c r="G90" t="s">
        <v>1397</v>
      </c>
      <c r="H90" t="s">
        <v>1386</v>
      </c>
    </row>
    <row r="91" spans="2:14" hidden="1" x14ac:dyDescent="0.25">
      <c r="B91" s="19" t="str">
        <f>IWU[[#This Row],[Gebäudetyp]]&amp;"_"&amp;IWU[[#This Row],[Baujahr]]</f>
        <v>Reihenhaus_2009 - 2022</v>
      </c>
      <c r="C91" s="19" t="s">
        <v>1101</v>
      </c>
      <c r="D91" t="s">
        <v>567</v>
      </c>
      <c r="E91" t="s">
        <v>528</v>
      </c>
      <c r="F91">
        <f>$F$40</f>
        <v>0.22</v>
      </c>
      <c r="G91" t="s">
        <v>791</v>
      </c>
      <c r="H91" t="s">
        <v>1399</v>
      </c>
    </row>
    <row r="92" spans="2:14" hidden="1" x14ac:dyDescent="0.25">
      <c r="B92" s="19" t="str">
        <f>IWU[[#This Row],[Gebäudetyp]]&amp;"_"&amp;IWU[[#This Row],[Baujahr]]</f>
        <v>Reihenhaus_ab 2023</v>
      </c>
      <c r="C92" s="19" t="s">
        <v>1101</v>
      </c>
      <c r="D92" t="s">
        <v>1152</v>
      </c>
      <c r="E92" t="s">
        <v>528</v>
      </c>
      <c r="F92">
        <f>$F$41</f>
        <v>0.22</v>
      </c>
      <c r="G92" t="s">
        <v>134</v>
      </c>
      <c r="H92" t="s">
        <v>1401</v>
      </c>
    </row>
    <row r="93" spans="2:14" hidden="1" x14ac:dyDescent="0.25">
      <c r="B93" s="19" t="str">
        <f>IWU[[#This Row],[Gebäudetyp]]&amp;"_"&amp;IWU[[#This Row],[Baujahr]]</f>
        <v>Reihenhaus_2027 - 2045</v>
      </c>
      <c r="C93" s="19" t="s">
        <v>1101</v>
      </c>
      <c r="D93" t="s">
        <v>1155</v>
      </c>
      <c r="E93" t="s">
        <v>528</v>
      </c>
      <c r="F93">
        <f>$F$42</f>
        <v>0.22</v>
      </c>
      <c r="G93" t="s">
        <v>1403</v>
      </c>
      <c r="H93" s="26" t="s">
        <v>1404</v>
      </c>
    </row>
    <row r="94" spans="2:14" x14ac:dyDescent="0.25">
      <c r="B94" s="19" t="str">
        <f>IWU[[#This Row],[Gebäudetyp]]&amp;"_"&amp;IWU[[#This Row],[Baujahr]]</f>
        <v>Reihenhaus_1860 - 1918</v>
      </c>
      <c r="C94" s="19" t="s">
        <v>1101</v>
      </c>
      <c r="D94" t="s">
        <v>1126</v>
      </c>
      <c r="E94" t="s">
        <v>185</v>
      </c>
      <c r="F94">
        <v>1.7</v>
      </c>
      <c r="G94" t="s">
        <v>123</v>
      </c>
      <c r="H94" t="s">
        <v>1386</v>
      </c>
    </row>
    <row r="95" spans="2:14" x14ac:dyDescent="0.25">
      <c r="B95" s="19" t="str">
        <f>IWU[[#This Row],[Gebäudetyp]]&amp;"_"&amp;IWU[[#This Row],[Baujahr]]</f>
        <v>Reihenhaus_1919 - 1948</v>
      </c>
      <c r="C95" s="19" t="s">
        <v>1101</v>
      </c>
      <c r="D95" t="s">
        <v>1128</v>
      </c>
      <c r="E95" t="s">
        <v>185</v>
      </c>
      <c r="F95">
        <v>1.39</v>
      </c>
      <c r="G95" t="s">
        <v>1158</v>
      </c>
      <c r="H95" t="s">
        <v>1386</v>
      </c>
    </row>
    <row r="96" spans="2:14" x14ac:dyDescent="0.25">
      <c r="B96" s="19" t="str">
        <f>IWU[[#This Row],[Gebäudetyp]]&amp;"_"&amp;IWU[[#This Row],[Baujahr]]</f>
        <v>Reihenhaus_1949 - 1957</v>
      </c>
      <c r="C96" s="19" t="s">
        <v>1101</v>
      </c>
      <c r="D96" t="s">
        <v>1131</v>
      </c>
      <c r="E96" t="s">
        <v>185</v>
      </c>
      <c r="F96">
        <v>0.86</v>
      </c>
      <c r="G96" t="s">
        <v>1159</v>
      </c>
      <c r="H96" t="s">
        <v>1386</v>
      </c>
    </row>
    <row r="97" spans="2:8" x14ac:dyDescent="0.25">
      <c r="B97" s="19" t="str">
        <f>IWU[[#This Row],[Gebäudetyp]]&amp;"_"&amp;IWU[[#This Row],[Baujahr]]</f>
        <v>Reihenhaus_1958 - 1968</v>
      </c>
      <c r="C97" s="19" t="s">
        <v>1101</v>
      </c>
      <c r="D97" t="s">
        <v>1133</v>
      </c>
      <c r="E97" t="s">
        <v>185</v>
      </c>
      <c r="F97">
        <v>1.44</v>
      </c>
      <c r="G97" t="s">
        <v>1160</v>
      </c>
      <c r="H97" t="s">
        <v>1386</v>
      </c>
    </row>
    <row r="98" spans="2:8" x14ac:dyDescent="0.25">
      <c r="B98" s="19" t="str">
        <f>IWU[[#This Row],[Gebäudetyp]]&amp;"_"&amp;IWU[[#This Row],[Baujahr]]</f>
        <v>Reihenhaus_1969 - 1978</v>
      </c>
      <c r="C98" s="19" t="s">
        <v>1101</v>
      </c>
      <c r="D98" t="s">
        <v>306</v>
      </c>
      <c r="E98" t="s">
        <v>185</v>
      </c>
      <c r="F98">
        <v>0.8</v>
      </c>
      <c r="G98" t="s">
        <v>1161</v>
      </c>
      <c r="H98" t="s">
        <v>1386</v>
      </c>
    </row>
    <row r="99" spans="2:8" x14ac:dyDescent="0.25">
      <c r="B99" s="19" t="str">
        <f>IWU[[#This Row],[Gebäudetyp]]&amp;"_"&amp;IWU[[#This Row],[Baujahr]]</f>
        <v>Reihenhaus_1979 - 1983</v>
      </c>
      <c r="C99" s="19" t="s">
        <v>1101</v>
      </c>
      <c r="D99" t="s">
        <v>521</v>
      </c>
      <c r="E99" t="s">
        <v>185</v>
      </c>
      <c r="F99">
        <v>0.68</v>
      </c>
      <c r="G99" t="s">
        <v>1162</v>
      </c>
      <c r="H99" t="s">
        <v>1386</v>
      </c>
    </row>
    <row r="100" spans="2:8" x14ac:dyDescent="0.25">
      <c r="B100" s="19" t="str">
        <f>IWU[[#This Row],[Gebäudetyp]]&amp;"_"&amp;IWU[[#This Row],[Baujahr]]</f>
        <v>Reihenhaus_1984 - 1994</v>
      </c>
      <c r="C100" s="19" t="s">
        <v>1101</v>
      </c>
      <c r="D100" t="s">
        <v>1153</v>
      </c>
      <c r="E100" t="s">
        <v>185</v>
      </c>
      <c r="F100">
        <v>0.77</v>
      </c>
      <c r="G100" t="s">
        <v>1163</v>
      </c>
      <c r="H100" t="s">
        <v>1386</v>
      </c>
    </row>
    <row r="101" spans="2:8" x14ac:dyDescent="0.25">
      <c r="B101" s="19" t="str">
        <f>IWU[[#This Row],[Gebäudetyp]]&amp;"_"&amp;IWU[[#This Row],[Baujahr]]</f>
        <v>Reihenhaus_1995 - 2002</v>
      </c>
      <c r="C101" s="19" t="s">
        <v>1101</v>
      </c>
      <c r="D101" t="s">
        <v>1132</v>
      </c>
      <c r="E101" t="s">
        <v>185</v>
      </c>
      <c r="F101">
        <v>0.49</v>
      </c>
      <c r="G101" t="s">
        <v>1395</v>
      </c>
      <c r="H101" t="s">
        <v>1386</v>
      </c>
    </row>
    <row r="102" spans="2:8" x14ac:dyDescent="0.25">
      <c r="B102" s="19" t="str">
        <f>IWU[[#This Row],[Gebäudetyp]]&amp;"_"&amp;IWU[[#This Row],[Baujahr]]</f>
        <v>Reihenhaus_2003 - 2008</v>
      </c>
      <c r="C102" s="19" t="s">
        <v>1101</v>
      </c>
      <c r="D102" t="s">
        <v>477</v>
      </c>
      <c r="E102" t="s">
        <v>185</v>
      </c>
      <c r="F102">
        <v>0.24</v>
      </c>
      <c r="G102" t="s">
        <v>1397</v>
      </c>
      <c r="H102" t="s">
        <v>1386</v>
      </c>
    </row>
    <row r="103" spans="2:8" x14ac:dyDescent="0.25">
      <c r="B103" s="19" t="str">
        <f>IWU[[#This Row],[Gebäudetyp]]&amp;"_"&amp;IWU[[#This Row],[Baujahr]]</f>
        <v>Reihenhaus_2009 - 2022</v>
      </c>
      <c r="C103" s="19" t="s">
        <v>1101</v>
      </c>
      <c r="D103" t="s">
        <v>567</v>
      </c>
      <c r="E103" t="s">
        <v>185</v>
      </c>
      <c r="F103">
        <f>$F$53</f>
        <v>0.24</v>
      </c>
      <c r="G103" t="s">
        <v>791</v>
      </c>
      <c r="H103" t="s">
        <v>1399</v>
      </c>
    </row>
    <row r="104" spans="2:8" x14ac:dyDescent="0.25">
      <c r="B104" s="19" t="str">
        <f>IWU[[#This Row],[Gebäudetyp]]&amp;"_"&amp;IWU[[#This Row],[Baujahr]]</f>
        <v>Reihenhaus_ab 2023</v>
      </c>
      <c r="C104" s="19" t="s">
        <v>1101</v>
      </c>
      <c r="D104" t="s">
        <v>1152</v>
      </c>
      <c r="E104" t="s">
        <v>185</v>
      </c>
      <c r="F104">
        <f t="shared" ref="F104" si="2">F54</f>
        <v>0.24</v>
      </c>
      <c r="G104" t="s">
        <v>134</v>
      </c>
      <c r="H104" t="s">
        <v>1401</v>
      </c>
    </row>
    <row r="105" spans="2:8" x14ac:dyDescent="0.25">
      <c r="B105" s="19" t="str">
        <f>IWU[[#This Row],[Gebäudetyp]]&amp;"_"&amp;IWU[[#This Row],[Baujahr]]</f>
        <v>Reihenhaus_2027 - 2045</v>
      </c>
      <c r="C105" s="19" t="s">
        <v>1101</v>
      </c>
      <c r="D105" t="s">
        <v>1155</v>
      </c>
      <c r="E105" t="s">
        <v>185</v>
      </c>
      <c r="F105">
        <f>$F$55</f>
        <v>0.24</v>
      </c>
      <c r="G105" t="s">
        <v>1403</v>
      </c>
      <c r="H105" s="26" t="s">
        <v>1404</v>
      </c>
    </row>
    <row r="106" spans="2:8" hidden="1" x14ac:dyDescent="0.25">
      <c r="B106" s="19" t="str">
        <f>IWU[[#This Row],[Gebäudetyp]]&amp;"_"&amp;IWU[[#This Row],[Baujahr]]</f>
        <v>Reihenhaus_1860 - 1918</v>
      </c>
      <c r="C106" s="19" t="s">
        <v>1101</v>
      </c>
      <c r="D106" t="s">
        <v>1126</v>
      </c>
      <c r="E106" t="s">
        <v>334</v>
      </c>
      <c r="F106">
        <v>0.91</v>
      </c>
      <c r="G106" t="s">
        <v>123</v>
      </c>
      <c r="H106" t="s">
        <v>1386</v>
      </c>
    </row>
    <row r="107" spans="2:8" hidden="1" x14ac:dyDescent="0.25">
      <c r="B107" s="19" t="str">
        <f>IWU[[#This Row],[Gebäudetyp]]&amp;"_"&amp;IWU[[#This Row],[Baujahr]]</f>
        <v>Reihenhaus_1919 - 1948</v>
      </c>
      <c r="C107" s="19" t="s">
        <v>1101</v>
      </c>
      <c r="D107" t="s">
        <v>1128</v>
      </c>
      <c r="E107" t="s">
        <v>334</v>
      </c>
      <c r="F107">
        <v>1.6</v>
      </c>
      <c r="G107" t="s">
        <v>1158</v>
      </c>
      <c r="H107" t="s">
        <v>1386</v>
      </c>
    </row>
    <row r="108" spans="2:8" hidden="1" x14ac:dyDescent="0.25">
      <c r="B108" s="19" t="str">
        <f>IWU[[#This Row],[Gebäudetyp]]&amp;"_"&amp;IWU[[#This Row],[Baujahr]]</f>
        <v>Reihenhaus_1949 - 1957</v>
      </c>
      <c r="C108" s="19" t="s">
        <v>1101</v>
      </c>
      <c r="D108" t="s">
        <v>1131</v>
      </c>
      <c r="E108" t="s">
        <v>334</v>
      </c>
      <c r="F108">
        <v>1.01</v>
      </c>
      <c r="G108" t="s">
        <v>1159</v>
      </c>
      <c r="H108" t="s">
        <v>1386</v>
      </c>
    </row>
    <row r="109" spans="2:8" hidden="1" x14ac:dyDescent="0.25">
      <c r="B109" s="19" t="str">
        <f>IWU[[#This Row],[Gebäudetyp]]&amp;"_"&amp;IWU[[#This Row],[Baujahr]]</f>
        <v>Reihenhaus_1958 - 1968</v>
      </c>
      <c r="C109" s="19" t="s">
        <v>1101</v>
      </c>
      <c r="D109" t="s">
        <v>1133</v>
      </c>
      <c r="E109" t="s">
        <v>334</v>
      </c>
      <c r="F109">
        <v>0.97</v>
      </c>
      <c r="G109" t="s">
        <v>1160</v>
      </c>
      <c r="H109" t="s">
        <v>1386</v>
      </c>
    </row>
    <row r="110" spans="2:8" hidden="1" x14ac:dyDescent="0.25">
      <c r="B110" s="19" t="str">
        <f>IWU[[#This Row],[Gebäudetyp]]&amp;"_"&amp;IWU[[#This Row],[Baujahr]]</f>
        <v>Reihenhaus_1969 - 1978</v>
      </c>
      <c r="C110" s="19" t="s">
        <v>1101</v>
      </c>
      <c r="D110" t="s">
        <v>306</v>
      </c>
      <c r="E110" t="s">
        <v>334</v>
      </c>
      <c r="F110">
        <v>0.97</v>
      </c>
      <c r="G110" t="s">
        <v>1161</v>
      </c>
      <c r="H110" t="s">
        <v>1386</v>
      </c>
    </row>
    <row r="111" spans="2:8" hidden="1" x14ac:dyDescent="0.25">
      <c r="B111" s="19" t="str">
        <f>IWU[[#This Row],[Gebäudetyp]]&amp;"_"&amp;IWU[[#This Row],[Baujahr]]</f>
        <v>Reihenhaus_1979 - 1983</v>
      </c>
      <c r="C111" s="19" t="s">
        <v>1101</v>
      </c>
      <c r="D111" t="s">
        <v>521</v>
      </c>
      <c r="E111" t="s">
        <v>334</v>
      </c>
      <c r="F111">
        <v>0.67</v>
      </c>
      <c r="G111" t="s">
        <v>1162</v>
      </c>
      <c r="H111" t="s">
        <v>1386</v>
      </c>
    </row>
    <row r="112" spans="2:8" hidden="1" x14ac:dyDescent="0.25">
      <c r="B112" s="19" t="str">
        <f>IWU[[#This Row],[Gebäudetyp]]&amp;"_"&amp;IWU[[#This Row],[Baujahr]]</f>
        <v>Reihenhaus_1984 - 1994</v>
      </c>
      <c r="C112" s="19" t="s">
        <v>1101</v>
      </c>
      <c r="D112" t="s">
        <v>1153</v>
      </c>
      <c r="E112" t="s">
        <v>334</v>
      </c>
      <c r="F112">
        <v>0.55000000000000004</v>
      </c>
      <c r="G112" t="s">
        <v>1163</v>
      </c>
      <c r="H112" t="s">
        <v>1386</v>
      </c>
    </row>
    <row r="113" spans="2:8" hidden="1" x14ac:dyDescent="0.25">
      <c r="B113" s="19" t="str">
        <f>IWU[[#This Row],[Gebäudetyp]]&amp;"_"&amp;IWU[[#This Row],[Baujahr]]</f>
        <v>Reihenhaus_1995 - 2002</v>
      </c>
      <c r="C113" s="19" t="s">
        <v>1101</v>
      </c>
      <c r="D113" t="s">
        <v>1132</v>
      </c>
      <c r="E113" t="s">
        <v>334</v>
      </c>
      <c r="F113">
        <v>0.32</v>
      </c>
      <c r="G113" t="s">
        <v>1395</v>
      </c>
      <c r="H113" t="s">
        <v>1386</v>
      </c>
    </row>
    <row r="114" spans="2:8" hidden="1" x14ac:dyDescent="0.25">
      <c r="B114" s="19" t="str">
        <f>IWU[[#This Row],[Gebäudetyp]]&amp;"_"&amp;IWU[[#This Row],[Baujahr]]</f>
        <v>Reihenhaus_2003 - 2008</v>
      </c>
      <c r="C114" s="19" t="s">
        <v>1101</v>
      </c>
      <c r="D114" t="s">
        <v>477</v>
      </c>
      <c r="E114" t="s">
        <v>334</v>
      </c>
      <c r="F114">
        <v>0.28999999999999998</v>
      </c>
      <c r="G114" t="s">
        <v>1397</v>
      </c>
      <c r="H114" t="s">
        <v>1386</v>
      </c>
    </row>
    <row r="115" spans="2:8" hidden="1" x14ac:dyDescent="0.25">
      <c r="B115" s="19" t="str">
        <f>IWU[[#This Row],[Gebäudetyp]]&amp;"_"&amp;IWU[[#This Row],[Baujahr]]</f>
        <v>Reihenhaus_2009 - 2022</v>
      </c>
      <c r="C115" s="19" t="s">
        <v>1101</v>
      </c>
      <c r="D115" t="s">
        <v>567</v>
      </c>
      <c r="E115" t="s">
        <v>334</v>
      </c>
      <c r="F115">
        <f>$F$66</f>
        <v>0.3</v>
      </c>
      <c r="G115" t="s">
        <v>791</v>
      </c>
      <c r="H115" t="s">
        <v>1399</v>
      </c>
    </row>
    <row r="116" spans="2:8" hidden="1" x14ac:dyDescent="0.25">
      <c r="B116" s="19" t="str">
        <f>IWU[[#This Row],[Gebäudetyp]]&amp;"_"&amp;IWU[[#This Row],[Baujahr]]</f>
        <v>Reihenhaus_ab 2023</v>
      </c>
      <c r="C116" s="19" t="s">
        <v>1101</v>
      </c>
      <c r="D116" t="s">
        <v>1152</v>
      </c>
      <c r="E116" t="s">
        <v>334</v>
      </c>
      <c r="F116">
        <f>$F$67</f>
        <v>0.35</v>
      </c>
      <c r="G116" t="s">
        <v>134</v>
      </c>
      <c r="H116" t="s">
        <v>1401</v>
      </c>
    </row>
    <row r="117" spans="2:8" hidden="1" x14ac:dyDescent="0.25">
      <c r="B117" s="19" t="str">
        <f>IWU[[#This Row],[Gebäudetyp]]&amp;"_"&amp;IWU[[#This Row],[Baujahr]]</f>
        <v>Reihenhaus_2027 - 2045</v>
      </c>
      <c r="C117" s="19" t="s">
        <v>1101</v>
      </c>
      <c r="D117" t="s">
        <v>1155</v>
      </c>
      <c r="E117" t="s">
        <v>334</v>
      </c>
      <c r="F117">
        <f>$F$68</f>
        <v>0.35</v>
      </c>
      <c r="G117" t="s">
        <v>1403</v>
      </c>
      <c r="H117" s="26" t="s">
        <v>1404</v>
      </c>
    </row>
    <row r="118" spans="2:8" hidden="1" x14ac:dyDescent="0.25">
      <c r="B118" s="19" t="str">
        <f>IWU[[#This Row],[Gebäudetyp]]&amp;"_"&amp;IWU[[#This Row],[Baujahr]]</f>
        <v>Reihenhaus_1860 - 1918</v>
      </c>
      <c r="C118" s="19" t="s">
        <v>1101</v>
      </c>
      <c r="D118" t="s">
        <v>1126</v>
      </c>
      <c r="E118" t="s">
        <v>526</v>
      </c>
      <c r="F118">
        <v>2.57</v>
      </c>
      <c r="G118" t="s">
        <v>123</v>
      </c>
      <c r="H118" t="s">
        <v>1386</v>
      </c>
    </row>
    <row r="119" spans="2:8" hidden="1" x14ac:dyDescent="0.25">
      <c r="B119" s="19" t="str">
        <f>IWU[[#This Row],[Gebäudetyp]]&amp;"_"&amp;IWU[[#This Row],[Baujahr]]</f>
        <v>Reihenhaus_1919 - 1948</v>
      </c>
      <c r="C119" s="19" t="s">
        <v>1101</v>
      </c>
      <c r="D119" t="s">
        <v>1128</v>
      </c>
      <c r="E119" t="s">
        <v>526</v>
      </c>
      <c r="F119">
        <v>2.8</v>
      </c>
      <c r="G119" t="s">
        <v>1158</v>
      </c>
      <c r="H119" t="s">
        <v>1386</v>
      </c>
    </row>
    <row r="120" spans="2:8" hidden="1" x14ac:dyDescent="0.25">
      <c r="B120" s="19" t="str">
        <f>IWU[[#This Row],[Gebäudetyp]]&amp;"_"&amp;IWU[[#This Row],[Baujahr]]</f>
        <v>Reihenhaus_1949 - 1957</v>
      </c>
      <c r="C120" s="19" t="s">
        <v>1101</v>
      </c>
      <c r="D120" t="s">
        <v>1131</v>
      </c>
      <c r="E120" t="s">
        <v>526</v>
      </c>
      <c r="F120">
        <v>2.9</v>
      </c>
      <c r="G120" t="s">
        <v>1159</v>
      </c>
      <c r="H120" t="s">
        <v>1386</v>
      </c>
    </row>
    <row r="121" spans="2:8" hidden="1" x14ac:dyDescent="0.25">
      <c r="B121" s="19" t="str">
        <f>IWU[[#This Row],[Gebäudetyp]]&amp;"_"&amp;IWU[[#This Row],[Baujahr]]</f>
        <v>Reihenhaus_1958 - 1968</v>
      </c>
      <c r="C121" s="19" t="s">
        <v>1101</v>
      </c>
      <c r="D121" t="s">
        <v>1133</v>
      </c>
      <c r="E121" t="s">
        <v>526</v>
      </c>
      <c r="F121">
        <v>2.57</v>
      </c>
      <c r="G121" t="s">
        <v>1160</v>
      </c>
      <c r="H121" t="s">
        <v>1386</v>
      </c>
    </row>
    <row r="122" spans="2:8" hidden="1" x14ac:dyDescent="0.25">
      <c r="B122" s="19" t="str">
        <f>IWU[[#This Row],[Gebäudetyp]]&amp;"_"&amp;IWU[[#This Row],[Baujahr]]</f>
        <v>Reihenhaus_1969 - 1978</v>
      </c>
      <c r="C122" s="19" t="s">
        <v>1101</v>
      </c>
      <c r="D122" t="s">
        <v>306</v>
      </c>
      <c r="E122" t="s">
        <v>526</v>
      </c>
      <c r="F122">
        <v>4.3</v>
      </c>
      <c r="G122" t="s">
        <v>1161</v>
      </c>
      <c r="H122" t="s">
        <v>1386</v>
      </c>
    </row>
    <row r="123" spans="2:8" hidden="1" x14ac:dyDescent="0.25">
      <c r="B123" s="19" t="str">
        <f>IWU[[#This Row],[Gebäudetyp]]&amp;"_"&amp;IWU[[#This Row],[Baujahr]]</f>
        <v>Reihenhaus_1979 - 1983</v>
      </c>
      <c r="C123" s="19" t="s">
        <v>1101</v>
      </c>
      <c r="D123" t="s">
        <v>521</v>
      </c>
      <c r="E123" t="s">
        <v>526</v>
      </c>
      <c r="F123">
        <v>2.57</v>
      </c>
      <c r="G123" t="s">
        <v>1162</v>
      </c>
      <c r="H123" t="s">
        <v>1386</v>
      </c>
    </row>
    <row r="124" spans="2:8" hidden="1" x14ac:dyDescent="0.25">
      <c r="B124" s="19" t="str">
        <f>IWU[[#This Row],[Gebäudetyp]]&amp;"_"&amp;IWU[[#This Row],[Baujahr]]</f>
        <v>Reihenhaus_1984 - 1994</v>
      </c>
      <c r="C124" s="19" t="s">
        <v>1101</v>
      </c>
      <c r="D124" t="s">
        <v>1153</v>
      </c>
      <c r="E124" t="s">
        <v>526</v>
      </c>
      <c r="F124">
        <v>2.57</v>
      </c>
      <c r="G124" t="s">
        <v>1163</v>
      </c>
      <c r="H124" t="s">
        <v>1386</v>
      </c>
    </row>
    <row r="125" spans="2:8" hidden="1" x14ac:dyDescent="0.25">
      <c r="B125" s="19" t="str">
        <f>IWU[[#This Row],[Gebäudetyp]]&amp;"_"&amp;IWU[[#This Row],[Baujahr]]</f>
        <v>Reihenhaus_1995 - 2002</v>
      </c>
      <c r="C125" s="19" t="s">
        <v>1101</v>
      </c>
      <c r="D125" t="s">
        <v>1132</v>
      </c>
      <c r="E125" t="s">
        <v>526</v>
      </c>
      <c r="F125">
        <v>1.6</v>
      </c>
      <c r="G125" t="s">
        <v>1395</v>
      </c>
      <c r="H125" t="s">
        <v>1386</v>
      </c>
    </row>
    <row r="126" spans="2:8" hidden="1" x14ac:dyDescent="0.25">
      <c r="B126" s="19" t="str">
        <f>IWU[[#This Row],[Gebäudetyp]]&amp;"_"&amp;IWU[[#This Row],[Baujahr]]</f>
        <v>Reihenhaus_2003 - 2008</v>
      </c>
      <c r="C126" s="19" t="s">
        <v>1101</v>
      </c>
      <c r="D126" t="s">
        <v>477</v>
      </c>
      <c r="E126" t="s">
        <v>526</v>
      </c>
      <c r="F126">
        <v>1.6</v>
      </c>
      <c r="G126" t="s">
        <v>1397</v>
      </c>
      <c r="H126" t="s">
        <v>1386</v>
      </c>
    </row>
    <row r="127" spans="2:8" hidden="1" x14ac:dyDescent="0.25">
      <c r="B127" s="19" t="str">
        <f>IWU[[#This Row],[Gebäudetyp]]&amp;"_"&amp;IWU[[#This Row],[Baujahr]]</f>
        <v>Reihenhaus_2009 - 2022</v>
      </c>
      <c r="C127" s="19" t="s">
        <v>1101</v>
      </c>
      <c r="D127" t="s">
        <v>567</v>
      </c>
      <c r="E127" t="s">
        <v>526</v>
      </c>
      <c r="F127">
        <f>$F$79</f>
        <v>1.45</v>
      </c>
      <c r="G127" t="s">
        <v>791</v>
      </c>
      <c r="H127" t="s">
        <v>1399</v>
      </c>
    </row>
    <row r="128" spans="2:8" hidden="1" x14ac:dyDescent="0.25">
      <c r="B128" s="19" t="str">
        <f>IWU[[#This Row],[Gebäudetyp]]&amp;"_"&amp;IWU[[#This Row],[Baujahr]]</f>
        <v>Reihenhaus_ab 2023</v>
      </c>
      <c r="C128" s="19" t="s">
        <v>1101</v>
      </c>
      <c r="D128" t="s">
        <v>1152</v>
      </c>
      <c r="E128" t="s">
        <v>526</v>
      </c>
      <c r="F128">
        <f>$F$80</f>
        <v>1.1000000000000001</v>
      </c>
      <c r="G128" t="s">
        <v>134</v>
      </c>
      <c r="H128" t="s">
        <v>1401</v>
      </c>
    </row>
    <row r="129" spans="2:8" hidden="1" x14ac:dyDescent="0.25">
      <c r="B129" s="19" t="str">
        <f>IWU[[#This Row],[Gebäudetyp]]&amp;"_"&amp;IWU[[#This Row],[Baujahr]]</f>
        <v>Reihenhaus_2027 - 2045</v>
      </c>
      <c r="C129" s="19" t="s">
        <v>1101</v>
      </c>
      <c r="D129" t="s">
        <v>1155</v>
      </c>
      <c r="E129" t="s">
        <v>526</v>
      </c>
      <c r="F129">
        <f>$F$81</f>
        <v>1.1000000000000001</v>
      </c>
      <c r="G129" t="s">
        <v>1403</v>
      </c>
      <c r="H129" s="26" t="s">
        <v>1404</v>
      </c>
    </row>
    <row r="130" spans="2:8" ht="30" hidden="1" x14ac:dyDescent="0.25">
      <c r="B130" s="19" t="str">
        <f>IWU[[#This Row],[Gebäudetyp]]&amp;"_"&amp;IWU[[#This Row],[Baujahr]]</f>
        <v>Mehrfamilienhaus_vor 1859</v>
      </c>
      <c r="C130" s="19" t="s">
        <v>1102</v>
      </c>
      <c r="D130" t="s">
        <v>1124</v>
      </c>
      <c r="E130" t="s">
        <v>528</v>
      </c>
      <c r="F130">
        <v>2.6</v>
      </c>
      <c r="G130" t="s">
        <v>120</v>
      </c>
      <c r="H130" t="s">
        <v>1386</v>
      </c>
    </row>
    <row r="131" spans="2:8" ht="30" hidden="1" x14ac:dyDescent="0.25">
      <c r="B131" s="19" t="str">
        <f>IWU[[#This Row],[Gebäudetyp]]&amp;"_"&amp;IWU[[#This Row],[Baujahr]]</f>
        <v>Mehrfamilienhaus_1860 - 1918</v>
      </c>
      <c r="C131" s="19" t="s">
        <v>1102</v>
      </c>
      <c r="D131" t="s">
        <v>1126</v>
      </c>
      <c r="E131" t="s">
        <v>528</v>
      </c>
      <c r="F131">
        <v>2.6</v>
      </c>
      <c r="G131" t="s">
        <v>123</v>
      </c>
      <c r="H131" t="s">
        <v>1386</v>
      </c>
    </row>
    <row r="132" spans="2:8" ht="30" hidden="1" x14ac:dyDescent="0.25">
      <c r="B132" s="19" t="str">
        <f>IWU[[#This Row],[Gebäudetyp]]&amp;"_"&amp;IWU[[#This Row],[Baujahr]]</f>
        <v>Mehrfamilienhaus_1919 - 1948</v>
      </c>
      <c r="C132" s="19" t="s">
        <v>1102</v>
      </c>
      <c r="D132" t="s">
        <v>1128</v>
      </c>
      <c r="E132" t="s">
        <v>528</v>
      </c>
      <c r="F132">
        <v>1.41</v>
      </c>
      <c r="G132" t="s">
        <v>1158</v>
      </c>
      <c r="H132" t="s">
        <v>1386</v>
      </c>
    </row>
    <row r="133" spans="2:8" ht="30" hidden="1" x14ac:dyDescent="0.25">
      <c r="B133" s="19" t="str">
        <f>IWU[[#This Row],[Gebäudetyp]]&amp;"_"&amp;IWU[[#This Row],[Baujahr]]</f>
        <v>Mehrfamilienhaus_1949 - 1957</v>
      </c>
      <c r="C133" s="19" t="s">
        <v>1102</v>
      </c>
      <c r="D133" t="s">
        <v>1131</v>
      </c>
      <c r="E133" t="s">
        <v>528</v>
      </c>
      <c r="F133">
        <v>1.17</v>
      </c>
      <c r="G133" t="s">
        <v>1159</v>
      </c>
      <c r="H133" t="s">
        <v>1386</v>
      </c>
    </row>
    <row r="134" spans="2:8" ht="30" hidden="1" x14ac:dyDescent="0.25">
      <c r="B134" s="19" t="str">
        <f>IWU[[#This Row],[Gebäudetyp]]&amp;"_"&amp;IWU[[#This Row],[Baujahr]]</f>
        <v>Mehrfamilienhaus_1958 - 1968</v>
      </c>
      <c r="C134" s="19" t="s">
        <v>1102</v>
      </c>
      <c r="D134" t="s">
        <v>1133</v>
      </c>
      <c r="E134" t="s">
        <v>528</v>
      </c>
      <c r="F134">
        <v>2.2999999999999998</v>
      </c>
      <c r="G134" t="s">
        <v>1160</v>
      </c>
      <c r="H134" t="s">
        <v>1386</v>
      </c>
    </row>
    <row r="135" spans="2:8" ht="30" hidden="1" x14ac:dyDescent="0.25">
      <c r="B135" s="19" t="str">
        <f>IWU[[#This Row],[Gebäudetyp]]&amp;"_"&amp;IWU[[#This Row],[Baujahr]]</f>
        <v>Mehrfamilienhaus_1969 - 1978</v>
      </c>
      <c r="C135" s="19" t="s">
        <v>1102</v>
      </c>
      <c r="D135" t="s">
        <v>306</v>
      </c>
      <c r="E135" t="s">
        <v>528</v>
      </c>
      <c r="F135">
        <v>0.59</v>
      </c>
      <c r="G135" t="s">
        <v>1161</v>
      </c>
      <c r="H135" t="s">
        <v>1386</v>
      </c>
    </row>
    <row r="136" spans="2:8" ht="30" hidden="1" x14ac:dyDescent="0.25">
      <c r="B136" s="19" t="str">
        <f>IWU[[#This Row],[Gebäudetyp]]&amp;"_"&amp;IWU[[#This Row],[Baujahr]]</f>
        <v>Mehrfamilienhaus_1979 - 1983</v>
      </c>
      <c r="C136" s="19" t="s">
        <v>1102</v>
      </c>
      <c r="D136" t="s">
        <v>521</v>
      </c>
      <c r="E136" t="s">
        <v>528</v>
      </c>
      <c r="F136">
        <v>0.44</v>
      </c>
      <c r="G136" t="s">
        <v>1162</v>
      </c>
      <c r="H136" t="s">
        <v>1386</v>
      </c>
    </row>
    <row r="137" spans="2:8" ht="30" hidden="1" x14ac:dyDescent="0.25">
      <c r="B137" s="19" t="str">
        <f>IWU[[#This Row],[Gebäudetyp]]&amp;"_"&amp;IWU[[#This Row],[Baujahr]]</f>
        <v>Mehrfamilienhaus_1984 - 1994</v>
      </c>
      <c r="C137" s="19" t="s">
        <v>1102</v>
      </c>
      <c r="D137" t="s">
        <v>1153</v>
      </c>
      <c r="E137" t="s">
        <v>528</v>
      </c>
      <c r="F137">
        <v>0.3</v>
      </c>
      <c r="G137" t="s">
        <v>1163</v>
      </c>
      <c r="H137" t="s">
        <v>1386</v>
      </c>
    </row>
    <row r="138" spans="2:8" ht="30" hidden="1" x14ac:dyDescent="0.25">
      <c r="B138" s="19" t="str">
        <f>IWU[[#This Row],[Gebäudetyp]]&amp;"_"&amp;IWU[[#This Row],[Baujahr]]</f>
        <v>Mehrfamilienhaus_1995 - 2002</v>
      </c>
      <c r="C138" s="19" t="s">
        <v>1102</v>
      </c>
      <c r="D138" t="s">
        <v>1132</v>
      </c>
      <c r="E138" t="s">
        <v>528</v>
      </c>
      <c r="F138">
        <v>0.21</v>
      </c>
      <c r="G138" t="s">
        <v>1395</v>
      </c>
      <c r="H138" t="s">
        <v>1386</v>
      </c>
    </row>
    <row r="139" spans="2:8" ht="30" hidden="1" x14ac:dyDescent="0.25">
      <c r="B139" s="19" t="str">
        <f>IWU[[#This Row],[Gebäudetyp]]&amp;"_"&amp;IWU[[#This Row],[Baujahr]]</f>
        <v>Mehrfamilienhaus_2003 - 2008</v>
      </c>
      <c r="C139" s="19" t="s">
        <v>1102</v>
      </c>
      <c r="D139" t="s">
        <v>477</v>
      </c>
      <c r="E139" t="s">
        <v>528</v>
      </c>
      <c r="F139">
        <v>0.22</v>
      </c>
      <c r="G139" t="s">
        <v>1397</v>
      </c>
      <c r="H139" t="s">
        <v>1386</v>
      </c>
    </row>
    <row r="140" spans="2:8" ht="30" hidden="1" x14ac:dyDescent="0.25">
      <c r="B140" s="19" t="str">
        <f>IWU[[#This Row],[Gebäudetyp]]&amp;"_"&amp;IWU[[#This Row],[Baujahr]]</f>
        <v>Mehrfamilienhaus_2009 - 2022</v>
      </c>
      <c r="C140" s="19" t="s">
        <v>1102</v>
      </c>
      <c r="D140" t="s">
        <v>567</v>
      </c>
      <c r="E140" t="s">
        <v>528</v>
      </c>
      <c r="F140">
        <f>$F$40</f>
        <v>0.22</v>
      </c>
      <c r="G140" t="s">
        <v>791</v>
      </c>
      <c r="H140" t="s">
        <v>1399</v>
      </c>
    </row>
    <row r="141" spans="2:8" ht="30" hidden="1" x14ac:dyDescent="0.25">
      <c r="B141" s="19" t="str">
        <f>IWU[[#This Row],[Gebäudetyp]]&amp;"_"&amp;IWU[[#This Row],[Baujahr]]</f>
        <v>Mehrfamilienhaus_ab 2023</v>
      </c>
      <c r="C141" s="19" t="s">
        <v>1102</v>
      </c>
      <c r="D141" t="s">
        <v>1152</v>
      </c>
      <c r="E141" t="s">
        <v>528</v>
      </c>
      <c r="F141">
        <f>$F$41</f>
        <v>0.22</v>
      </c>
      <c r="G141" t="s">
        <v>134</v>
      </c>
      <c r="H141" t="s">
        <v>1401</v>
      </c>
    </row>
    <row r="142" spans="2:8" ht="30" hidden="1" x14ac:dyDescent="0.25">
      <c r="B142" s="19" t="str">
        <f>IWU[[#This Row],[Gebäudetyp]]&amp;"_"&amp;IWU[[#This Row],[Baujahr]]</f>
        <v>Mehrfamilienhaus_2027 - 2045</v>
      </c>
      <c r="C142" s="19" t="s">
        <v>1102</v>
      </c>
      <c r="D142" t="s">
        <v>1155</v>
      </c>
      <c r="E142" t="s">
        <v>528</v>
      </c>
      <c r="F142">
        <f>$F$42</f>
        <v>0.22</v>
      </c>
      <c r="G142" t="s">
        <v>1403</v>
      </c>
      <c r="H142" s="26" t="s">
        <v>1404</v>
      </c>
    </row>
    <row r="143" spans="2:8" ht="30" x14ac:dyDescent="0.25">
      <c r="B143" s="19" t="str">
        <f>IWU[[#This Row],[Gebäudetyp]]&amp;"_"&amp;IWU[[#This Row],[Baujahr]]</f>
        <v>Mehrfamilienhaus_vor 1859</v>
      </c>
      <c r="C143" s="19" t="s">
        <v>1102</v>
      </c>
      <c r="D143" t="s">
        <v>1124</v>
      </c>
      <c r="E143" t="s">
        <v>185</v>
      </c>
      <c r="F143">
        <v>1.9</v>
      </c>
      <c r="G143" t="s">
        <v>120</v>
      </c>
      <c r="H143" t="s">
        <v>1386</v>
      </c>
    </row>
    <row r="144" spans="2:8" ht="30" x14ac:dyDescent="0.25">
      <c r="B144" s="19" t="str">
        <f>IWU[[#This Row],[Gebäudetyp]]&amp;"_"&amp;IWU[[#This Row],[Baujahr]]</f>
        <v>Mehrfamilienhaus_1860 - 1918</v>
      </c>
      <c r="C144" s="19" t="s">
        <v>1102</v>
      </c>
      <c r="D144" t="s">
        <v>1126</v>
      </c>
      <c r="E144" t="s">
        <v>185</v>
      </c>
      <c r="F144">
        <v>1.45</v>
      </c>
      <c r="G144" t="s">
        <v>123</v>
      </c>
      <c r="H144" t="s">
        <v>1386</v>
      </c>
    </row>
    <row r="145" spans="2:8" ht="30" x14ac:dyDescent="0.25">
      <c r="B145" s="19" t="str">
        <f>IWU[[#This Row],[Gebäudetyp]]&amp;"_"&amp;IWU[[#This Row],[Baujahr]]</f>
        <v>Mehrfamilienhaus_1919 - 1948</v>
      </c>
      <c r="C145" s="19" t="s">
        <v>1102</v>
      </c>
      <c r="D145" t="s">
        <v>1128</v>
      </c>
      <c r="E145" t="s">
        <v>185</v>
      </c>
      <c r="F145">
        <v>1.64</v>
      </c>
      <c r="G145" t="s">
        <v>1158</v>
      </c>
      <c r="H145" t="s">
        <v>1386</v>
      </c>
    </row>
    <row r="146" spans="2:8" ht="30" x14ac:dyDescent="0.25">
      <c r="B146" s="19" t="str">
        <f>IWU[[#This Row],[Gebäudetyp]]&amp;"_"&amp;IWU[[#This Row],[Baujahr]]</f>
        <v>Mehrfamilienhaus_1949 - 1957</v>
      </c>
      <c r="C146" s="19" t="s">
        <v>1102</v>
      </c>
      <c r="D146" t="s">
        <v>1131</v>
      </c>
      <c r="E146" t="s">
        <v>185</v>
      </c>
      <c r="F146">
        <v>1.44</v>
      </c>
      <c r="G146" t="s">
        <v>1159</v>
      </c>
      <c r="H146" t="s">
        <v>1386</v>
      </c>
    </row>
    <row r="147" spans="2:8" ht="30" x14ac:dyDescent="0.25">
      <c r="B147" s="19" t="str">
        <f>IWU[[#This Row],[Gebäudetyp]]&amp;"_"&amp;IWU[[#This Row],[Baujahr]]</f>
        <v>Mehrfamilienhaus_1958 - 1968</v>
      </c>
      <c r="C147" s="19" t="s">
        <v>1102</v>
      </c>
      <c r="D147" t="s">
        <v>1133</v>
      </c>
      <c r="E147" t="s">
        <v>185</v>
      </c>
      <c r="F147">
        <v>1.21</v>
      </c>
      <c r="G147" t="s">
        <v>1160</v>
      </c>
      <c r="H147" t="s">
        <v>1386</v>
      </c>
    </row>
    <row r="148" spans="2:8" ht="30" x14ac:dyDescent="0.25">
      <c r="B148" s="19" t="str">
        <f>IWU[[#This Row],[Gebäudetyp]]&amp;"_"&amp;IWU[[#This Row],[Baujahr]]</f>
        <v>Mehrfamilienhaus_1969 - 1978</v>
      </c>
      <c r="C148" s="19" t="s">
        <v>1102</v>
      </c>
      <c r="D148" t="s">
        <v>306</v>
      </c>
      <c r="E148" t="s">
        <v>185</v>
      </c>
      <c r="F148">
        <v>0.74</v>
      </c>
      <c r="G148" t="s">
        <v>1161</v>
      </c>
      <c r="H148" t="s">
        <v>1386</v>
      </c>
    </row>
    <row r="149" spans="2:8" ht="30" x14ac:dyDescent="0.25">
      <c r="B149" s="19" t="str">
        <f>IWU[[#This Row],[Gebäudetyp]]&amp;"_"&amp;IWU[[#This Row],[Baujahr]]</f>
        <v>Mehrfamilienhaus_1979 - 1983</v>
      </c>
      <c r="C149" s="19" t="s">
        <v>1102</v>
      </c>
      <c r="D149" t="s">
        <v>521</v>
      </c>
      <c r="E149" t="s">
        <v>185</v>
      </c>
      <c r="F149">
        <v>0.8</v>
      </c>
      <c r="G149" t="s">
        <v>1162</v>
      </c>
      <c r="H149" t="s">
        <v>1386</v>
      </c>
    </row>
    <row r="150" spans="2:8" ht="30" x14ac:dyDescent="0.25">
      <c r="B150" s="19" t="str">
        <f>IWU[[#This Row],[Gebäudetyp]]&amp;"_"&amp;IWU[[#This Row],[Baujahr]]</f>
        <v>Mehrfamilienhaus_1984 - 1994</v>
      </c>
      <c r="C150" s="19" t="s">
        <v>1102</v>
      </c>
      <c r="D150" t="s">
        <v>1153</v>
      </c>
      <c r="E150" t="s">
        <v>185</v>
      </c>
      <c r="F150">
        <v>0.66</v>
      </c>
      <c r="G150" t="s">
        <v>1163</v>
      </c>
      <c r="H150" t="s">
        <v>1386</v>
      </c>
    </row>
    <row r="151" spans="2:8" ht="30" x14ac:dyDescent="0.25">
      <c r="B151" s="19" t="str">
        <f>IWU[[#This Row],[Gebäudetyp]]&amp;"_"&amp;IWU[[#This Row],[Baujahr]]</f>
        <v>Mehrfamilienhaus_1995 - 2002</v>
      </c>
      <c r="C151" s="19" t="s">
        <v>1102</v>
      </c>
      <c r="D151" t="s">
        <v>1132</v>
      </c>
      <c r="E151" t="s">
        <v>185</v>
      </c>
      <c r="F151">
        <v>0.28000000000000003</v>
      </c>
      <c r="G151" t="s">
        <v>1395</v>
      </c>
      <c r="H151" t="s">
        <v>1386</v>
      </c>
    </row>
    <row r="152" spans="2:8" ht="30" x14ac:dyDescent="0.25">
      <c r="B152" s="19" t="str">
        <f>IWU[[#This Row],[Gebäudetyp]]&amp;"_"&amp;IWU[[#This Row],[Baujahr]]</f>
        <v>Mehrfamilienhaus_2003 - 2008</v>
      </c>
      <c r="C152" s="19" t="s">
        <v>1102</v>
      </c>
      <c r="D152" t="s">
        <v>477</v>
      </c>
      <c r="E152" t="s">
        <v>185</v>
      </c>
      <c r="F152">
        <v>0.35</v>
      </c>
      <c r="G152" t="s">
        <v>1397</v>
      </c>
      <c r="H152" t="s">
        <v>1386</v>
      </c>
    </row>
    <row r="153" spans="2:8" ht="30" x14ac:dyDescent="0.25">
      <c r="B153" s="19" t="str">
        <f>IWU[[#This Row],[Gebäudetyp]]&amp;"_"&amp;IWU[[#This Row],[Baujahr]]</f>
        <v>Mehrfamilienhaus_2009 - 2022</v>
      </c>
      <c r="C153" s="19" t="s">
        <v>1102</v>
      </c>
      <c r="D153" t="s">
        <v>567</v>
      </c>
      <c r="E153" t="s">
        <v>185</v>
      </c>
      <c r="F153">
        <f>$F$53</f>
        <v>0.24</v>
      </c>
      <c r="G153" t="s">
        <v>791</v>
      </c>
      <c r="H153" t="s">
        <v>1399</v>
      </c>
    </row>
    <row r="154" spans="2:8" ht="30" x14ac:dyDescent="0.25">
      <c r="B154" s="19" t="str">
        <f>IWU[[#This Row],[Gebäudetyp]]&amp;"_"&amp;IWU[[#This Row],[Baujahr]]</f>
        <v>Mehrfamilienhaus_ab 2023</v>
      </c>
      <c r="C154" s="19" t="s">
        <v>1102</v>
      </c>
      <c r="D154" t="s">
        <v>1152</v>
      </c>
      <c r="E154" t="s">
        <v>185</v>
      </c>
      <c r="F154">
        <f>$F$54</f>
        <v>0.24</v>
      </c>
      <c r="G154" t="s">
        <v>134</v>
      </c>
      <c r="H154" t="s">
        <v>1401</v>
      </c>
    </row>
    <row r="155" spans="2:8" ht="30" x14ac:dyDescent="0.25">
      <c r="B155" s="19" t="str">
        <f>IWU[[#This Row],[Gebäudetyp]]&amp;"_"&amp;IWU[[#This Row],[Baujahr]]</f>
        <v>Mehrfamilienhaus_2027 - 2045</v>
      </c>
      <c r="C155" s="19" t="s">
        <v>1102</v>
      </c>
      <c r="D155" t="s">
        <v>1155</v>
      </c>
      <c r="E155" t="s">
        <v>185</v>
      </c>
      <c r="F155">
        <f>F$55</f>
        <v>0.24</v>
      </c>
      <c r="G155" t="s">
        <v>1403</v>
      </c>
      <c r="H155" s="26" t="s">
        <v>1404</v>
      </c>
    </row>
    <row r="156" spans="2:8" ht="30" hidden="1" x14ac:dyDescent="0.25">
      <c r="B156" s="19" t="str">
        <f>IWU[[#This Row],[Gebäudetyp]]&amp;"_"&amp;IWU[[#This Row],[Baujahr]]</f>
        <v>Mehrfamilienhaus_vor 1859</v>
      </c>
      <c r="C156" s="19" t="s">
        <v>1102</v>
      </c>
      <c r="D156" t="s">
        <v>1124</v>
      </c>
      <c r="E156" t="s">
        <v>334</v>
      </c>
      <c r="F156">
        <v>1.04</v>
      </c>
      <c r="G156" t="s">
        <v>120</v>
      </c>
      <c r="H156" t="s">
        <v>1386</v>
      </c>
    </row>
    <row r="157" spans="2:8" ht="30" hidden="1" x14ac:dyDescent="0.25">
      <c r="B157" s="19" t="str">
        <f>IWU[[#This Row],[Gebäudetyp]]&amp;"_"&amp;IWU[[#This Row],[Baujahr]]</f>
        <v>Mehrfamilienhaus_1860 - 1918</v>
      </c>
      <c r="C157" s="19" t="s">
        <v>1102</v>
      </c>
      <c r="D157" t="s">
        <v>1126</v>
      </c>
      <c r="E157" t="s">
        <v>334</v>
      </c>
      <c r="F157">
        <v>1.37</v>
      </c>
      <c r="G157" t="s">
        <v>123</v>
      </c>
      <c r="H157" t="s">
        <v>1386</v>
      </c>
    </row>
    <row r="158" spans="2:8" ht="30" hidden="1" x14ac:dyDescent="0.25">
      <c r="B158" s="19" t="str">
        <f>IWU[[#This Row],[Gebäudetyp]]&amp;"_"&amp;IWU[[#This Row],[Baujahr]]</f>
        <v>Mehrfamilienhaus_1919 - 1948</v>
      </c>
      <c r="C158" s="19" t="s">
        <v>1102</v>
      </c>
      <c r="D158" t="s">
        <v>1128</v>
      </c>
      <c r="E158" t="s">
        <v>334</v>
      </c>
      <c r="F158">
        <v>1.1100000000000001</v>
      </c>
      <c r="G158" t="s">
        <v>1158</v>
      </c>
      <c r="H158" t="s">
        <v>1386</v>
      </c>
    </row>
    <row r="159" spans="2:8" ht="30" hidden="1" x14ac:dyDescent="0.25">
      <c r="B159" s="19" t="str">
        <f>IWU[[#This Row],[Gebäudetyp]]&amp;"_"&amp;IWU[[#This Row],[Baujahr]]</f>
        <v>Mehrfamilienhaus_1949 - 1957</v>
      </c>
      <c r="C159" s="19" t="s">
        <v>1102</v>
      </c>
      <c r="D159" t="s">
        <v>1131</v>
      </c>
      <c r="E159" t="s">
        <v>334</v>
      </c>
      <c r="F159">
        <v>1.65</v>
      </c>
      <c r="G159" t="s">
        <v>1159</v>
      </c>
      <c r="H159" t="s">
        <v>1386</v>
      </c>
    </row>
    <row r="160" spans="2:8" ht="30" hidden="1" x14ac:dyDescent="0.25">
      <c r="B160" s="19" t="str">
        <f>IWU[[#This Row],[Gebäudetyp]]&amp;"_"&amp;IWU[[#This Row],[Baujahr]]</f>
        <v>Mehrfamilienhaus_1958 - 1968</v>
      </c>
      <c r="C160" s="19" t="s">
        <v>1102</v>
      </c>
      <c r="D160" t="s">
        <v>1133</v>
      </c>
      <c r="E160" t="s">
        <v>334</v>
      </c>
      <c r="F160">
        <v>0.97</v>
      </c>
      <c r="G160" t="s">
        <v>1160</v>
      </c>
      <c r="H160" t="s">
        <v>1386</v>
      </c>
    </row>
    <row r="161" spans="2:8" ht="30" hidden="1" x14ac:dyDescent="0.25">
      <c r="B161" s="19" t="str">
        <f>IWU[[#This Row],[Gebäudetyp]]&amp;"_"&amp;IWU[[#This Row],[Baujahr]]</f>
        <v>Mehrfamilienhaus_1969 - 1978</v>
      </c>
      <c r="C161" s="19" t="s">
        <v>1102</v>
      </c>
      <c r="D161" t="s">
        <v>306</v>
      </c>
      <c r="E161" t="s">
        <v>334</v>
      </c>
      <c r="F161">
        <v>0.97</v>
      </c>
      <c r="G161" t="s">
        <v>1161</v>
      </c>
      <c r="H161" t="s">
        <v>1386</v>
      </c>
    </row>
    <row r="162" spans="2:8" ht="30" hidden="1" x14ac:dyDescent="0.25">
      <c r="B162" s="19" t="str">
        <f>IWU[[#This Row],[Gebäudetyp]]&amp;"_"&amp;IWU[[#This Row],[Baujahr]]</f>
        <v>Mehrfamilienhaus_1979 - 1983</v>
      </c>
      <c r="C162" s="19" t="s">
        <v>1102</v>
      </c>
      <c r="D162" t="s">
        <v>521</v>
      </c>
      <c r="E162" t="s">
        <v>334</v>
      </c>
      <c r="F162">
        <v>0.67</v>
      </c>
      <c r="G162" t="s">
        <v>1162</v>
      </c>
      <c r="H162" t="s">
        <v>1386</v>
      </c>
    </row>
    <row r="163" spans="2:8" ht="30" hidden="1" x14ac:dyDescent="0.25">
      <c r="B163" s="19" t="str">
        <f>IWU[[#This Row],[Gebäudetyp]]&amp;"_"&amp;IWU[[#This Row],[Baujahr]]</f>
        <v>Mehrfamilienhaus_1984 - 1994</v>
      </c>
      <c r="C163" s="19" t="s">
        <v>1102</v>
      </c>
      <c r="D163" t="s">
        <v>1153</v>
      </c>
      <c r="E163" t="s">
        <v>334</v>
      </c>
      <c r="F163">
        <v>0.55000000000000004</v>
      </c>
      <c r="G163" t="s">
        <v>1163</v>
      </c>
      <c r="H163" t="s">
        <v>1386</v>
      </c>
    </row>
    <row r="164" spans="2:8" ht="30" hidden="1" x14ac:dyDescent="0.25">
      <c r="B164" s="19" t="str">
        <f>IWU[[#This Row],[Gebäudetyp]]&amp;"_"&amp;IWU[[#This Row],[Baujahr]]</f>
        <v>Mehrfamilienhaus_1995 - 2002</v>
      </c>
      <c r="C164" s="19" t="s">
        <v>1102</v>
      </c>
      <c r="D164" t="s">
        <v>1132</v>
      </c>
      <c r="E164" t="s">
        <v>334</v>
      </c>
      <c r="F164">
        <v>0.34</v>
      </c>
      <c r="G164" t="s">
        <v>1395</v>
      </c>
      <c r="H164" t="s">
        <v>1386</v>
      </c>
    </row>
    <row r="165" spans="2:8" ht="30" hidden="1" x14ac:dyDescent="0.25">
      <c r="B165" s="19" t="str">
        <f>IWU[[#This Row],[Gebäudetyp]]&amp;"_"&amp;IWU[[#This Row],[Baujahr]]</f>
        <v>Mehrfamilienhaus_2003 - 2008</v>
      </c>
      <c r="C165" s="19" t="s">
        <v>1102</v>
      </c>
      <c r="D165" t="s">
        <v>477</v>
      </c>
      <c r="E165" t="s">
        <v>334</v>
      </c>
      <c r="F165">
        <v>0.34</v>
      </c>
      <c r="G165" t="s">
        <v>1397</v>
      </c>
      <c r="H165" t="s">
        <v>1386</v>
      </c>
    </row>
    <row r="166" spans="2:8" ht="30" hidden="1" x14ac:dyDescent="0.25">
      <c r="B166" s="19" t="str">
        <f>IWU[[#This Row],[Gebäudetyp]]&amp;"_"&amp;IWU[[#This Row],[Baujahr]]</f>
        <v>Mehrfamilienhaus_2009 - 2022</v>
      </c>
      <c r="C166" s="19" t="s">
        <v>1102</v>
      </c>
      <c r="D166" t="s">
        <v>567</v>
      </c>
      <c r="E166" t="s">
        <v>334</v>
      </c>
      <c r="F166">
        <f>$F$66</f>
        <v>0.3</v>
      </c>
      <c r="G166" t="s">
        <v>791</v>
      </c>
      <c r="H166" t="s">
        <v>1399</v>
      </c>
    </row>
    <row r="167" spans="2:8" ht="30" hidden="1" x14ac:dyDescent="0.25">
      <c r="B167" s="19" t="str">
        <f>IWU[[#This Row],[Gebäudetyp]]&amp;"_"&amp;IWU[[#This Row],[Baujahr]]</f>
        <v>Mehrfamilienhaus_ab 2023</v>
      </c>
      <c r="C167" s="19" t="s">
        <v>1102</v>
      </c>
      <c r="D167" t="s">
        <v>1152</v>
      </c>
      <c r="E167" t="s">
        <v>334</v>
      </c>
      <c r="F167">
        <f>$F$67</f>
        <v>0.35</v>
      </c>
      <c r="G167" t="s">
        <v>134</v>
      </c>
      <c r="H167" s="26" t="s">
        <v>1430</v>
      </c>
    </row>
    <row r="168" spans="2:8" ht="30" hidden="1" x14ac:dyDescent="0.25">
      <c r="B168" s="19" t="str">
        <f>IWU[[#This Row],[Gebäudetyp]]&amp;"_"&amp;IWU[[#This Row],[Baujahr]]</f>
        <v>Mehrfamilienhaus_2027 - 2045</v>
      </c>
      <c r="C168" s="19" t="s">
        <v>1102</v>
      </c>
      <c r="D168" t="s">
        <v>1155</v>
      </c>
      <c r="E168" t="s">
        <v>334</v>
      </c>
      <c r="F168">
        <f>$F$68</f>
        <v>0.35</v>
      </c>
      <c r="G168" t="s">
        <v>1403</v>
      </c>
      <c r="H168" s="26" t="s">
        <v>1404</v>
      </c>
    </row>
    <row r="169" spans="2:8" ht="30" hidden="1" x14ac:dyDescent="0.25">
      <c r="B169" s="19" t="str">
        <f>IWU[[#This Row],[Gebäudetyp]]&amp;"_"&amp;IWU[[#This Row],[Baujahr]]</f>
        <v>Mehrfamilienhaus_vor 1859</v>
      </c>
      <c r="C169" s="19" t="s">
        <v>1102</v>
      </c>
      <c r="D169" t="s">
        <v>1124</v>
      </c>
      <c r="E169" t="s">
        <v>526</v>
      </c>
      <c r="F169">
        <v>2.57</v>
      </c>
      <c r="G169" t="s">
        <v>120</v>
      </c>
      <c r="H169" t="s">
        <v>1386</v>
      </c>
    </row>
    <row r="170" spans="2:8" ht="30" hidden="1" x14ac:dyDescent="0.25">
      <c r="B170" s="19" t="str">
        <f>IWU[[#This Row],[Gebäudetyp]]&amp;"_"&amp;IWU[[#This Row],[Baujahr]]</f>
        <v>Mehrfamilienhaus_1860 - 1918</v>
      </c>
      <c r="C170" s="19" t="s">
        <v>1102</v>
      </c>
      <c r="D170" t="s">
        <v>1126</v>
      </c>
      <c r="E170" t="s">
        <v>526</v>
      </c>
      <c r="F170">
        <v>2.57</v>
      </c>
      <c r="G170" t="s">
        <v>123</v>
      </c>
      <c r="H170" t="s">
        <v>1386</v>
      </c>
    </row>
    <row r="171" spans="2:8" ht="30" hidden="1" x14ac:dyDescent="0.25">
      <c r="B171" s="19" t="str">
        <f>IWU[[#This Row],[Gebäudetyp]]&amp;"_"&amp;IWU[[#This Row],[Baujahr]]</f>
        <v>Mehrfamilienhaus_1919 - 1948</v>
      </c>
      <c r="C171" s="19" t="s">
        <v>1102</v>
      </c>
      <c r="D171" t="s">
        <v>1128</v>
      </c>
      <c r="E171" t="s">
        <v>526</v>
      </c>
      <c r="F171">
        <v>4.3</v>
      </c>
      <c r="G171" t="s">
        <v>1158</v>
      </c>
      <c r="H171" t="s">
        <v>1386</v>
      </c>
    </row>
    <row r="172" spans="2:8" ht="30" hidden="1" x14ac:dyDescent="0.25">
      <c r="B172" s="19" t="str">
        <f>IWU[[#This Row],[Gebäudetyp]]&amp;"_"&amp;IWU[[#This Row],[Baujahr]]</f>
        <v>Mehrfamilienhaus_1949 - 1957</v>
      </c>
      <c r="C172" s="19" t="s">
        <v>1102</v>
      </c>
      <c r="D172" t="s">
        <v>1131</v>
      </c>
      <c r="E172" t="s">
        <v>526</v>
      </c>
      <c r="F172">
        <v>2.8</v>
      </c>
      <c r="G172" t="s">
        <v>1159</v>
      </c>
      <c r="H172" t="s">
        <v>1386</v>
      </c>
    </row>
    <row r="173" spans="2:8" ht="30" hidden="1" x14ac:dyDescent="0.25">
      <c r="B173" s="19" t="str">
        <f>IWU[[#This Row],[Gebäudetyp]]&amp;"_"&amp;IWU[[#This Row],[Baujahr]]</f>
        <v>Mehrfamilienhaus_1958 - 1968</v>
      </c>
      <c r="C173" s="19" t="s">
        <v>1102</v>
      </c>
      <c r="D173" t="s">
        <v>1133</v>
      </c>
      <c r="E173" t="s">
        <v>526</v>
      </c>
      <c r="F173">
        <v>2.57</v>
      </c>
      <c r="G173" t="s">
        <v>1160</v>
      </c>
      <c r="H173" t="s">
        <v>1386</v>
      </c>
    </row>
    <row r="174" spans="2:8" ht="30" hidden="1" x14ac:dyDescent="0.25">
      <c r="B174" s="19" t="str">
        <f>IWU[[#This Row],[Gebäudetyp]]&amp;"_"&amp;IWU[[#This Row],[Baujahr]]</f>
        <v>Mehrfamilienhaus_1969 - 1978</v>
      </c>
      <c r="C174" s="19" t="s">
        <v>1102</v>
      </c>
      <c r="D174" t="s">
        <v>306</v>
      </c>
      <c r="E174" t="s">
        <v>526</v>
      </c>
      <c r="F174">
        <v>2.8</v>
      </c>
      <c r="G174" t="s">
        <v>1161</v>
      </c>
      <c r="H174" t="s">
        <v>1386</v>
      </c>
    </row>
    <row r="175" spans="2:8" ht="30" hidden="1" x14ac:dyDescent="0.25">
      <c r="B175" s="19" t="str">
        <f>IWU[[#This Row],[Gebäudetyp]]&amp;"_"&amp;IWU[[#This Row],[Baujahr]]</f>
        <v>Mehrfamilienhaus_1979 - 1983</v>
      </c>
      <c r="C175" s="19" t="s">
        <v>1102</v>
      </c>
      <c r="D175" t="s">
        <v>521</v>
      </c>
      <c r="E175" t="s">
        <v>526</v>
      </c>
      <c r="F175">
        <v>2.57</v>
      </c>
      <c r="G175" t="s">
        <v>1162</v>
      </c>
      <c r="H175" t="s">
        <v>1386</v>
      </c>
    </row>
    <row r="176" spans="2:8" ht="30" hidden="1" x14ac:dyDescent="0.25">
      <c r="B176" s="19" t="str">
        <f>IWU[[#This Row],[Gebäudetyp]]&amp;"_"&amp;IWU[[#This Row],[Baujahr]]</f>
        <v>Mehrfamilienhaus_1984 - 1994</v>
      </c>
      <c r="C176" s="19" t="s">
        <v>1102</v>
      </c>
      <c r="D176" t="s">
        <v>1153</v>
      </c>
      <c r="E176" t="s">
        <v>526</v>
      </c>
      <c r="F176">
        <v>2.57</v>
      </c>
      <c r="G176" t="s">
        <v>1163</v>
      </c>
      <c r="H176" t="s">
        <v>1386</v>
      </c>
    </row>
    <row r="177" spans="2:9" ht="30" hidden="1" x14ac:dyDescent="0.25">
      <c r="B177" s="19" t="str">
        <f>IWU[[#This Row],[Gebäudetyp]]&amp;"_"&amp;IWU[[#This Row],[Baujahr]]</f>
        <v>Mehrfamilienhaus_1995 - 2002</v>
      </c>
      <c r="C177" s="19" t="s">
        <v>1102</v>
      </c>
      <c r="D177" t="s">
        <v>1132</v>
      </c>
      <c r="E177" t="s">
        <v>526</v>
      </c>
      <c r="F177">
        <v>1.6</v>
      </c>
      <c r="G177" t="s">
        <v>1395</v>
      </c>
      <c r="H177" t="s">
        <v>1386</v>
      </c>
    </row>
    <row r="178" spans="2:9" ht="30" hidden="1" x14ac:dyDescent="0.25">
      <c r="B178" s="19" t="str">
        <f>IWU[[#This Row],[Gebäudetyp]]&amp;"_"&amp;IWU[[#This Row],[Baujahr]]</f>
        <v>Mehrfamilienhaus_2003 - 2008</v>
      </c>
      <c r="C178" s="19" t="s">
        <v>1102</v>
      </c>
      <c r="D178" t="s">
        <v>477</v>
      </c>
      <c r="E178" t="s">
        <v>526</v>
      </c>
      <c r="F178">
        <v>1.6</v>
      </c>
      <c r="G178" t="s">
        <v>1397</v>
      </c>
      <c r="H178" t="s">
        <v>1386</v>
      </c>
    </row>
    <row r="179" spans="2:9" ht="30" hidden="1" x14ac:dyDescent="0.25">
      <c r="B179" s="19" t="str">
        <f>IWU[[#This Row],[Gebäudetyp]]&amp;"_"&amp;IWU[[#This Row],[Baujahr]]</f>
        <v>Mehrfamilienhaus_2009 - 2022</v>
      </c>
      <c r="C179" s="19" t="s">
        <v>1102</v>
      </c>
      <c r="D179" t="s">
        <v>567</v>
      </c>
      <c r="E179" t="s">
        <v>526</v>
      </c>
      <c r="F179">
        <f>$F$79</f>
        <v>1.45</v>
      </c>
      <c r="G179" t="s">
        <v>791</v>
      </c>
      <c r="H179" t="s">
        <v>1399</v>
      </c>
    </row>
    <row r="180" spans="2:9" ht="30" hidden="1" x14ac:dyDescent="0.25">
      <c r="B180" s="19" t="str">
        <f>IWU[[#This Row],[Gebäudetyp]]&amp;"_"&amp;IWU[[#This Row],[Baujahr]]</f>
        <v>Mehrfamilienhaus_ab 2023</v>
      </c>
      <c r="C180" s="19" t="s">
        <v>1102</v>
      </c>
      <c r="D180" t="s">
        <v>1152</v>
      </c>
      <c r="E180" t="s">
        <v>526</v>
      </c>
      <c r="F180">
        <f>$F$80</f>
        <v>1.1000000000000001</v>
      </c>
      <c r="G180" t="s">
        <v>134</v>
      </c>
      <c r="H180" t="s">
        <v>1401</v>
      </c>
    </row>
    <row r="181" spans="2:9" ht="30" hidden="1" x14ac:dyDescent="0.25">
      <c r="B181" s="19" t="str">
        <f>IWU[[#This Row],[Gebäudetyp]]&amp;"_"&amp;IWU[[#This Row],[Baujahr]]</f>
        <v>Mehrfamilienhaus_2027 - 2045</v>
      </c>
      <c r="C181" s="19" t="s">
        <v>1102</v>
      </c>
      <c r="D181" t="s">
        <v>1155</v>
      </c>
      <c r="E181" t="s">
        <v>526</v>
      </c>
      <c r="F181">
        <f>$F$81</f>
        <v>1.1000000000000001</v>
      </c>
      <c r="G181" t="s">
        <v>1403</v>
      </c>
      <c r="H181" s="26" t="s">
        <v>1404</v>
      </c>
    </row>
    <row r="182" spans="2:9" ht="45" hidden="1" x14ac:dyDescent="0.25">
      <c r="B182" s="19" t="str">
        <f>IWU[[#This Row],[Gebäudetyp]]&amp;"_"&amp;IWU[[#This Row],[Baujahr]]</f>
        <v>Großes Mehrfamileinhaus_1860 - 1918</v>
      </c>
      <c r="C182" s="19" t="s">
        <v>1449</v>
      </c>
      <c r="D182" t="s">
        <v>1126</v>
      </c>
      <c r="E182" t="s">
        <v>528</v>
      </c>
      <c r="F182">
        <v>2.6</v>
      </c>
      <c r="G182" t="s">
        <v>123</v>
      </c>
      <c r="H182" t="s">
        <v>1386</v>
      </c>
      <c r="I182" s="26" t="s">
        <v>1450</v>
      </c>
    </row>
    <row r="183" spans="2:9" ht="45" hidden="1" x14ac:dyDescent="0.25">
      <c r="B183" s="19" t="str">
        <f>IWU[[#This Row],[Gebäudetyp]]&amp;"_"&amp;IWU[[#This Row],[Baujahr]]</f>
        <v>Großes Mehrfamileinhaus_1919 - 1948</v>
      </c>
      <c r="C183" s="19" t="s">
        <v>1449</v>
      </c>
      <c r="D183" t="s">
        <v>1128</v>
      </c>
      <c r="E183" t="s">
        <v>528</v>
      </c>
      <c r="F183">
        <v>0.78</v>
      </c>
      <c r="G183" t="s">
        <v>1158</v>
      </c>
      <c r="H183" t="s">
        <v>1386</v>
      </c>
    </row>
    <row r="184" spans="2:9" ht="45" hidden="1" x14ac:dyDescent="0.25">
      <c r="B184" s="19" t="str">
        <f>IWU[[#This Row],[Gebäudetyp]]&amp;"_"&amp;IWU[[#This Row],[Baujahr]]</f>
        <v>Großes Mehrfamileinhaus_1949 - 1957</v>
      </c>
      <c r="C184" s="19" t="s">
        <v>1449</v>
      </c>
      <c r="D184" t="s">
        <v>1131</v>
      </c>
      <c r="E184" t="s">
        <v>528</v>
      </c>
      <c r="F184">
        <v>2.08</v>
      </c>
      <c r="G184" t="s">
        <v>1159</v>
      </c>
      <c r="H184" t="s">
        <v>1386</v>
      </c>
    </row>
    <row r="185" spans="2:9" ht="45" hidden="1" x14ac:dyDescent="0.25">
      <c r="B185" s="19" t="str">
        <f>IWU[[#This Row],[Gebäudetyp]]&amp;"_"&amp;IWU[[#This Row],[Baujahr]]</f>
        <v>Großes Mehrfamileinhaus_1958 - 1968</v>
      </c>
      <c r="C185" s="19" t="s">
        <v>1449</v>
      </c>
      <c r="D185" t="s">
        <v>1133</v>
      </c>
      <c r="E185" t="s">
        <v>528</v>
      </c>
      <c r="F185">
        <v>0.82</v>
      </c>
      <c r="G185" t="s">
        <v>1160</v>
      </c>
      <c r="H185" t="s">
        <v>1386</v>
      </c>
    </row>
    <row r="186" spans="2:9" ht="45" hidden="1" x14ac:dyDescent="0.25">
      <c r="B186" s="19" t="str">
        <f>IWU[[#This Row],[Gebäudetyp]]&amp;"_"&amp;IWU[[#This Row],[Baujahr]]</f>
        <v>Großes Mehrfamileinhaus_1969 - 1978</v>
      </c>
      <c r="C186" s="19" t="s">
        <v>1449</v>
      </c>
      <c r="D186" t="s">
        <v>306</v>
      </c>
      <c r="E186" t="s">
        <v>528</v>
      </c>
      <c r="F186">
        <v>0.82</v>
      </c>
      <c r="G186" t="s">
        <v>1161</v>
      </c>
      <c r="H186" t="s">
        <v>1386</v>
      </c>
    </row>
    <row r="187" spans="2:9" ht="45" hidden="1" x14ac:dyDescent="0.25">
      <c r="B187" s="19" t="str">
        <f>IWU[[#This Row],[Gebäudetyp]]&amp;"_"&amp;IWU[[#This Row],[Baujahr]]</f>
        <v>Großes Mehrfamileinhaus_1979 - 1983</v>
      </c>
      <c r="C187" s="19" t="s">
        <v>1449</v>
      </c>
      <c r="D187" t="s">
        <v>521</v>
      </c>
      <c r="E187" t="s">
        <v>528</v>
      </c>
      <c r="F187">
        <v>0.44</v>
      </c>
      <c r="G187" t="s">
        <v>1162</v>
      </c>
      <c r="H187" s="26" t="s">
        <v>1404</v>
      </c>
    </row>
    <row r="188" spans="2:9" ht="45" hidden="1" x14ac:dyDescent="0.25">
      <c r="B188" s="19" t="str">
        <f>IWU[[#This Row],[Gebäudetyp]]&amp;"_"&amp;IWU[[#This Row],[Baujahr]]</f>
        <v>Großes Mehrfamileinhaus_1984 - 1994</v>
      </c>
      <c r="C188" s="19" t="s">
        <v>1449</v>
      </c>
      <c r="D188" t="s">
        <v>1153</v>
      </c>
      <c r="E188" t="s">
        <v>528</v>
      </c>
      <c r="F188">
        <v>0.3</v>
      </c>
      <c r="G188" t="s">
        <v>1163</v>
      </c>
      <c r="H188" s="26" t="s">
        <v>1404</v>
      </c>
    </row>
    <row r="189" spans="2:9" ht="45" hidden="1" x14ac:dyDescent="0.25">
      <c r="B189" s="19" t="str">
        <f>IWU[[#This Row],[Gebäudetyp]]&amp;"_"&amp;IWU[[#This Row],[Baujahr]]</f>
        <v>Großes Mehrfamileinhaus_1995 - 2002</v>
      </c>
      <c r="C189" s="19" t="s">
        <v>1449</v>
      </c>
      <c r="D189" t="s">
        <v>1132</v>
      </c>
      <c r="E189" t="s">
        <v>528</v>
      </c>
      <c r="F189">
        <v>0.21</v>
      </c>
      <c r="G189" t="s">
        <v>1395</v>
      </c>
      <c r="H189" s="26" t="s">
        <v>1404</v>
      </c>
    </row>
    <row r="190" spans="2:9" ht="45" hidden="1" x14ac:dyDescent="0.25">
      <c r="B190" s="19" t="str">
        <f>IWU[[#This Row],[Gebäudetyp]]&amp;"_"&amp;IWU[[#This Row],[Baujahr]]</f>
        <v>Großes Mehrfamileinhaus_2003 - 2008</v>
      </c>
      <c r="C190" s="19" t="s">
        <v>1449</v>
      </c>
      <c r="D190" t="s">
        <v>477</v>
      </c>
      <c r="E190" t="s">
        <v>528</v>
      </c>
      <c r="F190">
        <v>0.22</v>
      </c>
      <c r="G190" t="s">
        <v>1397</v>
      </c>
      <c r="H190" s="26" t="s">
        <v>1404</v>
      </c>
    </row>
    <row r="191" spans="2:9" ht="45" hidden="1" x14ac:dyDescent="0.25">
      <c r="B191" s="19" t="str">
        <f>IWU[[#This Row],[Gebäudetyp]]&amp;"_"&amp;IWU[[#This Row],[Baujahr]]</f>
        <v>Großes Mehrfamileinhaus_2009 - 2022</v>
      </c>
      <c r="C191" s="19" t="s">
        <v>1449</v>
      </c>
      <c r="D191" t="s">
        <v>567</v>
      </c>
      <c r="E191" t="s">
        <v>528</v>
      </c>
      <c r="F191">
        <f>$F$40</f>
        <v>0.22</v>
      </c>
      <c r="G191" t="s">
        <v>791</v>
      </c>
      <c r="H191" t="s">
        <v>1399</v>
      </c>
    </row>
    <row r="192" spans="2:9" ht="45" hidden="1" x14ac:dyDescent="0.25">
      <c r="B192" s="19" t="str">
        <f>IWU[[#This Row],[Gebäudetyp]]&amp;"_"&amp;IWU[[#This Row],[Baujahr]]</f>
        <v>Großes Mehrfamileinhaus_ab 2023</v>
      </c>
      <c r="C192" s="19" t="s">
        <v>1449</v>
      </c>
      <c r="D192" t="s">
        <v>1152</v>
      </c>
      <c r="E192" t="s">
        <v>528</v>
      </c>
      <c r="F192">
        <f>$F$41</f>
        <v>0.22</v>
      </c>
      <c r="G192" t="s">
        <v>134</v>
      </c>
      <c r="H192" t="s">
        <v>1401</v>
      </c>
    </row>
    <row r="193" spans="2:8" ht="45" hidden="1" x14ac:dyDescent="0.25">
      <c r="B193" s="19" t="str">
        <f>IWU[[#This Row],[Gebäudetyp]]&amp;"_"&amp;IWU[[#This Row],[Baujahr]]</f>
        <v>Großes Mehrfamileinhaus_2027 - 2045</v>
      </c>
      <c r="C193" s="19" t="s">
        <v>1449</v>
      </c>
      <c r="D193" t="s">
        <v>1155</v>
      </c>
      <c r="E193" t="s">
        <v>528</v>
      </c>
      <c r="F193">
        <f>$F$42</f>
        <v>0.22</v>
      </c>
      <c r="G193" t="s">
        <v>1403</v>
      </c>
      <c r="H193" s="26" t="s">
        <v>1404</v>
      </c>
    </row>
    <row r="194" spans="2:8" ht="45" x14ac:dyDescent="0.25">
      <c r="B194" s="19" t="str">
        <f>IWU[[#This Row],[Gebäudetyp]]&amp;"_"&amp;IWU[[#This Row],[Baujahr]]</f>
        <v>Großes Mehrfamileinhaus_1860 - 1918</v>
      </c>
      <c r="C194" s="19" t="s">
        <v>1449</v>
      </c>
      <c r="D194" t="s">
        <v>1126</v>
      </c>
      <c r="E194" t="s">
        <v>185</v>
      </c>
      <c r="F194">
        <v>1.45</v>
      </c>
      <c r="G194" t="s">
        <v>123</v>
      </c>
      <c r="H194" t="s">
        <v>1386</v>
      </c>
    </row>
    <row r="195" spans="2:8" ht="45" x14ac:dyDescent="0.25">
      <c r="B195" s="19" t="str">
        <f>IWU[[#This Row],[Gebäudetyp]]&amp;"_"&amp;IWU[[#This Row],[Baujahr]]</f>
        <v>Großes Mehrfamileinhaus_1919 - 1948</v>
      </c>
      <c r="C195" s="19" t="s">
        <v>1449</v>
      </c>
      <c r="D195" t="s">
        <v>1128</v>
      </c>
      <c r="E195" t="s">
        <v>185</v>
      </c>
      <c r="F195">
        <v>1.45</v>
      </c>
      <c r="G195" t="s">
        <v>1158</v>
      </c>
      <c r="H195" t="s">
        <v>1386</v>
      </c>
    </row>
    <row r="196" spans="2:8" ht="45" x14ac:dyDescent="0.25">
      <c r="B196" s="19" t="str">
        <f>IWU[[#This Row],[Gebäudetyp]]&amp;"_"&amp;IWU[[#This Row],[Baujahr]]</f>
        <v>Großes Mehrfamileinhaus_1949 - 1957</v>
      </c>
      <c r="C196" s="19" t="s">
        <v>1449</v>
      </c>
      <c r="D196" t="s">
        <v>1131</v>
      </c>
      <c r="E196" t="s">
        <v>185</v>
      </c>
      <c r="F196">
        <v>1.21</v>
      </c>
      <c r="G196" t="s">
        <v>1159</v>
      </c>
      <c r="H196" t="s">
        <v>1386</v>
      </c>
    </row>
    <row r="197" spans="2:8" ht="45" x14ac:dyDescent="0.25">
      <c r="B197" s="19" t="str">
        <f>IWU[[#This Row],[Gebäudetyp]]&amp;"_"&amp;IWU[[#This Row],[Baujahr]]</f>
        <v>Großes Mehrfamileinhaus_1958 - 1968</v>
      </c>
      <c r="C197" s="19" t="s">
        <v>1449</v>
      </c>
      <c r="D197" t="s">
        <v>1133</v>
      </c>
      <c r="E197" t="s">
        <v>185</v>
      </c>
      <c r="F197">
        <v>1.3</v>
      </c>
      <c r="G197" t="s">
        <v>1160</v>
      </c>
      <c r="H197" t="s">
        <v>1386</v>
      </c>
    </row>
    <row r="198" spans="2:8" ht="45" x14ac:dyDescent="0.25">
      <c r="B198" s="19" t="str">
        <f>IWU[[#This Row],[Gebäudetyp]]&amp;"_"&amp;IWU[[#This Row],[Baujahr]]</f>
        <v>Großes Mehrfamileinhaus_1969 - 1978</v>
      </c>
      <c r="C198" s="19" t="s">
        <v>1449</v>
      </c>
      <c r="D198" t="s">
        <v>306</v>
      </c>
      <c r="E198" t="s">
        <v>185</v>
      </c>
      <c r="F198">
        <v>1.46</v>
      </c>
      <c r="G198" t="s">
        <v>1161</v>
      </c>
      <c r="H198" t="s">
        <v>1386</v>
      </c>
    </row>
    <row r="199" spans="2:8" ht="45" x14ac:dyDescent="0.25">
      <c r="B199" s="19" t="str">
        <f>IWU[[#This Row],[Gebäudetyp]]&amp;"_"&amp;IWU[[#This Row],[Baujahr]]</f>
        <v>Großes Mehrfamileinhaus_1979 - 1983</v>
      </c>
      <c r="C199" s="19" t="s">
        <v>1449</v>
      </c>
      <c r="D199" t="s">
        <v>521</v>
      </c>
      <c r="E199" t="s">
        <v>185</v>
      </c>
      <c r="F199">
        <v>0.8</v>
      </c>
      <c r="G199" t="s">
        <v>1162</v>
      </c>
      <c r="H199" s="26" t="s">
        <v>1404</v>
      </c>
    </row>
    <row r="200" spans="2:8" ht="45" x14ac:dyDescent="0.25">
      <c r="B200" s="19" t="str">
        <f>IWU[[#This Row],[Gebäudetyp]]&amp;"_"&amp;IWU[[#This Row],[Baujahr]]</f>
        <v>Großes Mehrfamileinhaus_1984 - 1994</v>
      </c>
      <c r="C200" s="19" t="s">
        <v>1449</v>
      </c>
      <c r="D200" t="s">
        <v>1153</v>
      </c>
      <c r="E200" t="s">
        <v>185</v>
      </c>
      <c r="F200">
        <v>0.66</v>
      </c>
      <c r="G200" t="s">
        <v>1163</v>
      </c>
      <c r="H200" s="26" t="s">
        <v>1404</v>
      </c>
    </row>
    <row r="201" spans="2:8" ht="45" x14ac:dyDescent="0.25">
      <c r="B201" s="19" t="str">
        <f>IWU[[#This Row],[Gebäudetyp]]&amp;"_"&amp;IWU[[#This Row],[Baujahr]]</f>
        <v>Großes Mehrfamileinhaus_1995 - 2002</v>
      </c>
      <c r="C201" s="19" t="s">
        <v>1449</v>
      </c>
      <c r="D201" t="s">
        <v>1132</v>
      </c>
      <c r="E201" t="s">
        <v>185</v>
      </c>
      <c r="F201">
        <v>0.28000000000000003</v>
      </c>
      <c r="G201" t="s">
        <v>1395</v>
      </c>
      <c r="H201" s="26" t="s">
        <v>1404</v>
      </c>
    </row>
    <row r="202" spans="2:8" ht="45" x14ac:dyDescent="0.25">
      <c r="B202" s="19" t="str">
        <f>IWU[[#This Row],[Gebäudetyp]]&amp;"_"&amp;IWU[[#This Row],[Baujahr]]</f>
        <v>Großes Mehrfamileinhaus_2003 - 2008</v>
      </c>
      <c r="C202" s="19" t="s">
        <v>1449</v>
      </c>
      <c r="D202" t="s">
        <v>477</v>
      </c>
      <c r="E202" t="s">
        <v>185</v>
      </c>
      <c r="F202">
        <v>0.35</v>
      </c>
      <c r="G202" t="s">
        <v>1397</v>
      </c>
      <c r="H202" s="26" t="s">
        <v>1404</v>
      </c>
    </row>
    <row r="203" spans="2:8" ht="45" x14ac:dyDescent="0.25">
      <c r="B203" s="19" t="str">
        <f>IWU[[#This Row],[Gebäudetyp]]&amp;"_"&amp;IWU[[#This Row],[Baujahr]]</f>
        <v>Großes Mehrfamileinhaus_2009 - 2022</v>
      </c>
      <c r="C203" s="19" t="s">
        <v>1449</v>
      </c>
      <c r="D203" t="s">
        <v>567</v>
      </c>
      <c r="E203" t="s">
        <v>185</v>
      </c>
      <c r="F203">
        <f>$F$53</f>
        <v>0.24</v>
      </c>
      <c r="G203" t="s">
        <v>791</v>
      </c>
      <c r="H203" t="s">
        <v>1399</v>
      </c>
    </row>
    <row r="204" spans="2:8" ht="45" x14ac:dyDescent="0.25">
      <c r="B204" s="19" t="str">
        <f>IWU[[#This Row],[Gebäudetyp]]&amp;"_"&amp;IWU[[#This Row],[Baujahr]]</f>
        <v>Großes Mehrfamileinhaus_ab 2023</v>
      </c>
      <c r="C204" s="19" t="s">
        <v>1449</v>
      </c>
      <c r="D204" t="s">
        <v>1152</v>
      </c>
      <c r="E204" t="s">
        <v>185</v>
      </c>
      <c r="F204">
        <f>$F$54</f>
        <v>0.24</v>
      </c>
      <c r="G204" t="s">
        <v>134</v>
      </c>
      <c r="H204" t="s">
        <v>1401</v>
      </c>
    </row>
    <row r="205" spans="2:8" ht="45" x14ac:dyDescent="0.25">
      <c r="B205" s="19" t="str">
        <f>IWU[[#This Row],[Gebäudetyp]]&amp;"_"&amp;IWU[[#This Row],[Baujahr]]</f>
        <v>Großes Mehrfamileinhaus_2027 - 2045</v>
      </c>
      <c r="C205" s="19" t="s">
        <v>1449</v>
      </c>
      <c r="D205" t="s">
        <v>1155</v>
      </c>
      <c r="E205" t="s">
        <v>185</v>
      </c>
      <c r="F205">
        <f>$F$55</f>
        <v>0.24</v>
      </c>
      <c r="G205" t="s">
        <v>1403</v>
      </c>
      <c r="H205" s="26" t="s">
        <v>1404</v>
      </c>
    </row>
    <row r="206" spans="2:8" ht="45" hidden="1" x14ac:dyDescent="0.25">
      <c r="B206" s="19" t="str">
        <f>IWU[[#This Row],[Gebäudetyp]]&amp;"_"&amp;IWU[[#This Row],[Baujahr]]</f>
        <v>Großes Mehrfamileinhaus_1860 - 1918</v>
      </c>
      <c r="C206" s="19" t="s">
        <v>1449</v>
      </c>
      <c r="D206" t="s">
        <v>1126</v>
      </c>
      <c r="E206" t="s">
        <v>334</v>
      </c>
      <c r="F206">
        <v>1.37</v>
      </c>
      <c r="G206" t="s">
        <v>123</v>
      </c>
      <c r="H206" t="s">
        <v>1386</v>
      </c>
    </row>
    <row r="207" spans="2:8" ht="45" hidden="1" x14ac:dyDescent="0.25">
      <c r="B207" s="19" t="str">
        <f>IWU[[#This Row],[Gebäudetyp]]&amp;"_"&amp;IWU[[#This Row],[Baujahr]]</f>
        <v>Großes Mehrfamileinhaus_1919 - 1948</v>
      </c>
      <c r="C207" s="19" t="s">
        <v>1449</v>
      </c>
      <c r="D207" t="s">
        <v>1128</v>
      </c>
      <c r="E207" t="s">
        <v>334</v>
      </c>
      <c r="F207">
        <v>1.1100000000000001</v>
      </c>
      <c r="G207" t="s">
        <v>1158</v>
      </c>
      <c r="H207" t="s">
        <v>1386</v>
      </c>
    </row>
    <row r="208" spans="2:8" ht="45" hidden="1" x14ac:dyDescent="0.25">
      <c r="B208" s="19" t="str">
        <f>IWU[[#This Row],[Gebäudetyp]]&amp;"_"&amp;IWU[[#This Row],[Baujahr]]</f>
        <v>Großes Mehrfamileinhaus_1949 - 1957</v>
      </c>
      <c r="C208" s="19" t="s">
        <v>1449</v>
      </c>
      <c r="D208" t="s">
        <v>1131</v>
      </c>
      <c r="E208" t="s">
        <v>334</v>
      </c>
      <c r="F208">
        <v>1.65</v>
      </c>
      <c r="G208" t="s">
        <v>1159</v>
      </c>
      <c r="H208" t="s">
        <v>1386</v>
      </c>
    </row>
    <row r="209" spans="2:8" ht="45" hidden="1" x14ac:dyDescent="0.25">
      <c r="B209" s="19" t="str">
        <f>IWU[[#This Row],[Gebäudetyp]]&amp;"_"&amp;IWU[[#This Row],[Baujahr]]</f>
        <v>Großes Mehrfamileinhaus_1958 - 1968</v>
      </c>
      <c r="C209" s="19" t="s">
        <v>1449</v>
      </c>
      <c r="D209" t="s">
        <v>1133</v>
      </c>
      <c r="E209" t="s">
        <v>334</v>
      </c>
      <c r="F209">
        <v>0.97</v>
      </c>
      <c r="G209" t="s">
        <v>1160</v>
      </c>
      <c r="H209" t="s">
        <v>1386</v>
      </c>
    </row>
    <row r="210" spans="2:8" ht="45" hidden="1" x14ac:dyDescent="0.25">
      <c r="B210" s="19" t="str">
        <f>IWU[[#This Row],[Gebäudetyp]]&amp;"_"&amp;IWU[[#This Row],[Baujahr]]</f>
        <v>Großes Mehrfamileinhaus_1969 - 1978</v>
      </c>
      <c r="C210" s="19" t="s">
        <v>1449</v>
      </c>
      <c r="D210" t="s">
        <v>306</v>
      </c>
      <c r="E210" t="s">
        <v>334</v>
      </c>
      <c r="F210">
        <v>0.97</v>
      </c>
      <c r="G210" t="s">
        <v>1161</v>
      </c>
      <c r="H210" t="s">
        <v>1386</v>
      </c>
    </row>
    <row r="211" spans="2:8" ht="45" hidden="1" x14ac:dyDescent="0.25">
      <c r="B211" s="19" t="str">
        <f>IWU[[#This Row],[Gebäudetyp]]&amp;"_"&amp;IWU[[#This Row],[Baujahr]]</f>
        <v>Großes Mehrfamileinhaus_1979 - 1983</v>
      </c>
      <c r="C211" s="19" t="s">
        <v>1449</v>
      </c>
      <c r="D211" t="s">
        <v>521</v>
      </c>
      <c r="E211" t="s">
        <v>334</v>
      </c>
      <c r="F211">
        <v>0.67</v>
      </c>
      <c r="G211" t="s">
        <v>1162</v>
      </c>
      <c r="H211" t="s">
        <v>1386</v>
      </c>
    </row>
    <row r="212" spans="2:8" ht="45" hidden="1" x14ac:dyDescent="0.25">
      <c r="B212" s="19" t="str">
        <f>IWU[[#This Row],[Gebäudetyp]]&amp;"_"&amp;IWU[[#This Row],[Baujahr]]</f>
        <v>Großes Mehrfamileinhaus_1984 - 1994</v>
      </c>
      <c r="C212" s="19" t="s">
        <v>1449</v>
      </c>
      <c r="D212" t="s">
        <v>1153</v>
      </c>
      <c r="E212" t="s">
        <v>334</v>
      </c>
      <c r="F212">
        <v>0.55000000000000004</v>
      </c>
      <c r="G212" t="s">
        <v>1163</v>
      </c>
      <c r="H212" t="s">
        <v>1386</v>
      </c>
    </row>
    <row r="213" spans="2:8" ht="45" hidden="1" x14ac:dyDescent="0.25">
      <c r="B213" s="19" t="str">
        <f>IWU[[#This Row],[Gebäudetyp]]&amp;"_"&amp;IWU[[#This Row],[Baujahr]]</f>
        <v>Großes Mehrfamileinhaus_1995 - 2002</v>
      </c>
      <c r="C213" s="19" t="s">
        <v>1449</v>
      </c>
      <c r="D213" t="s">
        <v>1132</v>
      </c>
      <c r="E213" t="s">
        <v>334</v>
      </c>
      <c r="F213">
        <v>0.34</v>
      </c>
      <c r="G213" t="s">
        <v>1395</v>
      </c>
      <c r="H213" t="s">
        <v>1386</v>
      </c>
    </row>
    <row r="214" spans="2:8" ht="45" hidden="1" x14ac:dyDescent="0.25">
      <c r="B214" s="19" t="str">
        <f>IWU[[#This Row],[Gebäudetyp]]&amp;"_"&amp;IWU[[#This Row],[Baujahr]]</f>
        <v>Großes Mehrfamileinhaus_2003 - 2008</v>
      </c>
      <c r="C214" s="19" t="s">
        <v>1449</v>
      </c>
      <c r="D214" t="s">
        <v>477</v>
      </c>
      <c r="E214" t="s">
        <v>334</v>
      </c>
      <c r="F214">
        <v>0.34</v>
      </c>
      <c r="G214" t="s">
        <v>1397</v>
      </c>
      <c r="H214" t="s">
        <v>1386</v>
      </c>
    </row>
    <row r="215" spans="2:8" ht="45" hidden="1" x14ac:dyDescent="0.25">
      <c r="B215" s="19" t="str">
        <f>IWU[[#This Row],[Gebäudetyp]]&amp;"_"&amp;IWU[[#This Row],[Baujahr]]</f>
        <v>Großes Mehrfamileinhaus_2009 - 2022</v>
      </c>
      <c r="C215" s="19" t="s">
        <v>1449</v>
      </c>
      <c r="D215" t="s">
        <v>567</v>
      </c>
      <c r="E215" t="s">
        <v>334</v>
      </c>
      <c r="F215">
        <f>$F$66</f>
        <v>0.3</v>
      </c>
      <c r="G215" t="s">
        <v>791</v>
      </c>
      <c r="H215" t="s">
        <v>1399</v>
      </c>
    </row>
    <row r="216" spans="2:8" ht="45" hidden="1" x14ac:dyDescent="0.25">
      <c r="B216" s="19" t="str">
        <f>IWU[[#This Row],[Gebäudetyp]]&amp;"_"&amp;IWU[[#This Row],[Baujahr]]</f>
        <v>Großes Mehrfamileinhaus_ab 2023</v>
      </c>
      <c r="C216" s="19" t="s">
        <v>1449</v>
      </c>
      <c r="D216" t="s">
        <v>1152</v>
      </c>
      <c r="E216" t="s">
        <v>334</v>
      </c>
      <c r="F216">
        <f>$F$67</f>
        <v>0.35</v>
      </c>
      <c r="G216" t="s">
        <v>134</v>
      </c>
      <c r="H216" s="26" t="s">
        <v>1430</v>
      </c>
    </row>
    <row r="217" spans="2:8" ht="45" hidden="1" x14ac:dyDescent="0.25">
      <c r="B217" s="19" t="str">
        <f>IWU[[#This Row],[Gebäudetyp]]&amp;"_"&amp;IWU[[#This Row],[Baujahr]]</f>
        <v>Großes Mehrfamileinhaus_2027 - 2045</v>
      </c>
      <c r="C217" s="19" t="s">
        <v>1449</v>
      </c>
      <c r="D217" t="s">
        <v>1155</v>
      </c>
      <c r="E217" t="s">
        <v>334</v>
      </c>
      <c r="F217">
        <f>$F$68</f>
        <v>0.35</v>
      </c>
      <c r="G217" t="s">
        <v>1403</v>
      </c>
      <c r="H217" s="26" t="s">
        <v>1404</v>
      </c>
    </row>
    <row r="218" spans="2:8" ht="45" hidden="1" x14ac:dyDescent="0.25">
      <c r="B218" s="19" t="str">
        <f>IWU[[#This Row],[Gebäudetyp]]&amp;"_"&amp;IWU[[#This Row],[Baujahr]]</f>
        <v>Großes Mehrfamileinhaus_1860 - 1918</v>
      </c>
      <c r="C218" s="19" t="s">
        <v>1449</v>
      </c>
      <c r="D218" t="s">
        <v>1126</v>
      </c>
      <c r="E218" t="s">
        <v>526</v>
      </c>
      <c r="F218">
        <v>2.57</v>
      </c>
      <c r="G218" t="s">
        <v>123</v>
      </c>
      <c r="H218" t="s">
        <v>1386</v>
      </c>
    </row>
    <row r="219" spans="2:8" ht="45" hidden="1" x14ac:dyDescent="0.25">
      <c r="B219" s="19" t="str">
        <f>IWU[[#This Row],[Gebäudetyp]]&amp;"_"&amp;IWU[[#This Row],[Baujahr]]</f>
        <v>Großes Mehrfamileinhaus_1919 - 1948</v>
      </c>
      <c r="C219" s="19" t="s">
        <v>1449</v>
      </c>
      <c r="D219" t="s">
        <v>1128</v>
      </c>
      <c r="E219" t="s">
        <v>526</v>
      </c>
      <c r="F219">
        <v>4.3</v>
      </c>
      <c r="G219" t="s">
        <v>1158</v>
      </c>
      <c r="H219" t="s">
        <v>1386</v>
      </c>
    </row>
    <row r="220" spans="2:8" ht="45" hidden="1" x14ac:dyDescent="0.25">
      <c r="B220" s="19" t="str">
        <f>IWU[[#This Row],[Gebäudetyp]]&amp;"_"&amp;IWU[[#This Row],[Baujahr]]</f>
        <v>Großes Mehrfamileinhaus_1949 - 1957</v>
      </c>
      <c r="C220" s="19" t="s">
        <v>1449</v>
      </c>
      <c r="D220" t="s">
        <v>1131</v>
      </c>
      <c r="E220" t="s">
        <v>526</v>
      </c>
      <c r="F220">
        <v>2.8</v>
      </c>
      <c r="G220" t="s">
        <v>1159</v>
      </c>
      <c r="H220" t="s">
        <v>1386</v>
      </c>
    </row>
    <row r="221" spans="2:8" ht="45" hidden="1" x14ac:dyDescent="0.25">
      <c r="B221" s="19" t="str">
        <f>IWU[[#This Row],[Gebäudetyp]]&amp;"_"&amp;IWU[[#This Row],[Baujahr]]</f>
        <v>Großes Mehrfamileinhaus_1958 - 1968</v>
      </c>
      <c r="C221" s="19" t="s">
        <v>1449</v>
      </c>
      <c r="D221" t="s">
        <v>1133</v>
      </c>
      <c r="E221" t="s">
        <v>526</v>
      </c>
      <c r="F221">
        <v>2.57</v>
      </c>
      <c r="G221" t="s">
        <v>1160</v>
      </c>
      <c r="H221" t="s">
        <v>1386</v>
      </c>
    </row>
    <row r="222" spans="2:8" ht="45" hidden="1" x14ac:dyDescent="0.25">
      <c r="B222" s="19" t="str">
        <f>IWU[[#This Row],[Gebäudetyp]]&amp;"_"&amp;IWU[[#This Row],[Baujahr]]</f>
        <v>Großes Mehrfamileinhaus_1969 - 1978</v>
      </c>
      <c r="C222" s="19" t="s">
        <v>1449</v>
      </c>
      <c r="D222" t="s">
        <v>306</v>
      </c>
      <c r="E222" t="s">
        <v>526</v>
      </c>
      <c r="F222">
        <v>2.8</v>
      </c>
      <c r="G222" t="s">
        <v>1161</v>
      </c>
      <c r="H222" t="s">
        <v>1386</v>
      </c>
    </row>
    <row r="223" spans="2:8" ht="45" hidden="1" x14ac:dyDescent="0.25">
      <c r="B223" s="19" t="str">
        <f>IWU[[#This Row],[Gebäudetyp]]&amp;"_"&amp;IWU[[#This Row],[Baujahr]]</f>
        <v>Großes Mehrfamileinhaus_1979 - 1983</v>
      </c>
      <c r="C223" s="19" t="s">
        <v>1449</v>
      </c>
      <c r="D223" t="s">
        <v>521</v>
      </c>
      <c r="E223" t="s">
        <v>526</v>
      </c>
      <c r="F223">
        <v>2.57</v>
      </c>
      <c r="G223" t="s">
        <v>1162</v>
      </c>
      <c r="H223" t="s">
        <v>1386</v>
      </c>
    </row>
    <row r="224" spans="2:8" ht="45" hidden="1" x14ac:dyDescent="0.25">
      <c r="B224" s="19" t="str">
        <f>IWU[[#This Row],[Gebäudetyp]]&amp;"_"&amp;IWU[[#This Row],[Baujahr]]</f>
        <v>Großes Mehrfamileinhaus_1984 - 1994</v>
      </c>
      <c r="C224" s="19" t="s">
        <v>1449</v>
      </c>
      <c r="D224" t="s">
        <v>1153</v>
      </c>
      <c r="E224" t="s">
        <v>526</v>
      </c>
      <c r="F224">
        <v>2.57</v>
      </c>
      <c r="G224" t="s">
        <v>1163</v>
      </c>
      <c r="H224" t="s">
        <v>1386</v>
      </c>
    </row>
    <row r="225" spans="2:8" ht="45" hidden="1" x14ac:dyDescent="0.25">
      <c r="B225" s="19" t="str">
        <f>IWU[[#This Row],[Gebäudetyp]]&amp;"_"&amp;IWU[[#This Row],[Baujahr]]</f>
        <v>Großes Mehrfamileinhaus_1995 - 2002</v>
      </c>
      <c r="C225" s="19" t="s">
        <v>1449</v>
      </c>
      <c r="D225" t="s">
        <v>1132</v>
      </c>
      <c r="E225" t="s">
        <v>526</v>
      </c>
      <c r="F225">
        <v>1.6</v>
      </c>
      <c r="G225" t="s">
        <v>1395</v>
      </c>
      <c r="H225" t="s">
        <v>1386</v>
      </c>
    </row>
    <row r="226" spans="2:8" ht="45" hidden="1" x14ac:dyDescent="0.25">
      <c r="B226" s="19" t="str">
        <f>IWU[[#This Row],[Gebäudetyp]]&amp;"_"&amp;IWU[[#This Row],[Baujahr]]</f>
        <v>Großes Mehrfamileinhaus_2003 - 2008</v>
      </c>
      <c r="C226" s="19" t="s">
        <v>1449</v>
      </c>
      <c r="D226" t="s">
        <v>477</v>
      </c>
      <c r="E226" t="s">
        <v>526</v>
      </c>
      <c r="F226">
        <v>1.6</v>
      </c>
      <c r="G226" t="s">
        <v>1397</v>
      </c>
      <c r="H226" t="s">
        <v>1386</v>
      </c>
    </row>
    <row r="227" spans="2:8" ht="45" hidden="1" x14ac:dyDescent="0.25">
      <c r="B227" s="19" t="str">
        <f>IWU[[#This Row],[Gebäudetyp]]&amp;"_"&amp;IWU[[#This Row],[Baujahr]]</f>
        <v>Großes Mehrfamileinhaus_2009 - 2022</v>
      </c>
      <c r="C227" s="19" t="s">
        <v>1449</v>
      </c>
      <c r="D227" t="s">
        <v>567</v>
      </c>
      <c r="E227" t="s">
        <v>526</v>
      </c>
      <c r="F227">
        <f>$F$79</f>
        <v>1.45</v>
      </c>
      <c r="G227" t="s">
        <v>791</v>
      </c>
      <c r="H227" t="s">
        <v>1399</v>
      </c>
    </row>
    <row r="228" spans="2:8" ht="45" hidden="1" x14ac:dyDescent="0.25">
      <c r="B228" s="19" t="str">
        <f>IWU[[#This Row],[Gebäudetyp]]&amp;"_"&amp;IWU[[#This Row],[Baujahr]]</f>
        <v>Großes Mehrfamileinhaus_ab 2023</v>
      </c>
      <c r="C228" s="19" t="s">
        <v>1449</v>
      </c>
      <c r="D228" t="s">
        <v>1152</v>
      </c>
      <c r="E228" t="s">
        <v>526</v>
      </c>
      <c r="F228">
        <f>$F$80</f>
        <v>1.1000000000000001</v>
      </c>
      <c r="G228" t="s">
        <v>134</v>
      </c>
      <c r="H228" t="s">
        <v>1401</v>
      </c>
    </row>
    <row r="229" spans="2:8" ht="45" hidden="1" x14ac:dyDescent="0.25">
      <c r="B229" s="19" t="str">
        <f>IWU[[#This Row],[Gebäudetyp]]&amp;"_"&amp;IWU[[#This Row],[Baujahr]]</f>
        <v>Großes Mehrfamileinhaus_2027 - 2045</v>
      </c>
      <c r="C229" s="19" t="s">
        <v>1449</v>
      </c>
      <c r="D229" t="s">
        <v>1155</v>
      </c>
      <c r="E229" t="s">
        <v>526</v>
      </c>
      <c r="F229">
        <f>$F$81</f>
        <v>1.1000000000000001</v>
      </c>
      <c r="G229" t="s">
        <v>1403</v>
      </c>
      <c r="H229" s="26" t="s">
        <v>1404</v>
      </c>
    </row>
    <row r="230" spans="2:8" ht="60" hidden="1" x14ac:dyDescent="0.25">
      <c r="B230" s="19" t="str">
        <f>IWU[[#This Row],[Gebäudetyp]]&amp;"_"&amp;IWU[[#This Row],[Baujahr]]</f>
        <v>Neue Bundesländer Mehrfamilienhaus_1949 - 1957</v>
      </c>
      <c r="C230" s="19" t="s">
        <v>1451</v>
      </c>
      <c r="D230" t="s">
        <v>1131</v>
      </c>
      <c r="E230" t="s">
        <v>528</v>
      </c>
      <c r="F230">
        <v>1.1399999999999999</v>
      </c>
      <c r="G230" t="s">
        <v>1159</v>
      </c>
      <c r="H230" t="s">
        <v>1386</v>
      </c>
    </row>
    <row r="231" spans="2:8" ht="60" hidden="1" x14ac:dyDescent="0.25">
      <c r="B231" s="19" t="str">
        <f>IWU[[#This Row],[Gebäudetyp]]&amp;"_"&amp;IWU[[#This Row],[Baujahr]]</f>
        <v>Neue Bundesländer Mehrfamilienhaus_1958 - 1968</v>
      </c>
      <c r="C231" s="19" t="s">
        <v>1451</v>
      </c>
      <c r="D231" t="s">
        <v>1133</v>
      </c>
      <c r="E231" t="s">
        <v>528</v>
      </c>
      <c r="F231">
        <v>1.1399999999999999</v>
      </c>
      <c r="G231" t="s">
        <v>1160</v>
      </c>
      <c r="H231" t="s">
        <v>1386</v>
      </c>
    </row>
    <row r="232" spans="2:8" ht="75" hidden="1" x14ac:dyDescent="0.25">
      <c r="B232" s="19" t="str">
        <f>IWU[[#This Row],[Gebäudetyp]]&amp;"_"&amp;IWU[[#This Row],[Baujahr]]</f>
        <v>Neue Bundesländer großes Mehrfamilienhaus_1969 - 1978</v>
      </c>
      <c r="C232" s="19" t="s">
        <v>1452</v>
      </c>
      <c r="D232" t="s">
        <v>306</v>
      </c>
      <c r="E232" t="s">
        <v>528</v>
      </c>
      <c r="F232">
        <v>0.97</v>
      </c>
      <c r="G232" t="s">
        <v>1161</v>
      </c>
      <c r="H232" t="s">
        <v>1386</v>
      </c>
    </row>
    <row r="233" spans="2:8" ht="75" hidden="1" x14ac:dyDescent="0.25">
      <c r="B233" s="19" t="str">
        <f>IWU[[#This Row],[Gebäudetyp]]&amp;"_"&amp;IWU[[#This Row],[Baujahr]]</f>
        <v>Neue Bundesländer großes Mehrfamilienhaus_1979 - 1983</v>
      </c>
      <c r="C233" s="19" t="s">
        <v>1452</v>
      </c>
      <c r="D233" t="s">
        <v>521</v>
      </c>
      <c r="E233" t="s">
        <v>528</v>
      </c>
      <c r="F233">
        <v>0.97</v>
      </c>
      <c r="G233" t="s">
        <v>1162</v>
      </c>
      <c r="H233" t="s">
        <v>1386</v>
      </c>
    </row>
    <row r="234" spans="2:8" ht="75" hidden="1" x14ac:dyDescent="0.25">
      <c r="B234" s="19" t="str">
        <f>IWU[[#This Row],[Gebäudetyp]]&amp;"_"&amp;IWU[[#This Row],[Baujahr]]</f>
        <v>Neue Bundesländer großes Mehrfamilienhaus_1984 - 1994</v>
      </c>
      <c r="C234" s="19" t="s">
        <v>1452</v>
      </c>
      <c r="D234" t="s">
        <v>1153</v>
      </c>
      <c r="E234" t="s">
        <v>528</v>
      </c>
      <c r="F234">
        <v>0.84</v>
      </c>
      <c r="G234" t="s">
        <v>1163</v>
      </c>
      <c r="H234" t="s">
        <v>1386</v>
      </c>
    </row>
    <row r="235" spans="2:8" ht="60" x14ac:dyDescent="0.25">
      <c r="B235" s="19" t="str">
        <f>IWU[[#This Row],[Gebäudetyp]]&amp;"_"&amp;IWU[[#This Row],[Baujahr]]</f>
        <v>Neue Bundesländer Mehrfamilienhaus_1949 - 1957</v>
      </c>
      <c r="C235" s="19" t="s">
        <v>1451</v>
      </c>
      <c r="D235" t="s">
        <v>1131</v>
      </c>
      <c r="E235" t="s">
        <v>185</v>
      </c>
      <c r="F235">
        <v>1.21</v>
      </c>
      <c r="G235" t="s">
        <v>1159</v>
      </c>
      <c r="H235" t="s">
        <v>1386</v>
      </c>
    </row>
    <row r="236" spans="2:8" ht="60" x14ac:dyDescent="0.25">
      <c r="B236" s="19" t="str">
        <f>IWU[[#This Row],[Gebäudetyp]]&amp;"_"&amp;IWU[[#This Row],[Baujahr]]</f>
        <v>Neue Bundesländer Mehrfamilienhaus_1958 - 1968</v>
      </c>
      <c r="C236" s="19" t="s">
        <v>1451</v>
      </c>
      <c r="D236" t="s">
        <v>1133</v>
      </c>
      <c r="E236" t="s">
        <v>185</v>
      </c>
      <c r="F236">
        <v>1.46</v>
      </c>
      <c r="G236" t="s">
        <v>1160</v>
      </c>
      <c r="H236" t="s">
        <v>1386</v>
      </c>
    </row>
    <row r="237" spans="2:8" ht="75" x14ac:dyDescent="0.25">
      <c r="B237" s="19" t="str">
        <f>IWU[[#This Row],[Gebäudetyp]]&amp;"_"&amp;IWU[[#This Row],[Baujahr]]</f>
        <v>Neue Bundesländer großes Mehrfamilienhaus_1969 - 1978</v>
      </c>
      <c r="C237" s="19" t="s">
        <v>1452</v>
      </c>
      <c r="D237" t="s">
        <v>306</v>
      </c>
      <c r="E237" t="s">
        <v>185</v>
      </c>
      <c r="F237">
        <v>0.88</v>
      </c>
      <c r="G237" t="s">
        <v>1161</v>
      </c>
      <c r="H237" t="s">
        <v>1386</v>
      </c>
    </row>
    <row r="238" spans="2:8" ht="75" x14ac:dyDescent="0.25">
      <c r="B238" s="19" t="str">
        <f>IWU[[#This Row],[Gebäudetyp]]&amp;"_"&amp;IWU[[#This Row],[Baujahr]]</f>
        <v>Neue Bundesländer großes Mehrfamilienhaus_1979 - 1983</v>
      </c>
      <c r="C238" s="19" t="s">
        <v>1452</v>
      </c>
      <c r="D238" t="s">
        <v>521</v>
      </c>
      <c r="E238" t="s">
        <v>185</v>
      </c>
      <c r="F238">
        <v>0.88</v>
      </c>
      <c r="G238" t="s">
        <v>1162</v>
      </c>
      <c r="H238" t="s">
        <v>1386</v>
      </c>
    </row>
    <row r="239" spans="2:8" ht="75" x14ac:dyDescent="0.25">
      <c r="B239" s="19" t="str">
        <f>IWU[[#This Row],[Gebäudetyp]]&amp;"_"&amp;IWU[[#This Row],[Baujahr]]</f>
        <v>Neue Bundesländer großes Mehrfamilienhaus_1984 - 1994</v>
      </c>
      <c r="C239" s="19" t="s">
        <v>1452</v>
      </c>
      <c r="D239" t="s">
        <v>1153</v>
      </c>
      <c r="E239" t="s">
        <v>185</v>
      </c>
      <c r="F239">
        <v>0.76</v>
      </c>
      <c r="G239" t="s">
        <v>1163</v>
      </c>
      <c r="H239" t="s">
        <v>1386</v>
      </c>
    </row>
    <row r="240" spans="2:8" ht="60" hidden="1" x14ac:dyDescent="0.25">
      <c r="B240" s="19" t="str">
        <f>IWU[[#This Row],[Gebäudetyp]]&amp;"_"&amp;IWU[[#This Row],[Baujahr]]</f>
        <v>Neue Bundesländer Mehrfamilienhaus_1949 - 1957</v>
      </c>
      <c r="C240" s="19" t="s">
        <v>1451</v>
      </c>
      <c r="D240" t="s">
        <v>1131</v>
      </c>
      <c r="E240" t="s">
        <v>334</v>
      </c>
      <c r="F240">
        <v>1.01</v>
      </c>
      <c r="G240" t="s">
        <v>1159</v>
      </c>
      <c r="H240" t="s">
        <v>1386</v>
      </c>
    </row>
    <row r="241" spans="2:8" ht="60" hidden="1" x14ac:dyDescent="0.25">
      <c r="B241" s="19" t="str">
        <f>IWU[[#This Row],[Gebäudetyp]]&amp;"_"&amp;IWU[[#This Row],[Baujahr]]</f>
        <v>Neue Bundesländer Mehrfamilienhaus_1958 - 1968</v>
      </c>
      <c r="C241" s="19" t="s">
        <v>1451</v>
      </c>
      <c r="D241" t="s">
        <v>1133</v>
      </c>
      <c r="E241" t="s">
        <v>334</v>
      </c>
      <c r="F241">
        <v>1.01</v>
      </c>
      <c r="G241" t="s">
        <v>1160</v>
      </c>
      <c r="H241" t="s">
        <v>1386</v>
      </c>
    </row>
    <row r="242" spans="2:8" ht="75" hidden="1" x14ac:dyDescent="0.25">
      <c r="B242" s="19" t="str">
        <f>IWU[[#This Row],[Gebäudetyp]]&amp;"_"&amp;IWU[[#This Row],[Baujahr]]</f>
        <v>Neue Bundesländer großes Mehrfamilienhaus_1969 - 1978</v>
      </c>
      <c r="C242" s="19" t="s">
        <v>1452</v>
      </c>
      <c r="D242" t="s">
        <v>306</v>
      </c>
      <c r="E242" t="s">
        <v>334</v>
      </c>
      <c r="F242">
        <v>1.01</v>
      </c>
      <c r="G242" t="s">
        <v>1161</v>
      </c>
      <c r="H242" t="s">
        <v>1386</v>
      </c>
    </row>
    <row r="243" spans="2:8" ht="75" hidden="1" x14ac:dyDescent="0.25">
      <c r="B243" s="19" t="str">
        <f>IWU[[#This Row],[Gebäudetyp]]&amp;"_"&amp;IWU[[#This Row],[Baujahr]]</f>
        <v>Neue Bundesländer großes Mehrfamilienhaus_1979 - 1983</v>
      </c>
      <c r="C243" s="19" t="s">
        <v>1452</v>
      </c>
      <c r="D243" t="s">
        <v>521</v>
      </c>
      <c r="E243" t="s">
        <v>334</v>
      </c>
      <c r="F243">
        <v>0.85</v>
      </c>
      <c r="G243" t="s">
        <v>1162</v>
      </c>
      <c r="H243" t="s">
        <v>1386</v>
      </c>
    </row>
    <row r="244" spans="2:8" ht="75" hidden="1" x14ac:dyDescent="0.25">
      <c r="B244" s="19" t="str">
        <f>IWU[[#This Row],[Gebäudetyp]]&amp;"_"&amp;IWU[[#This Row],[Baujahr]]</f>
        <v>Neue Bundesländer großes Mehrfamilienhaus_1984 - 1994</v>
      </c>
      <c r="C244" s="19" t="s">
        <v>1452</v>
      </c>
      <c r="D244" t="s">
        <v>1153</v>
      </c>
      <c r="E244" t="s">
        <v>334</v>
      </c>
      <c r="F244">
        <v>0.85</v>
      </c>
      <c r="G244" t="s">
        <v>1163</v>
      </c>
      <c r="H244" t="s">
        <v>1386</v>
      </c>
    </row>
    <row r="245" spans="2:8" ht="60" hidden="1" x14ac:dyDescent="0.25">
      <c r="B245" s="19" t="str">
        <f>IWU[[#This Row],[Gebäudetyp]]&amp;"_"&amp;IWU[[#This Row],[Baujahr]]</f>
        <v>Neue Bundesländer Mehrfamilienhaus_1949 - 1957</v>
      </c>
      <c r="C245" s="19" t="s">
        <v>1451</v>
      </c>
      <c r="D245" t="s">
        <v>1131</v>
      </c>
      <c r="E245" t="s">
        <v>526</v>
      </c>
      <c r="F245">
        <v>5.2</v>
      </c>
      <c r="G245" t="s">
        <v>1159</v>
      </c>
      <c r="H245" t="s">
        <v>1386</v>
      </c>
    </row>
    <row r="246" spans="2:8" ht="60" hidden="1" x14ac:dyDescent="0.25">
      <c r="B246" s="19" t="str">
        <f>IWU[[#This Row],[Gebäudetyp]]&amp;"_"&amp;IWU[[#This Row],[Baujahr]]</f>
        <v>Neue Bundesländer Mehrfamilienhaus_1958 - 1968</v>
      </c>
      <c r="C246" s="19" t="s">
        <v>1451</v>
      </c>
      <c r="D246" t="s">
        <v>1133</v>
      </c>
      <c r="E246" t="s">
        <v>526</v>
      </c>
      <c r="F246">
        <v>5.2</v>
      </c>
      <c r="G246" t="s">
        <v>1160</v>
      </c>
      <c r="H246" t="s">
        <v>1386</v>
      </c>
    </row>
    <row r="247" spans="2:8" ht="75" hidden="1" x14ac:dyDescent="0.25">
      <c r="B247" s="19" t="str">
        <f>IWU[[#This Row],[Gebäudetyp]]&amp;"_"&amp;IWU[[#This Row],[Baujahr]]</f>
        <v>Neue Bundesländer großes Mehrfamilienhaus_1969 - 1978</v>
      </c>
      <c r="C247" s="19" t="s">
        <v>1452</v>
      </c>
      <c r="D247" t="s">
        <v>306</v>
      </c>
      <c r="E247" t="s">
        <v>526</v>
      </c>
      <c r="F247">
        <v>5.2</v>
      </c>
      <c r="G247" t="s">
        <v>1161</v>
      </c>
      <c r="H247" t="s">
        <v>1386</v>
      </c>
    </row>
    <row r="248" spans="2:8" ht="75" hidden="1" x14ac:dyDescent="0.25">
      <c r="B248" s="19" t="str">
        <f>IWU[[#This Row],[Gebäudetyp]]&amp;"_"&amp;IWU[[#This Row],[Baujahr]]</f>
        <v>Neue Bundesländer großes Mehrfamilienhaus_1979 - 1983</v>
      </c>
      <c r="C248" s="19" t="s">
        <v>1452</v>
      </c>
      <c r="D248" t="s">
        <v>521</v>
      </c>
      <c r="E248" t="s">
        <v>526</v>
      </c>
      <c r="F248">
        <v>2.57</v>
      </c>
      <c r="G248" t="s">
        <v>1162</v>
      </c>
      <c r="H248" t="s">
        <v>1386</v>
      </c>
    </row>
    <row r="249" spans="2:8" ht="75" hidden="1" x14ac:dyDescent="0.25">
      <c r="B249" s="19" t="str">
        <f>IWU[[#This Row],[Gebäudetyp]]&amp;"_"&amp;IWU[[#This Row],[Baujahr]]</f>
        <v>Neue Bundesländer großes Mehrfamilienhaus_1984 - 1994</v>
      </c>
      <c r="C249" s="19" t="s">
        <v>1452</v>
      </c>
      <c r="D249" t="s">
        <v>1153</v>
      </c>
      <c r="E249" t="s">
        <v>526</v>
      </c>
      <c r="F249">
        <v>2.57</v>
      </c>
      <c r="G249" t="s">
        <v>1163</v>
      </c>
      <c r="H249" t="s">
        <v>1386</v>
      </c>
    </row>
    <row r="250" spans="2:8" ht="45" hidden="1" x14ac:dyDescent="0.25">
      <c r="B250" s="19" t="str">
        <f>IWU[[#This Row],[Gebäudetyp]]&amp;"_"&amp;IWU[[#This Row],[Baujahr]]</f>
        <v>Ein- oder Zweifamilienhaus_vor 1859</v>
      </c>
      <c r="C250" s="19" t="s">
        <v>305</v>
      </c>
      <c r="D250" t="s">
        <v>1124</v>
      </c>
      <c r="E250" t="s">
        <v>333</v>
      </c>
      <c r="F250">
        <v>1.8</v>
      </c>
      <c r="G250" t="s">
        <v>120</v>
      </c>
    </row>
    <row r="251" spans="2:8" ht="45" hidden="1" x14ac:dyDescent="0.25">
      <c r="B251" s="19" t="str">
        <f>IWU[[#This Row],[Gebäudetyp]]&amp;"_"&amp;IWU[[#This Row],[Baujahr]]</f>
        <v>Ein- oder Zweifamilienhaus_1860 - 1918</v>
      </c>
      <c r="C251" s="19" t="s">
        <v>305</v>
      </c>
      <c r="D251" t="s">
        <v>1126</v>
      </c>
      <c r="E251" t="s">
        <v>333</v>
      </c>
      <c r="F251">
        <v>1.1100000000000001</v>
      </c>
      <c r="G251" t="s">
        <v>123</v>
      </c>
    </row>
    <row r="252" spans="2:8" ht="45" hidden="1" x14ac:dyDescent="0.25">
      <c r="B252" s="19" t="str">
        <f>IWU[[#This Row],[Gebäudetyp]]&amp;"_"&amp;IWU[[#This Row],[Baujahr]]</f>
        <v>Ein- oder Zweifamilienhaus_1919 - 1948</v>
      </c>
      <c r="C252" s="19" t="s">
        <v>305</v>
      </c>
      <c r="D252" t="s">
        <v>1128</v>
      </c>
      <c r="E252" t="s">
        <v>333</v>
      </c>
      <c r="F252">
        <v>1.1100000000000001</v>
      </c>
      <c r="G252" t="s">
        <v>1158</v>
      </c>
    </row>
    <row r="253" spans="2:8" ht="45" hidden="1" x14ac:dyDescent="0.25">
      <c r="B253" s="19" t="str">
        <f>IWU[[#This Row],[Gebäudetyp]]&amp;"_"&amp;IWU[[#This Row],[Baujahr]]</f>
        <v>Ein- oder Zweifamilienhaus_1949 - 1957</v>
      </c>
      <c r="C253" s="19" t="s">
        <v>305</v>
      </c>
      <c r="D253" t="s">
        <v>1131</v>
      </c>
      <c r="E253" t="s">
        <v>333</v>
      </c>
      <c r="F253">
        <v>1.1100000000000001</v>
      </c>
      <c r="G253" t="s">
        <v>1159</v>
      </c>
    </row>
    <row r="254" spans="2:8" ht="45" hidden="1" x14ac:dyDescent="0.25">
      <c r="B254" s="19" t="str">
        <f>IWU[[#This Row],[Gebäudetyp]]&amp;"_"&amp;IWU[[#This Row],[Baujahr]]</f>
        <v>Ein- oder Zweifamilienhaus_1958 - 1968</v>
      </c>
      <c r="C254" s="19" t="s">
        <v>305</v>
      </c>
      <c r="D254" t="s">
        <v>1133</v>
      </c>
      <c r="E254" t="s">
        <v>333</v>
      </c>
      <c r="F254">
        <v>0.92</v>
      </c>
      <c r="G254" t="s">
        <v>1160</v>
      </c>
    </row>
    <row r="255" spans="2:8" ht="45" hidden="1" x14ac:dyDescent="0.25">
      <c r="B255" s="19" t="str">
        <f>IWU[[#This Row],[Gebäudetyp]]&amp;"_"&amp;IWU[[#This Row],[Baujahr]]</f>
        <v>Ein- oder Zweifamilienhaus_1969 - 1978</v>
      </c>
      <c r="C255" s="19" t="s">
        <v>305</v>
      </c>
      <c r="D255" t="s">
        <v>306</v>
      </c>
      <c r="E255" t="s">
        <v>333</v>
      </c>
      <c r="F255">
        <v>0.63</v>
      </c>
      <c r="G255" t="s">
        <v>1161</v>
      </c>
    </row>
    <row r="256" spans="2:8" ht="45" hidden="1" x14ac:dyDescent="0.25">
      <c r="B256" s="19" t="str">
        <f>IWU[[#This Row],[Gebäudetyp]]&amp;"_"&amp;IWU[[#This Row],[Baujahr]]</f>
        <v>Ein- oder Zweifamilienhaus_1979 - 1983</v>
      </c>
      <c r="C256" s="19" t="s">
        <v>305</v>
      </c>
      <c r="D256" t="s">
        <v>521</v>
      </c>
      <c r="E256" t="s">
        <v>333</v>
      </c>
      <c r="F256">
        <v>0.43</v>
      </c>
      <c r="G256" t="s">
        <v>1162</v>
      </c>
    </row>
    <row r="257" spans="2:7" ht="45" hidden="1" x14ac:dyDescent="0.25">
      <c r="B257" s="19" t="str">
        <f>IWU[[#This Row],[Gebäudetyp]]&amp;"_"&amp;IWU[[#This Row],[Baujahr]]</f>
        <v>Ein- oder Zweifamilienhaus_1984 - 1994</v>
      </c>
      <c r="C257" s="19" t="s">
        <v>305</v>
      </c>
      <c r="D257" t="s">
        <v>1153</v>
      </c>
      <c r="E257" t="s">
        <v>333</v>
      </c>
      <c r="F257">
        <v>0.3</v>
      </c>
      <c r="G257" t="s">
        <v>1163</v>
      </c>
    </row>
    <row r="258" spans="2:7" ht="45" hidden="1" x14ac:dyDescent="0.25">
      <c r="B258" s="19" t="str">
        <f>IWU[[#This Row],[Gebäudetyp]]&amp;"_"&amp;IWU[[#This Row],[Baujahr]]</f>
        <v>Ein- oder Zweifamilienhaus_1995 - 2002</v>
      </c>
      <c r="C258" s="19" t="s">
        <v>305</v>
      </c>
      <c r="D258" t="s">
        <v>1132</v>
      </c>
      <c r="E258" t="s">
        <v>333</v>
      </c>
      <c r="F258">
        <v>0.22</v>
      </c>
      <c r="G258" t="s">
        <v>1395</v>
      </c>
    </row>
    <row r="259" spans="2:7" ht="45" hidden="1" x14ac:dyDescent="0.25">
      <c r="B259" s="19" t="str">
        <f>IWU[[#This Row],[Gebäudetyp]]&amp;"_"&amp;IWU[[#This Row],[Baujahr]]</f>
        <v>Ein- oder Zweifamilienhaus_2003 - 2008</v>
      </c>
      <c r="C259" s="19" t="s">
        <v>305</v>
      </c>
      <c r="D259" t="s">
        <v>477</v>
      </c>
      <c r="E259" t="s">
        <v>333</v>
      </c>
      <c r="F259">
        <v>0.22</v>
      </c>
      <c r="G259" t="s">
        <v>1397</v>
      </c>
    </row>
    <row r="260" spans="2:7" ht="45" hidden="1" x14ac:dyDescent="0.25">
      <c r="B260" s="19" t="str">
        <f>IWU[[#This Row],[Gebäudetyp]]&amp;"_"&amp;IWU[[#This Row],[Baujahr]]</f>
        <v>Ein- oder Zweifamilienhaus_2009 - 2022</v>
      </c>
      <c r="C260" s="19" t="s">
        <v>305</v>
      </c>
      <c r="D260" t="s">
        <v>567</v>
      </c>
      <c r="E260" t="s">
        <v>333</v>
      </c>
      <c r="F260">
        <f>AVERAGE(0.24,0.2)</f>
        <v>0.22</v>
      </c>
      <c r="G260" t="s">
        <v>791</v>
      </c>
    </row>
    <row r="261" spans="2:7" ht="45" hidden="1" x14ac:dyDescent="0.25">
      <c r="B261" s="19" t="str">
        <f>IWU[[#This Row],[Gebäudetyp]]&amp;"_"&amp;IWU[[#This Row],[Baujahr]]</f>
        <v>Ein- oder Zweifamilienhaus_ab 2023</v>
      </c>
      <c r="C261" s="19" t="s">
        <v>305</v>
      </c>
      <c r="D261" t="s">
        <v>1152</v>
      </c>
      <c r="E261" t="s">
        <v>333</v>
      </c>
      <c r="F261">
        <f>AVERAGE(0.24,0.2)</f>
        <v>0.22</v>
      </c>
      <c r="G261" t="s">
        <v>134</v>
      </c>
    </row>
    <row r="262" spans="2:7" ht="45" hidden="1" x14ac:dyDescent="0.25">
      <c r="B262" s="19" t="str">
        <f>IWU[[#This Row],[Gebäudetyp]]&amp;"_"&amp;IWU[[#This Row],[Baujahr]]</f>
        <v>Ein- oder Zweifamilienhaus_2027 - 2045</v>
      </c>
      <c r="C262" s="19" t="s">
        <v>305</v>
      </c>
      <c r="D262" t="s">
        <v>1155</v>
      </c>
      <c r="E262" t="s">
        <v>333</v>
      </c>
      <c r="F262">
        <v>0.22</v>
      </c>
      <c r="G262" t="s">
        <v>1403</v>
      </c>
    </row>
  </sheetData>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F8D4-B456-46AB-A0D0-52C764790157}">
  <sheetPr>
    <tabColor theme="8"/>
  </sheetPr>
  <dimension ref="A2:H1044"/>
  <sheetViews>
    <sheetView topLeftCell="A24" zoomScaleNormal="100" workbookViewId="0">
      <selection activeCell="B6" sqref="B6"/>
    </sheetView>
  </sheetViews>
  <sheetFormatPr baseColWidth="10" defaultColWidth="11.42578125" defaultRowHeight="15" x14ac:dyDescent="0.25"/>
  <cols>
    <col min="1" max="1" width="25.7109375" bestFit="1" customWidth="1"/>
    <col min="2" max="2" width="38.7109375" customWidth="1"/>
    <col min="4" max="4" width="39.7109375" bestFit="1" customWidth="1"/>
    <col min="5" max="5" width="7" bestFit="1" customWidth="1"/>
    <col min="6" max="6" width="18.85546875" customWidth="1"/>
  </cols>
  <sheetData>
    <row r="2" spans="1:8" ht="30.75" thickBot="1" x14ac:dyDescent="0.3">
      <c r="D2" t="s">
        <v>1453</v>
      </c>
      <c r="E2" s="44" t="s">
        <v>1454</v>
      </c>
      <c r="F2" s="46" t="s">
        <v>1455</v>
      </c>
      <c r="G2" t="s">
        <v>1456</v>
      </c>
      <c r="H2" t="s">
        <v>1457</v>
      </c>
    </row>
    <row r="3" spans="1:8" ht="15.75" thickBot="1" x14ac:dyDescent="0.3">
      <c r="A3" s="22" t="s">
        <v>1458</v>
      </c>
      <c r="B3" s="21">
        <f>IN_build!$P$2</f>
        <v>67435</v>
      </c>
      <c r="D3" t="s">
        <v>1459</v>
      </c>
      <c r="E3" s="45" t="s">
        <v>1460</v>
      </c>
      <c r="F3">
        <v>-14</v>
      </c>
      <c r="G3" t="s">
        <v>1461</v>
      </c>
      <c r="H3">
        <v>1</v>
      </c>
    </row>
    <row r="4" spans="1:8" x14ac:dyDescent="0.25">
      <c r="D4" t="s">
        <v>1462</v>
      </c>
      <c r="E4" s="45" t="s">
        <v>1463</v>
      </c>
      <c r="F4">
        <v>-16</v>
      </c>
      <c r="G4" t="s">
        <v>1461</v>
      </c>
      <c r="H4">
        <v>3</v>
      </c>
    </row>
    <row r="5" spans="1:8" x14ac:dyDescent="0.25">
      <c r="A5" s="22" t="s">
        <v>1464</v>
      </c>
      <c r="B5" s="44" t="str" cm="1">
        <f t="array" ref="B5">INDEX(Tabelle4[Plz],MATCH(MIN(ABS(Tabelle4[Plz]-$B$3)),ABS(Tabelle4[Plz]-$B$3),0))</f>
        <v>67433</v>
      </c>
      <c r="D5" t="s">
        <v>1465</v>
      </c>
      <c r="E5" s="45" t="s">
        <v>1466</v>
      </c>
      <c r="F5">
        <v>-12</v>
      </c>
      <c r="G5" t="s">
        <v>1461</v>
      </c>
      <c r="H5">
        <v>5</v>
      </c>
    </row>
    <row r="6" spans="1:8" x14ac:dyDescent="0.25">
      <c r="A6" s="22" t="s">
        <v>1467</v>
      </c>
      <c r="B6">
        <f>_xlfn.XLOOKUP(B5,Tabelle4[Plz],Tabelle4[Außentemperatur °C])</f>
        <v>-10</v>
      </c>
      <c r="D6" t="s">
        <v>1468</v>
      </c>
      <c r="E6" s="45" t="s">
        <v>1469</v>
      </c>
      <c r="F6">
        <v>-16</v>
      </c>
      <c r="G6" t="s">
        <v>1461</v>
      </c>
      <c r="H6">
        <v>56</v>
      </c>
    </row>
    <row r="7" spans="1:8" x14ac:dyDescent="0.25">
      <c r="D7" t="s">
        <v>1470</v>
      </c>
      <c r="E7" s="45" t="s">
        <v>1471</v>
      </c>
      <c r="F7">
        <v>-12</v>
      </c>
      <c r="G7" t="s">
        <v>1461</v>
      </c>
      <c r="H7">
        <v>104</v>
      </c>
    </row>
    <row r="8" spans="1:8" x14ac:dyDescent="0.25">
      <c r="D8" t="s">
        <v>1472</v>
      </c>
      <c r="E8" s="45" t="s">
        <v>1473</v>
      </c>
      <c r="F8">
        <v>-12</v>
      </c>
      <c r="G8" t="s">
        <v>1461</v>
      </c>
      <c r="H8">
        <v>153</v>
      </c>
    </row>
    <row r="9" spans="1:8" x14ac:dyDescent="0.25">
      <c r="D9" t="s">
        <v>1474</v>
      </c>
      <c r="E9" s="45" t="s">
        <v>1475</v>
      </c>
      <c r="F9">
        <v>-14</v>
      </c>
      <c r="G9" t="s">
        <v>1461</v>
      </c>
      <c r="H9">
        <v>192</v>
      </c>
    </row>
    <row r="10" spans="1:8" x14ac:dyDescent="0.25">
      <c r="D10" t="s">
        <v>1476</v>
      </c>
      <c r="E10" s="45" t="s">
        <v>1477</v>
      </c>
      <c r="F10">
        <v>-16</v>
      </c>
      <c r="G10" t="s">
        <v>1461</v>
      </c>
      <c r="H10">
        <v>230</v>
      </c>
    </row>
    <row r="11" spans="1:8" x14ac:dyDescent="0.25">
      <c r="D11" t="s">
        <v>1478</v>
      </c>
      <c r="E11" s="45" t="s">
        <v>1479</v>
      </c>
      <c r="F11">
        <v>-16</v>
      </c>
      <c r="G11" t="s">
        <v>1461</v>
      </c>
      <c r="H11">
        <v>248</v>
      </c>
    </row>
    <row r="12" spans="1:8" x14ac:dyDescent="0.25">
      <c r="D12" t="s">
        <v>1480</v>
      </c>
      <c r="E12" s="45" t="s">
        <v>1481</v>
      </c>
      <c r="F12">
        <v>-12</v>
      </c>
      <c r="G12" t="s">
        <v>1482</v>
      </c>
      <c r="H12">
        <v>258</v>
      </c>
    </row>
    <row r="13" spans="1:8" x14ac:dyDescent="0.25">
      <c r="D13" t="s">
        <v>1483</v>
      </c>
      <c r="E13" s="45" t="s">
        <v>1484</v>
      </c>
      <c r="F13">
        <v>-10</v>
      </c>
      <c r="G13" t="s">
        <v>1461</v>
      </c>
      <c r="H13">
        <v>283</v>
      </c>
    </row>
    <row r="14" spans="1:8" x14ac:dyDescent="0.25">
      <c r="D14" t="s">
        <v>1485</v>
      </c>
      <c r="E14" s="45" t="s">
        <v>1486</v>
      </c>
      <c r="F14">
        <v>-14</v>
      </c>
      <c r="G14" t="s">
        <v>1461</v>
      </c>
      <c r="H14">
        <v>310</v>
      </c>
    </row>
    <row r="15" spans="1:8" x14ac:dyDescent="0.25">
      <c r="D15" t="s">
        <v>1487</v>
      </c>
      <c r="E15" s="45" t="s">
        <v>1488</v>
      </c>
      <c r="F15">
        <v>-14</v>
      </c>
      <c r="G15" t="s">
        <v>1461</v>
      </c>
      <c r="H15">
        <v>326</v>
      </c>
    </row>
    <row r="16" spans="1:8" x14ac:dyDescent="0.25">
      <c r="D16" t="s">
        <v>1489</v>
      </c>
      <c r="E16" s="45" t="s">
        <v>1490</v>
      </c>
      <c r="F16">
        <v>-14</v>
      </c>
      <c r="G16" t="s">
        <v>1461</v>
      </c>
      <c r="H16">
        <v>343</v>
      </c>
    </row>
    <row r="17" spans="4:8" x14ac:dyDescent="0.25">
      <c r="D17" t="s">
        <v>1491</v>
      </c>
      <c r="E17" s="45" t="s">
        <v>1492</v>
      </c>
      <c r="F17">
        <v>-14</v>
      </c>
      <c r="G17" t="s">
        <v>1461</v>
      </c>
      <c r="H17">
        <v>346</v>
      </c>
    </row>
    <row r="18" spans="4:8" x14ac:dyDescent="0.25">
      <c r="D18" t="s">
        <v>1493</v>
      </c>
      <c r="E18" s="45" t="s">
        <v>1494</v>
      </c>
      <c r="F18">
        <v>-12</v>
      </c>
      <c r="G18" t="s">
        <v>1461</v>
      </c>
      <c r="H18">
        <v>351</v>
      </c>
    </row>
    <row r="19" spans="4:8" x14ac:dyDescent="0.25">
      <c r="D19" t="s">
        <v>1495</v>
      </c>
      <c r="E19" s="45" t="s">
        <v>1496</v>
      </c>
      <c r="F19">
        <v>-12</v>
      </c>
      <c r="G19" t="s">
        <v>1482</v>
      </c>
      <c r="H19">
        <v>359</v>
      </c>
    </row>
    <row r="20" spans="4:8" x14ac:dyDescent="0.25">
      <c r="D20" t="s">
        <v>1497</v>
      </c>
      <c r="E20" s="45" t="s">
        <v>1498</v>
      </c>
      <c r="F20">
        <v>-14</v>
      </c>
      <c r="G20" t="s">
        <v>1461</v>
      </c>
      <c r="H20">
        <v>401</v>
      </c>
    </row>
    <row r="21" spans="4:8" x14ac:dyDescent="0.25">
      <c r="D21" t="s">
        <v>1499</v>
      </c>
      <c r="E21" s="45" t="s">
        <v>1500</v>
      </c>
      <c r="F21">
        <v>-10</v>
      </c>
      <c r="G21" t="s">
        <v>1461</v>
      </c>
      <c r="H21">
        <v>413</v>
      </c>
    </row>
    <row r="22" spans="4:8" x14ac:dyDescent="0.25">
      <c r="D22" t="s">
        <v>1501</v>
      </c>
      <c r="E22" s="45" t="s">
        <v>1502</v>
      </c>
      <c r="F22">
        <v>-16</v>
      </c>
      <c r="G22" t="s">
        <v>1482</v>
      </c>
      <c r="H22">
        <v>421</v>
      </c>
    </row>
    <row r="23" spans="4:8" x14ac:dyDescent="0.25">
      <c r="D23" t="s">
        <v>1503</v>
      </c>
      <c r="E23" s="45" t="s">
        <v>1504</v>
      </c>
      <c r="F23">
        <v>-12</v>
      </c>
      <c r="G23" t="s">
        <v>1482</v>
      </c>
      <c r="H23">
        <v>428</v>
      </c>
    </row>
    <row r="24" spans="4:8" x14ac:dyDescent="0.25">
      <c r="D24" t="s">
        <v>1505</v>
      </c>
      <c r="E24" s="45" t="s">
        <v>1506</v>
      </c>
      <c r="F24">
        <v>-16</v>
      </c>
      <c r="G24" t="s">
        <v>1461</v>
      </c>
      <c r="H24">
        <v>477</v>
      </c>
    </row>
    <row r="25" spans="4:8" x14ac:dyDescent="0.25">
      <c r="D25" t="s">
        <v>1507</v>
      </c>
      <c r="E25" s="45" t="s">
        <v>1508</v>
      </c>
      <c r="F25">
        <v>-12</v>
      </c>
      <c r="G25" t="s">
        <v>1482</v>
      </c>
      <c r="H25">
        <v>496</v>
      </c>
    </row>
    <row r="26" spans="4:8" x14ac:dyDescent="0.25">
      <c r="D26" t="s">
        <v>1509</v>
      </c>
      <c r="E26" s="45" t="s">
        <v>1510</v>
      </c>
      <c r="F26">
        <v>-14</v>
      </c>
      <c r="G26" t="s">
        <v>1461</v>
      </c>
      <c r="H26">
        <v>503</v>
      </c>
    </row>
    <row r="27" spans="4:8" x14ac:dyDescent="0.25">
      <c r="D27" t="e" vm="1">
        <v>#VALUE!</v>
      </c>
      <c r="E27" s="45" t="s">
        <v>1511</v>
      </c>
      <c r="F27">
        <v>-12</v>
      </c>
      <c r="G27" t="s">
        <v>1461</v>
      </c>
      <c r="H27">
        <v>2</v>
      </c>
    </row>
    <row r="28" spans="4:8" x14ac:dyDescent="0.25">
      <c r="D28" t="e" vm="2">
        <v>#VALUE!</v>
      </c>
      <c r="E28" s="45" t="s">
        <v>1512</v>
      </c>
      <c r="F28">
        <v>-12</v>
      </c>
      <c r="G28" t="s">
        <v>1482</v>
      </c>
      <c r="H28">
        <v>4</v>
      </c>
    </row>
    <row r="29" spans="4:8" x14ac:dyDescent="0.25">
      <c r="D29" t="e" vm="3">
        <v>#VALUE!</v>
      </c>
      <c r="E29" s="45" t="s">
        <v>1513</v>
      </c>
      <c r="F29">
        <v>-16</v>
      </c>
      <c r="G29" t="s">
        <v>1461</v>
      </c>
      <c r="H29">
        <v>484</v>
      </c>
    </row>
    <row r="30" spans="4:8" x14ac:dyDescent="0.25">
      <c r="D30" t="e" vm="4">
        <v>#VALUE!</v>
      </c>
      <c r="E30" s="45" t="s">
        <v>1514</v>
      </c>
      <c r="F30">
        <v>-12</v>
      </c>
      <c r="G30" t="s">
        <v>1461</v>
      </c>
      <c r="H30">
        <v>6</v>
      </c>
    </row>
    <row r="31" spans="4:8" x14ac:dyDescent="0.25">
      <c r="D31" t="e" vm="5">
        <v>#VALUE!</v>
      </c>
      <c r="E31" s="45" t="s">
        <v>1515</v>
      </c>
      <c r="F31">
        <v>-12</v>
      </c>
      <c r="G31" t="s">
        <v>1461</v>
      </c>
      <c r="H31">
        <v>7</v>
      </c>
    </row>
    <row r="32" spans="4:8" x14ac:dyDescent="0.25">
      <c r="D32" t="e" vm="6">
        <v>#VALUE!</v>
      </c>
      <c r="E32" s="45" t="s">
        <v>1516</v>
      </c>
      <c r="F32">
        <v>-16</v>
      </c>
      <c r="G32" t="s">
        <v>1461</v>
      </c>
      <c r="H32">
        <v>8</v>
      </c>
    </row>
    <row r="33" spans="4:8" x14ac:dyDescent="0.25">
      <c r="D33" t="e" vm="7">
        <v>#VALUE!</v>
      </c>
      <c r="E33" s="45" t="s">
        <v>1517</v>
      </c>
      <c r="F33">
        <v>-12</v>
      </c>
      <c r="G33" t="s">
        <v>1461</v>
      </c>
      <c r="H33">
        <v>9</v>
      </c>
    </row>
    <row r="34" spans="4:8" x14ac:dyDescent="0.25">
      <c r="D34" t="e" vm="8">
        <v>#VALUE!</v>
      </c>
      <c r="E34" s="45" t="s">
        <v>1518</v>
      </c>
      <c r="F34">
        <v>-12</v>
      </c>
      <c r="G34" t="s">
        <v>1461</v>
      </c>
      <c r="H34">
        <v>10</v>
      </c>
    </row>
    <row r="35" spans="4:8" x14ac:dyDescent="0.25">
      <c r="D35" t="e" vm="9">
        <v>#VALUE!</v>
      </c>
      <c r="E35" s="45" t="s">
        <v>1519</v>
      </c>
      <c r="F35">
        <v>-16</v>
      </c>
      <c r="G35" t="s">
        <v>1461</v>
      </c>
      <c r="H35">
        <v>11</v>
      </c>
    </row>
    <row r="36" spans="4:8" x14ac:dyDescent="0.25">
      <c r="D36" t="e" vm="10">
        <v>#VALUE!</v>
      </c>
      <c r="E36" s="45" t="s">
        <v>1520</v>
      </c>
      <c r="F36">
        <v>-16</v>
      </c>
      <c r="G36" t="s">
        <v>1461</v>
      </c>
      <c r="H36">
        <v>12</v>
      </c>
    </row>
    <row r="37" spans="4:8" x14ac:dyDescent="0.25">
      <c r="D37" t="e" vm="11">
        <v>#VALUE!</v>
      </c>
      <c r="E37" s="45" t="s">
        <v>1521</v>
      </c>
      <c r="F37">
        <v>-14</v>
      </c>
      <c r="G37" t="s">
        <v>1461</v>
      </c>
      <c r="H37">
        <v>13</v>
      </c>
    </row>
    <row r="38" spans="4:8" x14ac:dyDescent="0.25">
      <c r="D38" t="e" vm="12">
        <v>#VALUE!</v>
      </c>
      <c r="E38" s="45" t="s">
        <v>1522</v>
      </c>
      <c r="F38">
        <v>-12</v>
      </c>
      <c r="G38" t="s">
        <v>1482</v>
      </c>
      <c r="H38">
        <v>327</v>
      </c>
    </row>
    <row r="39" spans="4:8" x14ac:dyDescent="0.25">
      <c r="D39" t="e" vm="12">
        <v>#VALUE!</v>
      </c>
      <c r="E39" s="45" t="s">
        <v>1523</v>
      </c>
      <c r="F39">
        <v>-12</v>
      </c>
      <c r="G39" t="s">
        <v>1461</v>
      </c>
      <c r="H39">
        <v>14</v>
      </c>
    </row>
    <row r="40" spans="4:8" x14ac:dyDescent="0.25">
      <c r="D40" t="e" vm="13">
        <v>#VALUE!</v>
      </c>
      <c r="E40" s="45" t="s">
        <v>1524</v>
      </c>
      <c r="F40">
        <v>-14</v>
      </c>
      <c r="G40" t="s">
        <v>1461</v>
      </c>
      <c r="H40">
        <v>15</v>
      </c>
    </row>
    <row r="41" spans="4:8" x14ac:dyDescent="0.25">
      <c r="D41" t="e" vm="14">
        <v>#VALUE!</v>
      </c>
      <c r="E41" s="45" t="s">
        <v>1525</v>
      </c>
      <c r="F41">
        <v>-12</v>
      </c>
      <c r="G41" t="s">
        <v>1482</v>
      </c>
      <c r="H41">
        <v>16</v>
      </c>
    </row>
    <row r="42" spans="4:8" x14ac:dyDescent="0.25">
      <c r="D42" t="e" vm="15">
        <v>#VALUE!</v>
      </c>
      <c r="E42" s="45" t="s">
        <v>1526</v>
      </c>
      <c r="F42">
        <v>-14</v>
      </c>
      <c r="G42" t="s">
        <v>1461</v>
      </c>
      <c r="H42">
        <v>17</v>
      </c>
    </row>
    <row r="43" spans="4:8" x14ac:dyDescent="0.25">
      <c r="D43" t="e" vm="16">
        <v>#VALUE!</v>
      </c>
      <c r="E43" s="45" t="s">
        <v>1527</v>
      </c>
      <c r="F43">
        <v>-16</v>
      </c>
      <c r="G43" t="s">
        <v>1461</v>
      </c>
      <c r="H43">
        <v>19</v>
      </c>
    </row>
    <row r="44" spans="4:8" x14ac:dyDescent="0.25">
      <c r="D44" t="e" vm="17">
        <v>#VALUE!</v>
      </c>
      <c r="E44" s="45" t="s">
        <v>1528</v>
      </c>
      <c r="F44">
        <v>-14</v>
      </c>
      <c r="G44" t="s">
        <v>1461</v>
      </c>
      <c r="H44">
        <v>20</v>
      </c>
    </row>
    <row r="45" spans="4:8" x14ac:dyDescent="0.25">
      <c r="D45" t="e" vm="18">
        <v>#VALUE!</v>
      </c>
      <c r="E45" s="45" t="s">
        <v>1529</v>
      </c>
      <c r="F45">
        <v>-16</v>
      </c>
      <c r="G45" t="s">
        <v>1461</v>
      </c>
      <c r="H45">
        <v>21</v>
      </c>
    </row>
    <row r="46" spans="4:8" x14ac:dyDescent="0.25">
      <c r="D46" t="e" vm="19">
        <v>#VALUE!</v>
      </c>
      <c r="E46" s="45" t="s">
        <v>1530</v>
      </c>
      <c r="F46">
        <v>-12</v>
      </c>
      <c r="G46" t="s">
        <v>1461</v>
      </c>
      <c r="H46">
        <v>22</v>
      </c>
    </row>
    <row r="47" spans="4:8" x14ac:dyDescent="0.25">
      <c r="D47" t="e" vm="20">
        <v>#VALUE!</v>
      </c>
      <c r="E47" s="45" t="s">
        <v>1531</v>
      </c>
      <c r="F47">
        <v>-12</v>
      </c>
      <c r="G47" t="s">
        <v>1461</v>
      </c>
      <c r="H47">
        <v>35</v>
      </c>
    </row>
    <row r="48" spans="4:8" x14ac:dyDescent="0.25">
      <c r="D48" t="e" vm="21">
        <v>#VALUE!</v>
      </c>
      <c r="E48" s="45" t="s">
        <v>1532</v>
      </c>
      <c r="F48">
        <v>-12</v>
      </c>
      <c r="G48" t="s">
        <v>1461</v>
      </c>
      <c r="H48">
        <v>114</v>
      </c>
    </row>
    <row r="49" spans="4:8" x14ac:dyDescent="0.25">
      <c r="D49" t="e" vm="22">
        <v>#VALUE!</v>
      </c>
      <c r="E49" s="45" t="s">
        <v>1533</v>
      </c>
      <c r="F49">
        <v>-14</v>
      </c>
      <c r="G49" t="s">
        <v>1461</v>
      </c>
      <c r="H49">
        <v>190</v>
      </c>
    </row>
    <row r="50" spans="4:8" x14ac:dyDescent="0.25">
      <c r="D50" t="e" vm="23">
        <v>#VALUE!</v>
      </c>
      <c r="E50" s="45" t="s">
        <v>1534</v>
      </c>
      <c r="F50">
        <v>-14</v>
      </c>
      <c r="G50" t="s">
        <v>1461</v>
      </c>
      <c r="H50">
        <v>206</v>
      </c>
    </row>
    <row r="51" spans="4:8" x14ac:dyDescent="0.25">
      <c r="D51" t="e" vm="24">
        <v>#VALUE!</v>
      </c>
      <c r="E51" s="45" t="s">
        <v>1535</v>
      </c>
      <c r="F51">
        <v>-14</v>
      </c>
      <c r="G51" t="s">
        <v>1461</v>
      </c>
      <c r="H51">
        <v>207</v>
      </c>
    </row>
    <row r="52" spans="4:8" x14ac:dyDescent="0.25">
      <c r="D52" t="e" vm="25">
        <v>#VALUE!</v>
      </c>
      <c r="E52" s="45" t="s">
        <v>1536</v>
      </c>
      <c r="F52">
        <v>-14</v>
      </c>
      <c r="G52" t="s">
        <v>1461</v>
      </c>
      <c r="H52">
        <v>246</v>
      </c>
    </row>
    <row r="53" spans="4:8" x14ac:dyDescent="0.25">
      <c r="D53" t="e" vm="26">
        <v>#VALUE!</v>
      </c>
      <c r="E53" s="45" t="s">
        <v>1537</v>
      </c>
      <c r="F53">
        <v>-16</v>
      </c>
      <c r="G53" t="s">
        <v>1461</v>
      </c>
      <c r="H53">
        <v>250</v>
      </c>
    </row>
    <row r="54" spans="4:8" x14ac:dyDescent="0.25">
      <c r="D54" t="e" vm="27">
        <v>#VALUE!</v>
      </c>
      <c r="E54" s="45" t="s">
        <v>1538</v>
      </c>
      <c r="F54">
        <v>-14</v>
      </c>
      <c r="G54" t="s">
        <v>1461</v>
      </c>
      <c r="H54">
        <v>325</v>
      </c>
    </row>
    <row r="55" spans="4:8" x14ac:dyDescent="0.25">
      <c r="D55" t="e" vm="28">
        <v>#VALUE!</v>
      </c>
      <c r="E55" s="45" t="s">
        <v>1539</v>
      </c>
      <c r="F55">
        <v>-16</v>
      </c>
      <c r="G55" t="s">
        <v>1461</v>
      </c>
      <c r="H55">
        <v>408</v>
      </c>
    </row>
    <row r="56" spans="4:8" x14ac:dyDescent="0.25">
      <c r="D56" t="e" vm="29">
        <v>#VALUE!</v>
      </c>
      <c r="E56" s="45" t="s">
        <v>1540</v>
      </c>
      <c r="F56">
        <v>-10</v>
      </c>
      <c r="G56" t="s">
        <v>1461</v>
      </c>
      <c r="H56">
        <v>430</v>
      </c>
    </row>
    <row r="57" spans="4:8" x14ac:dyDescent="0.25">
      <c r="D57" t="e" vm="30">
        <v>#VALUE!</v>
      </c>
      <c r="E57" s="45" t="s">
        <v>1541</v>
      </c>
      <c r="F57">
        <v>-18</v>
      </c>
      <c r="G57" t="s">
        <v>1461</v>
      </c>
      <c r="H57">
        <v>456</v>
      </c>
    </row>
    <row r="58" spans="4:8" x14ac:dyDescent="0.25">
      <c r="D58" t="e" vm="31">
        <v>#VALUE!</v>
      </c>
      <c r="E58" s="45" t="s">
        <v>1542</v>
      </c>
      <c r="F58">
        <v>-14</v>
      </c>
      <c r="G58" t="s">
        <v>1461</v>
      </c>
      <c r="H58">
        <v>498</v>
      </c>
    </row>
    <row r="59" spans="4:8" x14ac:dyDescent="0.25">
      <c r="D59" t="e" vm="32">
        <v>#VALUE!</v>
      </c>
      <c r="E59" s="45" t="s">
        <v>1543</v>
      </c>
      <c r="F59">
        <v>-12</v>
      </c>
      <c r="G59" t="s">
        <v>1461</v>
      </c>
      <c r="H59">
        <v>23</v>
      </c>
    </row>
    <row r="60" spans="4:8" x14ac:dyDescent="0.25">
      <c r="D60" t="e" vm="33">
        <v>#VALUE!</v>
      </c>
      <c r="E60" s="45" t="s">
        <v>1544</v>
      </c>
      <c r="F60">
        <v>-14</v>
      </c>
      <c r="G60" t="s">
        <v>1461</v>
      </c>
      <c r="H60">
        <v>24</v>
      </c>
    </row>
    <row r="61" spans="4:8" x14ac:dyDescent="0.25">
      <c r="D61" t="e" vm="34">
        <v>#VALUE!</v>
      </c>
      <c r="E61" s="45" t="s">
        <v>1545</v>
      </c>
      <c r="F61">
        <v>-16</v>
      </c>
      <c r="G61" t="s">
        <v>1482</v>
      </c>
      <c r="H61">
        <v>25</v>
      </c>
    </row>
    <row r="62" spans="4:8" x14ac:dyDescent="0.25">
      <c r="D62" t="e" vm="35">
        <v>#VALUE!</v>
      </c>
      <c r="E62" s="45" t="s">
        <v>1546</v>
      </c>
      <c r="F62">
        <v>-16</v>
      </c>
      <c r="G62" t="s">
        <v>1461</v>
      </c>
      <c r="H62">
        <v>26</v>
      </c>
    </row>
    <row r="63" spans="4:8" x14ac:dyDescent="0.25">
      <c r="D63" t="e" vm="36">
        <v>#VALUE!</v>
      </c>
      <c r="E63" s="45" t="s">
        <v>1547</v>
      </c>
      <c r="F63">
        <v>-16</v>
      </c>
      <c r="G63" t="s">
        <v>1461</v>
      </c>
      <c r="H63">
        <v>27</v>
      </c>
    </row>
    <row r="64" spans="4:8" x14ac:dyDescent="0.25">
      <c r="D64" t="e" vm="37">
        <v>#VALUE!</v>
      </c>
      <c r="E64" s="45" t="s">
        <v>1548</v>
      </c>
      <c r="F64">
        <v>-12</v>
      </c>
      <c r="G64" t="s">
        <v>1461</v>
      </c>
      <c r="H64">
        <v>28</v>
      </c>
    </row>
    <row r="65" spans="4:8" x14ac:dyDescent="0.25">
      <c r="D65" t="e" vm="38">
        <v>#VALUE!</v>
      </c>
      <c r="E65" s="45" t="s">
        <v>1549</v>
      </c>
      <c r="F65">
        <v>-14</v>
      </c>
      <c r="G65" t="s">
        <v>1461</v>
      </c>
      <c r="H65">
        <v>29</v>
      </c>
    </row>
    <row r="66" spans="4:8" x14ac:dyDescent="0.25">
      <c r="D66" t="e" vm="39">
        <v>#VALUE!</v>
      </c>
      <c r="E66" s="45" t="s">
        <v>1550</v>
      </c>
      <c r="F66">
        <v>-10</v>
      </c>
      <c r="G66" t="s">
        <v>1461</v>
      </c>
      <c r="H66">
        <v>31</v>
      </c>
    </row>
    <row r="67" spans="4:8" x14ac:dyDescent="0.25">
      <c r="D67" t="e" vm="40">
        <v>#VALUE!</v>
      </c>
      <c r="E67" s="45" t="s">
        <v>1551</v>
      </c>
      <c r="F67">
        <v>-16</v>
      </c>
      <c r="G67" t="s">
        <v>1461</v>
      </c>
      <c r="H67">
        <v>32</v>
      </c>
    </row>
    <row r="68" spans="4:8" x14ac:dyDescent="0.25">
      <c r="D68" t="e" vm="41">
        <v>#VALUE!</v>
      </c>
      <c r="E68" s="45" t="s">
        <v>1552</v>
      </c>
      <c r="F68">
        <v>-10</v>
      </c>
      <c r="G68" t="s">
        <v>1461</v>
      </c>
      <c r="H68">
        <v>33</v>
      </c>
    </row>
    <row r="69" spans="4:8" x14ac:dyDescent="0.25">
      <c r="D69" t="e" vm="42">
        <v>#VALUE!</v>
      </c>
      <c r="E69" s="45" t="s">
        <v>1553</v>
      </c>
      <c r="F69">
        <v>-12</v>
      </c>
      <c r="G69" t="s">
        <v>1482</v>
      </c>
      <c r="H69">
        <v>34</v>
      </c>
    </row>
    <row r="70" spans="4:8" x14ac:dyDescent="0.25">
      <c r="D70" t="e" vm="42">
        <v>#VALUE!</v>
      </c>
      <c r="E70" s="45" t="s">
        <v>1554</v>
      </c>
      <c r="F70">
        <v>-12</v>
      </c>
      <c r="G70" t="s">
        <v>1461</v>
      </c>
      <c r="H70">
        <v>30</v>
      </c>
    </row>
    <row r="71" spans="4:8" x14ac:dyDescent="0.25">
      <c r="D71" t="e" vm="43">
        <v>#VALUE!</v>
      </c>
      <c r="E71" s="45" t="s">
        <v>1555</v>
      </c>
      <c r="F71">
        <v>-14</v>
      </c>
      <c r="G71" t="s">
        <v>1482</v>
      </c>
      <c r="H71">
        <v>36</v>
      </c>
    </row>
    <row r="72" spans="4:8" x14ac:dyDescent="0.25">
      <c r="D72" t="e" vm="44">
        <v>#VALUE!</v>
      </c>
      <c r="E72" s="45" t="s">
        <v>1556</v>
      </c>
      <c r="F72">
        <v>-14</v>
      </c>
      <c r="G72" t="s">
        <v>1461</v>
      </c>
      <c r="H72">
        <v>37</v>
      </c>
    </row>
    <row r="73" spans="4:8" x14ac:dyDescent="0.25">
      <c r="D73" t="e" vm="45">
        <v>#VALUE!</v>
      </c>
      <c r="E73" s="45" t="s">
        <v>1557</v>
      </c>
      <c r="F73">
        <v>-14</v>
      </c>
      <c r="G73" t="s">
        <v>1461</v>
      </c>
      <c r="H73">
        <v>38</v>
      </c>
    </row>
    <row r="74" spans="4:8" x14ac:dyDescent="0.25">
      <c r="D74" t="e" vm="46">
        <v>#VALUE!</v>
      </c>
      <c r="E74" s="45" t="s">
        <v>1558</v>
      </c>
      <c r="F74">
        <v>-10</v>
      </c>
      <c r="G74" t="s">
        <v>1461</v>
      </c>
      <c r="H74">
        <v>39</v>
      </c>
    </row>
    <row r="75" spans="4:8" x14ac:dyDescent="0.25">
      <c r="D75" t="e" vm="47">
        <v>#VALUE!</v>
      </c>
      <c r="E75" s="45" t="s">
        <v>1559</v>
      </c>
      <c r="F75">
        <v>-12</v>
      </c>
      <c r="G75" t="s">
        <v>1461</v>
      </c>
      <c r="H75">
        <v>40</v>
      </c>
    </row>
    <row r="76" spans="4:8" x14ac:dyDescent="0.25">
      <c r="D76" t="e" vm="48">
        <v>#VALUE!</v>
      </c>
      <c r="E76" s="45" t="s">
        <v>1560</v>
      </c>
      <c r="F76">
        <v>-12</v>
      </c>
      <c r="G76" t="s">
        <v>1461</v>
      </c>
      <c r="H76">
        <v>42</v>
      </c>
    </row>
    <row r="77" spans="4:8" x14ac:dyDescent="0.25">
      <c r="D77" t="e" vm="49">
        <v>#VALUE!</v>
      </c>
      <c r="E77" s="45" t="s">
        <v>1561</v>
      </c>
      <c r="F77">
        <v>-12</v>
      </c>
      <c r="G77" t="s">
        <v>1482</v>
      </c>
      <c r="H77">
        <v>43</v>
      </c>
    </row>
    <row r="78" spans="4:8" x14ac:dyDescent="0.25">
      <c r="D78" t="e" vm="50">
        <v>#VALUE!</v>
      </c>
      <c r="E78" s="45" t="s">
        <v>1562</v>
      </c>
      <c r="F78">
        <v>-12</v>
      </c>
      <c r="G78" t="s">
        <v>1461</v>
      </c>
      <c r="H78">
        <v>44</v>
      </c>
    </row>
    <row r="79" spans="4:8" x14ac:dyDescent="0.25">
      <c r="D79" t="e" vm="51">
        <v>#VALUE!</v>
      </c>
      <c r="E79" s="45" t="s">
        <v>1563</v>
      </c>
      <c r="F79">
        <v>-14</v>
      </c>
      <c r="G79" t="s">
        <v>1461</v>
      </c>
      <c r="H79">
        <v>45</v>
      </c>
    </row>
    <row r="80" spans="4:8" x14ac:dyDescent="0.25">
      <c r="D80" t="e" vm="52">
        <v>#VALUE!</v>
      </c>
      <c r="E80" s="45" t="s">
        <v>1564</v>
      </c>
      <c r="F80">
        <v>-14</v>
      </c>
      <c r="G80" t="s">
        <v>1461</v>
      </c>
      <c r="H80">
        <v>46</v>
      </c>
    </row>
    <row r="81" spans="4:8" x14ac:dyDescent="0.25">
      <c r="D81" t="e" vm="53">
        <v>#VALUE!</v>
      </c>
      <c r="E81" s="45" t="s">
        <v>1565</v>
      </c>
      <c r="F81">
        <v>-14</v>
      </c>
      <c r="G81" t="s">
        <v>1461</v>
      </c>
      <c r="H81">
        <v>47</v>
      </c>
    </row>
    <row r="82" spans="4:8" x14ac:dyDescent="0.25">
      <c r="D82" t="e" vm="54">
        <v>#VALUE!</v>
      </c>
      <c r="E82" s="45" t="s">
        <v>1566</v>
      </c>
      <c r="F82">
        <v>-14</v>
      </c>
      <c r="G82" t="s">
        <v>1461</v>
      </c>
      <c r="H82">
        <v>48</v>
      </c>
    </row>
    <row r="83" spans="4:8" x14ac:dyDescent="0.25">
      <c r="D83" t="e" vm="55">
        <v>#VALUE!</v>
      </c>
      <c r="E83" s="45" t="s">
        <v>1567</v>
      </c>
      <c r="F83">
        <v>-14</v>
      </c>
      <c r="G83" t="s">
        <v>1461</v>
      </c>
      <c r="H83">
        <v>52</v>
      </c>
    </row>
    <row r="84" spans="4:8" x14ac:dyDescent="0.25">
      <c r="D84" t="e" vm="56">
        <v>#VALUE!</v>
      </c>
      <c r="E84" s="45" t="s">
        <v>1568</v>
      </c>
      <c r="F84">
        <v>-10</v>
      </c>
      <c r="G84" t="s">
        <v>1482</v>
      </c>
      <c r="H84">
        <v>49</v>
      </c>
    </row>
    <row r="85" spans="4:8" x14ac:dyDescent="0.25">
      <c r="D85" t="e" vm="57">
        <v>#VALUE!</v>
      </c>
      <c r="E85" s="45" t="s">
        <v>1569</v>
      </c>
      <c r="F85">
        <v>-10</v>
      </c>
      <c r="G85" t="s">
        <v>1482</v>
      </c>
      <c r="H85">
        <v>50</v>
      </c>
    </row>
    <row r="86" spans="4:8" x14ac:dyDescent="0.25">
      <c r="D86" t="e" vm="58">
        <v>#VALUE!</v>
      </c>
      <c r="E86" s="45" t="s">
        <v>1570</v>
      </c>
      <c r="F86">
        <v>-12</v>
      </c>
      <c r="G86" t="s">
        <v>1461</v>
      </c>
      <c r="H86">
        <v>398</v>
      </c>
    </row>
    <row r="87" spans="4:8" x14ac:dyDescent="0.25">
      <c r="D87" t="e" vm="58">
        <v>#VALUE!</v>
      </c>
      <c r="E87" s="45" t="s">
        <v>1571</v>
      </c>
      <c r="F87">
        <v>-10</v>
      </c>
      <c r="G87" t="s">
        <v>1482</v>
      </c>
      <c r="H87">
        <v>53</v>
      </c>
    </row>
    <row r="88" spans="4:8" x14ac:dyDescent="0.25">
      <c r="D88" t="e" vm="59">
        <v>#VALUE!</v>
      </c>
      <c r="E88" s="45" t="s">
        <v>1572</v>
      </c>
      <c r="F88">
        <v>-10</v>
      </c>
      <c r="G88" t="s">
        <v>1461</v>
      </c>
      <c r="H88">
        <v>54</v>
      </c>
    </row>
    <row r="89" spans="4:8" x14ac:dyDescent="0.25">
      <c r="D89" t="e" vm="60">
        <v>#VALUE!</v>
      </c>
      <c r="E89" s="45" t="s">
        <v>1573</v>
      </c>
      <c r="F89">
        <v>-14</v>
      </c>
      <c r="G89" t="s">
        <v>1461</v>
      </c>
      <c r="H89">
        <v>55</v>
      </c>
    </row>
    <row r="90" spans="4:8" x14ac:dyDescent="0.25">
      <c r="D90" t="e" vm="61">
        <v>#VALUE!</v>
      </c>
      <c r="E90" s="45" t="s">
        <v>1574</v>
      </c>
      <c r="F90">
        <v>-10</v>
      </c>
      <c r="G90" t="s">
        <v>1482</v>
      </c>
      <c r="H90">
        <v>57</v>
      </c>
    </row>
    <row r="91" spans="4:8" x14ac:dyDescent="0.25">
      <c r="D91" t="e" vm="62">
        <v>#VALUE!</v>
      </c>
      <c r="E91" s="45" t="s">
        <v>1575</v>
      </c>
      <c r="F91">
        <v>-14</v>
      </c>
      <c r="G91" t="s">
        <v>1482</v>
      </c>
      <c r="H91">
        <v>58</v>
      </c>
    </row>
    <row r="92" spans="4:8" x14ac:dyDescent="0.25">
      <c r="D92" t="e" vm="63">
        <v>#VALUE!</v>
      </c>
      <c r="E92" s="45" t="s">
        <v>1576</v>
      </c>
      <c r="F92">
        <v>-14</v>
      </c>
      <c r="G92" t="s">
        <v>1482</v>
      </c>
      <c r="H92">
        <v>59</v>
      </c>
    </row>
    <row r="93" spans="4:8" x14ac:dyDescent="0.25">
      <c r="D93" t="e" vm="64">
        <v>#VALUE!</v>
      </c>
      <c r="E93" s="45" t="s">
        <v>1577</v>
      </c>
      <c r="F93">
        <v>-12</v>
      </c>
      <c r="G93" t="s">
        <v>1482</v>
      </c>
      <c r="H93">
        <v>60</v>
      </c>
    </row>
    <row r="94" spans="4:8" x14ac:dyDescent="0.25">
      <c r="D94" t="e" vm="65">
        <v>#VALUE!</v>
      </c>
      <c r="E94" s="45" t="s">
        <v>1578</v>
      </c>
      <c r="F94">
        <v>-10</v>
      </c>
      <c r="G94" t="s">
        <v>1482</v>
      </c>
      <c r="H94">
        <v>61</v>
      </c>
    </row>
    <row r="95" spans="4:8" x14ac:dyDescent="0.25">
      <c r="D95" t="e" vm="66">
        <v>#VALUE!</v>
      </c>
      <c r="E95" s="45" t="s">
        <v>1579</v>
      </c>
      <c r="F95">
        <v>-12</v>
      </c>
      <c r="G95" t="s">
        <v>1461</v>
      </c>
      <c r="H95">
        <v>62</v>
      </c>
    </row>
    <row r="96" spans="4:8" x14ac:dyDescent="0.25">
      <c r="D96" t="e" vm="67">
        <v>#VALUE!</v>
      </c>
      <c r="E96" s="45" t="s">
        <v>1580</v>
      </c>
      <c r="F96">
        <v>-14</v>
      </c>
      <c r="G96" t="s">
        <v>1461</v>
      </c>
      <c r="H96">
        <v>63</v>
      </c>
    </row>
    <row r="97" spans="4:8" x14ac:dyDescent="0.25">
      <c r="D97" t="e" vm="68">
        <v>#VALUE!</v>
      </c>
      <c r="E97" s="45" t="s">
        <v>1581</v>
      </c>
      <c r="F97">
        <v>-16</v>
      </c>
      <c r="G97" t="s">
        <v>1461</v>
      </c>
      <c r="H97">
        <v>64</v>
      </c>
    </row>
    <row r="98" spans="4:8" x14ac:dyDescent="0.25">
      <c r="D98" t="e" vm="69">
        <v>#VALUE!</v>
      </c>
      <c r="E98" s="45" t="s">
        <v>1582</v>
      </c>
      <c r="F98">
        <v>-12</v>
      </c>
      <c r="G98" t="s">
        <v>1461</v>
      </c>
      <c r="H98">
        <v>65</v>
      </c>
    </row>
    <row r="99" spans="4:8" x14ac:dyDescent="0.25">
      <c r="D99" t="e" vm="70">
        <v>#VALUE!</v>
      </c>
      <c r="E99" s="45" t="s">
        <v>1583</v>
      </c>
      <c r="F99">
        <v>-10</v>
      </c>
      <c r="G99" t="s">
        <v>1461</v>
      </c>
      <c r="H99">
        <v>66</v>
      </c>
    </row>
    <row r="100" spans="4:8" x14ac:dyDescent="0.25">
      <c r="D100" t="e" vm="71">
        <v>#VALUE!</v>
      </c>
      <c r="E100" s="45" t="s">
        <v>1584</v>
      </c>
      <c r="F100">
        <v>-14</v>
      </c>
      <c r="G100" t="s">
        <v>1461</v>
      </c>
      <c r="H100">
        <v>67</v>
      </c>
    </row>
    <row r="101" spans="4:8" x14ac:dyDescent="0.25">
      <c r="D101" t="e" vm="72">
        <v>#VALUE!</v>
      </c>
      <c r="E101" s="45" t="s">
        <v>1585</v>
      </c>
      <c r="F101">
        <v>-14</v>
      </c>
      <c r="G101" t="s">
        <v>1461</v>
      </c>
      <c r="H101">
        <v>68</v>
      </c>
    </row>
    <row r="102" spans="4:8" x14ac:dyDescent="0.25">
      <c r="D102" t="e" vm="73">
        <v>#VALUE!</v>
      </c>
      <c r="E102" s="45" t="s">
        <v>1586</v>
      </c>
      <c r="F102">
        <v>-16</v>
      </c>
      <c r="G102" t="s">
        <v>1461</v>
      </c>
      <c r="H102">
        <v>69</v>
      </c>
    </row>
    <row r="103" spans="4:8" x14ac:dyDescent="0.25">
      <c r="D103" t="e" vm="74">
        <v>#VALUE!</v>
      </c>
      <c r="E103" s="45" t="s">
        <v>1587</v>
      </c>
      <c r="F103">
        <v>-10</v>
      </c>
      <c r="G103" t="s">
        <v>1482</v>
      </c>
      <c r="H103">
        <v>70</v>
      </c>
    </row>
    <row r="104" spans="4:8" x14ac:dyDescent="0.25">
      <c r="D104" t="e" vm="75">
        <v>#VALUE!</v>
      </c>
      <c r="E104" s="45" t="s">
        <v>1588</v>
      </c>
      <c r="F104">
        <v>-12</v>
      </c>
      <c r="G104" t="s">
        <v>1482</v>
      </c>
      <c r="H104">
        <v>71</v>
      </c>
    </row>
    <row r="105" spans="4:8" x14ac:dyDescent="0.25">
      <c r="D105" t="e" vm="76">
        <v>#VALUE!</v>
      </c>
      <c r="E105" s="45" t="s">
        <v>1589</v>
      </c>
      <c r="F105">
        <v>-14</v>
      </c>
      <c r="G105" t="s">
        <v>1482</v>
      </c>
      <c r="H105">
        <v>72</v>
      </c>
    </row>
    <row r="106" spans="4:8" x14ac:dyDescent="0.25">
      <c r="D106" t="e" vm="77">
        <v>#VALUE!</v>
      </c>
      <c r="E106" s="45" t="s">
        <v>1590</v>
      </c>
      <c r="F106">
        <v>-14</v>
      </c>
      <c r="G106" t="s">
        <v>1482</v>
      </c>
      <c r="H106">
        <v>73</v>
      </c>
    </row>
    <row r="107" spans="4:8" x14ac:dyDescent="0.25">
      <c r="D107" t="e" vm="78">
        <v>#VALUE!</v>
      </c>
      <c r="E107" s="45" t="s">
        <v>1591</v>
      </c>
      <c r="F107">
        <v>-14</v>
      </c>
      <c r="G107" t="s">
        <v>1461</v>
      </c>
      <c r="H107">
        <v>74</v>
      </c>
    </row>
    <row r="108" spans="4:8" x14ac:dyDescent="0.25">
      <c r="D108" t="e" vm="79">
        <v>#VALUE!</v>
      </c>
      <c r="E108" s="45" t="s">
        <v>1592</v>
      </c>
      <c r="F108">
        <v>-10</v>
      </c>
      <c r="G108" t="s">
        <v>1461</v>
      </c>
      <c r="H108">
        <v>75</v>
      </c>
    </row>
    <row r="109" spans="4:8" x14ac:dyDescent="0.25">
      <c r="D109" t="e" vm="80">
        <v>#VALUE!</v>
      </c>
      <c r="E109" s="45" t="s">
        <v>1593</v>
      </c>
      <c r="F109">
        <v>-14</v>
      </c>
      <c r="G109" t="s">
        <v>1461</v>
      </c>
      <c r="H109">
        <v>76</v>
      </c>
    </row>
    <row r="110" spans="4:8" x14ac:dyDescent="0.25">
      <c r="D110" t="e" vm="81">
        <v>#VALUE!</v>
      </c>
      <c r="E110" s="45" t="s">
        <v>1594</v>
      </c>
      <c r="F110">
        <v>-16</v>
      </c>
      <c r="G110" t="s">
        <v>1482</v>
      </c>
      <c r="H110">
        <v>77</v>
      </c>
    </row>
    <row r="111" spans="4:8" x14ac:dyDescent="0.25">
      <c r="D111" t="e" vm="82">
        <v>#VALUE!</v>
      </c>
      <c r="E111" s="45" t="s">
        <v>1595</v>
      </c>
      <c r="F111">
        <v>-16</v>
      </c>
      <c r="G111" t="s">
        <v>1461</v>
      </c>
      <c r="H111">
        <v>78</v>
      </c>
    </row>
    <row r="112" spans="4:8" x14ac:dyDescent="0.25">
      <c r="D112" t="e" vm="83">
        <v>#VALUE!</v>
      </c>
      <c r="E112" s="45" t="s">
        <v>1596</v>
      </c>
      <c r="F112">
        <v>-14</v>
      </c>
      <c r="G112" t="s">
        <v>1461</v>
      </c>
      <c r="H112">
        <v>79</v>
      </c>
    </row>
    <row r="113" spans="4:8" x14ac:dyDescent="0.25">
      <c r="D113" t="e" vm="84">
        <v>#VALUE!</v>
      </c>
      <c r="E113" s="45" t="s">
        <v>1597</v>
      </c>
      <c r="F113">
        <v>-10</v>
      </c>
      <c r="G113" t="s">
        <v>1482</v>
      </c>
      <c r="H113">
        <v>80</v>
      </c>
    </row>
    <row r="114" spans="4:8" x14ac:dyDescent="0.25">
      <c r="D114" t="e" vm="85">
        <v>#VALUE!</v>
      </c>
      <c r="E114" s="45" t="s">
        <v>1598</v>
      </c>
      <c r="F114">
        <v>-16</v>
      </c>
      <c r="G114" t="s">
        <v>1461</v>
      </c>
      <c r="H114">
        <v>81</v>
      </c>
    </row>
    <row r="115" spans="4:8" x14ac:dyDescent="0.25">
      <c r="D115" t="e" vm="86">
        <v>#VALUE!</v>
      </c>
      <c r="E115" s="45" t="s">
        <v>1599</v>
      </c>
      <c r="F115">
        <v>-12</v>
      </c>
      <c r="G115" t="s">
        <v>1482</v>
      </c>
      <c r="H115">
        <v>82</v>
      </c>
    </row>
    <row r="116" spans="4:8" x14ac:dyDescent="0.25">
      <c r="D116" t="e" vm="87">
        <v>#VALUE!</v>
      </c>
      <c r="E116" s="45" t="s">
        <v>1600</v>
      </c>
      <c r="F116">
        <v>-12</v>
      </c>
      <c r="G116" t="s">
        <v>1461</v>
      </c>
      <c r="H116">
        <v>83</v>
      </c>
    </row>
    <row r="117" spans="4:8" x14ac:dyDescent="0.25">
      <c r="D117" t="e" vm="88">
        <v>#VALUE!</v>
      </c>
      <c r="E117" s="45" t="s">
        <v>1601</v>
      </c>
      <c r="F117">
        <v>-14</v>
      </c>
      <c r="G117" t="s">
        <v>1461</v>
      </c>
      <c r="H117">
        <v>84</v>
      </c>
    </row>
    <row r="118" spans="4:8" x14ac:dyDescent="0.25">
      <c r="D118" t="e" vm="89">
        <v>#VALUE!</v>
      </c>
      <c r="E118" s="45" t="s">
        <v>1602</v>
      </c>
      <c r="F118">
        <v>-12</v>
      </c>
      <c r="G118" t="s">
        <v>1482</v>
      </c>
      <c r="H118">
        <v>85</v>
      </c>
    </row>
    <row r="119" spans="4:8" x14ac:dyDescent="0.25">
      <c r="D119" t="e" vm="90">
        <v>#VALUE!</v>
      </c>
      <c r="E119" s="45" t="s">
        <v>1603</v>
      </c>
      <c r="F119">
        <v>-14</v>
      </c>
      <c r="G119" t="s">
        <v>1482</v>
      </c>
      <c r="H119">
        <v>86</v>
      </c>
    </row>
    <row r="120" spans="4:8" x14ac:dyDescent="0.25">
      <c r="D120" t="e" vm="91">
        <v>#VALUE!</v>
      </c>
      <c r="E120" s="45" t="s">
        <v>1604</v>
      </c>
      <c r="F120">
        <v>-12</v>
      </c>
      <c r="G120" t="s">
        <v>1482</v>
      </c>
      <c r="H120">
        <v>87</v>
      </c>
    </row>
    <row r="121" spans="4:8" x14ac:dyDescent="0.25">
      <c r="D121" t="e" vm="92">
        <v>#VALUE!</v>
      </c>
      <c r="E121" s="45" t="s">
        <v>1605</v>
      </c>
      <c r="F121">
        <v>-12</v>
      </c>
      <c r="G121" t="s">
        <v>1461</v>
      </c>
      <c r="H121">
        <v>88</v>
      </c>
    </row>
    <row r="122" spans="4:8" x14ac:dyDescent="0.25">
      <c r="D122" t="e" vm="93">
        <v>#VALUE!</v>
      </c>
      <c r="E122" s="45" t="s">
        <v>1606</v>
      </c>
      <c r="F122">
        <v>-16</v>
      </c>
      <c r="G122" t="s">
        <v>1461</v>
      </c>
      <c r="H122">
        <v>89</v>
      </c>
    </row>
    <row r="123" spans="4:8" x14ac:dyDescent="0.25">
      <c r="D123" t="e" vm="94">
        <v>#VALUE!</v>
      </c>
      <c r="E123" s="45" t="s">
        <v>1607</v>
      </c>
      <c r="F123">
        <v>-10</v>
      </c>
      <c r="G123" t="s">
        <v>1461</v>
      </c>
      <c r="H123">
        <v>90</v>
      </c>
    </row>
    <row r="124" spans="4:8" x14ac:dyDescent="0.25">
      <c r="D124" t="e" vm="95">
        <v>#VALUE!</v>
      </c>
      <c r="E124" s="45" t="s">
        <v>1608</v>
      </c>
      <c r="F124">
        <v>-14</v>
      </c>
      <c r="G124" t="s">
        <v>1461</v>
      </c>
      <c r="H124">
        <v>91</v>
      </c>
    </row>
    <row r="125" spans="4:8" x14ac:dyDescent="0.25">
      <c r="D125" t="e" vm="96">
        <v>#VALUE!</v>
      </c>
      <c r="E125" s="45" t="s">
        <v>1609</v>
      </c>
      <c r="F125">
        <v>-10</v>
      </c>
      <c r="G125" t="s">
        <v>1482</v>
      </c>
      <c r="H125">
        <v>92</v>
      </c>
    </row>
    <row r="126" spans="4:8" x14ac:dyDescent="0.25">
      <c r="D126" t="e" vm="97">
        <v>#VALUE!</v>
      </c>
      <c r="E126" s="45" t="s">
        <v>1610</v>
      </c>
      <c r="F126">
        <v>-12</v>
      </c>
      <c r="G126" t="s">
        <v>1482</v>
      </c>
      <c r="H126">
        <v>93</v>
      </c>
    </row>
    <row r="127" spans="4:8" x14ac:dyDescent="0.25">
      <c r="D127" t="e" vm="98">
        <v>#VALUE!</v>
      </c>
      <c r="E127" s="45" t="s">
        <v>1611</v>
      </c>
      <c r="F127">
        <v>-14</v>
      </c>
      <c r="G127" t="s">
        <v>1482</v>
      </c>
      <c r="H127">
        <v>94</v>
      </c>
    </row>
    <row r="128" spans="4:8" x14ac:dyDescent="0.25">
      <c r="D128" t="e" vm="99">
        <v>#VALUE!</v>
      </c>
      <c r="E128" s="45" t="s">
        <v>1612</v>
      </c>
      <c r="F128">
        <v>-14</v>
      </c>
      <c r="G128" t="s">
        <v>1461</v>
      </c>
      <c r="H128">
        <v>202</v>
      </c>
    </row>
    <row r="129" spans="4:8" x14ac:dyDescent="0.25">
      <c r="D129" t="e" vm="100">
        <v>#VALUE!</v>
      </c>
      <c r="E129" s="45" t="s">
        <v>1613</v>
      </c>
      <c r="F129">
        <v>-12</v>
      </c>
      <c r="G129" t="s">
        <v>1461</v>
      </c>
      <c r="H129">
        <v>95</v>
      </c>
    </row>
    <row r="130" spans="4:8" x14ac:dyDescent="0.25">
      <c r="D130" t="e" vm="101">
        <v>#VALUE!</v>
      </c>
      <c r="E130" s="45" t="s">
        <v>1614</v>
      </c>
      <c r="F130">
        <v>-10</v>
      </c>
      <c r="G130" t="s">
        <v>1482</v>
      </c>
      <c r="H130">
        <v>100</v>
      </c>
    </row>
    <row r="131" spans="4:8" x14ac:dyDescent="0.25">
      <c r="D131" t="e" vm="102">
        <v>#VALUE!</v>
      </c>
      <c r="E131" s="45" t="s">
        <v>1615</v>
      </c>
      <c r="F131">
        <v>-10</v>
      </c>
      <c r="G131" t="s">
        <v>1461</v>
      </c>
      <c r="H131">
        <v>96</v>
      </c>
    </row>
    <row r="132" spans="4:8" x14ac:dyDescent="0.25">
      <c r="D132" t="e" vm="103">
        <v>#VALUE!</v>
      </c>
      <c r="E132" s="45" t="s">
        <v>1616</v>
      </c>
      <c r="F132">
        <v>-12</v>
      </c>
      <c r="G132" t="s">
        <v>1461</v>
      </c>
      <c r="H132">
        <v>97</v>
      </c>
    </row>
    <row r="133" spans="4:8" x14ac:dyDescent="0.25">
      <c r="D133" t="e" vm="104">
        <v>#VALUE!</v>
      </c>
      <c r="E133" s="45" t="s">
        <v>1617</v>
      </c>
      <c r="F133">
        <v>-12</v>
      </c>
      <c r="G133" t="s">
        <v>1482</v>
      </c>
      <c r="H133">
        <v>98</v>
      </c>
    </row>
    <row r="134" spans="4:8" x14ac:dyDescent="0.25">
      <c r="D134" t="e" vm="105">
        <v>#VALUE!</v>
      </c>
      <c r="E134" s="45" t="s">
        <v>1618</v>
      </c>
      <c r="F134">
        <v>-10</v>
      </c>
      <c r="G134" t="s">
        <v>1482</v>
      </c>
      <c r="H134">
        <v>99</v>
      </c>
    </row>
    <row r="135" spans="4:8" x14ac:dyDescent="0.25">
      <c r="D135" t="e" vm="106">
        <v>#VALUE!</v>
      </c>
      <c r="E135" s="45" t="s">
        <v>1619</v>
      </c>
      <c r="F135">
        <v>-14</v>
      </c>
      <c r="G135" t="s">
        <v>1482</v>
      </c>
      <c r="H135">
        <v>101</v>
      </c>
    </row>
    <row r="136" spans="4:8" x14ac:dyDescent="0.25">
      <c r="D136" t="e" vm="107">
        <v>#VALUE!</v>
      </c>
      <c r="E136" s="45" t="s">
        <v>1620</v>
      </c>
      <c r="F136">
        <v>-18</v>
      </c>
      <c r="G136" t="s">
        <v>1461</v>
      </c>
      <c r="H136">
        <v>102</v>
      </c>
    </row>
    <row r="137" spans="4:8" x14ac:dyDescent="0.25">
      <c r="D137" t="e" vm="108">
        <v>#VALUE!</v>
      </c>
      <c r="E137" s="45" t="s">
        <v>1621</v>
      </c>
      <c r="F137">
        <v>-10</v>
      </c>
      <c r="G137" t="s">
        <v>1461</v>
      </c>
      <c r="H137">
        <v>103</v>
      </c>
    </row>
    <row r="138" spans="4:8" x14ac:dyDescent="0.25">
      <c r="D138" t="e" vm="109">
        <v>#VALUE!</v>
      </c>
      <c r="E138" s="45" t="s">
        <v>1622</v>
      </c>
      <c r="F138">
        <v>-14</v>
      </c>
      <c r="G138" t="s">
        <v>1461</v>
      </c>
      <c r="H138">
        <v>105</v>
      </c>
    </row>
    <row r="139" spans="4:8" x14ac:dyDescent="0.25">
      <c r="D139" t="e" vm="110">
        <v>#VALUE!</v>
      </c>
      <c r="E139" s="45" t="s">
        <v>1623</v>
      </c>
      <c r="F139">
        <v>-16</v>
      </c>
      <c r="G139" t="s">
        <v>1461</v>
      </c>
      <c r="H139">
        <v>106</v>
      </c>
    </row>
    <row r="140" spans="4:8" x14ac:dyDescent="0.25">
      <c r="D140" t="e" vm="111">
        <v>#VALUE!</v>
      </c>
      <c r="E140" s="45" t="s">
        <v>1624</v>
      </c>
      <c r="F140">
        <v>-16</v>
      </c>
      <c r="G140" t="s">
        <v>1461</v>
      </c>
      <c r="H140">
        <v>107</v>
      </c>
    </row>
    <row r="141" spans="4:8" x14ac:dyDescent="0.25">
      <c r="D141" t="e" vm="112">
        <v>#VALUE!</v>
      </c>
      <c r="E141" s="45" t="s">
        <v>1625</v>
      </c>
      <c r="F141">
        <v>-16</v>
      </c>
      <c r="G141" t="s">
        <v>1461</v>
      </c>
      <c r="H141">
        <v>108</v>
      </c>
    </row>
    <row r="142" spans="4:8" x14ac:dyDescent="0.25">
      <c r="D142" t="e" vm="113">
        <v>#VALUE!</v>
      </c>
      <c r="E142" s="45" t="s">
        <v>1626</v>
      </c>
      <c r="F142">
        <v>-16</v>
      </c>
      <c r="G142" t="s">
        <v>1461</v>
      </c>
      <c r="H142">
        <v>110</v>
      </c>
    </row>
    <row r="143" spans="4:8" x14ac:dyDescent="0.25">
      <c r="D143" t="e" vm="114">
        <v>#VALUE!</v>
      </c>
      <c r="E143" s="45" t="s">
        <v>1627</v>
      </c>
      <c r="F143">
        <v>-12</v>
      </c>
      <c r="G143" t="s">
        <v>1482</v>
      </c>
      <c r="H143">
        <v>111</v>
      </c>
    </row>
    <row r="144" spans="4:8" x14ac:dyDescent="0.25">
      <c r="D144" t="e" vm="115">
        <v>#VALUE!</v>
      </c>
      <c r="E144" s="45" t="s">
        <v>1628</v>
      </c>
      <c r="F144">
        <v>-12</v>
      </c>
      <c r="G144" t="s">
        <v>1461</v>
      </c>
      <c r="H144">
        <v>112</v>
      </c>
    </row>
    <row r="145" spans="4:8" x14ac:dyDescent="0.25">
      <c r="D145" t="e" vm="116">
        <v>#VALUE!</v>
      </c>
      <c r="E145" s="45" t="s">
        <v>1629</v>
      </c>
      <c r="F145">
        <v>-10</v>
      </c>
      <c r="G145" t="s">
        <v>1482</v>
      </c>
      <c r="H145">
        <v>113</v>
      </c>
    </row>
    <row r="146" spans="4:8" x14ac:dyDescent="0.25">
      <c r="D146" t="e" vm="117">
        <v>#VALUE!</v>
      </c>
      <c r="E146" s="45" t="s">
        <v>1630</v>
      </c>
      <c r="F146">
        <v>-12</v>
      </c>
      <c r="G146" t="s">
        <v>1461</v>
      </c>
      <c r="H146">
        <v>115</v>
      </c>
    </row>
    <row r="147" spans="4:8" x14ac:dyDescent="0.25">
      <c r="D147" t="e" vm="118">
        <v>#VALUE!</v>
      </c>
      <c r="E147" s="45" t="s">
        <v>1631</v>
      </c>
      <c r="F147">
        <v>-10</v>
      </c>
      <c r="G147" t="s">
        <v>1461</v>
      </c>
      <c r="H147">
        <v>116</v>
      </c>
    </row>
    <row r="148" spans="4:8" x14ac:dyDescent="0.25">
      <c r="D148" t="e" vm="119">
        <v>#VALUE!</v>
      </c>
      <c r="E148" s="45" t="s">
        <v>1632</v>
      </c>
      <c r="F148">
        <v>-12</v>
      </c>
      <c r="G148" t="s">
        <v>1461</v>
      </c>
      <c r="H148">
        <v>117</v>
      </c>
    </row>
    <row r="149" spans="4:8" x14ac:dyDescent="0.25">
      <c r="D149" t="e" vm="120">
        <v>#VALUE!</v>
      </c>
      <c r="E149" s="45" t="s">
        <v>1633</v>
      </c>
      <c r="F149">
        <v>-14</v>
      </c>
      <c r="G149" t="s">
        <v>1482</v>
      </c>
      <c r="H149">
        <v>118</v>
      </c>
    </row>
    <row r="150" spans="4:8" x14ac:dyDescent="0.25">
      <c r="D150" t="e" vm="121">
        <v>#VALUE!</v>
      </c>
      <c r="E150" s="45" t="s">
        <v>1634</v>
      </c>
      <c r="F150">
        <v>-16</v>
      </c>
      <c r="G150" t="s">
        <v>1482</v>
      </c>
      <c r="H150">
        <v>119</v>
      </c>
    </row>
    <row r="151" spans="4:8" x14ac:dyDescent="0.25">
      <c r="D151" t="e" vm="122">
        <v>#VALUE!</v>
      </c>
      <c r="E151" s="45" t="s">
        <v>1635</v>
      </c>
      <c r="F151">
        <v>-14</v>
      </c>
      <c r="G151" t="s">
        <v>1461</v>
      </c>
      <c r="H151">
        <v>120</v>
      </c>
    </row>
    <row r="152" spans="4:8" x14ac:dyDescent="0.25">
      <c r="D152" t="e" vm="123">
        <v>#VALUE!</v>
      </c>
      <c r="E152" s="45" t="s">
        <v>1636</v>
      </c>
      <c r="F152">
        <v>-16</v>
      </c>
      <c r="G152" t="s">
        <v>1461</v>
      </c>
      <c r="H152">
        <v>18</v>
      </c>
    </row>
    <row r="153" spans="4:8" x14ac:dyDescent="0.25">
      <c r="D153" t="e" vm="123">
        <v>#VALUE!</v>
      </c>
      <c r="E153" s="45" t="s">
        <v>1637</v>
      </c>
      <c r="F153">
        <v>-12</v>
      </c>
      <c r="G153" t="s">
        <v>1461</v>
      </c>
      <c r="H153">
        <v>121</v>
      </c>
    </row>
    <row r="154" spans="4:8" x14ac:dyDescent="0.25">
      <c r="D154" t="e" vm="124">
        <v>#VALUE!</v>
      </c>
      <c r="E154" s="45" t="s">
        <v>1638</v>
      </c>
      <c r="F154">
        <v>-10</v>
      </c>
      <c r="G154" t="s">
        <v>1482</v>
      </c>
      <c r="H154">
        <v>122</v>
      </c>
    </row>
    <row r="155" spans="4:8" x14ac:dyDescent="0.25">
      <c r="D155" t="e" vm="125">
        <v>#VALUE!</v>
      </c>
      <c r="E155" s="45" t="s">
        <v>1639</v>
      </c>
      <c r="F155">
        <v>-14</v>
      </c>
      <c r="G155" t="s">
        <v>1461</v>
      </c>
      <c r="H155">
        <v>123</v>
      </c>
    </row>
    <row r="156" spans="4:8" x14ac:dyDescent="0.25">
      <c r="D156" t="e" vm="126">
        <v>#VALUE!</v>
      </c>
      <c r="E156" s="45" t="s">
        <v>1640</v>
      </c>
      <c r="F156">
        <v>-12</v>
      </c>
      <c r="G156" t="s">
        <v>1461</v>
      </c>
      <c r="H156">
        <v>124</v>
      </c>
    </row>
    <row r="157" spans="4:8" x14ac:dyDescent="0.25">
      <c r="D157" t="e" vm="127">
        <v>#VALUE!</v>
      </c>
      <c r="E157" s="45" t="s">
        <v>1641</v>
      </c>
      <c r="F157">
        <v>-12</v>
      </c>
      <c r="G157" t="s">
        <v>1482</v>
      </c>
      <c r="H157">
        <v>125</v>
      </c>
    </row>
    <row r="158" spans="4:8" x14ac:dyDescent="0.25">
      <c r="D158" t="e" vm="128">
        <v>#VALUE!</v>
      </c>
      <c r="E158" s="45" t="s">
        <v>1642</v>
      </c>
      <c r="F158">
        <v>-10</v>
      </c>
      <c r="G158" t="s">
        <v>1461</v>
      </c>
      <c r="H158">
        <v>126</v>
      </c>
    </row>
    <row r="159" spans="4:8" x14ac:dyDescent="0.25">
      <c r="D159" t="e" vm="129">
        <v>#VALUE!</v>
      </c>
      <c r="E159" s="45" t="s">
        <v>1643</v>
      </c>
      <c r="F159">
        <v>-14</v>
      </c>
      <c r="G159" t="s">
        <v>1461</v>
      </c>
      <c r="H159">
        <v>127</v>
      </c>
    </row>
    <row r="160" spans="4:8" x14ac:dyDescent="0.25">
      <c r="D160" t="e" vm="130">
        <v>#VALUE!</v>
      </c>
      <c r="E160" s="45" t="s">
        <v>1644</v>
      </c>
      <c r="F160">
        <v>-18</v>
      </c>
      <c r="G160" t="s">
        <v>1461</v>
      </c>
      <c r="H160">
        <v>128</v>
      </c>
    </row>
    <row r="161" spans="4:8" x14ac:dyDescent="0.25">
      <c r="D161" t="e" vm="131">
        <v>#VALUE!</v>
      </c>
      <c r="E161" s="45" t="s">
        <v>1645</v>
      </c>
      <c r="F161">
        <v>-16</v>
      </c>
      <c r="G161" t="s">
        <v>1461</v>
      </c>
      <c r="H161">
        <v>129</v>
      </c>
    </row>
    <row r="162" spans="4:8" x14ac:dyDescent="0.25">
      <c r="D162" t="e" vm="132">
        <v>#VALUE!</v>
      </c>
      <c r="E162" s="45" t="s">
        <v>1646</v>
      </c>
      <c r="F162">
        <v>-12</v>
      </c>
      <c r="G162" t="s">
        <v>1482</v>
      </c>
      <c r="H162">
        <v>130</v>
      </c>
    </row>
    <row r="163" spans="4:8" x14ac:dyDescent="0.25">
      <c r="D163" t="e" vm="133">
        <v>#VALUE!</v>
      </c>
      <c r="E163" s="45" t="s">
        <v>1647</v>
      </c>
      <c r="F163">
        <v>-16</v>
      </c>
      <c r="G163" t="s">
        <v>1461</v>
      </c>
      <c r="H163">
        <v>131</v>
      </c>
    </row>
    <row r="164" spans="4:8" x14ac:dyDescent="0.25">
      <c r="D164" t="e" vm="134">
        <v>#VALUE!</v>
      </c>
      <c r="E164" s="45" t="s">
        <v>1648</v>
      </c>
      <c r="F164">
        <v>-16</v>
      </c>
      <c r="G164" t="s">
        <v>1461</v>
      </c>
      <c r="H164">
        <v>132</v>
      </c>
    </row>
    <row r="165" spans="4:8" x14ac:dyDescent="0.25">
      <c r="D165" t="e" vm="135">
        <v>#VALUE!</v>
      </c>
      <c r="E165" s="45" t="s">
        <v>1649</v>
      </c>
      <c r="F165">
        <v>-10</v>
      </c>
      <c r="G165" t="s">
        <v>1461</v>
      </c>
      <c r="H165">
        <v>133</v>
      </c>
    </row>
    <row r="166" spans="4:8" x14ac:dyDescent="0.25">
      <c r="D166" t="e" vm="136">
        <v>#VALUE!</v>
      </c>
      <c r="E166" s="45" t="s">
        <v>1650</v>
      </c>
      <c r="F166">
        <v>-16</v>
      </c>
      <c r="G166" t="s">
        <v>1461</v>
      </c>
      <c r="H166">
        <v>134</v>
      </c>
    </row>
    <row r="167" spans="4:8" x14ac:dyDescent="0.25">
      <c r="D167" t="e" vm="137">
        <v>#VALUE!</v>
      </c>
      <c r="E167" s="45" t="s">
        <v>1651</v>
      </c>
      <c r="F167">
        <v>-16</v>
      </c>
      <c r="G167" t="s">
        <v>1461</v>
      </c>
      <c r="H167">
        <v>135</v>
      </c>
    </row>
    <row r="168" spans="4:8" x14ac:dyDescent="0.25">
      <c r="D168" t="e" vm="138">
        <v>#VALUE!</v>
      </c>
      <c r="E168" s="45" t="s">
        <v>1652</v>
      </c>
      <c r="F168">
        <v>-12</v>
      </c>
      <c r="G168" t="s">
        <v>1461</v>
      </c>
      <c r="H168">
        <v>136</v>
      </c>
    </row>
    <row r="169" spans="4:8" x14ac:dyDescent="0.25">
      <c r="D169" t="e" vm="139">
        <v>#VALUE!</v>
      </c>
      <c r="E169" s="45" t="s">
        <v>1653</v>
      </c>
      <c r="F169">
        <v>-16</v>
      </c>
      <c r="G169" t="s">
        <v>1482</v>
      </c>
      <c r="H169">
        <v>138</v>
      </c>
    </row>
    <row r="170" spans="4:8" x14ac:dyDescent="0.25">
      <c r="D170" t="e" vm="140">
        <v>#VALUE!</v>
      </c>
      <c r="E170" s="45" t="s">
        <v>1654</v>
      </c>
      <c r="F170">
        <v>-12</v>
      </c>
      <c r="G170" t="s">
        <v>1482</v>
      </c>
      <c r="H170">
        <v>137</v>
      </c>
    </row>
    <row r="171" spans="4:8" x14ac:dyDescent="0.25">
      <c r="D171" t="e" vm="141">
        <v>#VALUE!</v>
      </c>
      <c r="E171" s="45" t="s">
        <v>1655</v>
      </c>
      <c r="F171">
        <v>-10</v>
      </c>
      <c r="G171" t="s">
        <v>1461</v>
      </c>
      <c r="H171">
        <v>139</v>
      </c>
    </row>
    <row r="172" spans="4:8" x14ac:dyDescent="0.25">
      <c r="D172" t="e" vm="142">
        <v>#VALUE!</v>
      </c>
      <c r="E172" s="45" t="s">
        <v>1656</v>
      </c>
      <c r="F172">
        <v>-16</v>
      </c>
      <c r="G172" t="s">
        <v>1461</v>
      </c>
      <c r="H172">
        <v>140</v>
      </c>
    </row>
    <row r="173" spans="4:8" x14ac:dyDescent="0.25">
      <c r="D173" t="e" vm="143">
        <v>#VALUE!</v>
      </c>
      <c r="E173" s="45" t="s">
        <v>1657</v>
      </c>
      <c r="F173">
        <v>-12</v>
      </c>
      <c r="G173" t="s">
        <v>1461</v>
      </c>
      <c r="H173">
        <v>141</v>
      </c>
    </row>
    <row r="174" spans="4:8" x14ac:dyDescent="0.25">
      <c r="D174" t="e" vm="144">
        <v>#VALUE!</v>
      </c>
      <c r="E174" s="45" t="s">
        <v>1658</v>
      </c>
      <c r="F174">
        <v>-16</v>
      </c>
      <c r="G174" t="s">
        <v>1461</v>
      </c>
      <c r="H174">
        <v>142</v>
      </c>
    </row>
    <row r="175" spans="4:8" x14ac:dyDescent="0.25">
      <c r="D175" t="e" vm="145">
        <v>#VALUE!</v>
      </c>
      <c r="E175" s="45" t="s">
        <v>1659</v>
      </c>
      <c r="F175">
        <v>-14</v>
      </c>
      <c r="G175" t="s">
        <v>1482</v>
      </c>
      <c r="H175">
        <v>143</v>
      </c>
    </row>
    <row r="176" spans="4:8" x14ac:dyDescent="0.25">
      <c r="D176" t="e" vm="146">
        <v>#VALUE!</v>
      </c>
      <c r="E176" s="45" t="s">
        <v>1660</v>
      </c>
      <c r="F176">
        <v>-16</v>
      </c>
      <c r="G176" t="s">
        <v>1461</v>
      </c>
      <c r="H176">
        <v>144</v>
      </c>
    </row>
    <row r="177" spans="4:8" x14ac:dyDescent="0.25">
      <c r="D177" t="e" vm="147">
        <v>#VALUE!</v>
      </c>
      <c r="E177" s="45" t="s">
        <v>1661</v>
      </c>
      <c r="F177">
        <v>-12</v>
      </c>
      <c r="G177" t="s">
        <v>1482</v>
      </c>
      <c r="H177">
        <v>145</v>
      </c>
    </row>
    <row r="178" spans="4:8" x14ac:dyDescent="0.25">
      <c r="D178" t="e" vm="148">
        <v>#VALUE!</v>
      </c>
      <c r="E178" s="45" t="s">
        <v>1662</v>
      </c>
      <c r="F178">
        <v>-14</v>
      </c>
      <c r="G178" t="s">
        <v>1482</v>
      </c>
      <c r="H178">
        <v>149</v>
      </c>
    </row>
    <row r="179" spans="4:8" x14ac:dyDescent="0.25">
      <c r="D179" t="e" vm="149">
        <v>#VALUE!</v>
      </c>
      <c r="E179" s="45" t="s">
        <v>1663</v>
      </c>
      <c r="F179">
        <v>-16</v>
      </c>
      <c r="G179" t="s">
        <v>1461</v>
      </c>
      <c r="H179">
        <v>146</v>
      </c>
    </row>
    <row r="180" spans="4:8" x14ac:dyDescent="0.25">
      <c r="D180" t="e" vm="150">
        <v>#VALUE!</v>
      </c>
      <c r="E180" s="45" t="s">
        <v>1664</v>
      </c>
      <c r="F180">
        <v>-14</v>
      </c>
      <c r="G180" t="s">
        <v>1461</v>
      </c>
      <c r="H180">
        <v>147</v>
      </c>
    </row>
    <row r="181" spans="4:8" x14ac:dyDescent="0.25">
      <c r="D181" t="e" vm="151">
        <v>#VALUE!</v>
      </c>
      <c r="E181" s="45" t="s">
        <v>1665</v>
      </c>
      <c r="F181">
        <v>-16</v>
      </c>
      <c r="G181" t="s">
        <v>1461</v>
      </c>
      <c r="H181">
        <v>148</v>
      </c>
    </row>
    <row r="182" spans="4:8" x14ac:dyDescent="0.25">
      <c r="D182" t="e" vm="152">
        <v>#VALUE!</v>
      </c>
      <c r="E182" s="45" t="s">
        <v>1666</v>
      </c>
      <c r="F182">
        <v>-18</v>
      </c>
      <c r="G182" t="s">
        <v>1461</v>
      </c>
      <c r="H182">
        <v>150</v>
      </c>
    </row>
    <row r="183" spans="4:8" x14ac:dyDescent="0.25">
      <c r="D183" t="e" vm="153">
        <v>#VALUE!</v>
      </c>
      <c r="E183" s="45" t="s">
        <v>1667</v>
      </c>
      <c r="F183">
        <v>-12</v>
      </c>
      <c r="G183" t="s">
        <v>1461</v>
      </c>
      <c r="H183">
        <v>151</v>
      </c>
    </row>
    <row r="184" spans="4:8" x14ac:dyDescent="0.25">
      <c r="D184" t="e" vm="154">
        <v>#VALUE!</v>
      </c>
      <c r="E184" s="45" t="s">
        <v>1668</v>
      </c>
      <c r="F184">
        <v>-16</v>
      </c>
      <c r="G184" t="s">
        <v>1461</v>
      </c>
      <c r="H184">
        <v>152</v>
      </c>
    </row>
    <row r="185" spans="4:8" x14ac:dyDescent="0.25">
      <c r="D185" t="e" vm="155">
        <v>#VALUE!</v>
      </c>
      <c r="E185" s="45" t="s">
        <v>1669</v>
      </c>
      <c r="F185">
        <v>-10</v>
      </c>
      <c r="G185" t="s">
        <v>1482</v>
      </c>
      <c r="H185">
        <v>154</v>
      </c>
    </row>
    <row r="186" spans="4:8" x14ac:dyDescent="0.25">
      <c r="D186" t="e" vm="156">
        <v>#VALUE!</v>
      </c>
      <c r="E186" s="45" t="s">
        <v>1670</v>
      </c>
      <c r="F186">
        <v>-14</v>
      </c>
      <c r="G186" t="s">
        <v>1482</v>
      </c>
      <c r="H186">
        <v>155</v>
      </c>
    </row>
    <row r="187" spans="4:8" x14ac:dyDescent="0.25">
      <c r="D187" t="e" vm="157">
        <v>#VALUE!</v>
      </c>
      <c r="E187" s="45" t="s">
        <v>1671</v>
      </c>
      <c r="F187">
        <v>-12</v>
      </c>
      <c r="G187" t="s">
        <v>1461</v>
      </c>
      <c r="H187">
        <v>157</v>
      </c>
    </row>
    <row r="188" spans="4:8" x14ac:dyDescent="0.25">
      <c r="D188" t="e" vm="158">
        <v>#VALUE!</v>
      </c>
      <c r="E188" s="45" t="s">
        <v>1672</v>
      </c>
      <c r="F188">
        <v>-12</v>
      </c>
      <c r="G188" t="s">
        <v>1461</v>
      </c>
      <c r="H188">
        <v>158</v>
      </c>
    </row>
    <row r="189" spans="4:8" x14ac:dyDescent="0.25">
      <c r="D189" t="e" vm="159">
        <v>#VALUE!</v>
      </c>
      <c r="E189" s="45" t="s">
        <v>1673</v>
      </c>
      <c r="F189">
        <v>-14</v>
      </c>
      <c r="G189" t="s">
        <v>1461</v>
      </c>
      <c r="H189">
        <v>159</v>
      </c>
    </row>
    <row r="190" spans="4:8" x14ac:dyDescent="0.25">
      <c r="D190" t="e" vm="160">
        <v>#VALUE!</v>
      </c>
      <c r="E190" s="45" t="s">
        <v>1674</v>
      </c>
      <c r="F190">
        <v>-14</v>
      </c>
      <c r="G190" t="s">
        <v>1461</v>
      </c>
      <c r="H190">
        <v>160</v>
      </c>
    </row>
    <row r="191" spans="4:8" x14ac:dyDescent="0.25">
      <c r="D191" t="e" vm="161">
        <v>#VALUE!</v>
      </c>
      <c r="E191" s="45" t="s">
        <v>1675</v>
      </c>
      <c r="F191">
        <v>-10</v>
      </c>
      <c r="G191" t="s">
        <v>1482</v>
      </c>
      <c r="H191">
        <v>161</v>
      </c>
    </row>
    <row r="192" spans="4:8" x14ac:dyDescent="0.25">
      <c r="D192" t="e" vm="162">
        <v>#VALUE!</v>
      </c>
      <c r="E192" s="45" t="s">
        <v>1676</v>
      </c>
      <c r="F192">
        <v>-14</v>
      </c>
      <c r="G192" t="s">
        <v>1461</v>
      </c>
      <c r="H192">
        <v>162</v>
      </c>
    </row>
    <row r="193" spans="4:8" x14ac:dyDescent="0.25">
      <c r="D193" t="e" vm="163">
        <v>#VALUE!</v>
      </c>
      <c r="E193" s="45" t="s">
        <v>1677</v>
      </c>
      <c r="F193">
        <v>-10</v>
      </c>
      <c r="G193" t="s">
        <v>1461</v>
      </c>
      <c r="H193">
        <v>163</v>
      </c>
    </row>
    <row r="194" spans="4:8" x14ac:dyDescent="0.25">
      <c r="D194" t="e" vm="164">
        <v>#VALUE!</v>
      </c>
      <c r="E194" s="45" t="s">
        <v>1678</v>
      </c>
      <c r="F194">
        <v>-14</v>
      </c>
      <c r="G194" t="s">
        <v>1461</v>
      </c>
      <c r="H194">
        <v>164</v>
      </c>
    </row>
    <row r="195" spans="4:8" x14ac:dyDescent="0.25">
      <c r="D195" t="e" vm="165">
        <v>#VALUE!</v>
      </c>
      <c r="E195" s="45" t="s">
        <v>1679</v>
      </c>
      <c r="F195">
        <v>-16</v>
      </c>
      <c r="G195" t="s">
        <v>1482</v>
      </c>
      <c r="H195">
        <v>165</v>
      </c>
    </row>
    <row r="196" spans="4:8" x14ac:dyDescent="0.25">
      <c r="D196" t="e" vm="166">
        <v>#VALUE!</v>
      </c>
      <c r="E196" s="45" t="s">
        <v>1680</v>
      </c>
      <c r="F196">
        <v>-14</v>
      </c>
      <c r="G196" t="s">
        <v>1482</v>
      </c>
      <c r="H196">
        <v>169</v>
      </c>
    </row>
    <row r="197" spans="4:8" x14ac:dyDescent="0.25">
      <c r="D197" t="e" vm="167">
        <v>#VALUE!</v>
      </c>
      <c r="E197" s="45" t="s">
        <v>1681</v>
      </c>
      <c r="F197">
        <v>-16</v>
      </c>
      <c r="G197" t="s">
        <v>1461</v>
      </c>
      <c r="H197">
        <v>166</v>
      </c>
    </row>
    <row r="198" spans="4:8" x14ac:dyDescent="0.25">
      <c r="D198" t="e" vm="168">
        <v>#VALUE!</v>
      </c>
      <c r="E198" s="45" t="s">
        <v>1682</v>
      </c>
      <c r="F198">
        <v>-14</v>
      </c>
      <c r="G198" t="s">
        <v>1461</v>
      </c>
      <c r="H198">
        <v>167</v>
      </c>
    </row>
    <row r="199" spans="4:8" x14ac:dyDescent="0.25">
      <c r="D199" t="e" vm="169">
        <v>#VALUE!</v>
      </c>
      <c r="E199" s="45" t="s">
        <v>1683</v>
      </c>
      <c r="F199">
        <v>-16</v>
      </c>
      <c r="G199" t="s">
        <v>1482</v>
      </c>
      <c r="H199">
        <v>168</v>
      </c>
    </row>
    <row r="200" spans="4:8" x14ac:dyDescent="0.25">
      <c r="D200" t="e" vm="170">
        <v>#VALUE!</v>
      </c>
      <c r="E200" s="45" t="s">
        <v>1684</v>
      </c>
      <c r="F200">
        <v>-12</v>
      </c>
      <c r="G200" t="s">
        <v>1482</v>
      </c>
      <c r="H200">
        <v>170</v>
      </c>
    </row>
    <row r="201" spans="4:8" x14ac:dyDescent="0.25">
      <c r="D201" t="e" vm="171">
        <v>#VALUE!</v>
      </c>
      <c r="E201" s="45" t="s">
        <v>1685</v>
      </c>
      <c r="F201">
        <v>-16</v>
      </c>
      <c r="G201" t="s">
        <v>1461</v>
      </c>
      <c r="H201">
        <v>171</v>
      </c>
    </row>
    <row r="202" spans="4:8" x14ac:dyDescent="0.25">
      <c r="D202" t="e" vm="172">
        <v>#VALUE!</v>
      </c>
      <c r="E202" s="45" t="s">
        <v>1686</v>
      </c>
      <c r="F202">
        <v>-12</v>
      </c>
      <c r="G202" t="s">
        <v>1461</v>
      </c>
      <c r="H202">
        <v>172</v>
      </c>
    </row>
    <row r="203" spans="4:8" x14ac:dyDescent="0.25">
      <c r="D203" t="e" vm="173">
        <v>#VALUE!</v>
      </c>
      <c r="E203" s="45" t="s">
        <v>1687</v>
      </c>
      <c r="F203">
        <v>-10</v>
      </c>
      <c r="G203" t="s">
        <v>1482</v>
      </c>
      <c r="H203">
        <v>173</v>
      </c>
    </row>
    <row r="204" spans="4:8" x14ac:dyDescent="0.25">
      <c r="D204" t="e" vm="174">
        <v>#VALUE!</v>
      </c>
      <c r="E204" s="45" t="s">
        <v>1688</v>
      </c>
      <c r="F204">
        <v>-10</v>
      </c>
      <c r="G204" t="s">
        <v>1461</v>
      </c>
      <c r="H204">
        <v>174</v>
      </c>
    </row>
    <row r="205" spans="4:8" x14ac:dyDescent="0.25">
      <c r="D205" t="e" vm="175">
        <v>#VALUE!</v>
      </c>
      <c r="E205" s="45" t="s">
        <v>1689</v>
      </c>
      <c r="F205">
        <v>-16</v>
      </c>
      <c r="G205" t="s">
        <v>1461</v>
      </c>
      <c r="H205">
        <v>175</v>
      </c>
    </row>
    <row r="206" spans="4:8" x14ac:dyDescent="0.25">
      <c r="D206" t="e" vm="176">
        <v>#VALUE!</v>
      </c>
      <c r="E206" s="45" t="s">
        <v>1690</v>
      </c>
      <c r="F206">
        <v>-16</v>
      </c>
      <c r="G206" t="s">
        <v>1461</v>
      </c>
      <c r="H206">
        <v>176</v>
      </c>
    </row>
    <row r="207" spans="4:8" x14ac:dyDescent="0.25">
      <c r="D207" t="e" vm="177">
        <v>#VALUE!</v>
      </c>
      <c r="E207" s="45" t="s">
        <v>1691</v>
      </c>
      <c r="F207">
        <v>-16</v>
      </c>
      <c r="G207" t="s">
        <v>1461</v>
      </c>
      <c r="H207">
        <v>177</v>
      </c>
    </row>
    <row r="208" spans="4:8" x14ac:dyDescent="0.25">
      <c r="D208" t="e" vm="178">
        <v>#VALUE!</v>
      </c>
      <c r="E208" s="45" t="s">
        <v>1692</v>
      </c>
      <c r="F208">
        <v>-12</v>
      </c>
      <c r="G208" t="s">
        <v>1461</v>
      </c>
      <c r="H208">
        <v>178</v>
      </c>
    </row>
    <row r="209" spans="4:8" x14ac:dyDescent="0.25">
      <c r="D209" t="e" vm="179">
        <v>#VALUE!</v>
      </c>
      <c r="E209" s="45" t="s">
        <v>1693</v>
      </c>
      <c r="F209">
        <v>-12</v>
      </c>
      <c r="G209" t="s">
        <v>1482</v>
      </c>
      <c r="H209">
        <v>180</v>
      </c>
    </row>
    <row r="210" spans="4:8" x14ac:dyDescent="0.25">
      <c r="D210" t="e" vm="180">
        <v>#VALUE!</v>
      </c>
      <c r="E210" s="45" t="s">
        <v>1694</v>
      </c>
      <c r="F210">
        <v>-12</v>
      </c>
      <c r="G210" t="s">
        <v>1482</v>
      </c>
      <c r="H210">
        <v>181</v>
      </c>
    </row>
    <row r="211" spans="4:8" x14ac:dyDescent="0.25">
      <c r="D211" t="e" vm="181">
        <v>#VALUE!</v>
      </c>
      <c r="E211" s="45" t="s">
        <v>1695</v>
      </c>
      <c r="F211">
        <v>-14</v>
      </c>
      <c r="G211" t="s">
        <v>1461</v>
      </c>
      <c r="H211">
        <v>182</v>
      </c>
    </row>
    <row r="212" spans="4:8" x14ac:dyDescent="0.25">
      <c r="D212" t="e" vm="182">
        <v>#VALUE!</v>
      </c>
      <c r="E212" s="45" t="s">
        <v>1696</v>
      </c>
      <c r="F212">
        <v>-14</v>
      </c>
      <c r="G212" t="s">
        <v>1461</v>
      </c>
      <c r="H212">
        <v>183</v>
      </c>
    </row>
    <row r="213" spans="4:8" x14ac:dyDescent="0.25">
      <c r="D213" t="e" vm="183">
        <v>#VALUE!</v>
      </c>
      <c r="E213" s="45" t="s">
        <v>1697</v>
      </c>
      <c r="F213">
        <v>-14</v>
      </c>
      <c r="G213" t="s">
        <v>1482</v>
      </c>
      <c r="H213">
        <v>184</v>
      </c>
    </row>
    <row r="214" spans="4:8" x14ac:dyDescent="0.25">
      <c r="D214" t="e" vm="184">
        <v>#VALUE!</v>
      </c>
      <c r="E214" s="45" t="s">
        <v>1698</v>
      </c>
      <c r="F214">
        <v>-12</v>
      </c>
      <c r="G214" t="s">
        <v>1482</v>
      </c>
      <c r="H214">
        <v>185</v>
      </c>
    </row>
    <row r="215" spans="4:8" x14ac:dyDescent="0.25">
      <c r="D215" t="e" vm="185">
        <v>#VALUE!</v>
      </c>
      <c r="E215" s="45" t="s">
        <v>1699</v>
      </c>
      <c r="F215">
        <v>-12</v>
      </c>
      <c r="G215" t="s">
        <v>1482</v>
      </c>
      <c r="H215">
        <v>186</v>
      </c>
    </row>
    <row r="216" spans="4:8" x14ac:dyDescent="0.25">
      <c r="D216" t="e" vm="186">
        <v>#VALUE!</v>
      </c>
      <c r="E216" s="45" t="s">
        <v>1700</v>
      </c>
      <c r="F216">
        <v>-12</v>
      </c>
      <c r="G216" t="s">
        <v>1482</v>
      </c>
      <c r="H216">
        <v>187</v>
      </c>
    </row>
    <row r="217" spans="4:8" x14ac:dyDescent="0.25">
      <c r="D217" t="e" vm="186">
        <v>#VALUE!</v>
      </c>
      <c r="E217" s="45" t="s">
        <v>1701</v>
      </c>
      <c r="F217">
        <v>-12</v>
      </c>
      <c r="G217" t="s">
        <v>1461</v>
      </c>
      <c r="H217">
        <v>51</v>
      </c>
    </row>
    <row r="218" spans="4:8" x14ac:dyDescent="0.25">
      <c r="D218" t="e" vm="187">
        <v>#VALUE!</v>
      </c>
      <c r="E218" s="45" t="s">
        <v>1702</v>
      </c>
      <c r="F218">
        <v>-12</v>
      </c>
      <c r="G218" t="s">
        <v>1482</v>
      </c>
      <c r="H218">
        <v>188</v>
      </c>
    </row>
    <row r="219" spans="4:8" x14ac:dyDescent="0.25">
      <c r="D219" t="e" vm="188">
        <v>#VALUE!</v>
      </c>
      <c r="E219" s="45" t="s">
        <v>1703</v>
      </c>
      <c r="F219">
        <v>-14</v>
      </c>
      <c r="G219" t="s">
        <v>1482</v>
      </c>
      <c r="H219">
        <v>189</v>
      </c>
    </row>
    <row r="220" spans="4:8" x14ac:dyDescent="0.25">
      <c r="D220" t="e" vm="189">
        <v>#VALUE!</v>
      </c>
      <c r="E220" s="45" t="s">
        <v>1704</v>
      </c>
      <c r="F220">
        <v>-12</v>
      </c>
      <c r="G220" t="s">
        <v>1482</v>
      </c>
      <c r="H220">
        <v>191</v>
      </c>
    </row>
    <row r="221" spans="4:8" x14ac:dyDescent="0.25">
      <c r="D221" t="e" vm="190">
        <v>#VALUE!</v>
      </c>
      <c r="E221" s="45" t="s">
        <v>1705</v>
      </c>
      <c r="F221">
        <v>-10</v>
      </c>
      <c r="G221" t="s">
        <v>1461</v>
      </c>
      <c r="H221">
        <v>193</v>
      </c>
    </row>
    <row r="222" spans="4:8" x14ac:dyDescent="0.25">
      <c r="D222" t="e" vm="191">
        <v>#VALUE!</v>
      </c>
      <c r="E222" s="45" t="s">
        <v>1706</v>
      </c>
      <c r="F222">
        <v>-10</v>
      </c>
      <c r="G222" t="s">
        <v>1461</v>
      </c>
      <c r="H222">
        <v>194</v>
      </c>
    </row>
    <row r="223" spans="4:8" x14ac:dyDescent="0.25">
      <c r="D223" t="e" vm="192">
        <v>#VALUE!</v>
      </c>
      <c r="E223" s="45" t="s">
        <v>1707</v>
      </c>
      <c r="F223">
        <v>-14</v>
      </c>
      <c r="G223" t="s">
        <v>1461</v>
      </c>
      <c r="H223">
        <v>195</v>
      </c>
    </row>
    <row r="224" spans="4:8" x14ac:dyDescent="0.25">
      <c r="D224" t="e" vm="193">
        <v>#VALUE!</v>
      </c>
      <c r="E224" s="45" t="s">
        <v>1708</v>
      </c>
      <c r="F224">
        <v>-16</v>
      </c>
      <c r="G224" t="s">
        <v>1482</v>
      </c>
      <c r="H224">
        <v>196</v>
      </c>
    </row>
    <row r="225" spans="4:8" x14ac:dyDescent="0.25">
      <c r="D225" t="e" vm="194">
        <v>#VALUE!</v>
      </c>
      <c r="E225" s="45" t="s">
        <v>1709</v>
      </c>
      <c r="F225">
        <v>-12</v>
      </c>
      <c r="G225" t="s">
        <v>1482</v>
      </c>
      <c r="H225">
        <v>197</v>
      </c>
    </row>
    <row r="226" spans="4:8" x14ac:dyDescent="0.25">
      <c r="D226" t="e" vm="195">
        <v>#VALUE!</v>
      </c>
      <c r="E226" s="45" t="s">
        <v>1710</v>
      </c>
      <c r="F226">
        <v>-12</v>
      </c>
      <c r="G226" t="s">
        <v>1461</v>
      </c>
      <c r="H226">
        <v>198</v>
      </c>
    </row>
    <row r="227" spans="4:8" x14ac:dyDescent="0.25">
      <c r="D227" t="e" vm="196">
        <v>#VALUE!</v>
      </c>
      <c r="E227" s="45" t="s">
        <v>1711</v>
      </c>
      <c r="F227">
        <v>-14</v>
      </c>
      <c r="G227" t="s">
        <v>1461</v>
      </c>
      <c r="H227">
        <v>199</v>
      </c>
    </row>
    <row r="228" spans="4:8" x14ac:dyDescent="0.25">
      <c r="D228" t="e" vm="197">
        <v>#VALUE!</v>
      </c>
      <c r="E228" s="45" t="s">
        <v>1712</v>
      </c>
      <c r="F228">
        <v>-12</v>
      </c>
      <c r="G228" t="s">
        <v>1461</v>
      </c>
      <c r="H228">
        <v>200</v>
      </c>
    </row>
    <row r="229" spans="4:8" x14ac:dyDescent="0.25">
      <c r="D229" t="e" vm="198">
        <v>#VALUE!</v>
      </c>
      <c r="E229" s="45" t="s">
        <v>1713</v>
      </c>
      <c r="F229">
        <v>-14</v>
      </c>
      <c r="G229" t="s">
        <v>1461</v>
      </c>
      <c r="H229">
        <v>201</v>
      </c>
    </row>
    <row r="230" spans="4:8" x14ac:dyDescent="0.25">
      <c r="D230" t="e" vm="199">
        <v>#VALUE!</v>
      </c>
      <c r="E230" s="45" t="s">
        <v>1714</v>
      </c>
      <c r="F230">
        <v>-12</v>
      </c>
      <c r="G230" t="s">
        <v>1482</v>
      </c>
      <c r="H230">
        <v>203</v>
      </c>
    </row>
    <row r="231" spans="4:8" x14ac:dyDescent="0.25">
      <c r="D231" t="e" vm="200">
        <v>#VALUE!</v>
      </c>
      <c r="E231" s="45" t="s">
        <v>1715</v>
      </c>
      <c r="F231">
        <v>-14</v>
      </c>
      <c r="G231" t="s">
        <v>1461</v>
      </c>
      <c r="H231">
        <v>204</v>
      </c>
    </row>
    <row r="232" spans="4:8" x14ac:dyDescent="0.25">
      <c r="D232" t="e" vm="201">
        <v>#VALUE!</v>
      </c>
      <c r="E232" s="45" t="s">
        <v>1716</v>
      </c>
      <c r="F232">
        <v>-10</v>
      </c>
      <c r="G232" t="s">
        <v>1482</v>
      </c>
      <c r="H232">
        <v>205</v>
      </c>
    </row>
    <row r="233" spans="4:8" x14ac:dyDescent="0.25">
      <c r="D233" t="e" vm="201">
        <v>#VALUE!</v>
      </c>
      <c r="E233" s="45" t="s">
        <v>1717</v>
      </c>
      <c r="F233">
        <v>-10</v>
      </c>
      <c r="G233" t="s">
        <v>1461</v>
      </c>
      <c r="H233">
        <v>474</v>
      </c>
    </row>
    <row r="234" spans="4:8" x14ac:dyDescent="0.25">
      <c r="D234" t="e" vm="202">
        <v>#VALUE!</v>
      </c>
      <c r="E234" s="45" t="s">
        <v>1718</v>
      </c>
      <c r="F234">
        <v>-10</v>
      </c>
      <c r="G234" t="s">
        <v>1482</v>
      </c>
      <c r="H234">
        <v>208</v>
      </c>
    </row>
    <row r="235" spans="4:8" x14ac:dyDescent="0.25">
      <c r="D235" t="e" vm="203">
        <v>#VALUE!</v>
      </c>
      <c r="E235" s="45" t="s">
        <v>1719</v>
      </c>
      <c r="F235">
        <v>-14</v>
      </c>
      <c r="G235" t="s">
        <v>1461</v>
      </c>
      <c r="H235">
        <v>209</v>
      </c>
    </row>
    <row r="236" spans="4:8" x14ac:dyDescent="0.25">
      <c r="D236" t="e" vm="204">
        <v>#VALUE!</v>
      </c>
      <c r="E236" s="45" t="s">
        <v>1720</v>
      </c>
      <c r="F236">
        <v>-10</v>
      </c>
      <c r="G236" t="s">
        <v>1482</v>
      </c>
      <c r="H236">
        <v>210</v>
      </c>
    </row>
    <row r="237" spans="4:8" x14ac:dyDescent="0.25">
      <c r="D237" t="e" vm="205">
        <v>#VALUE!</v>
      </c>
      <c r="E237" s="45" t="s">
        <v>1721</v>
      </c>
      <c r="F237">
        <v>-14</v>
      </c>
      <c r="G237" t="s">
        <v>1482</v>
      </c>
      <c r="H237">
        <v>211</v>
      </c>
    </row>
    <row r="238" spans="4:8" x14ac:dyDescent="0.25">
      <c r="D238" t="e" vm="206">
        <v>#VALUE!</v>
      </c>
      <c r="E238" s="45" t="s">
        <v>1722</v>
      </c>
      <c r="F238">
        <v>-16</v>
      </c>
      <c r="G238" t="s">
        <v>1461</v>
      </c>
      <c r="H238">
        <v>212</v>
      </c>
    </row>
    <row r="239" spans="4:8" x14ac:dyDescent="0.25">
      <c r="D239" t="e" vm="207">
        <v>#VALUE!</v>
      </c>
      <c r="E239" s="45" t="s">
        <v>1723</v>
      </c>
      <c r="F239">
        <v>-18</v>
      </c>
      <c r="G239" t="s">
        <v>1482</v>
      </c>
      <c r="H239">
        <v>214</v>
      </c>
    </row>
    <row r="240" spans="4:8" x14ac:dyDescent="0.25">
      <c r="D240" t="e" vm="208">
        <v>#VALUE!</v>
      </c>
      <c r="E240" s="45" t="s">
        <v>1724</v>
      </c>
      <c r="F240">
        <v>-14</v>
      </c>
      <c r="G240" t="s">
        <v>1461</v>
      </c>
      <c r="H240">
        <v>215</v>
      </c>
    </row>
    <row r="241" spans="4:8" x14ac:dyDescent="0.25">
      <c r="D241" t="e" vm="209">
        <v>#VALUE!</v>
      </c>
      <c r="E241" s="45" t="s">
        <v>1725</v>
      </c>
      <c r="F241">
        <v>-12</v>
      </c>
      <c r="G241" t="s">
        <v>1461</v>
      </c>
      <c r="H241">
        <v>216</v>
      </c>
    </row>
    <row r="242" spans="4:8" x14ac:dyDescent="0.25">
      <c r="D242" t="e" vm="210">
        <v>#VALUE!</v>
      </c>
      <c r="E242" s="45" t="s">
        <v>1726</v>
      </c>
      <c r="F242">
        <v>-16</v>
      </c>
      <c r="G242" t="s">
        <v>1461</v>
      </c>
      <c r="H242">
        <v>217</v>
      </c>
    </row>
    <row r="243" spans="4:8" x14ac:dyDescent="0.25">
      <c r="D243" t="e" vm="211">
        <v>#VALUE!</v>
      </c>
      <c r="E243" s="45" t="s">
        <v>1727</v>
      </c>
      <c r="F243">
        <v>-12</v>
      </c>
      <c r="G243" t="s">
        <v>1461</v>
      </c>
      <c r="H243">
        <v>218</v>
      </c>
    </row>
    <row r="244" spans="4:8" x14ac:dyDescent="0.25">
      <c r="D244" t="e" vm="212">
        <v>#VALUE!</v>
      </c>
      <c r="E244" s="45" t="s">
        <v>1728</v>
      </c>
      <c r="F244">
        <v>-10</v>
      </c>
      <c r="G244" t="s">
        <v>1461</v>
      </c>
      <c r="H244">
        <v>219</v>
      </c>
    </row>
    <row r="245" spans="4:8" x14ac:dyDescent="0.25">
      <c r="D245" t="e" vm="213">
        <v>#VALUE!</v>
      </c>
      <c r="E245" s="45" t="s">
        <v>1729</v>
      </c>
      <c r="F245">
        <v>-12</v>
      </c>
      <c r="G245" t="s">
        <v>1461</v>
      </c>
      <c r="H245">
        <v>220</v>
      </c>
    </row>
    <row r="246" spans="4:8" x14ac:dyDescent="0.25">
      <c r="D246" t="e" vm="213">
        <v>#VALUE!</v>
      </c>
      <c r="E246" s="45" t="s">
        <v>1730</v>
      </c>
      <c r="F246">
        <v>-12</v>
      </c>
      <c r="G246" t="s">
        <v>1461</v>
      </c>
      <c r="H246">
        <v>221</v>
      </c>
    </row>
    <row r="247" spans="4:8" x14ac:dyDescent="0.25">
      <c r="D247" t="e" vm="214">
        <v>#VALUE!</v>
      </c>
      <c r="E247" s="45" t="s">
        <v>1731</v>
      </c>
      <c r="F247">
        <v>-16</v>
      </c>
      <c r="G247" t="s">
        <v>1461</v>
      </c>
      <c r="H247">
        <v>222</v>
      </c>
    </row>
    <row r="248" spans="4:8" x14ac:dyDescent="0.25">
      <c r="D248" t="e" vm="215">
        <v>#VALUE!</v>
      </c>
      <c r="E248" s="45" t="s">
        <v>1732</v>
      </c>
      <c r="F248">
        <v>-10</v>
      </c>
      <c r="G248" t="s">
        <v>1461</v>
      </c>
      <c r="H248">
        <v>223</v>
      </c>
    </row>
    <row r="249" spans="4:8" x14ac:dyDescent="0.25">
      <c r="D249" t="e" vm="216">
        <v>#VALUE!</v>
      </c>
      <c r="E249" s="45" t="s">
        <v>1733</v>
      </c>
      <c r="F249">
        <v>-10</v>
      </c>
      <c r="G249" t="s">
        <v>1461</v>
      </c>
      <c r="H249">
        <v>224</v>
      </c>
    </row>
    <row r="250" spans="4:8" x14ac:dyDescent="0.25">
      <c r="D250" t="e" vm="217">
        <v>#VALUE!</v>
      </c>
      <c r="E250" s="45" t="s">
        <v>1734</v>
      </c>
      <c r="F250">
        <v>-10</v>
      </c>
      <c r="G250" t="s">
        <v>1461</v>
      </c>
      <c r="H250">
        <v>225</v>
      </c>
    </row>
    <row r="251" spans="4:8" x14ac:dyDescent="0.25">
      <c r="D251" t="e" vm="218">
        <v>#VALUE!</v>
      </c>
      <c r="E251" s="45" t="s">
        <v>1735</v>
      </c>
      <c r="F251">
        <v>-12</v>
      </c>
      <c r="G251" t="s">
        <v>1482</v>
      </c>
      <c r="H251">
        <v>226</v>
      </c>
    </row>
    <row r="252" spans="4:8" x14ac:dyDescent="0.25">
      <c r="D252" t="e" vm="219">
        <v>#VALUE!</v>
      </c>
      <c r="E252" s="45" t="s">
        <v>1736</v>
      </c>
      <c r="F252">
        <v>-12</v>
      </c>
      <c r="G252" t="s">
        <v>1461</v>
      </c>
      <c r="H252">
        <v>227</v>
      </c>
    </row>
    <row r="253" spans="4:8" x14ac:dyDescent="0.25">
      <c r="D253" t="e" vm="220">
        <v>#VALUE!</v>
      </c>
      <c r="E253" s="45" t="s">
        <v>1737</v>
      </c>
      <c r="F253">
        <v>-16</v>
      </c>
      <c r="G253" t="s">
        <v>1461</v>
      </c>
      <c r="H253">
        <v>228</v>
      </c>
    </row>
    <row r="254" spans="4:8" x14ac:dyDescent="0.25">
      <c r="D254" t="e" vm="221">
        <v>#VALUE!</v>
      </c>
      <c r="E254" s="45" t="s">
        <v>1738</v>
      </c>
      <c r="F254">
        <v>-16</v>
      </c>
      <c r="G254" t="s">
        <v>1461</v>
      </c>
      <c r="H254">
        <v>229</v>
      </c>
    </row>
    <row r="255" spans="4:8" x14ac:dyDescent="0.25">
      <c r="D255" t="e" vm="222">
        <v>#VALUE!</v>
      </c>
      <c r="E255" s="45" t="s">
        <v>1739</v>
      </c>
      <c r="F255">
        <v>-12</v>
      </c>
      <c r="G255" t="s">
        <v>1482</v>
      </c>
      <c r="H255">
        <v>231</v>
      </c>
    </row>
    <row r="256" spans="4:8" x14ac:dyDescent="0.25">
      <c r="D256" t="e" vm="222">
        <v>#VALUE!</v>
      </c>
      <c r="E256" s="45" t="s">
        <v>1740</v>
      </c>
      <c r="F256">
        <v>-12</v>
      </c>
      <c r="G256" t="s">
        <v>1461</v>
      </c>
      <c r="H256">
        <v>277</v>
      </c>
    </row>
    <row r="257" spans="4:8" x14ac:dyDescent="0.25">
      <c r="D257" t="e" vm="223">
        <v>#VALUE!</v>
      </c>
      <c r="E257" s="45" t="s">
        <v>1741</v>
      </c>
      <c r="F257">
        <v>-12</v>
      </c>
      <c r="G257" t="s">
        <v>1461</v>
      </c>
      <c r="H257">
        <v>232</v>
      </c>
    </row>
    <row r="258" spans="4:8" x14ac:dyDescent="0.25">
      <c r="D258" t="e" vm="224">
        <v>#VALUE!</v>
      </c>
      <c r="E258" s="45" t="s">
        <v>1742</v>
      </c>
      <c r="F258">
        <v>-14</v>
      </c>
      <c r="G258" t="s">
        <v>1461</v>
      </c>
      <c r="H258">
        <v>233</v>
      </c>
    </row>
    <row r="259" spans="4:8" x14ac:dyDescent="0.25">
      <c r="D259" t="e" vm="225">
        <v>#VALUE!</v>
      </c>
      <c r="E259" s="45" t="s">
        <v>1743</v>
      </c>
      <c r="F259">
        <v>-12</v>
      </c>
      <c r="G259" t="s">
        <v>1461</v>
      </c>
      <c r="H259">
        <v>234</v>
      </c>
    </row>
    <row r="260" spans="4:8" x14ac:dyDescent="0.25">
      <c r="D260" t="e" vm="226">
        <v>#VALUE!</v>
      </c>
      <c r="E260" s="45" t="s">
        <v>1744</v>
      </c>
      <c r="F260">
        <v>-12</v>
      </c>
      <c r="G260" t="s">
        <v>1482</v>
      </c>
      <c r="H260">
        <v>235</v>
      </c>
    </row>
    <row r="261" spans="4:8" x14ac:dyDescent="0.25">
      <c r="D261" t="e" vm="227">
        <v>#VALUE!</v>
      </c>
      <c r="E261" s="45" t="s">
        <v>1745</v>
      </c>
      <c r="F261">
        <v>-12</v>
      </c>
      <c r="G261" t="s">
        <v>1461</v>
      </c>
      <c r="H261">
        <v>236</v>
      </c>
    </row>
    <row r="262" spans="4:8" x14ac:dyDescent="0.25">
      <c r="D262" t="e" vm="228">
        <v>#VALUE!</v>
      </c>
      <c r="E262" s="45" t="s">
        <v>1746</v>
      </c>
      <c r="F262">
        <v>-16</v>
      </c>
      <c r="G262" t="s">
        <v>1461</v>
      </c>
      <c r="H262">
        <v>237</v>
      </c>
    </row>
    <row r="263" spans="4:8" x14ac:dyDescent="0.25">
      <c r="D263" t="e" vm="229">
        <v>#VALUE!</v>
      </c>
      <c r="E263" s="45" t="s">
        <v>1747</v>
      </c>
      <c r="F263">
        <v>-10</v>
      </c>
      <c r="G263" t="s">
        <v>1461</v>
      </c>
      <c r="H263">
        <v>238</v>
      </c>
    </row>
    <row r="264" spans="4:8" x14ac:dyDescent="0.25">
      <c r="D264" t="e" vm="230">
        <v>#VALUE!</v>
      </c>
      <c r="E264" s="45" t="s">
        <v>1748</v>
      </c>
      <c r="F264">
        <v>-16</v>
      </c>
      <c r="G264" t="s">
        <v>1461</v>
      </c>
      <c r="H264">
        <v>239</v>
      </c>
    </row>
    <row r="265" spans="4:8" x14ac:dyDescent="0.25">
      <c r="D265" t="e" vm="231">
        <v>#VALUE!</v>
      </c>
      <c r="E265" s="45" t="s">
        <v>1749</v>
      </c>
      <c r="F265">
        <v>-12</v>
      </c>
      <c r="G265" t="s">
        <v>1482</v>
      </c>
      <c r="H265">
        <v>240</v>
      </c>
    </row>
    <row r="266" spans="4:8" x14ac:dyDescent="0.25">
      <c r="D266" t="e" vm="232">
        <v>#VALUE!</v>
      </c>
      <c r="E266" s="45" t="s">
        <v>1750</v>
      </c>
      <c r="F266">
        <v>-12</v>
      </c>
      <c r="G266" t="s">
        <v>1482</v>
      </c>
      <c r="H266">
        <v>241</v>
      </c>
    </row>
    <row r="267" spans="4:8" x14ac:dyDescent="0.25">
      <c r="D267" t="e" vm="233">
        <v>#VALUE!</v>
      </c>
      <c r="E267" s="45" t="s">
        <v>1751</v>
      </c>
      <c r="F267">
        <v>-16</v>
      </c>
      <c r="G267" t="s">
        <v>1461</v>
      </c>
      <c r="H267">
        <v>242</v>
      </c>
    </row>
    <row r="268" spans="4:8" x14ac:dyDescent="0.25">
      <c r="D268" t="e" vm="234">
        <v>#VALUE!</v>
      </c>
      <c r="E268" s="45" t="s">
        <v>1752</v>
      </c>
      <c r="F268">
        <v>-16</v>
      </c>
      <c r="G268" t="s">
        <v>1461</v>
      </c>
      <c r="H268">
        <v>243</v>
      </c>
    </row>
    <row r="269" spans="4:8" x14ac:dyDescent="0.25">
      <c r="D269" t="e" vm="235">
        <v>#VALUE!</v>
      </c>
      <c r="E269" s="45" t="s">
        <v>1753</v>
      </c>
      <c r="F269">
        <v>-10</v>
      </c>
      <c r="G269" t="s">
        <v>1482</v>
      </c>
      <c r="H269">
        <v>244</v>
      </c>
    </row>
    <row r="270" spans="4:8" x14ac:dyDescent="0.25">
      <c r="D270" t="e" vm="236">
        <v>#VALUE!</v>
      </c>
      <c r="E270" s="45" t="s">
        <v>1754</v>
      </c>
      <c r="F270">
        <v>-18</v>
      </c>
      <c r="G270" t="s">
        <v>1461</v>
      </c>
      <c r="H270">
        <v>213</v>
      </c>
    </row>
    <row r="271" spans="4:8" x14ac:dyDescent="0.25">
      <c r="D271" t="e" vm="237">
        <v>#VALUE!</v>
      </c>
      <c r="E271" s="45" t="s">
        <v>1755</v>
      </c>
      <c r="F271">
        <v>-16</v>
      </c>
      <c r="G271" t="s">
        <v>1461</v>
      </c>
      <c r="H271">
        <v>245</v>
      </c>
    </row>
    <row r="272" spans="4:8" x14ac:dyDescent="0.25">
      <c r="D272" t="e" vm="238">
        <v>#VALUE!</v>
      </c>
      <c r="E272" s="45" t="s">
        <v>1756</v>
      </c>
      <c r="F272">
        <v>-10</v>
      </c>
      <c r="G272" t="s">
        <v>1461</v>
      </c>
      <c r="H272">
        <v>247</v>
      </c>
    </row>
    <row r="273" spans="4:8" x14ac:dyDescent="0.25">
      <c r="D273" t="e" vm="239">
        <v>#VALUE!</v>
      </c>
      <c r="E273" s="45" t="s">
        <v>1757</v>
      </c>
      <c r="F273">
        <v>-12</v>
      </c>
      <c r="G273" t="s">
        <v>1482</v>
      </c>
      <c r="H273">
        <v>249</v>
      </c>
    </row>
    <row r="274" spans="4:8" x14ac:dyDescent="0.25">
      <c r="D274" t="e" vm="240">
        <v>#VALUE!</v>
      </c>
      <c r="E274" s="45" t="s">
        <v>1758</v>
      </c>
      <c r="F274">
        <v>-10</v>
      </c>
      <c r="G274" t="s">
        <v>1482</v>
      </c>
      <c r="H274">
        <v>251</v>
      </c>
    </row>
    <row r="275" spans="4:8" x14ac:dyDescent="0.25">
      <c r="D275" t="e" vm="241">
        <v>#VALUE!</v>
      </c>
      <c r="E275" s="45" t="s">
        <v>1759</v>
      </c>
      <c r="F275">
        <v>-10</v>
      </c>
      <c r="G275" t="s">
        <v>1461</v>
      </c>
      <c r="H275">
        <v>376</v>
      </c>
    </row>
    <row r="276" spans="4:8" x14ac:dyDescent="0.25">
      <c r="D276" t="e" vm="242">
        <v>#VALUE!</v>
      </c>
      <c r="E276" s="45" t="s">
        <v>1759</v>
      </c>
      <c r="F276">
        <v>-10</v>
      </c>
      <c r="G276" t="s">
        <v>1461</v>
      </c>
      <c r="H276">
        <v>397</v>
      </c>
    </row>
    <row r="277" spans="4:8" x14ac:dyDescent="0.25">
      <c r="D277" t="e" vm="243">
        <v>#VALUE!</v>
      </c>
      <c r="E277" s="45" t="s">
        <v>1760</v>
      </c>
      <c r="F277">
        <v>-14</v>
      </c>
      <c r="G277" t="s">
        <v>1461</v>
      </c>
      <c r="H277">
        <v>253</v>
      </c>
    </row>
    <row r="278" spans="4:8" x14ac:dyDescent="0.25">
      <c r="D278" t="e" vm="244">
        <v>#VALUE!</v>
      </c>
      <c r="E278" s="45" t="s">
        <v>1761</v>
      </c>
      <c r="F278">
        <v>-12</v>
      </c>
      <c r="G278" t="s">
        <v>1461</v>
      </c>
      <c r="H278">
        <v>252</v>
      </c>
    </row>
    <row r="279" spans="4:8" x14ac:dyDescent="0.25">
      <c r="D279" t="e" vm="245">
        <v>#VALUE!</v>
      </c>
      <c r="E279" s="45" t="s">
        <v>1762</v>
      </c>
      <c r="F279">
        <v>-12</v>
      </c>
      <c r="G279" t="s">
        <v>1482</v>
      </c>
      <c r="H279">
        <v>254</v>
      </c>
    </row>
    <row r="280" spans="4:8" x14ac:dyDescent="0.25">
      <c r="D280" t="e" vm="246">
        <v>#VALUE!</v>
      </c>
      <c r="E280" s="45" t="s">
        <v>1763</v>
      </c>
      <c r="F280">
        <v>-12</v>
      </c>
      <c r="G280" t="s">
        <v>1461</v>
      </c>
      <c r="H280">
        <v>255</v>
      </c>
    </row>
    <row r="281" spans="4:8" x14ac:dyDescent="0.25">
      <c r="D281" t="e" vm="247">
        <v>#VALUE!</v>
      </c>
      <c r="E281" s="45" t="s">
        <v>1764</v>
      </c>
      <c r="F281">
        <v>-14</v>
      </c>
      <c r="G281" t="s">
        <v>1461</v>
      </c>
      <c r="H281">
        <v>256</v>
      </c>
    </row>
    <row r="282" spans="4:8" x14ac:dyDescent="0.25">
      <c r="D282" t="e" vm="248">
        <v>#VALUE!</v>
      </c>
      <c r="E282" s="45" t="s">
        <v>1765</v>
      </c>
      <c r="F282">
        <v>-10</v>
      </c>
      <c r="G282" t="s">
        <v>1482</v>
      </c>
      <c r="H282">
        <v>257</v>
      </c>
    </row>
    <row r="283" spans="4:8" x14ac:dyDescent="0.25">
      <c r="D283" t="e" vm="249">
        <v>#VALUE!</v>
      </c>
      <c r="E283" s="45" t="s">
        <v>1766</v>
      </c>
      <c r="F283">
        <v>-12</v>
      </c>
      <c r="G283" t="s">
        <v>1461</v>
      </c>
      <c r="H283">
        <v>438</v>
      </c>
    </row>
    <row r="284" spans="4:8" x14ac:dyDescent="0.25">
      <c r="D284" t="e" vm="250">
        <v>#VALUE!</v>
      </c>
      <c r="E284" s="45" t="s">
        <v>1767</v>
      </c>
      <c r="F284">
        <v>-16</v>
      </c>
      <c r="G284" t="s">
        <v>1461</v>
      </c>
      <c r="H284">
        <v>259</v>
      </c>
    </row>
    <row r="285" spans="4:8" x14ac:dyDescent="0.25">
      <c r="D285" t="e" vm="251">
        <v>#VALUE!</v>
      </c>
      <c r="E285" s="45" t="s">
        <v>1768</v>
      </c>
      <c r="F285">
        <v>-16</v>
      </c>
      <c r="G285" t="s">
        <v>1461</v>
      </c>
      <c r="H285">
        <v>260</v>
      </c>
    </row>
    <row r="286" spans="4:8" x14ac:dyDescent="0.25">
      <c r="D286" t="e" vm="252">
        <v>#VALUE!</v>
      </c>
      <c r="E286" s="45" t="s">
        <v>1769</v>
      </c>
      <c r="F286">
        <v>-14</v>
      </c>
      <c r="G286" t="s">
        <v>1461</v>
      </c>
      <c r="H286">
        <v>261</v>
      </c>
    </row>
    <row r="287" spans="4:8" x14ac:dyDescent="0.25">
      <c r="D287" t="e" vm="253">
        <v>#VALUE!</v>
      </c>
      <c r="E287" s="45" t="s">
        <v>1770</v>
      </c>
      <c r="F287">
        <v>-12</v>
      </c>
      <c r="G287" t="s">
        <v>1461</v>
      </c>
      <c r="H287">
        <v>262</v>
      </c>
    </row>
    <row r="288" spans="4:8" x14ac:dyDescent="0.25">
      <c r="D288" t="e" vm="254">
        <v>#VALUE!</v>
      </c>
      <c r="E288" s="45" t="s">
        <v>1771</v>
      </c>
      <c r="F288">
        <v>-12</v>
      </c>
      <c r="G288" t="s">
        <v>1461</v>
      </c>
      <c r="H288">
        <v>263</v>
      </c>
    </row>
    <row r="289" spans="4:8" x14ac:dyDescent="0.25">
      <c r="D289" t="e" vm="255">
        <v>#VALUE!</v>
      </c>
      <c r="E289" s="45" t="s">
        <v>1772</v>
      </c>
      <c r="F289">
        <v>-12</v>
      </c>
      <c r="G289" t="s">
        <v>1461</v>
      </c>
      <c r="H289">
        <v>264</v>
      </c>
    </row>
    <row r="290" spans="4:8" x14ac:dyDescent="0.25">
      <c r="D290" t="e" vm="256">
        <v>#VALUE!</v>
      </c>
      <c r="E290" s="45" t="s">
        <v>1773</v>
      </c>
      <c r="F290">
        <v>-16</v>
      </c>
      <c r="G290" t="s">
        <v>1461</v>
      </c>
      <c r="H290">
        <v>41</v>
      </c>
    </row>
    <row r="291" spans="4:8" x14ac:dyDescent="0.25">
      <c r="D291" t="e" vm="257">
        <v>#VALUE!</v>
      </c>
      <c r="E291" s="45" t="s">
        <v>1774</v>
      </c>
      <c r="F291">
        <v>-12</v>
      </c>
      <c r="G291" t="s">
        <v>1461</v>
      </c>
      <c r="H291">
        <v>179</v>
      </c>
    </row>
    <row r="292" spans="4:8" x14ac:dyDescent="0.25">
      <c r="D292" t="e" vm="258">
        <v>#VALUE!</v>
      </c>
      <c r="E292" s="45" t="s">
        <v>1775</v>
      </c>
      <c r="F292">
        <v>-10</v>
      </c>
      <c r="G292" t="s">
        <v>1461</v>
      </c>
      <c r="H292">
        <v>271</v>
      </c>
    </row>
    <row r="293" spans="4:8" x14ac:dyDescent="0.25">
      <c r="D293" t="e" vm="259">
        <v>#VALUE!</v>
      </c>
      <c r="E293" s="45" t="s">
        <v>1776</v>
      </c>
      <c r="F293">
        <v>-16</v>
      </c>
      <c r="G293" t="s">
        <v>1461</v>
      </c>
      <c r="H293">
        <v>388</v>
      </c>
    </row>
    <row r="294" spans="4:8" x14ac:dyDescent="0.25">
      <c r="D294" t="e" vm="260">
        <v>#VALUE!</v>
      </c>
      <c r="E294" s="45" t="s">
        <v>1777</v>
      </c>
      <c r="F294">
        <v>-16</v>
      </c>
      <c r="G294" t="s">
        <v>1482</v>
      </c>
      <c r="H294">
        <v>392</v>
      </c>
    </row>
    <row r="295" spans="4:8" x14ac:dyDescent="0.25">
      <c r="D295" t="e" vm="261">
        <v>#VALUE!</v>
      </c>
      <c r="E295" s="45" t="s">
        <v>1778</v>
      </c>
      <c r="F295">
        <v>-16</v>
      </c>
      <c r="G295" t="s">
        <v>1461</v>
      </c>
      <c r="H295">
        <v>422</v>
      </c>
    </row>
    <row r="296" spans="4:8" x14ac:dyDescent="0.25">
      <c r="D296" t="e" vm="262">
        <v>#VALUE!</v>
      </c>
      <c r="E296" s="45" t="s">
        <v>1779</v>
      </c>
      <c r="F296">
        <v>-14</v>
      </c>
      <c r="G296" t="s">
        <v>1482</v>
      </c>
      <c r="H296">
        <v>425</v>
      </c>
    </row>
    <row r="297" spans="4:8" x14ac:dyDescent="0.25">
      <c r="D297" t="e" vm="263">
        <v>#VALUE!</v>
      </c>
      <c r="E297" s="45" t="s">
        <v>1780</v>
      </c>
      <c r="F297">
        <v>-16</v>
      </c>
      <c r="G297" t="s">
        <v>1482</v>
      </c>
      <c r="H297">
        <v>265</v>
      </c>
    </row>
    <row r="298" spans="4:8" x14ac:dyDescent="0.25">
      <c r="D298" t="e" vm="264">
        <v>#VALUE!</v>
      </c>
      <c r="E298" s="45" t="s">
        <v>1781</v>
      </c>
      <c r="F298">
        <v>-12</v>
      </c>
      <c r="G298" t="s">
        <v>1461</v>
      </c>
      <c r="H298">
        <v>266</v>
      </c>
    </row>
    <row r="299" spans="4:8" x14ac:dyDescent="0.25">
      <c r="D299" t="e" vm="265">
        <v>#VALUE!</v>
      </c>
      <c r="E299" s="45" t="s">
        <v>1782</v>
      </c>
      <c r="F299">
        <v>-10</v>
      </c>
      <c r="G299" t="s">
        <v>1461</v>
      </c>
      <c r="H299">
        <v>267</v>
      </c>
    </row>
    <row r="300" spans="4:8" x14ac:dyDescent="0.25">
      <c r="D300" t="e" vm="266">
        <v>#VALUE!</v>
      </c>
      <c r="E300" s="45" t="s">
        <v>1783</v>
      </c>
      <c r="F300">
        <v>-14</v>
      </c>
      <c r="G300" t="s">
        <v>1461</v>
      </c>
      <c r="H300">
        <v>268</v>
      </c>
    </row>
    <row r="301" spans="4:8" x14ac:dyDescent="0.25">
      <c r="D301" t="e" vm="267">
        <v>#VALUE!</v>
      </c>
      <c r="E301" s="45" t="s">
        <v>1784</v>
      </c>
      <c r="F301">
        <v>-10</v>
      </c>
      <c r="G301" t="s">
        <v>1461</v>
      </c>
      <c r="H301">
        <v>269</v>
      </c>
    </row>
    <row r="302" spans="4:8" x14ac:dyDescent="0.25">
      <c r="D302" t="e" vm="268">
        <v>#VALUE!</v>
      </c>
      <c r="E302" s="45" t="s">
        <v>1785</v>
      </c>
      <c r="F302">
        <v>-16</v>
      </c>
      <c r="G302" t="s">
        <v>1461</v>
      </c>
      <c r="H302">
        <v>270</v>
      </c>
    </row>
    <row r="303" spans="4:8" x14ac:dyDescent="0.25">
      <c r="D303" t="e" vm="269">
        <v>#VALUE!</v>
      </c>
      <c r="E303" s="45" t="s">
        <v>1786</v>
      </c>
      <c r="F303">
        <v>-14</v>
      </c>
      <c r="G303" t="s">
        <v>1461</v>
      </c>
      <c r="H303">
        <v>156</v>
      </c>
    </row>
    <row r="304" spans="4:8" x14ac:dyDescent="0.25">
      <c r="D304" t="e" vm="270">
        <v>#VALUE!</v>
      </c>
      <c r="E304" s="45" t="s">
        <v>1787</v>
      </c>
      <c r="F304">
        <v>-14</v>
      </c>
      <c r="G304" t="s">
        <v>1461</v>
      </c>
      <c r="H304">
        <v>272</v>
      </c>
    </row>
    <row r="305" spans="4:8" x14ac:dyDescent="0.25">
      <c r="D305" t="e" vm="271">
        <v>#VALUE!</v>
      </c>
      <c r="E305" s="45" t="s">
        <v>1788</v>
      </c>
      <c r="F305">
        <v>-14</v>
      </c>
      <c r="G305" t="s">
        <v>1482</v>
      </c>
      <c r="H305">
        <v>273</v>
      </c>
    </row>
    <row r="306" spans="4:8" x14ac:dyDescent="0.25">
      <c r="D306" t="e" vm="272">
        <v>#VALUE!</v>
      </c>
      <c r="E306" s="45" t="s">
        <v>1789</v>
      </c>
      <c r="F306">
        <v>-12</v>
      </c>
      <c r="G306" t="s">
        <v>1461</v>
      </c>
      <c r="H306">
        <v>274</v>
      </c>
    </row>
    <row r="307" spans="4:8" x14ac:dyDescent="0.25">
      <c r="D307" t="e" vm="273">
        <v>#VALUE!</v>
      </c>
      <c r="E307" s="45" t="s">
        <v>1790</v>
      </c>
      <c r="F307">
        <v>-12</v>
      </c>
      <c r="G307" t="s">
        <v>1461</v>
      </c>
      <c r="H307">
        <v>275</v>
      </c>
    </row>
    <row r="308" spans="4:8" x14ac:dyDescent="0.25">
      <c r="D308" t="e" vm="274">
        <v>#VALUE!</v>
      </c>
      <c r="E308" s="45" t="s">
        <v>1791</v>
      </c>
      <c r="F308">
        <v>-12</v>
      </c>
      <c r="G308" t="s">
        <v>1461</v>
      </c>
      <c r="H308">
        <v>276</v>
      </c>
    </row>
    <row r="309" spans="4:8" x14ac:dyDescent="0.25">
      <c r="D309" t="e" vm="275">
        <v>#VALUE!</v>
      </c>
      <c r="E309" s="45" t="s">
        <v>1792</v>
      </c>
      <c r="F309">
        <v>-10</v>
      </c>
      <c r="G309" t="s">
        <v>1482</v>
      </c>
      <c r="H309">
        <v>278</v>
      </c>
    </row>
    <row r="310" spans="4:8" x14ac:dyDescent="0.25">
      <c r="D310" t="e" vm="276">
        <v>#VALUE!</v>
      </c>
      <c r="E310" s="45" t="s">
        <v>1793</v>
      </c>
      <c r="F310">
        <v>-14</v>
      </c>
      <c r="G310" t="s">
        <v>1461</v>
      </c>
      <c r="H310">
        <v>279</v>
      </c>
    </row>
    <row r="311" spans="4:8" x14ac:dyDescent="0.25">
      <c r="D311" t="e" vm="277">
        <v>#VALUE!</v>
      </c>
      <c r="E311" s="45" t="s">
        <v>1794</v>
      </c>
      <c r="F311">
        <v>-12</v>
      </c>
      <c r="G311" t="s">
        <v>1461</v>
      </c>
      <c r="H311">
        <v>280</v>
      </c>
    </row>
    <row r="312" spans="4:8" x14ac:dyDescent="0.25">
      <c r="D312" t="e" vm="278">
        <v>#VALUE!</v>
      </c>
      <c r="E312" s="45" t="s">
        <v>1795</v>
      </c>
      <c r="F312">
        <v>-10</v>
      </c>
      <c r="G312" t="s">
        <v>1482</v>
      </c>
      <c r="H312">
        <v>281</v>
      </c>
    </row>
    <row r="313" spans="4:8" x14ac:dyDescent="0.25">
      <c r="D313" t="e" vm="279">
        <v>#VALUE!</v>
      </c>
      <c r="E313" s="45" t="s">
        <v>1796</v>
      </c>
      <c r="F313">
        <v>-12</v>
      </c>
      <c r="G313" t="s">
        <v>1482</v>
      </c>
      <c r="H313">
        <v>282</v>
      </c>
    </row>
    <row r="314" spans="4:8" x14ac:dyDescent="0.25">
      <c r="D314" t="e" vm="280">
        <v>#VALUE!</v>
      </c>
      <c r="E314" s="45" t="s">
        <v>1797</v>
      </c>
      <c r="F314">
        <v>-16</v>
      </c>
      <c r="G314" t="s">
        <v>1461</v>
      </c>
      <c r="H314">
        <v>284</v>
      </c>
    </row>
    <row r="315" spans="4:8" x14ac:dyDescent="0.25">
      <c r="D315" t="e" vm="281">
        <v>#VALUE!</v>
      </c>
      <c r="E315" s="45" t="s">
        <v>1798</v>
      </c>
      <c r="F315">
        <v>-12</v>
      </c>
      <c r="G315" t="s">
        <v>1461</v>
      </c>
      <c r="H315">
        <v>286</v>
      </c>
    </row>
    <row r="316" spans="4:8" x14ac:dyDescent="0.25">
      <c r="D316" t="e" vm="282">
        <v>#VALUE!</v>
      </c>
      <c r="E316" s="45" t="s">
        <v>1799</v>
      </c>
      <c r="F316">
        <v>-12</v>
      </c>
      <c r="G316" t="s">
        <v>1482</v>
      </c>
      <c r="H316">
        <v>285</v>
      </c>
    </row>
    <row r="317" spans="4:8" x14ac:dyDescent="0.25">
      <c r="D317" t="e" vm="283">
        <v>#VALUE!</v>
      </c>
      <c r="E317" s="45" t="s">
        <v>1800</v>
      </c>
      <c r="F317">
        <v>-16</v>
      </c>
      <c r="G317" t="s">
        <v>1461</v>
      </c>
      <c r="H317">
        <v>287</v>
      </c>
    </row>
    <row r="318" spans="4:8" x14ac:dyDescent="0.25">
      <c r="D318" t="e" vm="284">
        <v>#VALUE!</v>
      </c>
      <c r="E318" s="45" t="s">
        <v>1801</v>
      </c>
      <c r="F318">
        <v>-10</v>
      </c>
      <c r="G318" t="s">
        <v>1482</v>
      </c>
      <c r="H318">
        <v>288</v>
      </c>
    </row>
    <row r="319" spans="4:8" x14ac:dyDescent="0.25">
      <c r="D319" t="e" vm="285">
        <v>#VALUE!</v>
      </c>
      <c r="E319" s="45" t="s">
        <v>1802</v>
      </c>
      <c r="F319">
        <v>-14</v>
      </c>
      <c r="G319" t="s">
        <v>1461</v>
      </c>
      <c r="H319">
        <v>289</v>
      </c>
    </row>
    <row r="320" spans="4:8" x14ac:dyDescent="0.25">
      <c r="D320" t="e" vm="286">
        <v>#VALUE!</v>
      </c>
      <c r="E320" s="45" t="s">
        <v>1803</v>
      </c>
      <c r="F320">
        <v>-12</v>
      </c>
      <c r="G320" t="s">
        <v>1482</v>
      </c>
      <c r="H320">
        <v>290</v>
      </c>
    </row>
    <row r="321" spans="4:8" x14ac:dyDescent="0.25">
      <c r="D321" t="e" vm="287">
        <v>#VALUE!</v>
      </c>
      <c r="E321" s="45" t="s">
        <v>1804</v>
      </c>
      <c r="F321">
        <v>-12</v>
      </c>
      <c r="G321" t="s">
        <v>1482</v>
      </c>
      <c r="H321">
        <v>291</v>
      </c>
    </row>
    <row r="322" spans="4:8" x14ac:dyDescent="0.25">
      <c r="D322" t="e" vm="288">
        <v>#VALUE!</v>
      </c>
      <c r="E322" s="45" t="s">
        <v>1805</v>
      </c>
      <c r="F322">
        <v>-14</v>
      </c>
      <c r="G322" t="s">
        <v>1461</v>
      </c>
      <c r="H322">
        <v>292</v>
      </c>
    </row>
    <row r="323" spans="4:8" x14ac:dyDescent="0.25">
      <c r="D323" t="e" vm="289">
        <v>#VALUE!</v>
      </c>
      <c r="E323" s="45" t="s">
        <v>1806</v>
      </c>
      <c r="F323">
        <v>-12</v>
      </c>
      <c r="G323" t="s">
        <v>1482</v>
      </c>
      <c r="H323">
        <v>293</v>
      </c>
    </row>
    <row r="324" spans="4:8" x14ac:dyDescent="0.25">
      <c r="D324" t="e" vm="290">
        <v>#VALUE!</v>
      </c>
      <c r="E324" s="45" t="s">
        <v>1807</v>
      </c>
      <c r="F324">
        <v>-12</v>
      </c>
      <c r="G324" t="s">
        <v>1482</v>
      </c>
      <c r="H324">
        <v>294</v>
      </c>
    </row>
    <row r="325" spans="4:8" x14ac:dyDescent="0.25">
      <c r="D325" t="e" vm="291">
        <v>#VALUE!</v>
      </c>
      <c r="E325" s="45" t="s">
        <v>1808</v>
      </c>
      <c r="F325">
        <v>-12</v>
      </c>
      <c r="G325" t="s">
        <v>1482</v>
      </c>
      <c r="H325">
        <v>295</v>
      </c>
    </row>
    <row r="326" spans="4:8" x14ac:dyDescent="0.25">
      <c r="D326" t="e" vm="292">
        <v>#VALUE!</v>
      </c>
      <c r="E326" s="45" t="s">
        <v>1809</v>
      </c>
      <c r="F326">
        <v>-14</v>
      </c>
      <c r="G326" t="s">
        <v>1461</v>
      </c>
      <c r="H326">
        <v>109</v>
      </c>
    </row>
    <row r="327" spans="4:8" x14ac:dyDescent="0.25">
      <c r="D327" t="e" vm="293">
        <v>#VALUE!</v>
      </c>
      <c r="E327" s="45" t="s">
        <v>1810</v>
      </c>
      <c r="F327">
        <v>-14</v>
      </c>
      <c r="G327" t="s">
        <v>1482</v>
      </c>
      <c r="H327">
        <v>297</v>
      </c>
    </row>
    <row r="328" spans="4:8" x14ac:dyDescent="0.25">
      <c r="D328" t="e" vm="294">
        <v>#VALUE!</v>
      </c>
      <c r="E328" s="45" t="s">
        <v>1811</v>
      </c>
      <c r="F328">
        <v>-12</v>
      </c>
      <c r="G328" t="s">
        <v>1482</v>
      </c>
      <c r="H328">
        <v>296</v>
      </c>
    </row>
    <row r="329" spans="4:8" x14ac:dyDescent="0.25">
      <c r="D329" t="e" vm="295">
        <v>#VALUE!</v>
      </c>
      <c r="E329" s="45" t="s">
        <v>1812</v>
      </c>
      <c r="F329">
        <v>-12</v>
      </c>
      <c r="G329" t="s">
        <v>1482</v>
      </c>
      <c r="H329">
        <v>298</v>
      </c>
    </row>
    <row r="330" spans="4:8" x14ac:dyDescent="0.25">
      <c r="D330" t="e" vm="296">
        <v>#VALUE!</v>
      </c>
      <c r="E330" s="45" t="s">
        <v>1813</v>
      </c>
      <c r="F330">
        <v>-12</v>
      </c>
      <c r="G330" t="s">
        <v>1482</v>
      </c>
      <c r="H330">
        <v>299</v>
      </c>
    </row>
    <row r="331" spans="4:8" x14ac:dyDescent="0.25">
      <c r="D331" t="e" vm="297">
        <v>#VALUE!</v>
      </c>
      <c r="E331" s="45" t="s">
        <v>1814</v>
      </c>
      <c r="F331">
        <v>-14</v>
      </c>
      <c r="G331" t="s">
        <v>1461</v>
      </c>
      <c r="H331">
        <v>300</v>
      </c>
    </row>
    <row r="332" spans="4:8" x14ac:dyDescent="0.25">
      <c r="D332" t="e" vm="298">
        <v>#VALUE!</v>
      </c>
      <c r="E332" s="45" t="s">
        <v>1815</v>
      </c>
      <c r="F332">
        <v>-10</v>
      </c>
      <c r="G332" t="s">
        <v>1482</v>
      </c>
      <c r="H332">
        <v>301</v>
      </c>
    </row>
    <row r="333" spans="4:8" x14ac:dyDescent="0.25">
      <c r="D333" t="e" vm="299">
        <v>#VALUE!</v>
      </c>
      <c r="E333" s="45" t="s">
        <v>1816</v>
      </c>
      <c r="F333">
        <v>-14</v>
      </c>
      <c r="G333" t="s">
        <v>1461</v>
      </c>
      <c r="H333">
        <v>302</v>
      </c>
    </row>
    <row r="334" spans="4:8" x14ac:dyDescent="0.25">
      <c r="D334" t="e" vm="300">
        <v>#VALUE!</v>
      </c>
      <c r="E334" s="45" t="s">
        <v>1817</v>
      </c>
      <c r="F334">
        <v>-12</v>
      </c>
      <c r="G334" t="s">
        <v>1461</v>
      </c>
      <c r="H334">
        <v>303</v>
      </c>
    </row>
    <row r="335" spans="4:8" x14ac:dyDescent="0.25">
      <c r="D335" t="e" vm="301">
        <v>#VALUE!</v>
      </c>
      <c r="E335" s="45" t="s">
        <v>1818</v>
      </c>
      <c r="F335">
        <v>-16</v>
      </c>
      <c r="G335" t="s">
        <v>1461</v>
      </c>
      <c r="H335">
        <v>304</v>
      </c>
    </row>
    <row r="336" spans="4:8" x14ac:dyDescent="0.25">
      <c r="D336" t="e" vm="302">
        <v>#VALUE!</v>
      </c>
      <c r="E336" s="45" t="s">
        <v>1819</v>
      </c>
      <c r="F336">
        <v>-14</v>
      </c>
      <c r="G336" t="s">
        <v>1461</v>
      </c>
      <c r="H336">
        <v>305</v>
      </c>
    </row>
    <row r="337" spans="4:8" x14ac:dyDescent="0.25">
      <c r="D337" t="e" vm="303">
        <v>#VALUE!</v>
      </c>
      <c r="E337" s="45" t="s">
        <v>1820</v>
      </c>
      <c r="F337">
        <v>-16</v>
      </c>
      <c r="G337" t="s">
        <v>1461</v>
      </c>
      <c r="H337">
        <v>306</v>
      </c>
    </row>
    <row r="338" spans="4:8" x14ac:dyDescent="0.25">
      <c r="D338" t="e" vm="304">
        <v>#VALUE!</v>
      </c>
      <c r="E338" s="45" t="s">
        <v>1821</v>
      </c>
      <c r="F338">
        <v>-12</v>
      </c>
      <c r="G338" t="s">
        <v>1482</v>
      </c>
      <c r="H338">
        <v>307</v>
      </c>
    </row>
    <row r="339" spans="4:8" x14ac:dyDescent="0.25">
      <c r="D339" t="e" vm="305">
        <v>#VALUE!</v>
      </c>
      <c r="E339" s="45" t="s">
        <v>1822</v>
      </c>
      <c r="F339">
        <v>-14</v>
      </c>
      <c r="G339" t="s">
        <v>1461</v>
      </c>
      <c r="H339">
        <v>308</v>
      </c>
    </row>
    <row r="340" spans="4:8" x14ac:dyDescent="0.25">
      <c r="D340" t="e" vm="306">
        <v>#VALUE!</v>
      </c>
      <c r="E340" s="45" t="s">
        <v>1823</v>
      </c>
      <c r="F340">
        <v>-16</v>
      </c>
      <c r="G340" t="s">
        <v>1461</v>
      </c>
      <c r="H340">
        <v>309</v>
      </c>
    </row>
    <row r="341" spans="4:8" x14ac:dyDescent="0.25">
      <c r="D341" t="e" vm="307">
        <v>#VALUE!</v>
      </c>
      <c r="E341" s="45" t="s">
        <v>1824</v>
      </c>
      <c r="F341">
        <v>-18</v>
      </c>
      <c r="G341" t="s">
        <v>1461</v>
      </c>
      <c r="H341">
        <v>311</v>
      </c>
    </row>
    <row r="342" spans="4:8" x14ac:dyDescent="0.25">
      <c r="D342" t="e" vm="308">
        <v>#VALUE!</v>
      </c>
      <c r="E342" s="45" t="s">
        <v>1825</v>
      </c>
      <c r="F342">
        <v>-12</v>
      </c>
      <c r="G342" t="s">
        <v>1461</v>
      </c>
      <c r="H342">
        <v>312</v>
      </c>
    </row>
    <row r="343" spans="4:8" x14ac:dyDescent="0.25">
      <c r="D343" t="e" vm="309">
        <v>#VALUE!</v>
      </c>
      <c r="E343" s="45" t="s">
        <v>1826</v>
      </c>
      <c r="F343">
        <v>-12</v>
      </c>
      <c r="G343" t="s">
        <v>1482</v>
      </c>
      <c r="H343">
        <v>313</v>
      </c>
    </row>
    <row r="344" spans="4:8" x14ac:dyDescent="0.25">
      <c r="D344" t="e" vm="310">
        <v>#VALUE!</v>
      </c>
      <c r="E344" s="45" t="s">
        <v>1827</v>
      </c>
      <c r="F344">
        <v>-16</v>
      </c>
      <c r="G344" t="s">
        <v>1461</v>
      </c>
      <c r="H344">
        <v>315</v>
      </c>
    </row>
    <row r="345" spans="4:8" x14ac:dyDescent="0.25">
      <c r="D345" t="e" vm="311">
        <v>#VALUE!</v>
      </c>
      <c r="E345" s="45" t="s">
        <v>1828</v>
      </c>
      <c r="F345">
        <v>-14</v>
      </c>
      <c r="G345" t="s">
        <v>1461</v>
      </c>
      <c r="H345">
        <v>316</v>
      </c>
    </row>
    <row r="346" spans="4:8" x14ac:dyDescent="0.25">
      <c r="D346" t="e" vm="312">
        <v>#VALUE!</v>
      </c>
      <c r="E346" s="45" t="s">
        <v>1829</v>
      </c>
      <c r="F346">
        <v>-10</v>
      </c>
      <c r="G346" t="s">
        <v>1482</v>
      </c>
      <c r="H346">
        <v>318</v>
      </c>
    </row>
    <row r="347" spans="4:8" x14ac:dyDescent="0.25">
      <c r="D347" t="e" vm="313">
        <v>#VALUE!</v>
      </c>
      <c r="E347" s="45" t="s">
        <v>1830</v>
      </c>
      <c r="F347">
        <v>-10</v>
      </c>
      <c r="G347" t="s">
        <v>1482</v>
      </c>
      <c r="H347">
        <v>317</v>
      </c>
    </row>
    <row r="348" spans="4:8" x14ac:dyDescent="0.25">
      <c r="D348" t="e" vm="314">
        <v>#VALUE!</v>
      </c>
      <c r="E348" s="45" t="s">
        <v>1831</v>
      </c>
      <c r="F348">
        <v>-10</v>
      </c>
      <c r="G348" t="s">
        <v>1461</v>
      </c>
      <c r="H348">
        <v>319</v>
      </c>
    </row>
    <row r="349" spans="4:8" x14ac:dyDescent="0.25">
      <c r="D349" t="e" vm="315">
        <v>#VALUE!</v>
      </c>
      <c r="E349" s="45" t="s">
        <v>1832</v>
      </c>
      <c r="F349">
        <v>-14</v>
      </c>
      <c r="G349" t="s">
        <v>1461</v>
      </c>
      <c r="H349">
        <v>320</v>
      </c>
    </row>
    <row r="350" spans="4:8" x14ac:dyDescent="0.25">
      <c r="D350" t="e" vm="316">
        <v>#VALUE!</v>
      </c>
      <c r="E350" s="45" t="s">
        <v>1833</v>
      </c>
      <c r="F350">
        <v>-10</v>
      </c>
      <c r="G350" t="s">
        <v>1461</v>
      </c>
      <c r="H350">
        <v>321</v>
      </c>
    </row>
    <row r="351" spans="4:8" x14ac:dyDescent="0.25">
      <c r="D351" t="e" vm="317">
        <v>#VALUE!</v>
      </c>
      <c r="E351" s="45" t="s">
        <v>1834</v>
      </c>
      <c r="F351">
        <v>-16</v>
      </c>
      <c r="G351" t="s">
        <v>1461</v>
      </c>
      <c r="H351">
        <v>322</v>
      </c>
    </row>
    <row r="352" spans="4:8" x14ac:dyDescent="0.25">
      <c r="D352" t="e" vm="318">
        <v>#VALUE!</v>
      </c>
      <c r="E352" s="45" t="s">
        <v>1835</v>
      </c>
      <c r="F352">
        <v>-16</v>
      </c>
      <c r="G352" t="s">
        <v>1461</v>
      </c>
      <c r="H352">
        <v>323</v>
      </c>
    </row>
    <row r="353" spans="4:8" x14ac:dyDescent="0.25">
      <c r="D353" t="e" vm="319">
        <v>#VALUE!</v>
      </c>
      <c r="E353" s="45" t="s">
        <v>1836</v>
      </c>
      <c r="F353">
        <v>-12</v>
      </c>
      <c r="G353" t="s">
        <v>1482</v>
      </c>
      <c r="H353">
        <v>324</v>
      </c>
    </row>
    <row r="354" spans="4:8" x14ac:dyDescent="0.25">
      <c r="D354" t="e" vm="320">
        <v>#VALUE!</v>
      </c>
      <c r="E354" s="45" t="s">
        <v>1837</v>
      </c>
      <c r="F354">
        <v>-14</v>
      </c>
      <c r="G354" t="s">
        <v>1482</v>
      </c>
      <c r="H354">
        <v>328</v>
      </c>
    </row>
    <row r="355" spans="4:8" x14ac:dyDescent="0.25">
      <c r="D355" t="e" vm="321">
        <v>#VALUE!</v>
      </c>
      <c r="E355" s="45" t="s">
        <v>1838</v>
      </c>
      <c r="F355">
        <v>-12</v>
      </c>
      <c r="G355" t="s">
        <v>1461</v>
      </c>
      <c r="H355">
        <v>329</v>
      </c>
    </row>
    <row r="356" spans="4:8" x14ac:dyDescent="0.25">
      <c r="D356" t="e" vm="322">
        <v>#VALUE!</v>
      </c>
      <c r="E356" s="45" t="s">
        <v>1839</v>
      </c>
      <c r="F356">
        <v>-10</v>
      </c>
      <c r="G356" t="s">
        <v>1461</v>
      </c>
      <c r="H356">
        <v>330</v>
      </c>
    </row>
    <row r="357" spans="4:8" x14ac:dyDescent="0.25">
      <c r="D357" t="e" vm="323">
        <v>#VALUE!</v>
      </c>
      <c r="E357" s="45" t="s">
        <v>1840</v>
      </c>
      <c r="F357">
        <v>-12</v>
      </c>
      <c r="G357" t="s">
        <v>1482</v>
      </c>
      <c r="H357">
        <v>332</v>
      </c>
    </row>
    <row r="358" spans="4:8" x14ac:dyDescent="0.25">
      <c r="D358" t="e" vm="324">
        <v>#VALUE!</v>
      </c>
      <c r="E358" s="45" t="s">
        <v>1841</v>
      </c>
      <c r="F358">
        <v>-12</v>
      </c>
      <c r="G358" t="s">
        <v>1482</v>
      </c>
      <c r="H358">
        <v>333</v>
      </c>
    </row>
    <row r="359" spans="4:8" x14ac:dyDescent="0.25">
      <c r="D359" t="e" vm="325">
        <v>#VALUE!</v>
      </c>
      <c r="E359" s="45" t="s">
        <v>1842</v>
      </c>
      <c r="F359">
        <v>-14</v>
      </c>
      <c r="G359" t="s">
        <v>1461</v>
      </c>
      <c r="H359">
        <v>334</v>
      </c>
    </row>
    <row r="360" spans="4:8" x14ac:dyDescent="0.25">
      <c r="D360" t="e" vm="326">
        <v>#VALUE!</v>
      </c>
      <c r="E360" s="45" t="s">
        <v>1843</v>
      </c>
      <c r="F360">
        <v>-10</v>
      </c>
      <c r="G360" t="s">
        <v>1482</v>
      </c>
      <c r="H360">
        <v>335</v>
      </c>
    </row>
    <row r="361" spans="4:8" x14ac:dyDescent="0.25">
      <c r="D361" t="e" vm="327">
        <v>#VALUE!</v>
      </c>
      <c r="E361" s="45" t="s">
        <v>1844</v>
      </c>
      <c r="F361">
        <v>-10</v>
      </c>
      <c r="G361" t="s">
        <v>1482</v>
      </c>
      <c r="H361">
        <v>336</v>
      </c>
    </row>
    <row r="362" spans="4:8" x14ac:dyDescent="0.25">
      <c r="D362" t="e" vm="328">
        <v>#VALUE!</v>
      </c>
      <c r="E362" s="45" t="s">
        <v>1845</v>
      </c>
      <c r="F362">
        <v>-14</v>
      </c>
      <c r="G362" t="s">
        <v>1461</v>
      </c>
      <c r="H362">
        <v>337</v>
      </c>
    </row>
    <row r="363" spans="4:8" x14ac:dyDescent="0.25">
      <c r="D363" t="e" vm="329">
        <v>#VALUE!</v>
      </c>
      <c r="E363" s="45" t="s">
        <v>1846</v>
      </c>
      <c r="F363">
        <v>-14</v>
      </c>
      <c r="G363" t="s">
        <v>1482</v>
      </c>
      <c r="H363">
        <v>338</v>
      </c>
    </row>
    <row r="364" spans="4:8" x14ac:dyDescent="0.25">
      <c r="D364" t="e" vm="330">
        <v>#VALUE!</v>
      </c>
      <c r="E364" s="45" t="s">
        <v>1847</v>
      </c>
      <c r="F364">
        <v>-12</v>
      </c>
      <c r="G364" t="s">
        <v>1482</v>
      </c>
      <c r="H364">
        <v>339</v>
      </c>
    </row>
    <row r="365" spans="4:8" x14ac:dyDescent="0.25">
      <c r="D365" t="e" vm="331">
        <v>#VALUE!</v>
      </c>
      <c r="E365" s="45" t="s">
        <v>1848</v>
      </c>
      <c r="F365">
        <v>-12</v>
      </c>
      <c r="G365" t="s">
        <v>1461</v>
      </c>
      <c r="H365">
        <v>340</v>
      </c>
    </row>
    <row r="366" spans="4:8" x14ac:dyDescent="0.25">
      <c r="D366" t="e" vm="332">
        <v>#VALUE!</v>
      </c>
      <c r="E366" s="45" t="s">
        <v>1849</v>
      </c>
      <c r="F366">
        <v>-10</v>
      </c>
      <c r="G366" t="s">
        <v>1461</v>
      </c>
      <c r="H366">
        <v>341</v>
      </c>
    </row>
    <row r="367" spans="4:8" x14ac:dyDescent="0.25">
      <c r="D367" t="e" vm="333">
        <v>#VALUE!</v>
      </c>
      <c r="E367" s="45" t="s">
        <v>1850</v>
      </c>
      <c r="F367">
        <v>-10</v>
      </c>
      <c r="G367" t="s">
        <v>1461</v>
      </c>
      <c r="H367">
        <v>342</v>
      </c>
    </row>
    <row r="368" spans="4:8" x14ac:dyDescent="0.25">
      <c r="D368" t="e" vm="334">
        <v>#VALUE!</v>
      </c>
      <c r="E368" s="45" t="s">
        <v>1851</v>
      </c>
      <c r="F368">
        <v>-10</v>
      </c>
      <c r="G368" t="s">
        <v>1482</v>
      </c>
      <c r="H368">
        <v>344</v>
      </c>
    </row>
    <row r="369" spans="4:8" x14ac:dyDescent="0.25">
      <c r="D369" t="e" vm="335">
        <v>#VALUE!</v>
      </c>
      <c r="E369" s="45" t="s">
        <v>1852</v>
      </c>
      <c r="F369">
        <v>-16</v>
      </c>
      <c r="G369" t="s">
        <v>1461</v>
      </c>
      <c r="H369">
        <v>345</v>
      </c>
    </row>
    <row r="370" spans="4:8" x14ac:dyDescent="0.25">
      <c r="D370" t="e" vm="336">
        <v>#VALUE!</v>
      </c>
      <c r="E370" s="45" t="s">
        <v>1853</v>
      </c>
      <c r="F370">
        <v>-16</v>
      </c>
      <c r="G370" t="s">
        <v>1461</v>
      </c>
      <c r="H370">
        <v>347</v>
      </c>
    </row>
    <row r="371" spans="4:8" x14ac:dyDescent="0.25">
      <c r="D371" t="e" vm="337">
        <v>#VALUE!</v>
      </c>
      <c r="E371" s="45" t="s">
        <v>1854</v>
      </c>
      <c r="F371">
        <v>-14</v>
      </c>
      <c r="G371" t="s">
        <v>1461</v>
      </c>
      <c r="H371">
        <v>348</v>
      </c>
    </row>
    <row r="372" spans="4:8" x14ac:dyDescent="0.25">
      <c r="D372" t="e" vm="338">
        <v>#VALUE!</v>
      </c>
      <c r="E372" s="45" t="s">
        <v>1855</v>
      </c>
      <c r="F372">
        <v>-18</v>
      </c>
      <c r="G372" t="s">
        <v>1461</v>
      </c>
      <c r="H372">
        <v>349</v>
      </c>
    </row>
    <row r="373" spans="4:8" x14ac:dyDescent="0.25">
      <c r="D373" t="e" vm="339">
        <v>#VALUE!</v>
      </c>
      <c r="E373" s="45" t="s">
        <v>1856</v>
      </c>
      <c r="F373">
        <v>-10</v>
      </c>
      <c r="G373" t="s">
        <v>1482</v>
      </c>
      <c r="H373">
        <v>350</v>
      </c>
    </row>
    <row r="374" spans="4:8" x14ac:dyDescent="0.25">
      <c r="D374" t="e" vm="340">
        <v>#VALUE!</v>
      </c>
      <c r="E374" s="45" t="s">
        <v>1857</v>
      </c>
      <c r="F374">
        <v>-20</v>
      </c>
      <c r="G374" t="s">
        <v>1461</v>
      </c>
      <c r="H374">
        <v>352</v>
      </c>
    </row>
    <row r="375" spans="4:8" x14ac:dyDescent="0.25">
      <c r="D375" t="e" vm="341">
        <v>#VALUE!</v>
      </c>
      <c r="E375" s="45" t="s">
        <v>1858</v>
      </c>
      <c r="F375">
        <v>-12</v>
      </c>
      <c r="G375" t="s">
        <v>1461</v>
      </c>
      <c r="H375">
        <v>353</v>
      </c>
    </row>
    <row r="376" spans="4:8" x14ac:dyDescent="0.25">
      <c r="D376" t="e" vm="342">
        <v>#VALUE!</v>
      </c>
      <c r="E376" s="45" t="s">
        <v>1859</v>
      </c>
      <c r="F376">
        <v>-16</v>
      </c>
      <c r="G376" t="s">
        <v>1461</v>
      </c>
      <c r="H376">
        <v>354</v>
      </c>
    </row>
    <row r="377" spans="4:8" x14ac:dyDescent="0.25">
      <c r="D377" t="e" vm="343">
        <v>#VALUE!</v>
      </c>
      <c r="E377" s="45" t="s">
        <v>1860</v>
      </c>
      <c r="F377">
        <v>-18</v>
      </c>
      <c r="G377" t="s">
        <v>1461</v>
      </c>
      <c r="H377">
        <v>355</v>
      </c>
    </row>
    <row r="378" spans="4:8" x14ac:dyDescent="0.25">
      <c r="D378" t="e" vm="344">
        <v>#VALUE!</v>
      </c>
      <c r="E378" s="45" t="s">
        <v>1861</v>
      </c>
      <c r="F378">
        <v>-10</v>
      </c>
      <c r="G378" t="s">
        <v>1461</v>
      </c>
      <c r="H378">
        <v>357</v>
      </c>
    </row>
    <row r="379" spans="4:8" x14ac:dyDescent="0.25">
      <c r="D379" t="e" vm="345">
        <v>#VALUE!</v>
      </c>
      <c r="E379" s="45" t="s">
        <v>1862</v>
      </c>
      <c r="F379">
        <v>-12</v>
      </c>
      <c r="G379" t="s">
        <v>1482</v>
      </c>
      <c r="H379">
        <v>358</v>
      </c>
    </row>
    <row r="380" spans="4:8" x14ac:dyDescent="0.25">
      <c r="D380" t="e" vm="346">
        <v>#VALUE!</v>
      </c>
      <c r="E380" s="45" t="s">
        <v>1863</v>
      </c>
      <c r="F380">
        <v>-14</v>
      </c>
      <c r="G380" t="s">
        <v>1461</v>
      </c>
      <c r="H380">
        <v>356</v>
      </c>
    </row>
    <row r="381" spans="4:8" x14ac:dyDescent="0.25">
      <c r="D381" t="e" vm="347">
        <v>#VALUE!</v>
      </c>
      <c r="E381" s="45" t="s">
        <v>1864</v>
      </c>
      <c r="F381">
        <v>-10</v>
      </c>
      <c r="G381" t="s">
        <v>1482</v>
      </c>
      <c r="H381">
        <v>360</v>
      </c>
    </row>
    <row r="382" spans="4:8" x14ac:dyDescent="0.25">
      <c r="D382" t="e" vm="348">
        <v>#VALUE!</v>
      </c>
      <c r="E382" s="45" t="s">
        <v>1865</v>
      </c>
      <c r="F382">
        <v>-14</v>
      </c>
      <c r="G382" t="s">
        <v>1461</v>
      </c>
      <c r="H382">
        <v>361</v>
      </c>
    </row>
    <row r="383" spans="4:8" x14ac:dyDescent="0.25">
      <c r="D383" t="e" vm="349">
        <v>#VALUE!</v>
      </c>
      <c r="E383" s="45" t="s">
        <v>1866</v>
      </c>
      <c r="F383">
        <v>-14</v>
      </c>
      <c r="G383" t="s">
        <v>1461</v>
      </c>
      <c r="H383">
        <v>362</v>
      </c>
    </row>
    <row r="384" spans="4:8" x14ac:dyDescent="0.25">
      <c r="D384" t="e" vm="350">
        <v>#VALUE!</v>
      </c>
      <c r="E384" s="45" t="s">
        <v>1867</v>
      </c>
      <c r="F384">
        <v>-12</v>
      </c>
      <c r="G384" t="s">
        <v>1482</v>
      </c>
      <c r="H384">
        <v>363</v>
      </c>
    </row>
    <row r="385" spans="4:8" x14ac:dyDescent="0.25">
      <c r="D385" t="e" vm="351">
        <v>#VALUE!</v>
      </c>
      <c r="E385" s="45" t="s">
        <v>1868</v>
      </c>
      <c r="F385">
        <v>-18</v>
      </c>
      <c r="G385" t="s">
        <v>1461</v>
      </c>
      <c r="H385">
        <v>314</v>
      </c>
    </row>
    <row r="386" spans="4:8" x14ac:dyDescent="0.25">
      <c r="D386" t="e" vm="352">
        <v>#VALUE!</v>
      </c>
      <c r="E386" s="45" t="s">
        <v>1869</v>
      </c>
      <c r="F386">
        <v>-12</v>
      </c>
      <c r="G386" t="s">
        <v>1482</v>
      </c>
      <c r="H386">
        <v>364</v>
      </c>
    </row>
    <row r="387" spans="4:8" x14ac:dyDescent="0.25">
      <c r="D387" t="e" vm="353">
        <v>#VALUE!</v>
      </c>
      <c r="E387" s="45" t="s">
        <v>1870</v>
      </c>
      <c r="F387">
        <v>-14</v>
      </c>
      <c r="G387" t="s">
        <v>1461</v>
      </c>
      <c r="H387">
        <v>365</v>
      </c>
    </row>
    <row r="388" spans="4:8" x14ac:dyDescent="0.25">
      <c r="D388" t="e" vm="354">
        <v>#VALUE!</v>
      </c>
      <c r="E388" s="45" t="s">
        <v>1871</v>
      </c>
      <c r="F388">
        <v>-16</v>
      </c>
      <c r="G388" t="s">
        <v>1461</v>
      </c>
      <c r="H388">
        <v>366</v>
      </c>
    </row>
    <row r="389" spans="4:8" x14ac:dyDescent="0.25">
      <c r="D389" t="e" vm="355">
        <v>#VALUE!</v>
      </c>
      <c r="E389" s="45" t="s">
        <v>1872</v>
      </c>
      <c r="F389">
        <v>-14</v>
      </c>
      <c r="G389" t="s">
        <v>1461</v>
      </c>
      <c r="H389">
        <v>367</v>
      </c>
    </row>
    <row r="390" spans="4:8" x14ac:dyDescent="0.25">
      <c r="D390" t="e" vm="356">
        <v>#VALUE!</v>
      </c>
      <c r="E390" s="45" t="s">
        <v>1873</v>
      </c>
      <c r="F390">
        <v>-14</v>
      </c>
      <c r="G390" t="s">
        <v>1482</v>
      </c>
      <c r="H390">
        <v>368</v>
      </c>
    </row>
    <row r="391" spans="4:8" x14ac:dyDescent="0.25">
      <c r="D391" t="e" vm="357">
        <v>#VALUE!</v>
      </c>
      <c r="E391" s="45" t="s">
        <v>1874</v>
      </c>
      <c r="F391">
        <v>-12</v>
      </c>
      <c r="G391" t="s">
        <v>1482</v>
      </c>
      <c r="H391">
        <v>369</v>
      </c>
    </row>
    <row r="392" spans="4:8" x14ac:dyDescent="0.25">
      <c r="D392" t="e" vm="358">
        <v>#VALUE!</v>
      </c>
      <c r="E392" s="45" t="s">
        <v>1875</v>
      </c>
      <c r="F392">
        <v>-12</v>
      </c>
      <c r="G392" t="s">
        <v>1461</v>
      </c>
      <c r="H392">
        <v>370</v>
      </c>
    </row>
    <row r="393" spans="4:8" x14ac:dyDescent="0.25">
      <c r="D393" t="e" vm="359">
        <v>#VALUE!</v>
      </c>
      <c r="E393" s="45" t="s">
        <v>1876</v>
      </c>
      <c r="F393">
        <v>-12</v>
      </c>
      <c r="G393" t="s">
        <v>1482</v>
      </c>
      <c r="H393">
        <v>371</v>
      </c>
    </row>
    <row r="394" spans="4:8" x14ac:dyDescent="0.25">
      <c r="D394" t="e" vm="360">
        <v>#VALUE!</v>
      </c>
      <c r="E394" s="45" t="s">
        <v>1877</v>
      </c>
      <c r="F394">
        <v>-14</v>
      </c>
      <c r="G394" t="s">
        <v>1461</v>
      </c>
      <c r="H394">
        <v>372</v>
      </c>
    </row>
    <row r="395" spans="4:8" x14ac:dyDescent="0.25">
      <c r="D395" t="e" vm="361">
        <v>#VALUE!</v>
      </c>
      <c r="E395" s="45" t="s">
        <v>1878</v>
      </c>
      <c r="F395">
        <v>-16</v>
      </c>
      <c r="G395" t="s">
        <v>1482</v>
      </c>
      <c r="H395">
        <v>373</v>
      </c>
    </row>
    <row r="396" spans="4:8" x14ac:dyDescent="0.25">
      <c r="D396" t="e" vm="362">
        <v>#VALUE!</v>
      </c>
      <c r="E396" s="45" t="s">
        <v>1879</v>
      </c>
      <c r="F396">
        <v>-12</v>
      </c>
      <c r="G396" t="s">
        <v>1461</v>
      </c>
      <c r="H396">
        <v>374</v>
      </c>
    </row>
    <row r="397" spans="4:8" x14ac:dyDescent="0.25">
      <c r="D397" t="e" vm="363">
        <v>#VALUE!</v>
      </c>
      <c r="E397" s="45" t="s">
        <v>1880</v>
      </c>
      <c r="F397">
        <v>-14</v>
      </c>
      <c r="G397" t="s">
        <v>1461</v>
      </c>
      <c r="H397">
        <v>375</v>
      </c>
    </row>
    <row r="398" spans="4:8" x14ac:dyDescent="0.25">
      <c r="D398" t="e" vm="364">
        <v>#VALUE!</v>
      </c>
      <c r="E398" s="45" t="s">
        <v>1881</v>
      </c>
      <c r="F398">
        <v>-14</v>
      </c>
      <c r="G398" t="s">
        <v>1482</v>
      </c>
      <c r="H398">
        <v>377</v>
      </c>
    </row>
    <row r="399" spans="4:8" x14ac:dyDescent="0.25">
      <c r="D399" t="e" vm="365">
        <v>#VALUE!</v>
      </c>
      <c r="E399" s="45" t="s">
        <v>1882</v>
      </c>
      <c r="F399">
        <v>-14</v>
      </c>
      <c r="G399" t="s">
        <v>1461</v>
      </c>
      <c r="H399">
        <v>378</v>
      </c>
    </row>
    <row r="400" spans="4:8" x14ac:dyDescent="0.25">
      <c r="D400" t="e" vm="366">
        <v>#VALUE!</v>
      </c>
      <c r="E400" s="45" t="s">
        <v>1883</v>
      </c>
      <c r="F400">
        <v>-14</v>
      </c>
      <c r="G400" t="s">
        <v>1461</v>
      </c>
      <c r="H400">
        <v>379</v>
      </c>
    </row>
    <row r="401" spans="4:8" x14ac:dyDescent="0.25">
      <c r="D401" t="e" vm="367">
        <v>#VALUE!</v>
      </c>
      <c r="E401" s="45" t="s">
        <v>1884</v>
      </c>
      <c r="F401">
        <v>-12</v>
      </c>
      <c r="G401" t="s">
        <v>1461</v>
      </c>
      <c r="H401">
        <v>380</v>
      </c>
    </row>
    <row r="402" spans="4:8" x14ac:dyDescent="0.25">
      <c r="D402" t="e" vm="368">
        <v>#VALUE!</v>
      </c>
      <c r="E402" s="45" t="s">
        <v>1885</v>
      </c>
      <c r="F402">
        <v>-14</v>
      </c>
      <c r="G402" t="s">
        <v>1461</v>
      </c>
      <c r="H402">
        <v>381</v>
      </c>
    </row>
    <row r="403" spans="4:8" x14ac:dyDescent="0.25">
      <c r="D403" t="e" vm="369">
        <v>#VALUE!</v>
      </c>
      <c r="E403" s="45" t="s">
        <v>1886</v>
      </c>
      <c r="F403">
        <v>-12</v>
      </c>
      <c r="G403" t="s">
        <v>1461</v>
      </c>
      <c r="H403">
        <v>382</v>
      </c>
    </row>
    <row r="404" spans="4:8" x14ac:dyDescent="0.25">
      <c r="D404" t="e" vm="370">
        <v>#VALUE!</v>
      </c>
      <c r="E404" s="45" t="s">
        <v>1887</v>
      </c>
      <c r="F404">
        <v>-12</v>
      </c>
      <c r="G404" t="s">
        <v>1461</v>
      </c>
      <c r="H404">
        <v>383</v>
      </c>
    </row>
    <row r="405" spans="4:8" x14ac:dyDescent="0.25">
      <c r="D405" t="e" vm="371">
        <v>#VALUE!</v>
      </c>
      <c r="E405" s="45" t="s">
        <v>1888</v>
      </c>
      <c r="F405">
        <v>-14</v>
      </c>
      <c r="G405" t="s">
        <v>1461</v>
      </c>
      <c r="H405">
        <v>384</v>
      </c>
    </row>
    <row r="406" spans="4:8" x14ac:dyDescent="0.25">
      <c r="D406" t="e" vm="372">
        <v>#VALUE!</v>
      </c>
      <c r="E406" s="45" t="s">
        <v>1889</v>
      </c>
      <c r="F406">
        <v>-10</v>
      </c>
      <c r="G406" t="s">
        <v>1482</v>
      </c>
      <c r="H406">
        <v>385</v>
      </c>
    </row>
    <row r="407" spans="4:8" x14ac:dyDescent="0.25">
      <c r="D407" t="e" vm="373">
        <v>#VALUE!</v>
      </c>
      <c r="E407" s="45" t="s">
        <v>1890</v>
      </c>
      <c r="F407">
        <v>-14</v>
      </c>
      <c r="G407" t="s">
        <v>1482</v>
      </c>
      <c r="H407">
        <v>386</v>
      </c>
    </row>
    <row r="408" spans="4:8" x14ac:dyDescent="0.25">
      <c r="D408" t="e" vm="374">
        <v>#VALUE!</v>
      </c>
      <c r="E408" s="45" t="s">
        <v>1891</v>
      </c>
      <c r="F408">
        <v>-10</v>
      </c>
      <c r="G408" t="s">
        <v>1482</v>
      </c>
      <c r="H408">
        <v>387</v>
      </c>
    </row>
    <row r="409" spans="4:8" x14ac:dyDescent="0.25">
      <c r="D409" t="e" vm="375">
        <v>#VALUE!</v>
      </c>
      <c r="E409" s="45" t="s">
        <v>1892</v>
      </c>
      <c r="F409">
        <v>-12</v>
      </c>
      <c r="G409" t="s">
        <v>1482</v>
      </c>
      <c r="H409">
        <v>405</v>
      </c>
    </row>
    <row r="410" spans="4:8" x14ac:dyDescent="0.25">
      <c r="D410" t="e" vm="376">
        <v>#VALUE!</v>
      </c>
      <c r="E410" s="45" t="s">
        <v>1893</v>
      </c>
      <c r="F410">
        <v>-16</v>
      </c>
      <c r="G410" t="s">
        <v>1461</v>
      </c>
      <c r="H410">
        <v>389</v>
      </c>
    </row>
    <row r="411" spans="4:8" x14ac:dyDescent="0.25">
      <c r="D411" t="e" vm="377">
        <v>#VALUE!</v>
      </c>
      <c r="E411" s="45" t="s">
        <v>1894</v>
      </c>
      <c r="F411">
        <v>-12</v>
      </c>
      <c r="G411" t="s">
        <v>1482</v>
      </c>
      <c r="H411">
        <v>390</v>
      </c>
    </row>
    <row r="412" spans="4:8" x14ac:dyDescent="0.25">
      <c r="D412" t="e" vm="378">
        <v>#VALUE!</v>
      </c>
      <c r="E412" s="45" t="s">
        <v>1895</v>
      </c>
      <c r="F412">
        <v>-10</v>
      </c>
      <c r="G412" t="s">
        <v>1461</v>
      </c>
      <c r="H412">
        <v>391</v>
      </c>
    </row>
    <row r="413" spans="4:8" x14ac:dyDescent="0.25">
      <c r="D413" t="e" vm="379">
        <v>#VALUE!</v>
      </c>
      <c r="E413" s="45" t="s">
        <v>1896</v>
      </c>
      <c r="F413">
        <v>-12</v>
      </c>
      <c r="G413" t="s">
        <v>1482</v>
      </c>
      <c r="H413">
        <v>393</v>
      </c>
    </row>
    <row r="414" spans="4:8" x14ac:dyDescent="0.25">
      <c r="D414" t="e" vm="380">
        <v>#VALUE!</v>
      </c>
      <c r="E414" s="45" t="s">
        <v>1897</v>
      </c>
      <c r="F414">
        <v>-10</v>
      </c>
      <c r="G414" t="s">
        <v>1461</v>
      </c>
      <c r="H414">
        <v>394</v>
      </c>
    </row>
    <row r="415" spans="4:8" x14ac:dyDescent="0.25">
      <c r="D415" t="e" vm="381">
        <v>#VALUE!</v>
      </c>
      <c r="E415" s="45" t="s">
        <v>1898</v>
      </c>
      <c r="F415">
        <v>-10</v>
      </c>
      <c r="G415" t="s">
        <v>1461</v>
      </c>
      <c r="H415">
        <v>395</v>
      </c>
    </row>
    <row r="416" spans="4:8" x14ac:dyDescent="0.25">
      <c r="D416" t="e" vm="382">
        <v>#VALUE!</v>
      </c>
      <c r="E416" s="45" t="s">
        <v>1899</v>
      </c>
      <c r="F416">
        <v>-16</v>
      </c>
      <c r="G416" t="s">
        <v>1482</v>
      </c>
      <c r="H416">
        <v>396</v>
      </c>
    </row>
    <row r="417" spans="4:8" x14ac:dyDescent="0.25">
      <c r="D417" t="e" vm="383">
        <v>#VALUE!</v>
      </c>
      <c r="E417" s="45" t="s">
        <v>1900</v>
      </c>
      <c r="F417">
        <v>-16</v>
      </c>
      <c r="G417" t="s">
        <v>1461</v>
      </c>
      <c r="H417">
        <v>399</v>
      </c>
    </row>
    <row r="418" spans="4:8" x14ac:dyDescent="0.25">
      <c r="D418" t="e" vm="384">
        <v>#VALUE!</v>
      </c>
      <c r="E418" s="45" t="s">
        <v>1901</v>
      </c>
      <c r="F418">
        <v>-10</v>
      </c>
      <c r="G418" t="s">
        <v>1482</v>
      </c>
      <c r="H418">
        <v>400</v>
      </c>
    </row>
    <row r="419" spans="4:8" x14ac:dyDescent="0.25">
      <c r="D419" t="e" vm="385">
        <v>#VALUE!</v>
      </c>
      <c r="E419" s="45" t="s">
        <v>1902</v>
      </c>
      <c r="F419">
        <v>-14</v>
      </c>
      <c r="G419" t="s">
        <v>1461</v>
      </c>
      <c r="H419">
        <v>402</v>
      </c>
    </row>
    <row r="420" spans="4:8" x14ac:dyDescent="0.25">
      <c r="D420" t="e" vm="386">
        <v>#VALUE!</v>
      </c>
      <c r="E420" s="45" t="s">
        <v>1903</v>
      </c>
      <c r="F420">
        <v>-12</v>
      </c>
      <c r="G420" t="s">
        <v>1461</v>
      </c>
      <c r="H420">
        <v>403</v>
      </c>
    </row>
    <row r="421" spans="4:8" x14ac:dyDescent="0.25">
      <c r="D421" t="e" vm="387">
        <v>#VALUE!</v>
      </c>
      <c r="E421" s="45" t="s">
        <v>1904</v>
      </c>
      <c r="F421">
        <v>-14</v>
      </c>
      <c r="G421" t="s">
        <v>1461</v>
      </c>
      <c r="H421">
        <v>404</v>
      </c>
    </row>
    <row r="422" spans="4:8" x14ac:dyDescent="0.25">
      <c r="D422" t="e" vm="388">
        <v>#VALUE!</v>
      </c>
      <c r="E422" s="45" t="s">
        <v>1905</v>
      </c>
      <c r="F422">
        <v>-12</v>
      </c>
      <c r="G422" t="s">
        <v>1461</v>
      </c>
      <c r="H422">
        <v>406</v>
      </c>
    </row>
    <row r="423" spans="4:8" x14ac:dyDescent="0.25">
      <c r="D423" t="e" vm="389">
        <v>#VALUE!</v>
      </c>
      <c r="E423" s="45" t="s">
        <v>1906</v>
      </c>
      <c r="F423">
        <v>-14</v>
      </c>
      <c r="G423" t="s">
        <v>1482</v>
      </c>
      <c r="H423">
        <v>407</v>
      </c>
    </row>
    <row r="424" spans="4:8" x14ac:dyDescent="0.25">
      <c r="D424" t="e" vm="390">
        <v>#VALUE!</v>
      </c>
      <c r="E424" s="45" t="s">
        <v>1907</v>
      </c>
      <c r="F424">
        <v>-14</v>
      </c>
      <c r="G424" t="s">
        <v>1461</v>
      </c>
      <c r="H424">
        <v>409</v>
      </c>
    </row>
    <row r="425" spans="4:8" x14ac:dyDescent="0.25">
      <c r="D425" t="e" vm="391">
        <v>#VALUE!</v>
      </c>
      <c r="E425" s="45" t="s">
        <v>1908</v>
      </c>
      <c r="F425">
        <v>-14</v>
      </c>
      <c r="G425" t="s">
        <v>1461</v>
      </c>
      <c r="H425">
        <v>410</v>
      </c>
    </row>
    <row r="426" spans="4:8" x14ac:dyDescent="0.25">
      <c r="D426" t="e" vm="392">
        <v>#VALUE!</v>
      </c>
      <c r="E426" s="45" t="s">
        <v>1909</v>
      </c>
      <c r="F426">
        <v>-16</v>
      </c>
      <c r="G426" t="s">
        <v>1461</v>
      </c>
      <c r="H426">
        <v>414</v>
      </c>
    </row>
    <row r="427" spans="4:8" x14ac:dyDescent="0.25">
      <c r="D427" t="e" vm="393">
        <v>#VALUE!</v>
      </c>
      <c r="E427" s="45" t="s">
        <v>1910</v>
      </c>
      <c r="F427">
        <v>-14</v>
      </c>
      <c r="G427" t="s">
        <v>1461</v>
      </c>
      <c r="H427">
        <v>415</v>
      </c>
    </row>
    <row r="428" spans="4:8" x14ac:dyDescent="0.25">
      <c r="D428" t="e" vm="394">
        <v>#VALUE!</v>
      </c>
      <c r="E428" s="45" t="s">
        <v>1911</v>
      </c>
      <c r="F428">
        <v>-14</v>
      </c>
      <c r="G428" t="s">
        <v>1461</v>
      </c>
      <c r="H428">
        <v>416</v>
      </c>
    </row>
    <row r="429" spans="4:8" x14ac:dyDescent="0.25">
      <c r="D429" t="e" vm="395">
        <v>#VALUE!</v>
      </c>
      <c r="E429" s="45" t="s">
        <v>1912</v>
      </c>
      <c r="F429">
        <v>-16</v>
      </c>
      <c r="G429" t="s">
        <v>1461</v>
      </c>
      <c r="H429">
        <v>417</v>
      </c>
    </row>
    <row r="430" spans="4:8" x14ac:dyDescent="0.25">
      <c r="D430" t="e" vm="396">
        <v>#VALUE!</v>
      </c>
      <c r="E430" s="45" t="s">
        <v>1913</v>
      </c>
      <c r="F430">
        <v>-16</v>
      </c>
      <c r="G430" t="s">
        <v>1461</v>
      </c>
      <c r="H430">
        <v>418</v>
      </c>
    </row>
    <row r="431" spans="4:8" x14ac:dyDescent="0.25">
      <c r="D431" t="e" vm="397">
        <v>#VALUE!</v>
      </c>
      <c r="E431" s="45" t="s">
        <v>1914</v>
      </c>
      <c r="F431">
        <v>-12</v>
      </c>
      <c r="G431" t="s">
        <v>1461</v>
      </c>
      <c r="H431">
        <v>419</v>
      </c>
    </row>
    <row r="432" spans="4:8" x14ac:dyDescent="0.25">
      <c r="D432" t="e" vm="398">
        <v>#VALUE!</v>
      </c>
      <c r="E432" s="45" t="s">
        <v>1915</v>
      </c>
      <c r="F432">
        <v>-16</v>
      </c>
      <c r="G432" t="s">
        <v>1461</v>
      </c>
      <c r="H432">
        <v>420</v>
      </c>
    </row>
    <row r="433" spans="4:8" x14ac:dyDescent="0.25">
      <c r="D433" t="e" vm="399">
        <v>#VALUE!</v>
      </c>
      <c r="E433" s="45" t="s">
        <v>1916</v>
      </c>
      <c r="F433">
        <v>-16</v>
      </c>
      <c r="G433" t="s">
        <v>1461</v>
      </c>
      <c r="H433">
        <v>423</v>
      </c>
    </row>
    <row r="434" spans="4:8" x14ac:dyDescent="0.25">
      <c r="D434" t="e" vm="400">
        <v>#VALUE!</v>
      </c>
      <c r="E434" s="45" t="s">
        <v>1917</v>
      </c>
      <c r="F434">
        <v>-16</v>
      </c>
      <c r="G434" t="s">
        <v>1461</v>
      </c>
      <c r="H434">
        <v>424</v>
      </c>
    </row>
    <row r="435" spans="4:8" x14ac:dyDescent="0.25">
      <c r="D435" t="e" vm="401">
        <v>#VALUE!</v>
      </c>
      <c r="E435" s="45" t="s">
        <v>1918</v>
      </c>
      <c r="F435">
        <v>-12</v>
      </c>
      <c r="G435" t="s">
        <v>1461</v>
      </c>
      <c r="H435">
        <v>426</v>
      </c>
    </row>
    <row r="436" spans="4:8" x14ac:dyDescent="0.25">
      <c r="D436" t="e" vm="402">
        <v>#VALUE!</v>
      </c>
      <c r="E436" s="45" t="s">
        <v>1919</v>
      </c>
      <c r="F436">
        <v>-12</v>
      </c>
      <c r="G436" t="s">
        <v>1461</v>
      </c>
      <c r="H436">
        <v>429</v>
      </c>
    </row>
    <row r="437" spans="4:8" x14ac:dyDescent="0.25">
      <c r="D437" t="e" vm="403">
        <v>#VALUE!</v>
      </c>
      <c r="E437" s="45" t="s">
        <v>1920</v>
      </c>
      <c r="F437">
        <v>-18</v>
      </c>
      <c r="G437" t="s">
        <v>1461</v>
      </c>
      <c r="H437">
        <v>431</v>
      </c>
    </row>
    <row r="438" spans="4:8" x14ac:dyDescent="0.25">
      <c r="D438" t="e" vm="404">
        <v>#VALUE!</v>
      </c>
      <c r="E438" s="45" t="s">
        <v>1921</v>
      </c>
      <c r="F438">
        <v>-16</v>
      </c>
      <c r="G438" t="s">
        <v>1461</v>
      </c>
      <c r="H438">
        <v>432</v>
      </c>
    </row>
    <row r="439" spans="4:8" x14ac:dyDescent="0.25">
      <c r="D439" t="e" vm="405">
        <v>#VALUE!</v>
      </c>
      <c r="E439" s="45" t="s">
        <v>1922</v>
      </c>
      <c r="F439">
        <v>-12</v>
      </c>
      <c r="G439" t="s">
        <v>1461</v>
      </c>
      <c r="H439">
        <v>433</v>
      </c>
    </row>
    <row r="440" spans="4:8" x14ac:dyDescent="0.25">
      <c r="D440" t="e" vm="406">
        <v>#VALUE!</v>
      </c>
      <c r="E440" s="45" t="s">
        <v>1923</v>
      </c>
      <c r="F440">
        <v>-12</v>
      </c>
      <c r="G440" t="s">
        <v>1482</v>
      </c>
      <c r="H440">
        <v>434</v>
      </c>
    </row>
    <row r="441" spans="4:8" x14ac:dyDescent="0.25">
      <c r="D441" t="e" vm="407">
        <v>#VALUE!</v>
      </c>
      <c r="E441" s="45" t="s">
        <v>1924</v>
      </c>
      <c r="F441">
        <v>-14</v>
      </c>
      <c r="G441" t="s">
        <v>1461</v>
      </c>
      <c r="H441">
        <v>435</v>
      </c>
    </row>
    <row r="442" spans="4:8" x14ac:dyDescent="0.25">
      <c r="D442" t="e" vm="408">
        <v>#VALUE!</v>
      </c>
      <c r="E442" s="45" t="s">
        <v>1925</v>
      </c>
      <c r="F442">
        <v>-14</v>
      </c>
      <c r="G442" t="s">
        <v>1461</v>
      </c>
      <c r="H442">
        <v>436</v>
      </c>
    </row>
    <row r="443" spans="4:8" x14ac:dyDescent="0.25">
      <c r="D443" t="e" vm="409">
        <v>#VALUE!</v>
      </c>
      <c r="E443" s="45" t="s">
        <v>1926</v>
      </c>
      <c r="F443">
        <v>-14</v>
      </c>
      <c r="G443" t="s">
        <v>1461</v>
      </c>
      <c r="H443">
        <v>437</v>
      </c>
    </row>
    <row r="444" spans="4:8" x14ac:dyDescent="0.25">
      <c r="D444" t="e" vm="410">
        <v>#VALUE!</v>
      </c>
      <c r="E444" s="45" t="s">
        <v>1927</v>
      </c>
      <c r="F444">
        <v>-12</v>
      </c>
      <c r="G444" t="s">
        <v>1482</v>
      </c>
      <c r="H444">
        <v>439</v>
      </c>
    </row>
    <row r="445" spans="4:8" x14ac:dyDescent="0.25">
      <c r="D445" t="e" vm="411">
        <v>#VALUE!</v>
      </c>
      <c r="E445" s="45" t="s">
        <v>1928</v>
      </c>
      <c r="F445">
        <v>-12</v>
      </c>
      <c r="G445" t="s">
        <v>1461</v>
      </c>
      <c r="H445">
        <v>440</v>
      </c>
    </row>
    <row r="446" spans="4:8" x14ac:dyDescent="0.25">
      <c r="D446" t="e" vm="412">
        <v>#VALUE!</v>
      </c>
      <c r="E446" s="45" t="s">
        <v>1929</v>
      </c>
      <c r="F446">
        <v>-14</v>
      </c>
      <c r="G446" t="s">
        <v>1461</v>
      </c>
      <c r="H446">
        <v>441</v>
      </c>
    </row>
    <row r="447" spans="4:8" x14ac:dyDescent="0.25">
      <c r="D447" t="e" vm="413">
        <v>#VALUE!</v>
      </c>
      <c r="E447" s="45" t="s">
        <v>1930</v>
      </c>
      <c r="F447">
        <v>-14</v>
      </c>
      <c r="G447" t="s">
        <v>1461</v>
      </c>
      <c r="H447">
        <v>442</v>
      </c>
    </row>
    <row r="448" spans="4:8" x14ac:dyDescent="0.25">
      <c r="D448" t="e" vm="414">
        <v>#VALUE!</v>
      </c>
      <c r="E448" s="45" t="s">
        <v>1931</v>
      </c>
      <c r="F448">
        <v>-16</v>
      </c>
      <c r="G448" t="s">
        <v>1461</v>
      </c>
      <c r="H448">
        <v>443</v>
      </c>
    </row>
    <row r="449" spans="4:8" x14ac:dyDescent="0.25">
      <c r="D449" t="e" vm="415">
        <v>#VALUE!</v>
      </c>
      <c r="E449" s="45" t="s">
        <v>1932</v>
      </c>
      <c r="F449">
        <v>-12</v>
      </c>
      <c r="G449" t="s">
        <v>1461</v>
      </c>
      <c r="H449">
        <v>444</v>
      </c>
    </row>
    <row r="450" spans="4:8" x14ac:dyDescent="0.25">
      <c r="D450" t="e" vm="416">
        <v>#VALUE!</v>
      </c>
      <c r="E450" s="45" t="s">
        <v>1933</v>
      </c>
      <c r="F450">
        <v>-16</v>
      </c>
      <c r="G450" t="s">
        <v>1461</v>
      </c>
      <c r="H450">
        <v>445</v>
      </c>
    </row>
    <row r="451" spans="4:8" x14ac:dyDescent="0.25">
      <c r="D451" t="e" vm="417">
        <v>#VALUE!</v>
      </c>
      <c r="E451" s="45" t="s">
        <v>1934</v>
      </c>
      <c r="F451">
        <v>-16</v>
      </c>
      <c r="G451" t="s">
        <v>1461</v>
      </c>
      <c r="H451">
        <v>411</v>
      </c>
    </row>
    <row r="452" spans="4:8" x14ac:dyDescent="0.25">
      <c r="D452" t="e" vm="418">
        <v>#VALUE!</v>
      </c>
      <c r="E452" s="45" t="s">
        <v>1935</v>
      </c>
      <c r="F452">
        <v>-12</v>
      </c>
      <c r="G452" t="s">
        <v>1461</v>
      </c>
      <c r="H452">
        <v>412</v>
      </c>
    </row>
    <row r="453" spans="4:8" x14ac:dyDescent="0.25">
      <c r="D453" t="e" vm="419">
        <v>#VALUE!</v>
      </c>
      <c r="E453" s="45" t="s">
        <v>1936</v>
      </c>
      <c r="F453">
        <v>-10</v>
      </c>
      <c r="G453" t="s">
        <v>1461</v>
      </c>
      <c r="H453">
        <v>446</v>
      </c>
    </row>
    <row r="454" spans="4:8" x14ac:dyDescent="0.25">
      <c r="D454" t="e" vm="420">
        <v>#VALUE!</v>
      </c>
      <c r="E454" s="45" t="s">
        <v>1937</v>
      </c>
      <c r="F454">
        <v>-14</v>
      </c>
      <c r="G454" t="s">
        <v>1482</v>
      </c>
      <c r="H454">
        <v>447</v>
      </c>
    </row>
    <row r="455" spans="4:8" x14ac:dyDescent="0.25">
      <c r="D455" t="e" vm="421">
        <v>#VALUE!</v>
      </c>
      <c r="E455" s="45" t="s">
        <v>1938</v>
      </c>
      <c r="F455">
        <v>-14</v>
      </c>
      <c r="G455" t="s">
        <v>1461</v>
      </c>
      <c r="H455">
        <v>448</v>
      </c>
    </row>
    <row r="456" spans="4:8" x14ac:dyDescent="0.25">
      <c r="D456" t="e" vm="422">
        <v>#VALUE!</v>
      </c>
      <c r="E456" s="45" t="s">
        <v>1939</v>
      </c>
      <c r="F456">
        <v>-12</v>
      </c>
      <c r="G456" t="s">
        <v>1482</v>
      </c>
      <c r="H456">
        <v>449</v>
      </c>
    </row>
    <row r="457" spans="4:8" x14ac:dyDescent="0.25">
      <c r="D457" t="e" vm="423">
        <v>#VALUE!</v>
      </c>
      <c r="E457" s="45" t="s">
        <v>1940</v>
      </c>
      <c r="F457">
        <v>-10</v>
      </c>
      <c r="G457" t="s">
        <v>1482</v>
      </c>
      <c r="H457">
        <v>450</v>
      </c>
    </row>
    <row r="458" spans="4:8" x14ac:dyDescent="0.25">
      <c r="D458" t="e" vm="424">
        <v>#VALUE!</v>
      </c>
      <c r="E458" s="45" t="s">
        <v>1941</v>
      </c>
      <c r="F458">
        <v>-18</v>
      </c>
      <c r="G458" t="s">
        <v>1461</v>
      </c>
      <c r="H458">
        <v>451</v>
      </c>
    </row>
    <row r="459" spans="4:8" x14ac:dyDescent="0.25">
      <c r="D459" t="e" vm="425">
        <v>#VALUE!</v>
      </c>
      <c r="E459" s="45" t="s">
        <v>1942</v>
      </c>
      <c r="F459">
        <v>-14</v>
      </c>
      <c r="G459" t="s">
        <v>1461</v>
      </c>
      <c r="H459">
        <v>452</v>
      </c>
    </row>
    <row r="460" spans="4:8" x14ac:dyDescent="0.25">
      <c r="D460" t="e" vm="426">
        <v>#VALUE!</v>
      </c>
      <c r="E460" s="45" t="s">
        <v>1943</v>
      </c>
      <c r="F460">
        <v>-12</v>
      </c>
      <c r="G460" t="s">
        <v>1461</v>
      </c>
      <c r="H460">
        <v>453</v>
      </c>
    </row>
    <row r="461" spans="4:8" x14ac:dyDescent="0.25">
      <c r="D461" t="e" vm="427">
        <v>#VALUE!</v>
      </c>
      <c r="E461" s="45" t="s">
        <v>1944</v>
      </c>
      <c r="F461">
        <v>-16</v>
      </c>
      <c r="G461" t="s">
        <v>1461</v>
      </c>
      <c r="H461">
        <v>454</v>
      </c>
    </row>
    <row r="462" spans="4:8" x14ac:dyDescent="0.25">
      <c r="D462" t="e" vm="428">
        <v>#VALUE!</v>
      </c>
      <c r="E462" s="45" t="s">
        <v>1945</v>
      </c>
      <c r="F462">
        <v>-12</v>
      </c>
      <c r="G462" t="s">
        <v>1461</v>
      </c>
      <c r="H462">
        <v>455</v>
      </c>
    </row>
    <row r="463" spans="4:8" x14ac:dyDescent="0.25">
      <c r="D463" t="e" vm="429">
        <v>#VALUE!</v>
      </c>
      <c r="E463" s="45" t="s">
        <v>1946</v>
      </c>
      <c r="F463">
        <v>-16</v>
      </c>
      <c r="G463" t="s">
        <v>1461</v>
      </c>
      <c r="H463">
        <v>457</v>
      </c>
    </row>
    <row r="464" spans="4:8" x14ac:dyDescent="0.25">
      <c r="D464" t="e" vm="430">
        <v>#VALUE!</v>
      </c>
      <c r="E464" s="45" t="s">
        <v>1947</v>
      </c>
      <c r="F464">
        <v>-10</v>
      </c>
      <c r="G464" t="s">
        <v>1482</v>
      </c>
      <c r="H464">
        <v>458</v>
      </c>
    </row>
    <row r="465" spans="4:8" x14ac:dyDescent="0.25">
      <c r="D465" t="e" vm="431">
        <v>#VALUE!</v>
      </c>
      <c r="E465" s="45" t="s">
        <v>1948</v>
      </c>
      <c r="F465">
        <v>-16</v>
      </c>
      <c r="G465" t="s">
        <v>1482</v>
      </c>
      <c r="H465">
        <v>459</v>
      </c>
    </row>
    <row r="466" spans="4:8" x14ac:dyDescent="0.25">
      <c r="D466" t="e" vm="432">
        <v>#VALUE!</v>
      </c>
      <c r="E466" s="45" t="s">
        <v>1949</v>
      </c>
      <c r="F466">
        <v>-16</v>
      </c>
      <c r="G466" t="s">
        <v>1461</v>
      </c>
      <c r="H466">
        <v>460</v>
      </c>
    </row>
    <row r="467" spans="4:8" x14ac:dyDescent="0.25">
      <c r="D467" t="e" vm="433">
        <v>#VALUE!</v>
      </c>
      <c r="E467" s="45" t="s">
        <v>1950</v>
      </c>
      <c r="F467">
        <v>-12</v>
      </c>
      <c r="G467" t="s">
        <v>1461</v>
      </c>
      <c r="H467">
        <v>461</v>
      </c>
    </row>
    <row r="468" spans="4:8" x14ac:dyDescent="0.25">
      <c r="D468" t="e" vm="434">
        <v>#VALUE!</v>
      </c>
      <c r="E468" s="45" t="s">
        <v>1951</v>
      </c>
      <c r="F468">
        <v>-14</v>
      </c>
      <c r="G468" t="s">
        <v>1461</v>
      </c>
      <c r="H468">
        <v>462</v>
      </c>
    </row>
    <row r="469" spans="4:8" x14ac:dyDescent="0.25">
      <c r="D469" t="e" vm="435">
        <v>#VALUE!</v>
      </c>
      <c r="E469" s="45" t="s">
        <v>1952</v>
      </c>
      <c r="F469">
        <v>-14</v>
      </c>
      <c r="G469" t="s">
        <v>1461</v>
      </c>
      <c r="H469">
        <v>463</v>
      </c>
    </row>
    <row r="470" spans="4:8" x14ac:dyDescent="0.25">
      <c r="D470" t="e" vm="436">
        <v>#VALUE!</v>
      </c>
      <c r="E470" s="45" t="s">
        <v>1953</v>
      </c>
      <c r="F470">
        <v>-12</v>
      </c>
      <c r="G470" t="s">
        <v>1482</v>
      </c>
      <c r="H470">
        <v>464</v>
      </c>
    </row>
    <row r="471" spans="4:8" x14ac:dyDescent="0.25">
      <c r="D471" t="e" vm="437">
        <v>#VALUE!</v>
      </c>
      <c r="E471" s="45" t="s">
        <v>1954</v>
      </c>
      <c r="F471">
        <v>-12</v>
      </c>
      <c r="G471" t="s">
        <v>1482</v>
      </c>
      <c r="H471">
        <v>465</v>
      </c>
    </row>
    <row r="472" spans="4:8" x14ac:dyDescent="0.25">
      <c r="D472" t="e" vm="438">
        <v>#VALUE!</v>
      </c>
      <c r="E472" s="45" t="s">
        <v>1955</v>
      </c>
      <c r="F472">
        <v>-12</v>
      </c>
      <c r="G472" t="s">
        <v>1461</v>
      </c>
      <c r="H472">
        <v>466</v>
      </c>
    </row>
    <row r="473" spans="4:8" x14ac:dyDescent="0.25">
      <c r="D473" t="e" vm="439">
        <v>#VALUE!</v>
      </c>
      <c r="E473" s="45" t="s">
        <v>1956</v>
      </c>
      <c r="F473">
        <v>-10</v>
      </c>
      <c r="G473" t="s">
        <v>1482</v>
      </c>
      <c r="H473">
        <v>467</v>
      </c>
    </row>
    <row r="474" spans="4:8" x14ac:dyDescent="0.25">
      <c r="D474" t="e" vm="440">
        <v>#VALUE!</v>
      </c>
      <c r="E474" s="45" t="s">
        <v>1957</v>
      </c>
      <c r="F474">
        <v>-16</v>
      </c>
      <c r="G474" t="s">
        <v>1461</v>
      </c>
      <c r="H474">
        <v>427</v>
      </c>
    </row>
    <row r="475" spans="4:8" x14ac:dyDescent="0.25">
      <c r="D475" t="e" vm="440">
        <v>#VALUE!</v>
      </c>
      <c r="E475" s="45" t="s">
        <v>1957</v>
      </c>
      <c r="F475">
        <v>-16</v>
      </c>
      <c r="G475" t="s">
        <v>1482</v>
      </c>
      <c r="H475">
        <v>468</v>
      </c>
    </row>
    <row r="476" spans="4:8" x14ac:dyDescent="0.25">
      <c r="D476" t="e" vm="441">
        <v>#VALUE!</v>
      </c>
      <c r="E476" s="45" t="s">
        <v>1958</v>
      </c>
      <c r="F476">
        <v>-10</v>
      </c>
      <c r="G476" t="s">
        <v>1461</v>
      </c>
      <c r="H476">
        <v>470</v>
      </c>
    </row>
    <row r="477" spans="4:8" x14ac:dyDescent="0.25">
      <c r="D477" t="e" vm="442">
        <v>#VALUE!</v>
      </c>
      <c r="E477" s="45" t="s">
        <v>1959</v>
      </c>
      <c r="F477">
        <v>-12</v>
      </c>
      <c r="G477" t="s">
        <v>1461</v>
      </c>
      <c r="H477">
        <v>469</v>
      </c>
    </row>
    <row r="478" spans="4:8" x14ac:dyDescent="0.25">
      <c r="D478" t="e" vm="443">
        <v>#VALUE!</v>
      </c>
      <c r="E478" s="45" t="s">
        <v>1960</v>
      </c>
      <c r="F478">
        <v>-12</v>
      </c>
      <c r="G478" t="s">
        <v>1482</v>
      </c>
      <c r="H478">
        <v>471</v>
      </c>
    </row>
    <row r="479" spans="4:8" x14ac:dyDescent="0.25">
      <c r="D479" t="e" vm="444">
        <v>#VALUE!</v>
      </c>
      <c r="E479" s="45" t="s">
        <v>1961</v>
      </c>
      <c r="F479">
        <v>-14</v>
      </c>
      <c r="G479" t="s">
        <v>1461</v>
      </c>
      <c r="H479">
        <v>472</v>
      </c>
    </row>
    <row r="480" spans="4:8" x14ac:dyDescent="0.25">
      <c r="D480" t="e" vm="445">
        <v>#VALUE!</v>
      </c>
      <c r="E480" s="45" t="s">
        <v>1962</v>
      </c>
      <c r="F480">
        <v>-12</v>
      </c>
      <c r="G480" t="s">
        <v>1461</v>
      </c>
      <c r="H480">
        <v>473</v>
      </c>
    </row>
    <row r="481" spans="4:8" x14ac:dyDescent="0.25">
      <c r="D481" t="e" vm="446">
        <v>#VALUE!</v>
      </c>
      <c r="E481" s="45" t="s">
        <v>1963</v>
      </c>
      <c r="F481">
        <v>-12</v>
      </c>
      <c r="G481" t="s">
        <v>1461</v>
      </c>
      <c r="H481">
        <v>475</v>
      </c>
    </row>
    <row r="482" spans="4:8" x14ac:dyDescent="0.25">
      <c r="D482" t="e" vm="447">
        <v>#VALUE!</v>
      </c>
      <c r="E482" s="45" t="s">
        <v>1964</v>
      </c>
      <c r="F482">
        <v>-16</v>
      </c>
      <c r="G482" t="s">
        <v>1461</v>
      </c>
      <c r="H482">
        <v>476</v>
      </c>
    </row>
    <row r="483" spans="4:8" x14ac:dyDescent="0.25">
      <c r="D483" t="e" vm="448">
        <v>#VALUE!</v>
      </c>
      <c r="E483" s="45" t="s">
        <v>1965</v>
      </c>
      <c r="F483">
        <v>-10</v>
      </c>
      <c r="G483" t="s">
        <v>1461</v>
      </c>
      <c r="H483">
        <v>478</v>
      </c>
    </row>
    <row r="484" spans="4:8" x14ac:dyDescent="0.25">
      <c r="D484" t="e" vm="449">
        <v>#VALUE!</v>
      </c>
      <c r="E484" s="45" t="s">
        <v>1966</v>
      </c>
      <c r="F484">
        <v>-10</v>
      </c>
      <c r="G484" t="s">
        <v>1461</v>
      </c>
      <c r="H484">
        <v>479</v>
      </c>
    </row>
    <row r="485" spans="4:8" x14ac:dyDescent="0.25">
      <c r="D485" t="e" vm="450">
        <v>#VALUE!</v>
      </c>
      <c r="E485" s="45" t="s">
        <v>1967</v>
      </c>
      <c r="F485">
        <v>-16</v>
      </c>
      <c r="G485" t="s">
        <v>1461</v>
      </c>
      <c r="H485">
        <v>480</v>
      </c>
    </row>
    <row r="486" spans="4:8" x14ac:dyDescent="0.25">
      <c r="D486" t="e" vm="451">
        <v>#VALUE!</v>
      </c>
      <c r="E486" s="45" t="s">
        <v>1968</v>
      </c>
      <c r="F486">
        <v>-12</v>
      </c>
      <c r="G486" t="s">
        <v>1461</v>
      </c>
      <c r="H486">
        <v>481</v>
      </c>
    </row>
    <row r="487" spans="4:8" x14ac:dyDescent="0.25">
      <c r="D487" t="e" vm="452">
        <v>#VALUE!</v>
      </c>
      <c r="E487" s="45" t="s">
        <v>1969</v>
      </c>
      <c r="F487">
        <v>-14</v>
      </c>
      <c r="G487" t="s">
        <v>1482</v>
      </c>
      <c r="H487">
        <v>482</v>
      </c>
    </row>
    <row r="488" spans="4:8" x14ac:dyDescent="0.25">
      <c r="D488" t="e" vm="453">
        <v>#VALUE!</v>
      </c>
      <c r="E488" s="45" t="s">
        <v>1970</v>
      </c>
      <c r="F488">
        <v>-10</v>
      </c>
      <c r="G488" t="s">
        <v>1461</v>
      </c>
      <c r="H488">
        <v>483</v>
      </c>
    </row>
    <row r="489" spans="4:8" x14ac:dyDescent="0.25">
      <c r="D489" t="e" vm="454">
        <v>#VALUE!</v>
      </c>
      <c r="E489" s="45" t="s">
        <v>1971</v>
      </c>
      <c r="F489">
        <v>-14</v>
      </c>
      <c r="G489" t="s">
        <v>1461</v>
      </c>
      <c r="H489">
        <v>485</v>
      </c>
    </row>
    <row r="490" spans="4:8" x14ac:dyDescent="0.25">
      <c r="D490" t="e" vm="455">
        <v>#VALUE!</v>
      </c>
      <c r="E490" s="45" t="s">
        <v>1972</v>
      </c>
      <c r="F490">
        <v>-16</v>
      </c>
      <c r="G490" t="s">
        <v>1461</v>
      </c>
      <c r="H490">
        <v>486</v>
      </c>
    </row>
    <row r="491" spans="4:8" x14ac:dyDescent="0.25">
      <c r="D491" t="e" vm="456">
        <v>#VALUE!</v>
      </c>
      <c r="E491" s="45" t="s">
        <v>1973</v>
      </c>
      <c r="F491">
        <v>-20</v>
      </c>
      <c r="G491" t="s">
        <v>1461</v>
      </c>
      <c r="H491">
        <v>487</v>
      </c>
    </row>
    <row r="492" spans="4:8" x14ac:dyDescent="0.25">
      <c r="D492" t="e" vm="457">
        <v>#VALUE!</v>
      </c>
      <c r="E492" s="45" t="s">
        <v>1974</v>
      </c>
      <c r="F492">
        <v>-16</v>
      </c>
      <c r="G492" t="s">
        <v>1461</v>
      </c>
      <c r="H492">
        <v>488</v>
      </c>
    </row>
    <row r="493" spans="4:8" x14ac:dyDescent="0.25">
      <c r="D493" t="e" vm="458">
        <v>#VALUE!</v>
      </c>
      <c r="E493" s="45" t="s">
        <v>1975</v>
      </c>
      <c r="F493">
        <v>-12</v>
      </c>
      <c r="G493" t="s">
        <v>1461</v>
      </c>
      <c r="H493">
        <v>489</v>
      </c>
    </row>
    <row r="494" spans="4:8" x14ac:dyDescent="0.25">
      <c r="D494" t="e" vm="459">
        <v>#VALUE!</v>
      </c>
      <c r="E494" s="45" t="s">
        <v>1976</v>
      </c>
      <c r="F494">
        <v>-12</v>
      </c>
      <c r="G494" t="s">
        <v>1461</v>
      </c>
      <c r="H494">
        <v>490</v>
      </c>
    </row>
    <row r="495" spans="4:8" x14ac:dyDescent="0.25">
      <c r="D495" t="e" vm="460">
        <v>#VALUE!</v>
      </c>
      <c r="E495" s="45" t="s">
        <v>1977</v>
      </c>
      <c r="F495">
        <v>-12</v>
      </c>
      <c r="G495" t="s">
        <v>1461</v>
      </c>
      <c r="H495">
        <v>491</v>
      </c>
    </row>
    <row r="496" spans="4:8" x14ac:dyDescent="0.25">
      <c r="D496" t="e" vm="461">
        <v>#VALUE!</v>
      </c>
      <c r="E496" s="45" t="s">
        <v>1978</v>
      </c>
      <c r="F496">
        <v>-16</v>
      </c>
      <c r="G496" t="s">
        <v>1461</v>
      </c>
      <c r="H496">
        <v>492</v>
      </c>
    </row>
    <row r="497" spans="4:8" x14ac:dyDescent="0.25">
      <c r="D497" t="e" vm="462">
        <v>#VALUE!</v>
      </c>
      <c r="E497" s="45" t="s">
        <v>1979</v>
      </c>
      <c r="F497">
        <v>-14</v>
      </c>
      <c r="G497" t="s">
        <v>1461</v>
      </c>
      <c r="H497">
        <v>493</v>
      </c>
    </row>
    <row r="498" spans="4:8" x14ac:dyDescent="0.25">
      <c r="D498" t="e" vm="463">
        <v>#VALUE!</v>
      </c>
      <c r="E498" s="45" t="s">
        <v>1980</v>
      </c>
      <c r="F498">
        <v>-10</v>
      </c>
      <c r="G498" t="s">
        <v>1482</v>
      </c>
      <c r="H498">
        <v>494</v>
      </c>
    </row>
    <row r="499" spans="4:8" x14ac:dyDescent="0.25">
      <c r="D499" t="e" vm="464">
        <v>#VALUE!</v>
      </c>
      <c r="E499" s="45" t="s">
        <v>1981</v>
      </c>
      <c r="F499">
        <v>-10</v>
      </c>
      <c r="G499" t="s">
        <v>1461</v>
      </c>
      <c r="H499">
        <v>495</v>
      </c>
    </row>
    <row r="500" spans="4:8" x14ac:dyDescent="0.25">
      <c r="D500" t="e" vm="465">
        <v>#VALUE!</v>
      </c>
      <c r="E500" s="45" t="s">
        <v>1982</v>
      </c>
      <c r="F500">
        <v>-10</v>
      </c>
      <c r="G500" t="s">
        <v>1461</v>
      </c>
      <c r="H500">
        <v>497</v>
      </c>
    </row>
    <row r="501" spans="4:8" x14ac:dyDescent="0.25">
      <c r="D501" t="e" vm="466">
        <v>#VALUE!</v>
      </c>
      <c r="E501" s="45" t="s">
        <v>1983</v>
      </c>
      <c r="F501">
        <v>-10</v>
      </c>
      <c r="G501" t="s">
        <v>1482</v>
      </c>
      <c r="H501">
        <v>499</v>
      </c>
    </row>
    <row r="502" spans="4:8" x14ac:dyDescent="0.25">
      <c r="D502" t="e" vm="467">
        <v>#VALUE!</v>
      </c>
      <c r="E502" s="45" t="s">
        <v>1984</v>
      </c>
      <c r="F502">
        <v>-14</v>
      </c>
      <c r="G502" t="s">
        <v>1461</v>
      </c>
      <c r="H502">
        <v>500</v>
      </c>
    </row>
    <row r="503" spans="4:8" x14ac:dyDescent="0.25">
      <c r="D503" t="e" vm="468">
        <v>#VALUE!</v>
      </c>
      <c r="E503" s="45" t="s">
        <v>1985</v>
      </c>
      <c r="F503">
        <v>-10</v>
      </c>
      <c r="G503" t="s">
        <v>1461</v>
      </c>
      <c r="H503">
        <v>331</v>
      </c>
    </row>
    <row r="504" spans="4:8" x14ac:dyDescent="0.25">
      <c r="D504" t="e" vm="469">
        <v>#VALUE!</v>
      </c>
      <c r="E504" s="45" t="s">
        <v>1986</v>
      </c>
      <c r="F504">
        <v>-10</v>
      </c>
      <c r="G504" t="s">
        <v>1482</v>
      </c>
      <c r="H504">
        <v>501</v>
      </c>
    </row>
    <row r="505" spans="4:8" x14ac:dyDescent="0.25">
      <c r="D505" t="e" vm="470">
        <v>#VALUE!</v>
      </c>
      <c r="E505" s="45" t="s">
        <v>1987</v>
      </c>
      <c r="F505">
        <v>-12</v>
      </c>
      <c r="G505" t="s">
        <v>1482</v>
      </c>
      <c r="H505">
        <v>502</v>
      </c>
    </row>
    <row r="506" spans="4:8" x14ac:dyDescent="0.25">
      <c r="D506" t="e" vm="471">
        <v>#VALUE!</v>
      </c>
      <c r="E506" s="45" t="s">
        <v>1988</v>
      </c>
      <c r="F506">
        <v>-14</v>
      </c>
      <c r="G506" t="s">
        <v>1461</v>
      </c>
      <c r="H506">
        <v>504</v>
      </c>
    </row>
    <row r="507" spans="4:8" x14ac:dyDescent="0.25">
      <c r="D507" t="e" vm="472">
        <v>#VALUE!</v>
      </c>
      <c r="E507" s="45" t="s">
        <v>1989</v>
      </c>
      <c r="F507">
        <v>-14</v>
      </c>
      <c r="G507" t="s">
        <v>1482</v>
      </c>
      <c r="H507">
        <v>505</v>
      </c>
    </row>
    <row r="508" spans="4:8" x14ac:dyDescent="0.25">
      <c r="D508" t="e" vm="473">
        <v>#VALUE!</v>
      </c>
      <c r="E508" s="45" t="s">
        <v>1990</v>
      </c>
      <c r="F508">
        <v>-14</v>
      </c>
      <c r="G508" t="s">
        <v>1461</v>
      </c>
      <c r="H508">
        <v>506</v>
      </c>
    </row>
    <row r="509" spans="4:8" x14ac:dyDescent="0.25">
      <c r="D509" t="e" vm="474">
        <v>#VALUE!</v>
      </c>
      <c r="E509" s="45" t="s">
        <v>1991</v>
      </c>
      <c r="F509">
        <v>-14</v>
      </c>
      <c r="G509" t="s">
        <v>1482</v>
      </c>
      <c r="H509">
        <v>507</v>
      </c>
    </row>
    <row r="510" spans="4:8" x14ac:dyDescent="0.25">
      <c r="D510" t="e" vm="475">
        <v>#VALUE!</v>
      </c>
      <c r="E510" s="45" t="s">
        <v>1992</v>
      </c>
      <c r="F510">
        <v>-14</v>
      </c>
      <c r="G510" t="s">
        <v>1482</v>
      </c>
      <c r="H510">
        <v>508</v>
      </c>
    </row>
    <row r="511" spans="4:8" x14ac:dyDescent="0.25">
      <c r="D511" t="e" vm="476">
        <v>#VALUE!</v>
      </c>
      <c r="E511" s="45" t="s">
        <v>1993</v>
      </c>
      <c r="F511">
        <v>-12</v>
      </c>
      <c r="G511" t="s">
        <v>1461</v>
      </c>
      <c r="H511">
        <v>509</v>
      </c>
    </row>
    <row r="512" spans="4:8" x14ac:dyDescent="0.25">
      <c r="D512" t="e" vm="477">
        <v>#VALUE!</v>
      </c>
      <c r="E512" s="45" t="s">
        <v>1994</v>
      </c>
      <c r="F512">
        <v>-12</v>
      </c>
      <c r="G512" t="s">
        <v>1461</v>
      </c>
      <c r="H512">
        <v>510</v>
      </c>
    </row>
    <row r="513" spans="4:8" x14ac:dyDescent="0.25">
      <c r="D513" t="e" vm="478">
        <v>#VALUE!</v>
      </c>
      <c r="E513" s="45" t="s">
        <v>1995</v>
      </c>
      <c r="F513">
        <v>-12</v>
      </c>
      <c r="G513" t="s">
        <v>1482</v>
      </c>
      <c r="H513">
        <v>511</v>
      </c>
    </row>
    <row r="514" spans="4:8" x14ac:dyDescent="0.25">
      <c r="D514" t="e" vm="479">
        <v>#VALUE!</v>
      </c>
      <c r="E514" s="45" t="s">
        <v>1996</v>
      </c>
      <c r="F514">
        <v>-12</v>
      </c>
      <c r="G514" t="s">
        <v>1461</v>
      </c>
      <c r="H514">
        <v>512</v>
      </c>
    </row>
    <row r="515" spans="4:8" x14ac:dyDescent="0.25">
      <c r="D515" t="e" vm="480">
        <v>#VALUE!</v>
      </c>
      <c r="E515" s="45" t="s">
        <v>1997</v>
      </c>
      <c r="F515">
        <v>-12</v>
      </c>
      <c r="G515" t="s">
        <v>1482</v>
      </c>
      <c r="H515">
        <v>513</v>
      </c>
    </row>
    <row r="516" spans="4:8" x14ac:dyDescent="0.25">
      <c r="D516" t="e" vm="481">
        <v>#VALUE!</v>
      </c>
      <c r="E516" s="45" t="s">
        <v>1998</v>
      </c>
      <c r="F516">
        <v>-14</v>
      </c>
      <c r="G516" t="s">
        <v>1461</v>
      </c>
      <c r="H516">
        <v>514</v>
      </c>
    </row>
    <row r="517" spans="4:8" x14ac:dyDescent="0.25">
      <c r="D517" t="e" vm="482">
        <v>#VALUE!</v>
      </c>
      <c r="E517" s="45" t="s">
        <v>1999</v>
      </c>
      <c r="F517">
        <v>-14</v>
      </c>
      <c r="G517" t="s">
        <v>1461</v>
      </c>
      <c r="H517">
        <v>515</v>
      </c>
    </row>
    <row r="518" spans="4:8" x14ac:dyDescent="0.25">
      <c r="D518" t="e" vm="483">
        <v>#VALUE!</v>
      </c>
      <c r="E518" s="45" t="s">
        <v>2000</v>
      </c>
      <c r="F518">
        <v>-14</v>
      </c>
      <c r="G518" t="s">
        <v>1461</v>
      </c>
      <c r="H518">
        <v>516</v>
      </c>
    </row>
    <row r="519" spans="4:8" x14ac:dyDescent="0.25">
      <c r="D519" t="e" vm="484">
        <v>#VALUE!</v>
      </c>
      <c r="E519" s="45" t="s">
        <v>2001</v>
      </c>
      <c r="F519">
        <v>-16</v>
      </c>
      <c r="G519" t="s">
        <v>1461</v>
      </c>
      <c r="H519">
        <v>517</v>
      </c>
    </row>
    <row r="520" spans="4:8" x14ac:dyDescent="0.25">
      <c r="D520" t="e" vm="485">
        <v>#VALUE!</v>
      </c>
      <c r="E520" s="45" t="s">
        <v>2002</v>
      </c>
      <c r="F520">
        <v>-12</v>
      </c>
      <c r="G520" t="s">
        <v>1461</v>
      </c>
      <c r="H520">
        <v>518</v>
      </c>
    </row>
    <row r="521" spans="4:8" x14ac:dyDescent="0.25">
      <c r="D521" t="e" vm="486">
        <v>#VALUE!</v>
      </c>
      <c r="E521" s="45" t="s">
        <v>2003</v>
      </c>
      <c r="F521">
        <v>-14</v>
      </c>
      <c r="G521" t="s">
        <v>1461</v>
      </c>
      <c r="H521">
        <v>519</v>
      </c>
    </row>
    <row r="526" spans="4:8" x14ac:dyDescent="0.25">
      <c r="D526" s="47" t="e" vm="98">
        <v>#VALUE!</v>
      </c>
    </row>
    <row r="527" spans="4:8" x14ac:dyDescent="0.25">
      <c r="D527" s="48" t="e" vm="368">
        <v>#VALUE!</v>
      </c>
    </row>
    <row r="528" spans="4:8" x14ac:dyDescent="0.25">
      <c r="D528" s="47" t="e" vm="175">
        <v>#VALUE!</v>
      </c>
    </row>
    <row r="529" spans="4:4" x14ac:dyDescent="0.25">
      <c r="D529" s="48" t="e" vm="382">
        <v>#VALUE!</v>
      </c>
    </row>
    <row r="530" spans="4:4" x14ac:dyDescent="0.25">
      <c r="D530" s="47" t="e" vm="302">
        <v>#VALUE!</v>
      </c>
    </row>
    <row r="531" spans="4:4" x14ac:dyDescent="0.25">
      <c r="D531" s="48" t="e" vm="145">
        <v>#VALUE!</v>
      </c>
    </row>
    <row r="532" spans="4:4" x14ac:dyDescent="0.25">
      <c r="D532" s="47" t="e" vm="360">
        <v>#VALUE!</v>
      </c>
    </row>
    <row r="533" spans="4:4" x14ac:dyDescent="0.25">
      <c r="D533" s="48" t="e" vm="192">
        <v>#VALUE!</v>
      </c>
    </row>
    <row r="534" spans="4:4" x14ac:dyDescent="0.25">
      <c r="D534" s="47" t="e" vm="228">
        <v>#VALUE!</v>
      </c>
    </row>
    <row r="535" spans="4:4" x14ac:dyDescent="0.25">
      <c r="D535" s="48" t="e" vm="404">
        <v>#VALUE!</v>
      </c>
    </row>
    <row r="536" spans="4:4" x14ac:dyDescent="0.25">
      <c r="D536" s="47" t="e" vm="268">
        <v>#VALUE!</v>
      </c>
    </row>
    <row r="537" spans="4:4" x14ac:dyDescent="0.25">
      <c r="D537" s="48" t="e" vm="35">
        <v>#VALUE!</v>
      </c>
    </row>
    <row r="538" spans="4:4" x14ac:dyDescent="0.25">
      <c r="D538" s="47" t="e" vm="280">
        <v>#VALUE!</v>
      </c>
    </row>
    <row r="539" spans="4:4" x14ac:dyDescent="0.25">
      <c r="D539" s="48" t="e" vm="416">
        <v>#VALUE!</v>
      </c>
    </row>
    <row r="540" spans="4:4" x14ac:dyDescent="0.25">
      <c r="D540" s="47" t="e" vm="484">
        <v>#VALUE!</v>
      </c>
    </row>
    <row r="541" spans="4:4" x14ac:dyDescent="0.25">
      <c r="D541" s="48" t="e" vm="165">
        <v>#VALUE!</v>
      </c>
    </row>
    <row r="542" spans="4:4" x14ac:dyDescent="0.25">
      <c r="D542" s="47" t="e" vm="455">
        <v>#VALUE!</v>
      </c>
    </row>
    <row r="543" spans="4:4" x14ac:dyDescent="0.25">
      <c r="D543" s="48" t="e" vm="214">
        <v>#VALUE!</v>
      </c>
    </row>
    <row r="544" spans="4:4" x14ac:dyDescent="0.25">
      <c r="D544" s="47" t="e" vm="81">
        <v>#VALUE!</v>
      </c>
    </row>
    <row r="545" spans="4:4" x14ac:dyDescent="0.25">
      <c r="D545" s="48" t="e" vm="137">
        <v>#VALUE!</v>
      </c>
    </row>
    <row r="546" spans="4:4" x14ac:dyDescent="0.25">
      <c r="D546" s="47" t="e" vm="177">
        <v>#VALUE!</v>
      </c>
    </row>
    <row r="547" spans="4:4" x14ac:dyDescent="0.25">
      <c r="D547" s="48" t="e" vm="283">
        <v>#VALUE!</v>
      </c>
    </row>
    <row r="548" spans="4:4" x14ac:dyDescent="0.25">
      <c r="D548" s="47" t="e" vm="134">
        <v>#VALUE!</v>
      </c>
    </row>
    <row r="549" spans="4:4" x14ac:dyDescent="0.25">
      <c r="D549" s="48" t="e" vm="271">
        <v>#VALUE!</v>
      </c>
    </row>
    <row r="550" spans="4:4" x14ac:dyDescent="0.25">
      <c r="D550" s="47" t="e" vm="297">
        <v>#VALUE!</v>
      </c>
    </row>
    <row r="551" spans="4:4" x14ac:dyDescent="0.25">
      <c r="D551" s="48" t="e" vm="88">
        <v>#VALUE!</v>
      </c>
    </row>
    <row r="552" spans="4:4" x14ac:dyDescent="0.25">
      <c r="D552" s="47" t="e" vm="60">
        <v>#VALUE!</v>
      </c>
    </row>
    <row r="553" spans="4:4" x14ac:dyDescent="0.25">
      <c r="D553" s="48" t="e" vm="95">
        <v>#VALUE!</v>
      </c>
    </row>
    <row r="554" spans="4:4" x14ac:dyDescent="0.25">
      <c r="D554" s="47" t="e" vm="349">
        <v>#VALUE!</v>
      </c>
    </row>
    <row r="555" spans="4:4" x14ac:dyDescent="0.25">
      <c r="D555" s="48" t="e" vm="481">
        <v>#VALUE!</v>
      </c>
    </row>
    <row r="556" spans="4:4" x14ac:dyDescent="0.25">
      <c r="D556" s="47" t="e" vm="109">
        <v>#VALUE!</v>
      </c>
    </row>
    <row r="557" spans="4:4" x14ac:dyDescent="0.25">
      <c r="D557" s="48" t="e" vm="429">
        <v>#VALUE!</v>
      </c>
    </row>
    <row r="558" spans="4:4" x14ac:dyDescent="0.25">
      <c r="D558" s="47" t="e" vm="457">
        <v>#VALUE!</v>
      </c>
    </row>
    <row r="559" spans="4:4" x14ac:dyDescent="0.25">
      <c r="D559" s="48" t="e" vm="183">
        <v>#VALUE!</v>
      </c>
    </row>
    <row r="560" spans="4:4" x14ac:dyDescent="0.25">
      <c r="D560" s="47" t="s">
        <v>1485</v>
      </c>
    </row>
    <row r="561" spans="4:4" x14ac:dyDescent="0.25">
      <c r="D561" s="48" t="e" vm="391">
        <v>#VALUE!</v>
      </c>
    </row>
    <row r="562" spans="4:4" x14ac:dyDescent="0.25">
      <c r="D562" s="47" t="e" vm="292">
        <v>#VALUE!</v>
      </c>
    </row>
    <row r="563" spans="4:4" x14ac:dyDescent="0.25">
      <c r="D563" s="48" t="e" vm="203">
        <v>#VALUE!</v>
      </c>
    </row>
    <row r="564" spans="4:4" x14ac:dyDescent="0.25">
      <c r="D564" s="47" t="e" vm="247">
        <v>#VALUE!</v>
      </c>
    </row>
    <row r="565" spans="4:4" x14ac:dyDescent="0.25">
      <c r="D565" s="48" t="e" vm="45">
        <v>#VALUE!</v>
      </c>
    </row>
    <row r="566" spans="4:4" x14ac:dyDescent="0.25">
      <c r="D566" s="47" t="e" vm="15">
        <v>#VALUE!</v>
      </c>
    </row>
    <row r="567" spans="4:4" x14ac:dyDescent="0.25">
      <c r="D567" s="48" t="e" vm="366">
        <v>#VALUE!</v>
      </c>
    </row>
    <row r="568" spans="4:4" x14ac:dyDescent="0.25">
      <c r="D568" s="47" t="s">
        <v>1468</v>
      </c>
    </row>
    <row r="569" spans="4:4" x14ac:dyDescent="0.25">
      <c r="D569" s="48" t="e" vm="456">
        <v>#VALUE!</v>
      </c>
    </row>
    <row r="570" spans="4:4" x14ac:dyDescent="0.25">
      <c r="D570" s="47" t="e" vm="454">
        <v>#VALUE!</v>
      </c>
    </row>
    <row r="571" spans="4:4" x14ac:dyDescent="0.25">
      <c r="D571" s="48" t="e" vm="52">
        <v>#VALUE!</v>
      </c>
    </row>
    <row r="572" spans="4:4" x14ac:dyDescent="0.25">
      <c r="D572" s="47" t="e" vm="473">
        <v>#VALUE!</v>
      </c>
    </row>
    <row r="573" spans="4:4" x14ac:dyDescent="0.25">
      <c r="D573" s="48" t="e" vm="90">
        <v>#VALUE!</v>
      </c>
    </row>
    <row r="574" spans="4:4" x14ac:dyDescent="0.25">
      <c r="D574" s="47" t="e" vm="80">
        <v>#VALUE!</v>
      </c>
    </row>
    <row r="575" spans="4:4" x14ac:dyDescent="0.25">
      <c r="D575" s="48" t="s">
        <v>1509</v>
      </c>
    </row>
    <row r="576" spans="4:4" x14ac:dyDescent="0.25">
      <c r="D576" s="47" t="e" vm="387">
        <v>#VALUE!</v>
      </c>
    </row>
    <row r="577" spans="4:4" x14ac:dyDescent="0.25">
      <c r="D577" s="48" t="e" vm="385">
        <v>#VALUE!</v>
      </c>
    </row>
    <row r="578" spans="4:4" x14ac:dyDescent="0.25">
      <c r="D578" s="47" t="e" vm="224">
        <v>#VALUE!</v>
      </c>
    </row>
    <row r="579" spans="4:4" x14ac:dyDescent="0.25">
      <c r="D579" s="48" t="e" vm="156">
        <v>#VALUE!</v>
      </c>
    </row>
    <row r="580" spans="4:4" x14ac:dyDescent="0.25">
      <c r="D580" s="47" t="e" vm="171">
        <v>#VALUE!</v>
      </c>
    </row>
    <row r="581" spans="4:4" x14ac:dyDescent="0.25">
      <c r="D581" s="48" t="e" vm="486">
        <v>#VALUE!</v>
      </c>
    </row>
    <row r="582" spans="4:4" x14ac:dyDescent="0.25">
      <c r="D582" s="47" t="e" vm="123">
        <v>#VALUE!</v>
      </c>
    </row>
    <row r="583" spans="4:4" x14ac:dyDescent="0.25">
      <c r="D583" s="48" t="e" vm="16">
        <v>#VALUE!</v>
      </c>
    </row>
    <row r="584" spans="4:4" x14ac:dyDescent="0.25">
      <c r="D584" s="47" t="e" vm="392">
        <v>#VALUE!</v>
      </c>
    </row>
    <row r="585" spans="4:4" x14ac:dyDescent="0.25">
      <c r="D585" s="48" t="e" vm="399">
        <v>#VALUE!</v>
      </c>
    </row>
    <row r="586" spans="4:4" x14ac:dyDescent="0.25">
      <c r="D586" s="47" t="e" vm="414">
        <v>#VALUE!</v>
      </c>
    </row>
    <row r="587" spans="4:4" x14ac:dyDescent="0.25">
      <c r="D587" s="48" t="e" vm="162">
        <v>#VALUE!</v>
      </c>
    </row>
    <row r="588" spans="4:4" x14ac:dyDescent="0.25">
      <c r="D588" s="47" t="e" vm="299">
        <v>#VALUE!</v>
      </c>
    </row>
    <row r="589" spans="4:4" x14ac:dyDescent="0.25">
      <c r="D589" s="48" t="e" vm="83">
        <v>#VALUE!</v>
      </c>
    </row>
    <row r="590" spans="4:4" x14ac:dyDescent="0.25">
      <c r="D590" s="47" t="e" vm="376">
        <v>#VALUE!</v>
      </c>
    </row>
    <row r="591" spans="4:4" x14ac:dyDescent="0.25">
      <c r="D591" s="48" t="e" vm="361">
        <v>#VALUE!</v>
      </c>
    </row>
    <row r="592" spans="4:4" x14ac:dyDescent="0.25">
      <c r="D592" s="47" t="e" vm="76">
        <v>#VALUE!</v>
      </c>
    </row>
    <row r="593" spans="4:4" x14ac:dyDescent="0.25">
      <c r="D593" s="48" t="e" vm="276">
        <v>#VALUE!</v>
      </c>
    </row>
    <row r="594" spans="4:4" x14ac:dyDescent="0.25">
      <c r="D594" s="47" t="e" vm="9">
        <v>#VALUE!</v>
      </c>
    </row>
    <row r="595" spans="4:4" x14ac:dyDescent="0.25">
      <c r="D595" s="48" t="e" vm="343">
        <v>#VALUE!</v>
      </c>
    </row>
    <row r="596" spans="4:4" x14ac:dyDescent="0.25">
      <c r="D596" s="47" t="e" vm="142">
        <v>#VALUE!</v>
      </c>
    </row>
    <row r="597" spans="4:4" x14ac:dyDescent="0.25">
      <c r="D597" s="48" t="e" vm="311">
        <v>#VALUE!</v>
      </c>
    </row>
    <row r="598" spans="4:4" x14ac:dyDescent="0.25">
      <c r="D598" s="47" t="e" vm="43">
        <v>#VALUE!</v>
      </c>
    </row>
    <row r="599" spans="4:4" x14ac:dyDescent="0.25">
      <c r="D599" s="48" t="e" vm="364">
        <v>#VALUE!</v>
      </c>
    </row>
    <row r="600" spans="4:4" x14ac:dyDescent="0.25">
      <c r="D600" s="47" t="e" vm="129">
        <v>#VALUE!</v>
      </c>
    </row>
    <row r="601" spans="4:4" x14ac:dyDescent="0.25">
      <c r="D601" s="48" t="e" vm="371">
        <v>#VALUE!</v>
      </c>
    </row>
    <row r="602" spans="4:4" x14ac:dyDescent="0.25">
      <c r="D602" s="47" t="e" vm="62">
        <v>#VALUE!</v>
      </c>
    </row>
    <row r="603" spans="4:4" x14ac:dyDescent="0.25">
      <c r="D603" s="48" t="e" vm="285">
        <v>#VALUE!</v>
      </c>
    </row>
    <row r="604" spans="4:4" x14ac:dyDescent="0.25">
      <c r="D604" s="47" t="e" vm="288">
        <v>#VALUE!</v>
      </c>
    </row>
    <row r="605" spans="4:4" x14ac:dyDescent="0.25">
      <c r="D605" s="48" t="e" vm="139">
        <v>#VALUE!</v>
      </c>
    </row>
    <row r="606" spans="4:4" x14ac:dyDescent="0.25">
      <c r="D606" s="47" t="e" vm="425">
        <v>#VALUE!</v>
      </c>
    </row>
    <row r="607" spans="4:4" x14ac:dyDescent="0.25">
      <c r="D607" s="48" t="e" vm="150">
        <v>#VALUE!</v>
      </c>
    </row>
    <row r="608" spans="4:4" x14ac:dyDescent="0.25">
      <c r="D608" s="47" t="e" vm="243">
        <v>#VALUE!</v>
      </c>
    </row>
    <row r="609" spans="4:4" x14ac:dyDescent="0.25">
      <c r="D609" s="48" t="e" vm="112">
        <v>#VALUE!</v>
      </c>
    </row>
    <row r="610" spans="4:4" x14ac:dyDescent="0.25">
      <c r="D610" s="47" t="e" vm="106">
        <v>#VALUE!</v>
      </c>
    </row>
    <row r="611" spans="4:4" x14ac:dyDescent="0.25">
      <c r="D611" s="48" t="e" vm="400">
        <v>#VALUE!</v>
      </c>
    </row>
    <row r="612" spans="4:4" x14ac:dyDescent="0.25">
      <c r="D612" s="47" t="e" vm="44">
        <v>#VALUE!</v>
      </c>
    </row>
    <row r="613" spans="4:4" x14ac:dyDescent="0.25">
      <c r="D613" s="48" t="e" vm="348">
        <v>#VALUE!</v>
      </c>
    </row>
    <row r="614" spans="4:4" x14ac:dyDescent="0.25">
      <c r="D614" s="47" t="e" vm="198">
        <v>#VALUE!</v>
      </c>
    </row>
    <row r="615" spans="4:4" x14ac:dyDescent="0.25">
      <c r="D615" s="48" t="e" vm="325">
        <v>#VALUE!</v>
      </c>
    </row>
    <row r="616" spans="4:4" x14ac:dyDescent="0.25">
      <c r="D616" s="47" t="e" vm="320">
        <v>#VALUE!</v>
      </c>
    </row>
    <row r="617" spans="4:4" x14ac:dyDescent="0.25">
      <c r="D617" s="48" t="e" vm="446">
        <v>#VALUE!</v>
      </c>
    </row>
    <row r="618" spans="4:4" x14ac:dyDescent="0.25">
      <c r="D618" s="47" t="e" vm="328">
        <v>#VALUE!</v>
      </c>
    </row>
    <row r="619" spans="4:4" x14ac:dyDescent="0.25">
      <c r="D619" s="48" t="e" vm="365">
        <v>#VALUE!</v>
      </c>
    </row>
    <row r="620" spans="4:4" x14ac:dyDescent="0.25">
      <c r="D620" s="47" t="e" vm="8">
        <v>#VALUE!</v>
      </c>
    </row>
    <row r="621" spans="4:4" x14ac:dyDescent="0.25">
      <c r="D621" s="48" t="e" vm="170">
        <v>#VALUE!</v>
      </c>
    </row>
    <row r="622" spans="4:4" x14ac:dyDescent="0.25">
      <c r="D622" s="47" t="e" vm="384">
        <v>#VALUE!</v>
      </c>
    </row>
    <row r="623" spans="4:4" x14ac:dyDescent="0.25">
      <c r="D623" s="48" t="e" vm="257">
        <v>#VALUE!</v>
      </c>
    </row>
    <row r="624" spans="4:4" x14ac:dyDescent="0.25">
      <c r="D624" s="47" t="e" vm="423">
        <v>#VALUE!</v>
      </c>
    </row>
    <row r="625" spans="4:4" x14ac:dyDescent="0.25">
      <c r="D625" s="48" t="e" vm="41">
        <v>#VALUE!</v>
      </c>
    </row>
    <row r="626" spans="4:4" x14ac:dyDescent="0.25">
      <c r="D626" s="47" t="s">
        <v>1503</v>
      </c>
    </row>
    <row r="627" spans="4:4" x14ac:dyDescent="0.25">
      <c r="D627" s="48" t="e" vm="471">
        <v>#VALUE!</v>
      </c>
    </row>
    <row r="628" spans="4:4" x14ac:dyDescent="0.25">
      <c r="D628" s="47" t="e" vm="353">
        <v>#VALUE!</v>
      </c>
    </row>
    <row r="629" spans="4:4" x14ac:dyDescent="0.25">
      <c r="D629" s="48" t="e" vm="184">
        <v>#VALUE!</v>
      </c>
    </row>
    <row r="630" spans="4:4" x14ac:dyDescent="0.25">
      <c r="D630" s="47" t="e" vm="290">
        <v>#VALUE!</v>
      </c>
    </row>
    <row r="631" spans="4:4" x14ac:dyDescent="0.25">
      <c r="D631" s="48" t="e" vm="153">
        <v>#VALUE!</v>
      </c>
    </row>
    <row r="632" spans="4:4" x14ac:dyDescent="0.25">
      <c r="D632" s="47" t="e" vm="419">
        <v>#VALUE!</v>
      </c>
    </row>
    <row r="633" spans="4:4" x14ac:dyDescent="0.25">
      <c r="D633" s="48" t="e" vm="468">
        <v>#VALUE!</v>
      </c>
    </row>
    <row r="634" spans="4:4" x14ac:dyDescent="0.25">
      <c r="D634" s="47" t="e" vm="449">
        <v>#VALUE!</v>
      </c>
    </row>
    <row r="635" spans="4:4" x14ac:dyDescent="0.25">
      <c r="D635" s="48" t="e" vm="284">
        <v>#VALUE!</v>
      </c>
    </row>
    <row r="636" spans="4:4" x14ac:dyDescent="0.25">
      <c r="D636" s="47" t="e" vm="128">
        <v>#VALUE!</v>
      </c>
    </row>
    <row r="637" spans="4:4" x14ac:dyDescent="0.25">
      <c r="D637" s="48" t="e" vm="29">
        <v>#VALUE!</v>
      </c>
    </row>
    <row r="638" spans="4:4" x14ac:dyDescent="0.25">
      <c r="D638" s="47" t="e" vm="469">
        <v>#VALUE!</v>
      </c>
    </row>
    <row r="639" spans="4:4" x14ac:dyDescent="0.25">
      <c r="D639" s="48" t="e" vm="235">
        <v>#VALUE!</v>
      </c>
    </row>
    <row r="640" spans="4:4" x14ac:dyDescent="0.25">
      <c r="D640" s="47" t="e" vm="108">
        <v>#VALUE!</v>
      </c>
    </row>
    <row r="641" spans="4:4" x14ac:dyDescent="0.25">
      <c r="D641" s="48" t="e" vm="323">
        <v>#VALUE!</v>
      </c>
    </row>
    <row r="642" spans="4:4" x14ac:dyDescent="0.25">
      <c r="D642" s="47" t="e" vm="378">
        <v>#VALUE!</v>
      </c>
    </row>
    <row r="643" spans="4:4" x14ac:dyDescent="0.25">
      <c r="D643" s="48" t="s">
        <v>1499</v>
      </c>
    </row>
    <row r="644" spans="4:4" x14ac:dyDescent="0.25">
      <c r="D644" s="47" t="e" vm="135">
        <v>#VALUE!</v>
      </c>
    </row>
    <row r="645" spans="4:4" x14ac:dyDescent="0.25">
      <c r="D645" s="48" t="e" vm="114">
        <v>#VALUE!</v>
      </c>
    </row>
    <row r="646" spans="4:4" x14ac:dyDescent="0.25">
      <c r="D646" s="47" t="e" vm="163">
        <v>#VALUE!</v>
      </c>
    </row>
    <row r="647" spans="4:4" x14ac:dyDescent="0.25">
      <c r="D647" s="48" t="e" vm="358">
        <v>#VALUE!</v>
      </c>
    </row>
    <row r="648" spans="4:4" x14ac:dyDescent="0.25">
      <c r="D648" s="47" t="e" vm="223">
        <v>#VALUE!</v>
      </c>
    </row>
    <row r="649" spans="4:4" x14ac:dyDescent="0.25">
      <c r="D649" s="48" t="e" vm="367">
        <v>#VALUE!</v>
      </c>
    </row>
    <row r="650" spans="4:4" x14ac:dyDescent="0.25">
      <c r="D650" s="47" t="e" vm="190">
        <v>#VALUE!</v>
      </c>
    </row>
    <row r="651" spans="4:4" x14ac:dyDescent="0.25">
      <c r="D651" s="48" t="e" vm="217">
        <v>#VALUE!</v>
      </c>
    </row>
    <row r="652" spans="4:4" x14ac:dyDescent="0.25">
      <c r="D652" s="47" t="s">
        <v>1483</v>
      </c>
    </row>
    <row r="653" spans="4:4" x14ac:dyDescent="0.25">
      <c r="D653" s="48" t="e" vm="347">
        <v>#VALUE!</v>
      </c>
    </row>
    <row r="654" spans="4:4" x14ac:dyDescent="0.25">
      <c r="D654" s="47" t="s">
        <v>1470</v>
      </c>
    </row>
    <row r="655" spans="4:4" x14ac:dyDescent="0.25">
      <c r="D655" s="48" t="e" vm="466">
        <v>#VALUE!</v>
      </c>
    </row>
    <row r="656" spans="4:4" x14ac:dyDescent="0.25">
      <c r="D656" s="47" t="e" vm="267">
        <v>#VALUE!</v>
      </c>
    </row>
    <row r="657" spans="4:4" x14ac:dyDescent="0.25">
      <c r="D657" s="48" t="e" vm="333">
        <v>#VALUE!</v>
      </c>
    </row>
    <row r="658" spans="4:4" x14ac:dyDescent="0.25">
      <c r="D658" s="47" t="e" vm="116">
        <v>#VALUE!</v>
      </c>
    </row>
    <row r="659" spans="4:4" x14ac:dyDescent="0.25">
      <c r="D659" s="48" t="e" vm="59">
        <v>#VALUE!</v>
      </c>
    </row>
    <row r="660" spans="4:4" x14ac:dyDescent="0.25">
      <c r="D660" s="47" t="e" vm="258">
        <v>#VALUE!</v>
      </c>
    </row>
    <row r="661" spans="4:4" x14ac:dyDescent="0.25">
      <c r="D661" s="48" t="e" vm="332">
        <v>#VALUE!</v>
      </c>
    </row>
    <row r="662" spans="4:4" x14ac:dyDescent="0.25">
      <c r="D662" s="47" t="e" vm="68">
        <v>#VALUE!</v>
      </c>
    </row>
    <row r="663" spans="4:4" x14ac:dyDescent="0.25">
      <c r="D663" s="48" t="e" vm="66">
        <v>#VALUE!</v>
      </c>
    </row>
    <row r="664" spans="4:4" x14ac:dyDescent="0.25">
      <c r="D664" s="47" t="e" vm="84">
        <v>#VALUE!</v>
      </c>
    </row>
    <row r="665" spans="4:4" x14ac:dyDescent="0.25">
      <c r="D665" s="48" t="e" vm="65">
        <v>#VALUE!</v>
      </c>
    </row>
    <row r="666" spans="4:4" x14ac:dyDescent="0.25">
      <c r="D666" s="47" t="e" vm="89">
        <v>#VALUE!</v>
      </c>
    </row>
    <row r="667" spans="4:4" x14ac:dyDescent="0.25">
      <c r="D667" s="48" t="e" vm="64">
        <v>#VALUE!</v>
      </c>
    </row>
    <row r="668" spans="4:4" x14ac:dyDescent="0.25">
      <c r="D668" s="47" t="e" vm="75">
        <v>#VALUE!</v>
      </c>
    </row>
    <row r="669" spans="4:4" x14ac:dyDescent="0.25">
      <c r="D669" s="48" t="e" vm="390">
        <v>#VALUE!</v>
      </c>
    </row>
    <row r="670" spans="4:4" x14ac:dyDescent="0.25">
      <c r="D670" s="47" t="e" vm="434">
        <v>#VALUE!</v>
      </c>
    </row>
    <row r="671" spans="4:4" x14ac:dyDescent="0.25">
      <c r="D671" s="48" t="e" vm="411">
        <v>#VALUE!</v>
      </c>
    </row>
    <row r="672" spans="4:4" x14ac:dyDescent="0.25">
      <c r="D672" s="47" t="e" vm="188">
        <v>#VALUE!</v>
      </c>
    </row>
    <row r="673" spans="4:4" x14ac:dyDescent="0.25">
      <c r="D673" s="48" t="e" vm="205">
        <v>#VALUE!</v>
      </c>
    </row>
    <row r="674" spans="4:4" x14ac:dyDescent="0.25">
      <c r="D674" s="47" t="e" vm="356">
        <v>#VALUE!</v>
      </c>
    </row>
    <row r="675" spans="4:4" x14ac:dyDescent="0.25">
      <c r="D675" s="48" t="e" vm="270">
        <v>#VALUE!</v>
      </c>
    </row>
    <row r="676" spans="4:4" x14ac:dyDescent="0.25">
      <c r="D676" s="47" t="e" vm="331">
        <v>#VALUE!</v>
      </c>
    </row>
    <row r="677" spans="4:4" x14ac:dyDescent="0.25">
      <c r="D677" s="48" t="e" vm="185">
        <v>#VALUE!</v>
      </c>
    </row>
    <row r="678" spans="4:4" x14ac:dyDescent="0.25">
      <c r="D678" s="47" t="e" vm="199">
        <v>#VALUE!</v>
      </c>
    </row>
    <row r="679" spans="4:4" x14ac:dyDescent="0.25">
      <c r="D679" s="48" t="e" vm="309">
        <v>#VALUE!</v>
      </c>
    </row>
    <row r="680" spans="4:4" x14ac:dyDescent="0.25">
      <c r="D680" s="47" t="e" vm="272">
        <v>#VALUE!</v>
      </c>
    </row>
    <row r="681" spans="4:4" x14ac:dyDescent="0.25">
      <c r="D681" s="48" t="e" vm="91">
        <v>#VALUE!</v>
      </c>
    </row>
    <row r="682" spans="4:4" x14ac:dyDescent="0.25">
      <c r="D682" s="47" t="e" vm="352">
        <v>#VALUE!</v>
      </c>
    </row>
    <row r="683" spans="4:4" x14ac:dyDescent="0.25">
      <c r="D683" s="48" t="e" vm="179">
        <v>#VALUE!</v>
      </c>
    </row>
    <row r="684" spans="4:4" x14ac:dyDescent="0.25">
      <c r="D684" s="47" t="e" vm="49">
        <v>#VALUE!</v>
      </c>
    </row>
    <row r="685" spans="4:4" x14ac:dyDescent="0.25">
      <c r="D685" s="48" t="e" vm="232">
        <v>#VALUE!</v>
      </c>
    </row>
    <row r="686" spans="4:4" x14ac:dyDescent="0.25">
      <c r="D686" s="47" t="s">
        <v>1487</v>
      </c>
    </row>
    <row r="687" spans="4:4" x14ac:dyDescent="0.25">
      <c r="D687" s="48" t="e" vm="467">
        <v>#VALUE!</v>
      </c>
    </row>
    <row r="688" spans="4:4" x14ac:dyDescent="0.25">
      <c r="D688" s="47" t="e" vm="444">
        <v>#VALUE!</v>
      </c>
    </row>
    <row r="689" spans="4:4" x14ac:dyDescent="0.25">
      <c r="D689" s="48" t="s">
        <v>1474</v>
      </c>
    </row>
    <row r="690" spans="4:4" x14ac:dyDescent="0.25">
      <c r="D690" s="47" t="e" vm="160">
        <v>#VALUE!</v>
      </c>
    </row>
    <row r="691" spans="4:4" x14ac:dyDescent="0.25">
      <c r="D691" s="48" t="e" vm="296">
        <v>#VALUE!</v>
      </c>
    </row>
    <row r="692" spans="4:4" x14ac:dyDescent="0.25">
      <c r="D692" s="47" t="e" vm="48">
        <v>#VALUE!</v>
      </c>
    </row>
    <row r="693" spans="4:4" x14ac:dyDescent="0.25">
      <c r="D693" s="48" t="e" vm="158">
        <v>#VALUE!</v>
      </c>
    </row>
    <row r="694" spans="4:4" x14ac:dyDescent="0.25">
      <c r="D694" s="47" t="s">
        <v>1507</v>
      </c>
    </row>
    <row r="695" spans="4:4" x14ac:dyDescent="0.25">
      <c r="D695" s="48" t="e" vm="92">
        <v>#VALUE!</v>
      </c>
    </row>
    <row r="696" spans="4:4" x14ac:dyDescent="0.25">
      <c r="D696" s="47" t="e" vm="451">
        <v>#VALUE!</v>
      </c>
    </row>
    <row r="697" spans="4:4" x14ac:dyDescent="0.25">
      <c r="D697" s="48" t="e" vm="148">
        <v>#VALUE!</v>
      </c>
    </row>
    <row r="698" spans="4:4" x14ac:dyDescent="0.25">
      <c r="D698" s="47" t="s">
        <v>1505</v>
      </c>
    </row>
    <row r="699" spans="4:4" x14ac:dyDescent="0.25">
      <c r="D699" s="48" t="e" vm="24">
        <v>#VALUE!</v>
      </c>
    </row>
    <row r="700" spans="4:4" x14ac:dyDescent="0.25">
      <c r="D700" s="47" t="e" vm="99">
        <v>#VALUE!</v>
      </c>
    </row>
    <row r="701" spans="4:4" x14ac:dyDescent="0.25">
      <c r="D701" s="48" t="e" vm="28">
        <v>#VALUE!</v>
      </c>
    </row>
    <row r="702" spans="4:4" x14ac:dyDescent="0.25">
      <c r="D702" s="47" t="e" vm="169">
        <v>#VALUE!</v>
      </c>
    </row>
    <row r="703" spans="4:4" x14ac:dyDescent="0.25">
      <c r="D703" s="48" t="e" vm="266">
        <v>#VALUE!</v>
      </c>
    </row>
    <row r="704" spans="4:4" x14ac:dyDescent="0.25">
      <c r="D704" s="47" t="e" vm="472">
        <v>#VALUE!</v>
      </c>
    </row>
    <row r="705" spans="4:4" x14ac:dyDescent="0.25">
      <c r="D705" s="48" t="e" vm="122">
        <v>#VALUE!</v>
      </c>
    </row>
    <row r="706" spans="4:4" x14ac:dyDescent="0.25">
      <c r="D706" s="47" t="e" vm="200">
        <v>#VALUE!</v>
      </c>
    </row>
    <row r="707" spans="4:4" x14ac:dyDescent="0.25">
      <c r="D707" s="48" t="e" vm="110">
        <v>#VALUE!</v>
      </c>
    </row>
    <row r="708" spans="4:4" x14ac:dyDescent="0.25">
      <c r="D708" s="47" t="e" vm="211">
        <v>#VALUE!</v>
      </c>
    </row>
    <row r="709" spans="4:4" x14ac:dyDescent="0.25">
      <c r="D709" s="48" t="e" vm="63">
        <v>#VALUE!</v>
      </c>
    </row>
    <row r="710" spans="4:4" x14ac:dyDescent="0.25">
      <c r="D710" s="47" t="e" vm="389">
        <v>#VALUE!</v>
      </c>
    </row>
    <row r="711" spans="4:4" x14ac:dyDescent="0.25">
      <c r="D711" s="48" t="e" vm="474">
        <v>#VALUE!</v>
      </c>
    </row>
    <row r="712" spans="4:4" x14ac:dyDescent="0.25">
      <c r="D712" s="47" t="e" vm="196">
        <v>#VALUE!</v>
      </c>
    </row>
    <row r="713" spans="4:4" x14ac:dyDescent="0.25">
      <c r="D713" s="48" t="e" vm="475">
        <v>#VALUE!</v>
      </c>
    </row>
    <row r="714" spans="4:4" x14ac:dyDescent="0.25">
      <c r="D714" s="47" t="e" vm="159">
        <v>#VALUE!</v>
      </c>
    </row>
    <row r="715" spans="4:4" x14ac:dyDescent="0.25">
      <c r="D715" s="48" t="e" vm="166">
        <v>#VALUE!</v>
      </c>
    </row>
    <row r="716" spans="4:4" x14ac:dyDescent="0.25">
      <c r="D716" s="47" t="e" vm="22">
        <v>#VALUE!</v>
      </c>
    </row>
    <row r="717" spans="4:4" x14ac:dyDescent="0.25">
      <c r="D717" s="48" t="e" vm="77">
        <v>#VALUE!</v>
      </c>
    </row>
    <row r="718" spans="4:4" x14ac:dyDescent="0.25">
      <c r="D718" s="47" t="s">
        <v>1465</v>
      </c>
    </row>
    <row r="719" spans="4:4" x14ac:dyDescent="0.25">
      <c r="D719" s="48" t="e" vm="181">
        <v>#VALUE!</v>
      </c>
    </row>
    <row r="720" spans="4:4" x14ac:dyDescent="0.25">
      <c r="D720" s="47" t="e" vm="461">
        <v>#VALUE!</v>
      </c>
    </row>
    <row r="721" spans="4:4" x14ac:dyDescent="0.25">
      <c r="D721" s="48" t="e" vm="53">
        <v>#VALUE!</v>
      </c>
    </row>
    <row r="722" spans="4:4" x14ac:dyDescent="0.25">
      <c r="D722" s="47" t="e" vm="293">
        <v>#VALUE!</v>
      </c>
    </row>
    <row r="723" spans="4:4" x14ac:dyDescent="0.25">
      <c r="D723" s="48" t="e" vm="394">
        <v>#VALUE!</v>
      </c>
    </row>
    <row r="724" spans="4:4" x14ac:dyDescent="0.25">
      <c r="D724" s="47" t="e" vm="482">
        <v>#VALUE!</v>
      </c>
    </row>
    <row r="725" spans="4:4" x14ac:dyDescent="0.25">
      <c r="D725" s="48" t="e" vm="483">
        <v>#VALUE!</v>
      </c>
    </row>
    <row r="726" spans="4:4" x14ac:dyDescent="0.25">
      <c r="D726" s="47" t="e" vm="72">
        <v>#VALUE!</v>
      </c>
    </row>
    <row r="727" spans="4:4" x14ac:dyDescent="0.25">
      <c r="D727" s="48" t="e" vm="182">
        <v>#VALUE!</v>
      </c>
    </row>
    <row r="728" spans="4:4" x14ac:dyDescent="0.25">
      <c r="D728" s="47" t="e" vm="420">
        <v>#VALUE!</v>
      </c>
    </row>
    <row r="729" spans="4:4" x14ac:dyDescent="0.25">
      <c r="D729" s="48" t="e" vm="421">
        <v>#VALUE!</v>
      </c>
    </row>
    <row r="730" spans="4:4" x14ac:dyDescent="0.25">
      <c r="D730" s="47" t="e" vm="105">
        <v>#VALUE!</v>
      </c>
    </row>
    <row r="731" spans="4:4" x14ac:dyDescent="0.25">
      <c r="D731" s="48" t="e" vm="204">
        <v>#VALUE!</v>
      </c>
    </row>
    <row r="732" spans="4:4" x14ac:dyDescent="0.25">
      <c r="D732" s="47" t="e" vm="265">
        <v>#VALUE!</v>
      </c>
    </row>
    <row r="733" spans="4:4" x14ac:dyDescent="0.25">
      <c r="D733" s="48" t="e" vm="314">
        <v>#VALUE!</v>
      </c>
    </row>
    <row r="734" spans="4:4" x14ac:dyDescent="0.25">
      <c r="D734" s="47" t="e" vm="308">
        <v>#VALUE!</v>
      </c>
    </row>
    <row r="735" spans="4:4" x14ac:dyDescent="0.25">
      <c r="D735" s="48" t="e" vm="372">
        <v>#VALUE!</v>
      </c>
    </row>
    <row r="736" spans="4:4" x14ac:dyDescent="0.25">
      <c r="D736" s="47" t="e" vm="313">
        <v>#VALUE!</v>
      </c>
    </row>
    <row r="737" spans="4:4" x14ac:dyDescent="0.25">
      <c r="D737" s="48" t="e" vm="381">
        <v>#VALUE!</v>
      </c>
    </row>
    <row r="738" spans="4:4" x14ac:dyDescent="0.25">
      <c r="D738" s="47" t="e" vm="326">
        <v>#VALUE!</v>
      </c>
    </row>
    <row r="739" spans="4:4" x14ac:dyDescent="0.25">
      <c r="D739" s="48" t="e" vm="173">
        <v>#VALUE!</v>
      </c>
    </row>
    <row r="740" spans="4:4" x14ac:dyDescent="0.25">
      <c r="D740" s="47" t="e" vm="439">
        <v>#VALUE!</v>
      </c>
    </row>
    <row r="741" spans="4:4" x14ac:dyDescent="0.25">
      <c r="D741" s="48" t="e" vm="102">
        <v>#VALUE!</v>
      </c>
    </row>
    <row r="742" spans="4:4" x14ac:dyDescent="0.25">
      <c r="D742" s="47" t="e" vm="215">
        <v>#VALUE!</v>
      </c>
    </row>
    <row r="743" spans="4:4" x14ac:dyDescent="0.25">
      <c r="D743" s="48" t="e" vm="478">
        <v>#VALUE!</v>
      </c>
    </row>
    <row r="744" spans="4:4" x14ac:dyDescent="0.25">
      <c r="D744" s="47" t="e" vm="369">
        <v>#VALUE!</v>
      </c>
    </row>
    <row r="745" spans="4:4" x14ac:dyDescent="0.25">
      <c r="D745" s="48" t="e" vm="477">
        <v>#VALUE!</v>
      </c>
    </row>
    <row r="746" spans="4:4" x14ac:dyDescent="0.25">
      <c r="D746" s="47" t="e" vm="437">
        <v>#VALUE!</v>
      </c>
    </row>
    <row r="747" spans="4:4" x14ac:dyDescent="0.25">
      <c r="D747" s="48" t="e" vm="195">
        <v>#VALUE!</v>
      </c>
    </row>
    <row r="748" spans="4:4" x14ac:dyDescent="0.25">
      <c r="D748" s="47" t="e" vm="410">
        <v>#VALUE!</v>
      </c>
    </row>
    <row r="749" spans="4:4" x14ac:dyDescent="0.25">
      <c r="D749" s="48" t="e" vm="377">
        <v>#VALUE!</v>
      </c>
    </row>
    <row r="750" spans="4:4" x14ac:dyDescent="0.25">
      <c r="D750" s="47" t="e" vm="459">
        <v>#VALUE!</v>
      </c>
    </row>
    <row r="751" spans="4:4" x14ac:dyDescent="0.25">
      <c r="D751" s="48" t="e" vm="97">
        <v>#VALUE!</v>
      </c>
    </row>
    <row r="752" spans="4:4" x14ac:dyDescent="0.25">
      <c r="D752" s="47" t="e" vm="291">
        <v>#VALUE!</v>
      </c>
    </row>
    <row r="753" spans="4:4" x14ac:dyDescent="0.25">
      <c r="D753" s="48" t="e" vm="74">
        <v>#VALUE!</v>
      </c>
    </row>
    <row r="754" spans="4:4" x14ac:dyDescent="0.25">
      <c r="D754" s="47" t="e" vm="201">
        <v>#VALUE!</v>
      </c>
    </row>
    <row r="755" spans="4:4" x14ac:dyDescent="0.25">
      <c r="D755" s="48" t="e" vm="201">
        <v>#VALUE!</v>
      </c>
    </row>
    <row r="756" spans="4:4" x14ac:dyDescent="0.25">
      <c r="D756" s="47" t="e" vm="57">
        <v>#VALUE!</v>
      </c>
    </row>
    <row r="757" spans="4:4" x14ac:dyDescent="0.25">
      <c r="D757" s="48" t="e" vm="448">
        <v>#VALUE!</v>
      </c>
    </row>
    <row r="758" spans="4:4" x14ac:dyDescent="0.25">
      <c r="D758" s="47" t="e" vm="124">
        <v>#VALUE!</v>
      </c>
    </row>
    <row r="759" spans="4:4" x14ac:dyDescent="0.25">
      <c r="D759" s="48" t="e" vm="316">
        <v>#VALUE!</v>
      </c>
    </row>
    <row r="760" spans="4:4" x14ac:dyDescent="0.25">
      <c r="D760" s="47" t="e" vm="189">
        <v>#VALUE!</v>
      </c>
    </row>
    <row r="761" spans="4:4" x14ac:dyDescent="0.25">
      <c r="D761" s="48" t="e" vm="374">
        <v>#VALUE!</v>
      </c>
    </row>
    <row r="762" spans="4:4" x14ac:dyDescent="0.25">
      <c r="D762" s="47" t="e" vm="202">
        <v>#VALUE!</v>
      </c>
    </row>
    <row r="763" spans="4:4" x14ac:dyDescent="0.25">
      <c r="D763" s="48" t="e" vm="87">
        <v>#VALUE!</v>
      </c>
    </row>
    <row r="764" spans="4:4" x14ac:dyDescent="0.25">
      <c r="D764" s="47" t="e" vm="445">
        <v>#VALUE!</v>
      </c>
    </row>
    <row r="765" spans="4:4" x14ac:dyDescent="0.25">
      <c r="D765" s="48" t="e" vm="344">
        <v>#VALUE!</v>
      </c>
    </row>
    <row r="766" spans="4:4" x14ac:dyDescent="0.25">
      <c r="D766" s="47" t="e" vm="298">
        <v>#VALUE!</v>
      </c>
    </row>
    <row r="767" spans="4:4" x14ac:dyDescent="0.25">
      <c r="D767" s="48" t="e" vm="155">
        <v>#VALUE!</v>
      </c>
    </row>
    <row r="768" spans="4:4" x14ac:dyDescent="0.25">
      <c r="D768" s="47" t="e" vm="161">
        <v>#VALUE!</v>
      </c>
    </row>
    <row r="769" spans="4:4" x14ac:dyDescent="0.25">
      <c r="D769" s="48" t="e" vm="339">
        <v>#VALUE!</v>
      </c>
    </row>
    <row r="770" spans="4:4" x14ac:dyDescent="0.25">
      <c r="D770" s="47" t="e" vm="61">
        <v>#VALUE!</v>
      </c>
    </row>
    <row r="771" spans="4:4" x14ac:dyDescent="0.25">
      <c r="D771" s="48" t="e" vm="96">
        <v>#VALUE!</v>
      </c>
    </row>
    <row r="772" spans="4:4" x14ac:dyDescent="0.25">
      <c r="D772" s="47" t="e" vm="56">
        <v>#VALUE!</v>
      </c>
    </row>
    <row r="773" spans="4:4" x14ac:dyDescent="0.25">
      <c r="D773" s="48" t="e" vm="463">
        <v>#VALUE!</v>
      </c>
    </row>
    <row r="774" spans="4:4" x14ac:dyDescent="0.25">
      <c r="D774" s="47" t="e" vm="94">
        <v>#VALUE!</v>
      </c>
    </row>
    <row r="775" spans="4:4" x14ac:dyDescent="0.25">
      <c r="D775" s="48" t="e" vm="441">
        <v>#VALUE!</v>
      </c>
    </row>
    <row r="776" spans="4:4" x14ac:dyDescent="0.25">
      <c r="D776" s="47" t="e" vm="101">
        <v>#VALUE!</v>
      </c>
    </row>
    <row r="777" spans="4:4" x14ac:dyDescent="0.25">
      <c r="D777" s="48" t="e" vm="212">
        <v>#VALUE!</v>
      </c>
    </row>
    <row r="778" spans="4:4" x14ac:dyDescent="0.25">
      <c r="D778" s="47" t="e" vm="312">
        <v>#VALUE!</v>
      </c>
    </row>
    <row r="779" spans="4:4" x14ac:dyDescent="0.25">
      <c r="D779" s="48" t="e" vm="229">
        <v>#VALUE!</v>
      </c>
    </row>
    <row r="780" spans="4:4" x14ac:dyDescent="0.25">
      <c r="D780" s="47" t="e" vm="322">
        <v>#VALUE!</v>
      </c>
    </row>
    <row r="781" spans="4:4" x14ac:dyDescent="0.25">
      <c r="D781" s="48" t="e" vm="238">
        <v>#VALUE!</v>
      </c>
    </row>
    <row r="782" spans="4:4" x14ac:dyDescent="0.25">
      <c r="D782" s="47" t="e" vm="248">
        <v>#VALUE!</v>
      </c>
    </row>
    <row r="783" spans="4:4" x14ac:dyDescent="0.25">
      <c r="D783" s="48" t="e" vm="319">
        <v>#VALUE!</v>
      </c>
    </row>
    <row r="784" spans="4:4" x14ac:dyDescent="0.25">
      <c r="D784" s="47" t="e" vm="103">
        <v>#VALUE!</v>
      </c>
    </row>
    <row r="785" spans="4:4" x14ac:dyDescent="0.25">
      <c r="D785" s="48" t="e" vm="172">
        <v>#VALUE!</v>
      </c>
    </row>
    <row r="786" spans="4:4" x14ac:dyDescent="0.25">
      <c r="D786" s="47" t="e" vm="117">
        <v>#VALUE!</v>
      </c>
    </row>
    <row r="787" spans="4:4" x14ac:dyDescent="0.25">
      <c r="D787" s="48" t="e" vm="379">
        <v>#VALUE!</v>
      </c>
    </row>
    <row r="788" spans="4:4" x14ac:dyDescent="0.25">
      <c r="D788" s="47" t="e" vm="334">
        <v>#VALUE!</v>
      </c>
    </row>
    <row r="789" spans="4:4" x14ac:dyDescent="0.25">
      <c r="D789" s="48" t="e" vm="174">
        <v>#VALUE!</v>
      </c>
    </row>
    <row r="790" spans="4:4" x14ac:dyDescent="0.25">
      <c r="D790" s="47" t="e" vm="79">
        <v>#VALUE!</v>
      </c>
    </row>
    <row r="791" spans="4:4" x14ac:dyDescent="0.25">
      <c r="D791" s="48" t="e" vm="350">
        <v>#VALUE!</v>
      </c>
    </row>
    <row r="792" spans="4:4" x14ac:dyDescent="0.25">
      <c r="D792" s="47" t="e" vm="218">
        <v>#VALUE!</v>
      </c>
    </row>
    <row r="793" spans="4:4" x14ac:dyDescent="0.25">
      <c r="D793" s="48" t="e" vm="273">
        <v>#VALUE!</v>
      </c>
    </row>
    <row r="794" spans="4:4" x14ac:dyDescent="0.25">
      <c r="D794" s="47" t="e" vm="278">
        <v>#VALUE!</v>
      </c>
    </row>
    <row r="795" spans="4:4" x14ac:dyDescent="0.25">
      <c r="D795" s="48" t="e" vm="115">
        <v>#VALUE!</v>
      </c>
    </row>
    <row r="796" spans="4:4" x14ac:dyDescent="0.25">
      <c r="D796" s="47" t="e" vm="141">
        <v>#VALUE!</v>
      </c>
    </row>
    <row r="797" spans="4:4" x14ac:dyDescent="0.25">
      <c r="D797" s="48" t="e" vm="70">
        <v>#VALUE!</v>
      </c>
    </row>
    <row r="798" spans="4:4" x14ac:dyDescent="0.25">
      <c r="D798" s="47" t="e" vm="216">
        <v>#VALUE!</v>
      </c>
    </row>
    <row r="799" spans="4:4" x14ac:dyDescent="0.25">
      <c r="D799" s="48" t="e" vm="464">
        <v>#VALUE!</v>
      </c>
    </row>
    <row r="800" spans="4:4" x14ac:dyDescent="0.25">
      <c r="D800" s="47" t="e" vm="240">
        <v>#VALUE!</v>
      </c>
    </row>
    <row r="801" spans="4:4" x14ac:dyDescent="0.25">
      <c r="D801" s="48" t="e" vm="241">
        <v>#VALUE!</v>
      </c>
    </row>
    <row r="802" spans="4:4" x14ac:dyDescent="0.25">
      <c r="D802" s="47" t="e" vm="242">
        <v>#VALUE!</v>
      </c>
    </row>
    <row r="803" spans="4:4" x14ac:dyDescent="0.25">
      <c r="D803" s="48" t="e" vm="275">
        <v>#VALUE!</v>
      </c>
    </row>
    <row r="804" spans="4:4" x14ac:dyDescent="0.25">
      <c r="D804" s="47" t="e" vm="42">
        <v>#VALUE!</v>
      </c>
    </row>
    <row r="805" spans="4:4" x14ac:dyDescent="0.25">
      <c r="D805" s="48" t="e" vm="42">
        <v>#VALUE!</v>
      </c>
    </row>
    <row r="806" spans="4:4" x14ac:dyDescent="0.25">
      <c r="D806" s="47" t="e" vm="178">
        <v>#VALUE!</v>
      </c>
    </row>
    <row r="807" spans="4:4" x14ac:dyDescent="0.25">
      <c r="D807" s="48" t="e" vm="118">
        <v>#VALUE!</v>
      </c>
    </row>
    <row r="808" spans="4:4" x14ac:dyDescent="0.25">
      <c r="D808" s="47" t="e" vm="1">
        <v>#VALUE!</v>
      </c>
    </row>
    <row r="809" spans="4:4" x14ac:dyDescent="0.25">
      <c r="D809" s="48" t="e" vm="479">
        <v>#VALUE!</v>
      </c>
    </row>
    <row r="810" spans="4:4" x14ac:dyDescent="0.25">
      <c r="D810" s="47" t="e" vm="58">
        <v>#VALUE!</v>
      </c>
    </row>
    <row r="811" spans="4:4" x14ac:dyDescent="0.25">
      <c r="D811" s="48" t="e" vm="422">
        <v>#VALUE!</v>
      </c>
    </row>
    <row r="812" spans="4:4" x14ac:dyDescent="0.25">
      <c r="D812" s="47" t="e" vm="123">
        <v>#VALUE!</v>
      </c>
    </row>
    <row r="813" spans="4:4" x14ac:dyDescent="0.25">
      <c r="D813" s="48" t="e" vm="104">
        <v>#VALUE!</v>
      </c>
    </row>
    <row r="814" spans="4:4" x14ac:dyDescent="0.25">
      <c r="D814" s="47" t="e" vm="433">
        <v>#VALUE!</v>
      </c>
    </row>
    <row r="815" spans="4:4" x14ac:dyDescent="0.25">
      <c r="D815" s="48" t="e" vm="58">
        <v>#VALUE!</v>
      </c>
    </row>
    <row r="816" spans="4:4" x14ac:dyDescent="0.25">
      <c r="D816" s="47" t="s">
        <v>1491</v>
      </c>
    </row>
    <row r="817" spans="4:4" x14ac:dyDescent="0.25">
      <c r="D817" s="48" t="e" vm="405">
        <v>#VALUE!</v>
      </c>
    </row>
    <row r="818" spans="4:4" x14ac:dyDescent="0.25">
      <c r="D818" s="47" t="e" vm="127">
        <v>#VALUE!</v>
      </c>
    </row>
    <row r="819" spans="4:4" x14ac:dyDescent="0.25">
      <c r="D819" s="48" t="e" vm="430">
        <v>#VALUE!</v>
      </c>
    </row>
    <row r="820" spans="4:4" x14ac:dyDescent="0.25">
      <c r="D820" s="47" t="e" vm="46">
        <v>#VALUE!</v>
      </c>
    </row>
    <row r="821" spans="4:4" x14ac:dyDescent="0.25">
      <c r="D821" s="48" t="e" vm="294">
        <v>#VALUE!</v>
      </c>
    </row>
    <row r="822" spans="4:4" x14ac:dyDescent="0.25">
      <c r="D822" s="47" t="e" vm="5">
        <v>#VALUE!</v>
      </c>
    </row>
    <row r="823" spans="4:4" x14ac:dyDescent="0.25">
      <c r="D823" s="48" t="e" vm="50">
        <v>#VALUE!</v>
      </c>
    </row>
    <row r="824" spans="4:4" x14ac:dyDescent="0.25">
      <c r="D824" s="47" t="s">
        <v>1480</v>
      </c>
    </row>
    <row r="825" spans="4:4" x14ac:dyDescent="0.25">
      <c r="D825" s="48" t="e" vm="219">
        <v>#VALUE!</v>
      </c>
    </row>
    <row r="826" spans="4:4" x14ac:dyDescent="0.25">
      <c r="D826" s="47" t="e" vm="51">
        <v>#VALUE!</v>
      </c>
    </row>
    <row r="827" spans="4:4" x14ac:dyDescent="0.25">
      <c r="D827" s="48" t="e" vm="239">
        <v>#VALUE!</v>
      </c>
    </row>
    <row r="828" spans="4:4" x14ac:dyDescent="0.25">
      <c r="D828" s="47" t="e" vm="21">
        <v>#VALUE!</v>
      </c>
    </row>
    <row r="829" spans="4:4" x14ac:dyDescent="0.25">
      <c r="D829" s="48" t="e" vm="330">
        <v>#VALUE!</v>
      </c>
    </row>
    <row r="830" spans="4:4" x14ac:dyDescent="0.25">
      <c r="D830" s="47" t="e" vm="7">
        <v>#VALUE!</v>
      </c>
    </row>
    <row r="831" spans="4:4" x14ac:dyDescent="0.25">
      <c r="D831" s="48" t="e" vm="54">
        <v>#VALUE!</v>
      </c>
    </row>
    <row r="832" spans="4:4" x14ac:dyDescent="0.25">
      <c r="D832" s="47" t="e" vm="406">
        <v>#VALUE!</v>
      </c>
    </row>
    <row r="833" spans="4:4" x14ac:dyDescent="0.25">
      <c r="D833" s="48" t="e" vm="180">
        <v>#VALUE!</v>
      </c>
    </row>
    <row r="834" spans="4:4" x14ac:dyDescent="0.25">
      <c r="D834" s="47" t="e" vm="209">
        <v>#VALUE!</v>
      </c>
    </row>
    <row r="835" spans="4:4" x14ac:dyDescent="0.25">
      <c r="D835" s="48" t="e" vm="402">
        <v>#VALUE!</v>
      </c>
    </row>
    <row r="836" spans="4:4" x14ac:dyDescent="0.25">
      <c r="D836" s="47" t="e" vm="119">
        <v>#VALUE!</v>
      </c>
    </row>
    <row r="837" spans="4:4" x14ac:dyDescent="0.25">
      <c r="D837" s="48" t="e" vm="157">
        <v>#VALUE!</v>
      </c>
    </row>
    <row r="838" spans="4:4" x14ac:dyDescent="0.25">
      <c r="D838" s="47" t="e" vm="401">
        <v>#VALUE!</v>
      </c>
    </row>
    <row r="839" spans="4:4" x14ac:dyDescent="0.25">
      <c r="D839" s="48" t="e" vm="470">
        <v>#VALUE!</v>
      </c>
    </row>
    <row r="840" spans="4:4" x14ac:dyDescent="0.25">
      <c r="D840" s="47" t="e" vm="286">
        <v>#VALUE!</v>
      </c>
    </row>
    <row r="841" spans="4:4" x14ac:dyDescent="0.25">
      <c r="D841" s="48" t="e" vm="222">
        <v>#VALUE!</v>
      </c>
    </row>
    <row r="842" spans="4:4" x14ac:dyDescent="0.25">
      <c r="D842" s="47" t="e" vm="222">
        <v>#VALUE!</v>
      </c>
    </row>
    <row r="843" spans="4:4" x14ac:dyDescent="0.25">
      <c r="D843" s="48" t="e" vm="197">
        <v>#VALUE!</v>
      </c>
    </row>
    <row r="844" spans="4:4" x14ac:dyDescent="0.25">
      <c r="D844" s="47" t="e" vm="304">
        <v>#VALUE!</v>
      </c>
    </row>
    <row r="845" spans="4:4" x14ac:dyDescent="0.25">
      <c r="D845" s="48" t="e" vm="4">
        <v>#VALUE!</v>
      </c>
    </row>
    <row r="846" spans="4:4" x14ac:dyDescent="0.25">
      <c r="D846" s="47" t="e" vm="458">
        <v>#VALUE!</v>
      </c>
    </row>
    <row r="847" spans="4:4" x14ac:dyDescent="0.25">
      <c r="D847" s="48" t="e" vm="362">
        <v>#VALUE!</v>
      </c>
    </row>
    <row r="848" spans="4:4" x14ac:dyDescent="0.25">
      <c r="D848" s="47" t="e" vm="186">
        <v>#VALUE!</v>
      </c>
    </row>
    <row r="849" spans="4:4" x14ac:dyDescent="0.25">
      <c r="D849" s="48" t="e" vm="186">
        <v>#VALUE!</v>
      </c>
    </row>
    <row r="850" spans="4:4" x14ac:dyDescent="0.25">
      <c r="D850" s="47" t="e" vm="227">
        <v>#VALUE!</v>
      </c>
    </row>
    <row r="851" spans="4:4" x14ac:dyDescent="0.25">
      <c r="D851" s="48" t="e" vm="2">
        <v>#VALUE!</v>
      </c>
    </row>
    <row r="852" spans="4:4" x14ac:dyDescent="0.25">
      <c r="D852" s="47" t="e" vm="37">
        <v>#VALUE!</v>
      </c>
    </row>
    <row r="853" spans="4:4" x14ac:dyDescent="0.25">
      <c r="D853" s="48" t="e" vm="460">
        <v>#VALUE!</v>
      </c>
    </row>
    <row r="854" spans="4:4" x14ac:dyDescent="0.25">
      <c r="D854" s="47" t="e" vm="436">
        <v>#VALUE!</v>
      </c>
    </row>
    <row r="855" spans="4:4" x14ac:dyDescent="0.25">
      <c r="D855" s="48" t="e" vm="249">
        <v>#VALUE!</v>
      </c>
    </row>
    <row r="856" spans="4:4" x14ac:dyDescent="0.25">
      <c r="D856" s="47" t="e" vm="279">
        <v>#VALUE!</v>
      </c>
    </row>
    <row r="857" spans="4:4" x14ac:dyDescent="0.25">
      <c r="D857" s="48" t="e" vm="12">
        <v>#VALUE!</v>
      </c>
    </row>
    <row r="858" spans="4:4" x14ac:dyDescent="0.25">
      <c r="D858" s="47" t="e" vm="12">
        <v>#VALUE!</v>
      </c>
    </row>
    <row r="859" spans="4:4" x14ac:dyDescent="0.25">
      <c r="D859" s="48" t="e" vm="67">
        <v>#VALUE!</v>
      </c>
    </row>
    <row r="860" spans="4:4" x14ac:dyDescent="0.25">
      <c r="D860" s="47" t="e" vm="140">
        <v>#VALUE!</v>
      </c>
    </row>
    <row r="861" spans="4:4" x14ac:dyDescent="0.25">
      <c r="D861" s="48" t="e" vm="27">
        <v>#VALUE!</v>
      </c>
    </row>
    <row r="862" spans="4:4" x14ac:dyDescent="0.25">
      <c r="D862" s="47" t="e" vm="213">
        <v>#VALUE!</v>
      </c>
    </row>
    <row r="863" spans="4:4" x14ac:dyDescent="0.25">
      <c r="D863" s="48" t="e" vm="131">
        <v>#VALUE!</v>
      </c>
    </row>
    <row r="864" spans="4:4" x14ac:dyDescent="0.25">
      <c r="D864" s="47" t="e" vm="341">
        <v>#VALUE!</v>
      </c>
    </row>
    <row r="865" spans="4:4" x14ac:dyDescent="0.25">
      <c r="D865" s="48" t="e" vm="244">
        <v>#VALUE!</v>
      </c>
    </row>
    <row r="866" spans="4:4" x14ac:dyDescent="0.25">
      <c r="D866" s="47" t="e" vm="345">
        <v>#VALUE!</v>
      </c>
    </row>
    <row r="867" spans="4:4" x14ac:dyDescent="0.25">
      <c r="D867" s="48" t="e" vm="264">
        <v>#VALUE!</v>
      </c>
    </row>
    <row r="868" spans="4:4" x14ac:dyDescent="0.25">
      <c r="D868" s="47" t="e" vm="321">
        <v>#VALUE!</v>
      </c>
    </row>
    <row r="869" spans="4:4" x14ac:dyDescent="0.25">
      <c r="D869" s="48" t="e" vm="187">
        <v>#VALUE!</v>
      </c>
    </row>
    <row r="870" spans="4:4" x14ac:dyDescent="0.25">
      <c r="D870" s="47" t="s">
        <v>1472</v>
      </c>
    </row>
    <row r="871" spans="4:4" x14ac:dyDescent="0.25">
      <c r="D871" s="48" t="e" vm="397">
        <v>#VALUE!</v>
      </c>
    </row>
    <row r="872" spans="4:4" x14ac:dyDescent="0.25">
      <c r="D872" s="47" t="e" vm="14">
        <v>#VALUE!</v>
      </c>
    </row>
    <row r="873" spans="4:4" x14ac:dyDescent="0.25">
      <c r="D873" s="48" t="e" vm="225">
        <v>#VALUE!</v>
      </c>
    </row>
    <row r="874" spans="4:4" x14ac:dyDescent="0.25">
      <c r="D874" s="47" t="e" vm="86">
        <v>#VALUE!</v>
      </c>
    </row>
    <row r="875" spans="4:4" x14ac:dyDescent="0.25">
      <c r="D875" s="48" t="e" vm="39">
        <v>#VALUE!</v>
      </c>
    </row>
    <row r="876" spans="4:4" x14ac:dyDescent="0.25">
      <c r="D876" s="47" t="e" vm="38">
        <v>#VALUE!</v>
      </c>
    </row>
    <row r="877" spans="4:4" x14ac:dyDescent="0.25">
      <c r="D877" s="48" t="e" vm="465">
        <v>#VALUE!</v>
      </c>
    </row>
    <row r="878" spans="4:4" x14ac:dyDescent="0.25">
      <c r="D878" s="47" t="e" vm="281">
        <v>#VALUE!</v>
      </c>
    </row>
    <row r="879" spans="4:4" x14ac:dyDescent="0.25">
      <c r="D879" s="48" t="e" vm="386">
        <v>#VALUE!</v>
      </c>
    </row>
    <row r="880" spans="4:4" x14ac:dyDescent="0.25">
      <c r="D880" s="47" t="e" vm="375">
        <v>#VALUE!</v>
      </c>
    </row>
    <row r="881" spans="4:4" x14ac:dyDescent="0.25">
      <c r="D881" s="48" t="e" vm="100">
        <v>#VALUE!</v>
      </c>
    </row>
    <row r="882" spans="4:4" x14ac:dyDescent="0.25">
      <c r="D882" s="47" t="e" vm="428">
        <v>#VALUE!</v>
      </c>
    </row>
    <row r="883" spans="4:4" x14ac:dyDescent="0.25">
      <c r="D883" s="48" t="e" vm="442">
        <v>#VALUE!</v>
      </c>
    </row>
    <row r="884" spans="4:4" x14ac:dyDescent="0.25">
      <c r="D884" s="47" t="e" vm="418">
        <v>#VALUE!</v>
      </c>
    </row>
    <row r="885" spans="4:4" x14ac:dyDescent="0.25">
      <c r="D885" s="48" t="e" vm="213">
        <v>#VALUE!</v>
      </c>
    </row>
    <row r="886" spans="4:4" x14ac:dyDescent="0.25">
      <c r="D886" s="47" t="e" vm="485">
        <v>#VALUE!</v>
      </c>
    </row>
    <row r="887" spans="4:4" x14ac:dyDescent="0.25">
      <c r="D887" s="48" t="e" vm="324">
        <v>#VALUE!</v>
      </c>
    </row>
    <row r="888" spans="4:4" x14ac:dyDescent="0.25">
      <c r="D888" s="47" t="e" vm="388">
        <v>#VALUE!</v>
      </c>
    </row>
    <row r="889" spans="4:4" x14ac:dyDescent="0.25">
      <c r="D889" s="48" t="e" vm="47">
        <v>#VALUE!</v>
      </c>
    </row>
    <row r="890" spans="4:4" x14ac:dyDescent="0.25">
      <c r="D890" s="47" t="e" vm="359">
        <v>#VALUE!</v>
      </c>
    </row>
    <row r="891" spans="4:4" x14ac:dyDescent="0.25">
      <c r="D891" s="48" t="e" vm="289">
        <v>#VALUE!</v>
      </c>
    </row>
    <row r="892" spans="4:4" x14ac:dyDescent="0.25">
      <c r="D892" s="47" t="e" vm="138">
        <v>#VALUE!</v>
      </c>
    </row>
    <row r="893" spans="4:4" x14ac:dyDescent="0.25">
      <c r="D893" s="48" t="e" vm="415">
        <v>#VALUE!</v>
      </c>
    </row>
    <row r="894" spans="4:4" x14ac:dyDescent="0.25">
      <c r="D894" s="47" t="e" vm="327">
        <v>#VALUE!</v>
      </c>
    </row>
    <row r="895" spans="4:4" x14ac:dyDescent="0.25">
      <c r="D895" s="48" t="e" vm="476">
        <v>#VALUE!</v>
      </c>
    </row>
    <row r="896" spans="4:4" x14ac:dyDescent="0.25">
      <c r="D896" s="47" t="e" vm="226">
        <v>#VALUE!</v>
      </c>
    </row>
    <row r="897" spans="4:4" x14ac:dyDescent="0.25">
      <c r="D897" s="48" t="e" vm="295">
        <v>#VALUE!</v>
      </c>
    </row>
    <row r="898" spans="4:4" x14ac:dyDescent="0.25">
      <c r="D898" s="47" t="e" vm="438">
        <v>#VALUE!</v>
      </c>
    </row>
    <row r="899" spans="4:4" x14ac:dyDescent="0.25">
      <c r="D899" s="48" t="e" vm="254">
        <v>#VALUE!</v>
      </c>
    </row>
    <row r="900" spans="4:4" x14ac:dyDescent="0.25">
      <c r="D900" s="47" t="e" vm="191">
        <v>#VALUE!</v>
      </c>
    </row>
    <row r="901" spans="4:4" x14ac:dyDescent="0.25">
      <c r="D901" s="48" t="e" vm="453">
        <v>#VALUE!</v>
      </c>
    </row>
    <row r="902" spans="4:4" x14ac:dyDescent="0.25">
      <c r="D902" s="47" t="e" vm="426">
        <v>#VALUE!</v>
      </c>
    </row>
    <row r="903" spans="4:4" x14ac:dyDescent="0.25">
      <c r="D903" s="48" t="e" vm="132">
        <v>#VALUE!</v>
      </c>
    </row>
    <row r="904" spans="4:4" x14ac:dyDescent="0.25">
      <c r="D904" s="47" t="e" vm="246">
        <v>#VALUE!</v>
      </c>
    </row>
    <row r="905" spans="4:4" x14ac:dyDescent="0.25">
      <c r="D905" s="48" t="e" vm="55">
        <v>#VALUE!</v>
      </c>
    </row>
    <row r="906" spans="4:4" x14ac:dyDescent="0.25">
      <c r="D906" s="47" t="e" vm="408">
        <v>#VALUE!</v>
      </c>
    </row>
    <row r="907" spans="4:4" x14ac:dyDescent="0.25">
      <c r="D907" s="48" t="e" vm="274">
        <v>#VALUE!</v>
      </c>
    </row>
    <row r="908" spans="4:4" x14ac:dyDescent="0.25">
      <c r="D908" s="47" t="e" vm="306">
        <v>#VALUE!</v>
      </c>
    </row>
    <row r="909" spans="4:4" x14ac:dyDescent="0.25">
      <c r="D909" s="48" t="e" vm="443">
        <v>#VALUE!</v>
      </c>
    </row>
    <row r="910" spans="4:4" x14ac:dyDescent="0.25">
      <c r="D910" s="47" t="e" vm="19">
        <v>#VALUE!</v>
      </c>
    </row>
    <row r="911" spans="4:4" x14ac:dyDescent="0.25">
      <c r="D911" s="48" t="e" vm="287">
        <v>#VALUE!</v>
      </c>
    </row>
    <row r="912" spans="4:4" x14ac:dyDescent="0.25">
      <c r="D912" s="47" t="e" vm="431">
        <v>#VALUE!</v>
      </c>
    </row>
    <row r="913" spans="4:4" x14ac:dyDescent="0.25">
      <c r="D913" s="48" t="e" vm="146">
        <v>#VALUE!</v>
      </c>
    </row>
    <row r="914" spans="4:4" x14ac:dyDescent="0.25">
      <c r="D914" s="47" t="e" vm="393">
        <v>#VALUE!</v>
      </c>
    </row>
    <row r="915" spans="4:4" x14ac:dyDescent="0.25">
      <c r="D915" s="48" t="e" vm="107">
        <v>#VALUE!</v>
      </c>
    </row>
    <row r="916" spans="4:4" x14ac:dyDescent="0.25">
      <c r="D916" s="47" t="e" vm="407">
        <v>#VALUE!</v>
      </c>
    </row>
    <row r="917" spans="4:4" x14ac:dyDescent="0.25">
      <c r="D917" s="48" t="e" vm="318">
        <v>#VALUE!</v>
      </c>
    </row>
    <row r="918" spans="4:4" x14ac:dyDescent="0.25">
      <c r="D918" s="47" t="e" vm="337">
        <v>#VALUE!</v>
      </c>
    </row>
    <row r="919" spans="4:4" x14ac:dyDescent="0.25">
      <c r="D919" s="48" t="e" vm="260">
        <v>#VALUE!</v>
      </c>
    </row>
    <row r="920" spans="4:4" x14ac:dyDescent="0.25">
      <c r="D920" s="47" t="e" vm="164">
        <v>#VALUE!</v>
      </c>
    </row>
    <row r="921" spans="4:4" x14ac:dyDescent="0.25">
      <c r="D921" s="48" t="e" vm="237">
        <v>#VALUE!</v>
      </c>
    </row>
    <row r="922" spans="4:4" x14ac:dyDescent="0.25">
      <c r="D922" s="47" t="e" vm="154">
        <v>#VALUE!</v>
      </c>
    </row>
    <row r="923" spans="4:4" x14ac:dyDescent="0.25">
      <c r="D923" s="48" t="s">
        <v>1462</v>
      </c>
    </row>
    <row r="924" spans="4:4" x14ac:dyDescent="0.25">
      <c r="D924" s="47" t="e" vm="113">
        <v>#VALUE!</v>
      </c>
    </row>
    <row r="925" spans="4:4" x14ac:dyDescent="0.25">
      <c r="D925" s="48" t="s">
        <v>1501</v>
      </c>
    </row>
    <row r="926" spans="4:4" x14ac:dyDescent="0.25">
      <c r="D926" s="47" t="e" vm="396">
        <v>#VALUE!</v>
      </c>
    </row>
    <row r="927" spans="4:4" x14ac:dyDescent="0.25">
      <c r="D927" s="48" t="e" vm="125">
        <v>#VALUE!</v>
      </c>
    </row>
    <row r="928" spans="4:4" x14ac:dyDescent="0.25">
      <c r="D928" s="47" t="e" vm="194">
        <v>#VALUE!</v>
      </c>
    </row>
    <row r="929" spans="4:4" x14ac:dyDescent="0.25">
      <c r="D929" s="48" t="e" vm="176">
        <v>#VALUE!</v>
      </c>
    </row>
    <row r="930" spans="4:4" x14ac:dyDescent="0.25">
      <c r="D930" s="47" t="e" vm="261">
        <v>#VALUE!</v>
      </c>
    </row>
    <row r="931" spans="4:4" x14ac:dyDescent="0.25">
      <c r="D931" s="48" t="e" vm="82">
        <v>#VALUE!</v>
      </c>
    </row>
    <row r="932" spans="4:4" x14ac:dyDescent="0.25">
      <c r="D932" s="47" t="e" vm="346">
        <v>#VALUE!</v>
      </c>
    </row>
    <row r="933" spans="4:4" x14ac:dyDescent="0.25">
      <c r="D933" s="48" t="e" vm="252">
        <v>#VALUE!</v>
      </c>
    </row>
    <row r="934" spans="4:4" x14ac:dyDescent="0.25">
      <c r="D934" s="47" t="e" vm="71">
        <v>#VALUE!</v>
      </c>
    </row>
    <row r="935" spans="4:4" x14ac:dyDescent="0.25">
      <c r="D935" s="48" t="e" vm="357">
        <v>#VALUE!</v>
      </c>
    </row>
    <row r="936" spans="4:4" x14ac:dyDescent="0.25">
      <c r="D936" s="47" t="e" vm="31">
        <v>#VALUE!</v>
      </c>
    </row>
    <row r="937" spans="4:4" x14ac:dyDescent="0.25">
      <c r="D937" s="48" t="e" vm="231">
        <v>#VALUE!</v>
      </c>
    </row>
    <row r="938" spans="4:4" x14ac:dyDescent="0.25">
      <c r="D938" s="47" t="e" vm="126">
        <v>#VALUE!</v>
      </c>
    </row>
    <row r="939" spans="4:4" x14ac:dyDescent="0.25">
      <c r="D939" s="48" t="e" vm="23">
        <v>#VALUE!</v>
      </c>
    </row>
    <row r="940" spans="4:4" x14ac:dyDescent="0.25">
      <c r="D940" s="47" t="e" vm="370">
        <v>#VALUE!</v>
      </c>
    </row>
    <row r="941" spans="4:4" x14ac:dyDescent="0.25">
      <c r="D941" s="48" t="e" vm="32">
        <v>#VALUE!</v>
      </c>
    </row>
    <row r="942" spans="4:4" x14ac:dyDescent="0.25">
      <c r="D942" s="47" t="e" vm="69">
        <v>#VALUE!</v>
      </c>
    </row>
    <row r="943" spans="4:4" x14ac:dyDescent="0.25">
      <c r="D943" s="48" t="e" vm="255">
        <v>#VALUE!</v>
      </c>
    </row>
    <row r="944" spans="4:4" x14ac:dyDescent="0.25">
      <c r="D944" s="47" t="e" vm="20">
        <v>#VALUE!</v>
      </c>
    </row>
    <row r="945" spans="4:4" x14ac:dyDescent="0.25">
      <c r="D945" s="48" t="s">
        <v>1495</v>
      </c>
    </row>
    <row r="946" spans="4:4" x14ac:dyDescent="0.25">
      <c r="D946" s="47" t="e" vm="253">
        <v>#VALUE!</v>
      </c>
    </row>
    <row r="947" spans="4:4" x14ac:dyDescent="0.25">
      <c r="D947" s="48" t="e" vm="440">
        <v>#VALUE!</v>
      </c>
    </row>
    <row r="948" spans="4:4" x14ac:dyDescent="0.25">
      <c r="D948" s="47" t="e" vm="440">
        <v>#VALUE!</v>
      </c>
    </row>
    <row r="949" spans="4:4" x14ac:dyDescent="0.25">
      <c r="D949" s="48" t="e" vm="409">
        <v>#VALUE!</v>
      </c>
    </row>
    <row r="950" spans="4:4" x14ac:dyDescent="0.25">
      <c r="D950" s="47" t="s">
        <v>1459</v>
      </c>
    </row>
    <row r="951" spans="4:4" x14ac:dyDescent="0.25">
      <c r="D951" s="48" t="e" vm="245">
        <v>#VALUE!</v>
      </c>
    </row>
    <row r="952" spans="4:4" x14ac:dyDescent="0.25">
      <c r="D952" s="47" t="e" vm="432">
        <v>#VALUE!</v>
      </c>
    </row>
    <row r="953" spans="4:4" x14ac:dyDescent="0.25">
      <c r="D953" s="48" t="s">
        <v>1478</v>
      </c>
    </row>
    <row r="954" spans="4:4" x14ac:dyDescent="0.25">
      <c r="D954" s="47" t="e" vm="143">
        <v>#VALUE!</v>
      </c>
    </row>
    <row r="955" spans="4:4" x14ac:dyDescent="0.25">
      <c r="D955" s="48" t="e" vm="305">
        <v>#VALUE!</v>
      </c>
    </row>
    <row r="956" spans="4:4" x14ac:dyDescent="0.25">
      <c r="D956" s="47" t="s">
        <v>1493</v>
      </c>
    </row>
    <row r="957" spans="4:4" x14ac:dyDescent="0.25">
      <c r="D957" s="48" t="e" vm="380">
        <v>#VALUE!</v>
      </c>
    </row>
    <row r="958" spans="4:4" x14ac:dyDescent="0.25">
      <c r="D958" s="47" t="e" vm="33">
        <v>#VALUE!</v>
      </c>
    </row>
    <row r="959" spans="4:4" x14ac:dyDescent="0.25">
      <c r="D959" s="48" t="e" vm="282">
        <v>#VALUE!</v>
      </c>
    </row>
    <row r="960" spans="4:4" x14ac:dyDescent="0.25">
      <c r="D960" s="47" t="e" vm="417">
        <v>#VALUE!</v>
      </c>
    </row>
    <row r="961" spans="4:4" x14ac:dyDescent="0.25">
      <c r="D961" s="48" t="e" vm="206">
        <v>#VALUE!</v>
      </c>
    </row>
    <row r="962" spans="4:4" x14ac:dyDescent="0.25">
      <c r="D962" s="47" t="e" vm="130">
        <v>#VALUE!</v>
      </c>
    </row>
    <row r="963" spans="4:4" x14ac:dyDescent="0.25">
      <c r="D963" s="48" t="e" vm="317">
        <v>#VALUE!</v>
      </c>
    </row>
    <row r="964" spans="4:4" x14ac:dyDescent="0.25">
      <c r="D964" s="47" t="e" vm="149">
        <v>#VALUE!</v>
      </c>
    </row>
    <row r="965" spans="4:4" x14ac:dyDescent="0.25">
      <c r="D965" s="48" t="e" vm="210">
        <v>#VALUE!</v>
      </c>
    </row>
    <row r="966" spans="4:4" x14ac:dyDescent="0.25">
      <c r="D966" s="47" t="e" vm="26">
        <v>#VALUE!</v>
      </c>
    </row>
    <row r="967" spans="4:4" x14ac:dyDescent="0.25">
      <c r="D967" s="48" t="e" vm="152">
        <v>#VALUE!</v>
      </c>
    </row>
    <row r="968" spans="4:4" x14ac:dyDescent="0.25">
      <c r="D968" s="47" t="e" vm="310">
        <v>#VALUE!</v>
      </c>
    </row>
    <row r="969" spans="4:4" x14ac:dyDescent="0.25">
      <c r="D969" s="48" t="e" vm="383">
        <v>#VALUE!</v>
      </c>
    </row>
    <row r="970" spans="4:4" x14ac:dyDescent="0.25">
      <c r="D970" s="47" t="e" vm="338">
        <v>#VALUE!</v>
      </c>
    </row>
    <row r="971" spans="4:4" x14ac:dyDescent="0.25">
      <c r="D971" s="48" t="e" vm="236">
        <v>#VALUE!</v>
      </c>
    </row>
    <row r="972" spans="4:4" x14ac:dyDescent="0.25">
      <c r="D972" s="47" t="e" vm="40">
        <v>#VALUE!</v>
      </c>
    </row>
    <row r="973" spans="4:4" x14ac:dyDescent="0.25">
      <c r="D973" s="48" t="e" vm="447">
        <v>#VALUE!</v>
      </c>
    </row>
    <row r="974" spans="4:4" x14ac:dyDescent="0.25">
      <c r="D974" s="47" t="e" vm="30">
        <v>#VALUE!</v>
      </c>
    </row>
    <row r="975" spans="4:4" x14ac:dyDescent="0.25">
      <c r="D975" s="48" t="e" vm="263">
        <v>#VALUE!</v>
      </c>
    </row>
    <row r="976" spans="4:4" x14ac:dyDescent="0.25">
      <c r="D976" s="47" t="e" vm="221">
        <v>#VALUE!</v>
      </c>
    </row>
    <row r="977" spans="4:4" x14ac:dyDescent="0.25">
      <c r="D977" s="48" t="e" vm="85">
        <v>#VALUE!</v>
      </c>
    </row>
    <row r="978" spans="4:4" x14ac:dyDescent="0.25">
      <c r="D978" s="47" t="e" vm="144">
        <v>#VALUE!</v>
      </c>
    </row>
    <row r="979" spans="4:4" x14ac:dyDescent="0.25">
      <c r="D979" s="48" t="e" vm="17">
        <v>#VALUE!</v>
      </c>
    </row>
    <row r="980" spans="4:4" x14ac:dyDescent="0.25">
      <c r="D980" s="47" t="e" vm="335">
        <v>#VALUE!</v>
      </c>
    </row>
    <row r="981" spans="4:4" x14ac:dyDescent="0.25">
      <c r="D981" s="48" t="e" vm="230">
        <v>#VALUE!</v>
      </c>
    </row>
    <row r="982" spans="4:4" x14ac:dyDescent="0.25">
      <c r="D982" s="47" t="e" vm="234">
        <v>#VALUE!</v>
      </c>
    </row>
    <row r="983" spans="4:4" x14ac:dyDescent="0.25">
      <c r="D983" s="48" t="e" vm="351">
        <v>#VALUE!</v>
      </c>
    </row>
    <row r="984" spans="4:4" x14ac:dyDescent="0.25">
      <c r="D984" s="47" t="e" vm="340">
        <v>#VALUE!</v>
      </c>
    </row>
    <row r="985" spans="4:4" x14ac:dyDescent="0.25">
      <c r="D985" s="48" t="e" vm="233">
        <v>#VALUE!</v>
      </c>
    </row>
    <row r="986" spans="4:4" x14ac:dyDescent="0.25">
      <c r="D986" s="47" t="e" vm="303">
        <v>#VALUE!</v>
      </c>
    </row>
    <row r="987" spans="4:4" x14ac:dyDescent="0.25">
      <c r="D987" s="48" t="e" vm="147">
        <v>#VALUE!</v>
      </c>
    </row>
    <row r="988" spans="4:4" x14ac:dyDescent="0.25">
      <c r="D988" s="47" t="e" vm="277">
        <v>#VALUE!</v>
      </c>
    </row>
    <row r="989" spans="4:4" x14ac:dyDescent="0.25">
      <c r="D989" s="48" t="e" vm="373">
        <v>#VALUE!</v>
      </c>
    </row>
    <row r="990" spans="4:4" x14ac:dyDescent="0.25">
      <c r="D990" s="47" t="e" vm="18">
        <v>#VALUE!</v>
      </c>
    </row>
    <row r="991" spans="4:4" x14ac:dyDescent="0.25">
      <c r="D991" s="48" t="e" vm="256">
        <v>#VALUE!</v>
      </c>
    </row>
    <row r="992" spans="4:4" x14ac:dyDescent="0.25">
      <c r="D992" s="47" t="e" vm="300">
        <v>#VALUE!</v>
      </c>
    </row>
    <row r="993" spans="4:4" x14ac:dyDescent="0.25">
      <c r="D993" s="48" t="e" vm="435">
        <v>#VALUE!</v>
      </c>
    </row>
    <row r="994" spans="4:4" x14ac:dyDescent="0.25">
      <c r="D994" s="47" t="e" vm="329">
        <v>#VALUE!</v>
      </c>
    </row>
    <row r="995" spans="4:4" x14ac:dyDescent="0.25">
      <c r="D995" s="48" t="e" vm="93">
        <v>#VALUE!</v>
      </c>
    </row>
    <row r="996" spans="4:4" x14ac:dyDescent="0.25">
      <c r="D996" s="47" t="e" vm="193">
        <v>#VALUE!</v>
      </c>
    </row>
    <row r="997" spans="4:4" x14ac:dyDescent="0.25">
      <c r="D997" s="48" t="e" vm="336">
        <v>#VALUE!</v>
      </c>
    </row>
    <row r="998" spans="4:4" x14ac:dyDescent="0.25">
      <c r="D998" s="47" t="e" vm="151">
        <v>#VALUE!</v>
      </c>
    </row>
    <row r="999" spans="4:4" x14ac:dyDescent="0.25">
      <c r="D999" s="48" t="e" vm="121">
        <v>#VALUE!</v>
      </c>
    </row>
    <row r="1000" spans="4:4" x14ac:dyDescent="0.25">
      <c r="D1000" s="47" t="e" vm="398">
        <v>#VALUE!</v>
      </c>
    </row>
    <row r="1001" spans="4:4" x14ac:dyDescent="0.25">
      <c r="D1001" s="48" t="e" vm="363">
        <v>#VALUE!</v>
      </c>
    </row>
    <row r="1002" spans="4:4" x14ac:dyDescent="0.25">
      <c r="D1002" s="47" t="e" vm="136">
        <v>#VALUE!</v>
      </c>
    </row>
    <row r="1003" spans="4:4" x14ac:dyDescent="0.25">
      <c r="D1003" s="48" t="e" vm="167">
        <v>#VALUE!</v>
      </c>
    </row>
    <row r="1004" spans="4:4" x14ac:dyDescent="0.25">
      <c r="D1004" s="47" t="e" vm="10">
        <v>#VALUE!</v>
      </c>
    </row>
    <row r="1005" spans="4:4" x14ac:dyDescent="0.25">
      <c r="D1005" s="48" t="s">
        <v>1497</v>
      </c>
    </row>
    <row r="1006" spans="4:4" x14ac:dyDescent="0.25">
      <c r="D1006" s="47" t="e" vm="395">
        <v>#VALUE!</v>
      </c>
    </row>
    <row r="1007" spans="4:4" x14ac:dyDescent="0.25">
      <c r="D1007" s="48" t="e" vm="3">
        <v>#VALUE!</v>
      </c>
    </row>
    <row r="1008" spans="4:4" x14ac:dyDescent="0.25">
      <c r="D1008" s="47" t="e" vm="6">
        <v>#VALUE!</v>
      </c>
    </row>
    <row r="1009" spans="4:4" x14ac:dyDescent="0.25">
      <c r="D1009" s="48" t="e" vm="354">
        <v>#VALUE!</v>
      </c>
    </row>
    <row r="1010" spans="4:4" x14ac:dyDescent="0.25">
      <c r="D1010" s="47" t="e" vm="342">
        <v>#VALUE!</v>
      </c>
    </row>
    <row r="1011" spans="4:4" x14ac:dyDescent="0.25">
      <c r="D1011" s="48" t="e" vm="450">
        <v>#VALUE!</v>
      </c>
    </row>
    <row r="1012" spans="4:4" x14ac:dyDescent="0.25">
      <c r="D1012" s="47" t="e" vm="259">
        <v>#VALUE!</v>
      </c>
    </row>
    <row r="1013" spans="4:4" x14ac:dyDescent="0.25">
      <c r="D1013" s="48" t="e" vm="355">
        <v>#VALUE!</v>
      </c>
    </row>
    <row r="1014" spans="4:4" x14ac:dyDescent="0.25">
      <c r="D1014" s="47" t="e" vm="424">
        <v>#VALUE!</v>
      </c>
    </row>
    <row r="1015" spans="4:4" x14ac:dyDescent="0.25">
      <c r="D1015" s="48" t="e" vm="307">
        <v>#VALUE!</v>
      </c>
    </row>
    <row r="1016" spans="4:4" x14ac:dyDescent="0.25">
      <c r="D1016" s="47" t="e" vm="207">
        <v>#VALUE!</v>
      </c>
    </row>
    <row r="1017" spans="4:4" x14ac:dyDescent="0.25">
      <c r="D1017" s="48" t="e" vm="403">
        <v>#VALUE!</v>
      </c>
    </row>
    <row r="1018" spans="4:4" x14ac:dyDescent="0.25">
      <c r="D1018" s="47" t="e" vm="251">
        <v>#VALUE!</v>
      </c>
    </row>
    <row r="1019" spans="4:4" x14ac:dyDescent="0.25">
      <c r="D1019" s="48" t="e" vm="36">
        <v>#VALUE!</v>
      </c>
    </row>
    <row r="1020" spans="4:4" x14ac:dyDescent="0.25">
      <c r="D1020" s="47" t="e" vm="133">
        <v>#VALUE!</v>
      </c>
    </row>
    <row r="1021" spans="4:4" x14ac:dyDescent="0.25">
      <c r="D1021" s="48" t="e" vm="34">
        <v>#VALUE!</v>
      </c>
    </row>
    <row r="1022" spans="4:4" x14ac:dyDescent="0.25">
      <c r="D1022" s="47" t="e" vm="73">
        <v>#VALUE!</v>
      </c>
    </row>
    <row r="1023" spans="4:4" x14ac:dyDescent="0.25">
      <c r="D1023" s="48" t="e" vm="250">
        <v>#VALUE!</v>
      </c>
    </row>
    <row r="1024" spans="4:4" x14ac:dyDescent="0.25">
      <c r="D1024" s="47" t="e" vm="78">
        <v>#VALUE!</v>
      </c>
    </row>
    <row r="1025" spans="4:4" x14ac:dyDescent="0.25">
      <c r="D1025" s="48" t="e" vm="480">
        <v>#VALUE!</v>
      </c>
    </row>
    <row r="1026" spans="4:4" x14ac:dyDescent="0.25">
      <c r="D1026" s="47" t="e" vm="262">
        <v>#VALUE!</v>
      </c>
    </row>
    <row r="1027" spans="4:4" x14ac:dyDescent="0.25">
      <c r="D1027" s="48" t="e" vm="208">
        <v>#VALUE!</v>
      </c>
    </row>
    <row r="1028" spans="4:4" x14ac:dyDescent="0.25">
      <c r="D1028" s="47" t="e" vm="25">
        <v>#VALUE!</v>
      </c>
    </row>
    <row r="1029" spans="4:4" x14ac:dyDescent="0.25">
      <c r="D1029" s="48" t="e" vm="462">
        <v>#VALUE!</v>
      </c>
    </row>
    <row r="1030" spans="4:4" x14ac:dyDescent="0.25">
      <c r="D1030" s="47" t="e" vm="269">
        <v>#VALUE!</v>
      </c>
    </row>
    <row r="1031" spans="4:4" x14ac:dyDescent="0.25">
      <c r="D1031" s="48" t="e" vm="427">
        <v>#VALUE!</v>
      </c>
    </row>
    <row r="1032" spans="4:4" x14ac:dyDescent="0.25">
      <c r="D1032" s="47" t="s">
        <v>1476</v>
      </c>
    </row>
    <row r="1033" spans="4:4" x14ac:dyDescent="0.25">
      <c r="D1033" s="48" t="e" vm="301">
        <v>#VALUE!</v>
      </c>
    </row>
    <row r="1034" spans="4:4" x14ac:dyDescent="0.25">
      <c r="D1034" s="47" t="e" vm="220">
        <v>#VALUE!</v>
      </c>
    </row>
    <row r="1035" spans="4:4" x14ac:dyDescent="0.25">
      <c r="D1035" s="48" t="e" vm="120">
        <v>#VALUE!</v>
      </c>
    </row>
    <row r="1036" spans="4:4" x14ac:dyDescent="0.25">
      <c r="D1036" s="47" t="e" vm="13">
        <v>#VALUE!</v>
      </c>
    </row>
    <row r="1037" spans="4:4" x14ac:dyDescent="0.25">
      <c r="D1037" s="48" t="e" vm="452">
        <v>#VALUE!</v>
      </c>
    </row>
    <row r="1038" spans="4:4" x14ac:dyDescent="0.25">
      <c r="D1038" s="47" t="e" vm="11">
        <v>#VALUE!</v>
      </c>
    </row>
    <row r="1039" spans="4:4" x14ac:dyDescent="0.25">
      <c r="D1039" s="48" t="e" vm="412">
        <v>#VALUE!</v>
      </c>
    </row>
    <row r="1040" spans="4:4" x14ac:dyDescent="0.25">
      <c r="D1040" s="47" t="e" vm="413">
        <v>#VALUE!</v>
      </c>
    </row>
    <row r="1041" spans="4:4" x14ac:dyDescent="0.25">
      <c r="D1041" s="48" t="s">
        <v>1489</v>
      </c>
    </row>
    <row r="1042" spans="4:4" x14ac:dyDescent="0.25">
      <c r="D1042" s="47" t="e" vm="111">
        <v>#VALUE!</v>
      </c>
    </row>
    <row r="1043" spans="4:4" x14ac:dyDescent="0.25">
      <c r="D1043" s="48" t="e" vm="168">
        <v>#VALUE!</v>
      </c>
    </row>
    <row r="1044" spans="4:4" x14ac:dyDescent="0.25">
      <c r="D1044" s="47" t="e" vm="315">
        <v>#VALUE!</v>
      </c>
    </row>
  </sheetData>
  <pageMargins left="0.7" right="0.7" top="0.78740157499999996" bottom="0.78740157499999996"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F4BE2-C1B1-4D4D-8573-0C79170E44C1}">
  <sheetPr>
    <tabColor rgb="FFFF0000"/>
  </sheetPr>
  <dimension ref="A2:O8936"/>
  <sheetViews>
    <sheetView workbookViewId="0">
      <selection activeCell="B4" sqref="B4"/>
    </sheetView>
  </sheetViews>
  <sheetFormatPr baseColWidth="10" defaultColWidth="11.42578125" defaultRowHeight="15" x14ac:dyDescent="0.25"/>
  <cols>
    <col min="1" max="1" width="13.7109375" bestFit="1" customWidth="1"/>
    <col min="2" max="2" width="24.5703125" bestFit="1" customWidth="1"/>
    <col min="3" max="3" width="17.7109375" bestFit="1" customWidth="1"/>
    <col min="4" max="4" width="36.28515625" bestFit="1" customWidth="1"/>
    <col min="6" max="6" width="18.28515625" customWidth="1"/>
    <col min="7" max="7" width="23.85546875" customWidth="1"/>
    <col min="8" max="8" width="12.28515625" customWidth="1"/>
    <col min="9" max="9" width="12.7109375" customWidth="1"/>
    <col min="10" max="10" width="13" customWidth="1"/>
    <col min="12" max="12" width="14.28515625" bestFit="1" customWidth="1"/>
    <col min="14" max="14" width="49.42578125" bestFit="1" customWidth="1"/>
    <col min="15" max="15" width="43.42578125" bestFit="1" customWidth="1"/>
  </cols>
  <sheetData>
    <row r="2" spans="1:15" x14ac:dyDescent="0.25">
      <c r="A2" s="22"/>
      <c r="C2" s="22" t="s">
        <v>2004</v>
      </c>
      <c r="D2" s="22" t="s">
        <v>2005</v>
      </c>
      <c r="E2" s="22"/>
      <c r="F2" t="s">
        <v>2006</v>
      </c>
      <c r="G2" s="25" t="s">
        <v>2007</v>
      </c>
      <c r="H2" s="25" t="s">
        <v>2008</v>
      </c>
      <c r="I2" s="25" t="s">
        <v>2009</v>
      </c>
      <c r="J2" t="s">
        <v>2010</v>
      </c>
      <c r="L2" s="51" t="s">
        <v>2011</v>
      </c>
      <c r="M2" s="51" t="s">
        <v>2012</v>
      </c>
      <c r="N2" s="51" t="s">
        <v>2013</v>
      </c>
      <c r="O2" s="51" t="s">
        <v>2014</v>
      </c>
    </row>
    <row r="3" spans="1:15" x14ac:dyDescent="0.25">
      <c r="A3" s="22" t="s">
        <v>2015</v>
      </c>
      <c r="B3" t="str">
        <f>_xlfn.XLOOKUP(Frontend_allg_OLD!D17,G3:G8936,J3:J8936)</f>
        <v xml:space="preserve"> Neustadt an der Weinstraße</v>
      </c>
      <c r="D3" t="s">
        <v>2016</v>
      </c>
      <c r="F3" t="s">
        <v>2017</v>
      </c>
      <c r="G3" s="50">
        <v>78267</v>
      </c>
      <c r="H3">
        <v>8335</v>
      </c>
      <c r="I3" s="25" t="s">
        <v>2018</v>
      </c>
      <c r="J3" t="s">
        <v>2019</v>
      </c>
      <c r="L3" s="52" t="s">
        <v>2020</v>
      </c>
      <c r="M3" s="52" t="s">
        <v>2021</v>
      </c>
      <c r="N3" s="52">
        <v>0.06</v>
      </c>
      <c r="O3" s="52">
        <v>2</v>
      </c>
    </row>
    <row r="4" spans="1:15" x14ac:dyDescent="0.25">
      <c r="A4" s="22" t="s">
        <v>2012</v>
      </c>
      <c r="B4" t="str" cm="1">
        <f t="array" ref="B4">IF(OR(EXACT(B3,D3:D184)),"Windstark","Windschwach")</f>
        <v>Windschwach</v>
      </c>
      <c r="D4" t="s">
        <v>2022</v>
      </c>
      <c r="F4" t="s">
        <v>2016</v>
      </c>
      <c r="G4" s="50">
        <v>52070</v>
      </c>
      <c r="H4">
        <v>5334</v>
      </c>
      <c r="I4" s="25" t="s">
        <v>2023</v>
      </c>
      <c r="J4" t="s">
        <v>2016</v>
      </c>
      <c r="L4" s="52" t="s">
        <v>2020</v>
      </c>
      <c r="M4" s="52" t="s">
        <v>2024</v>
      </c>
      <c r="N4" s="52">
        <v>0.09</v>
      </c>
      <c r="O4" s="52">
        <v>4</v>
      </c>
    </row>
    <row r="5" spans="1:15" x14ac:dyDescent="0.25">
      <c r="D5" t="s">
        <v>2025</v>
      </c>
      <c r="F5" t="s">
        <v>2016</v>
      </c>
      <c r="G5">
        <v>52076</v>
      </c>
      <c r="H5">
        <v>5334</v>
      </c>
      <c r="I5" s="25" t="s">
        <v>2023</v>
      </c>
      <c r="J5" t="s">
        <v>2016</v>
      </c>
      <c r="L5" s="52" t="s">
        <v>2026</v>
      </c>
      <c r="M5" s="52" t="s">
        <v>2021</v>
      </c>
      <c r="N5" s="52">
        <v>0.11</v>
      </c>
      <c r="O5" s="52">
        <v>5</v>
      </c>
    </row>
    <row r="6" spans="1:15" x14ac:dyDescent="0.25">
      <c r="D6" t="s">
        <v>2027</v>
      </c>
      <c r="F6" t="s">
        <v>2016</v>
      </c>
      <c r="G6">
        <v>52064</v>
      </c>
      <c r="H6">
        <v>5334</v>
      </c>
      <c r="I6" s="25" t="s">
        <v>2023</v>
      </c>
      <c r="J6" t="s">
        <v>2016</v>
      </c>
      <c r="L6" s="52" t="s">
        <v>2026</v>
      </c>
      <c r="M6" s="52" t="s">
        <v>2024</v>
      </c>
      <c r="N6" s="52">
        <v>0.13</v>
      </c>
      <c r="O6" s="52">
        <v>7</v>
      </c>
    </row>
    <row r="7" spans="1:15" x14ac:dyDescent="0.25">
      <c r="D7" t="s">
        <v>2028</v>
      </c>
      <c r="F7" t="s">
        <v>2016</v>
      </c>
      <c r="G7">
        <v>52066</v>
      </c>
      <c r="H7">
        <v>5334</v>
      </c>
      <c r="I7" s="25" t="s">
        <v>2023</v>
      </c>
      <c r="J7" t="s">
        <v>2016</v>
      </c>
      <c r="M7" s="49"/>
    </row>
    <row r="8" spans="1:15" x14ac:dyDescent="0.25">
      <c r="D8" t="s">
        <v>2029</v>
      </c>
      <c r="F8" t="s">
        <v>2016</v>
      </c>
      <c r="G8">
        <v>52062</v>
      </c>
      <c r="H8">
        <v>5334</v>
      </c>
      <c r="I8" s="25" t="s">
        <v>2023</v>
      </c>
      <c r="J8" t="s">
        <v>2016</v>
      </c>
      <c r="M8" s="49"/>
    </row>
    <row r="9" spans="1:15" x14ac:dyDescent="0.25">
      <c r="D9" t="s">
        <v>2030</v>
      </c>
      <c r="F9" t="s">
        <v>2016</v>
      </c>
      <c r="G9">
        <v>52072</v>
      </c>
      <c r="H9">
        <v>5334</v>
      </c>
      <c r="I9" s="25" t="s">
        <v>2023</v>
      </c>
      <c r="J9" t="s">
        <v>2016</v>
      </c>
      <c r="M9" s="49"/>
    </row>
    <row r="10" spans="1:15" x14ac:dyDescent="0.25">
      <c r="C10" t="s">
        <v>2031</v>
      </c>
      <c r="D10" t="s">
        <v>2032</v>
      </c>
      <c r="F10" t="s">
        <v>2016</v>
      </c>
      <c r="G10">
        <v>52068</v>
      </c>
      <c r="H10">
        <v>5334</v>
      </c>
      <c r="I10" s="25" t="s">
        <v>2023</v>
      </c>
      <c r="J10" t="s">
        <v>2016</v>
      </c>
      <c r="M10" s="49"/>
    </row>
    <row r="11" spans="1:15" x14ac:dyDescent="0.25">
      <c r="C11" t="s">
        <v>2033</v>
      </c>
      <c r="D11" t="s">
        <v>2032</v>
      </c>
      <c r="F11" t="s">
        <v>2016</v>
      </c>
      <c r="G11">
        <v>52080</v>
      </c>
      <c r="H11">
        <v>5334</v>
      </c>
      <c r="I11" s="25" t="s">
        <v>2023</v>
      </c>
      <c r="J11" t="s">
        <v>2016</v>
      </c>
      <c r="M11" s="49"/>
    </row>
    <row r="12" spans="1:15" x14ac:dyDescent="0.25">
      <c r="D12" t="s">
        <v>2034</v>
      </c>
      <c r="F12" t="s">
        <v>2016</v>
      </c>
      <c r="G12">
        <v>52078</v>
      </c>
      <c r="H12">
        <v>5334</v>
      </c>
      <c r="I12" s="25" t="s">
        <v>2023</v>
      </c>
      <c r="J12" t="s">
        <v>2016</v>
      </c>
      <c r="M12" s="49"/>
    </row>
    <row r="13" spans="1:15" x14ac:dyDescent="0.25">
      <c r="C13" t="s">
        <v>2035</v>
      </c>
      <c r="D13" t="s">
        <v>2036</v>
      </c>
      <c r="F13" t="s">
        <v>2016</v>
      </c>
      <c r="G13">
        <v>52074</v>
      </c>
      <c r="H13">
        <v>5334</v>
      </c>
      <c r="I13" s="25" t="s">
        <v>2023</v>
      </c>
      <c r="J13" t="s">
        <v>2016</v>
      </c>
      <c r="M13" s="49"/>
    </row>
    <row r="14" spans="1:15" x14ac:dyDescent="0.25">
      <c r="D14" t="s">
        <v>2037</v>
      </c>
      <c r="F14" t="s">
        <v>2038</v>
      </c>
      <c r="G14">
        <v>73434</v>
      </c>
      <c r="H14">
        <v>8136</v>
      </c>
      <c r="I14" s="25" t="s">
        <v>2018</v>
      </c>
      <c r="J14" t="s">
        <v>2039</v>
      </c>
      <c r="M14" s="49"/>
    </row>
    <row r="15" spans="1:15" x14ac:dyDescent="0.25">
      <c r="D15" t="s">
        <v>2040</v>
      </c>
      <c r="F15" t="s">
        <v>2038</v>
      </c>
      <c r="G15">
        <v>73433</v>
      </c>
      <c r="H15">
        <v>8136</v>
      </c>
      <c r="I15" s="25" t="s">
        <v>2018</v>
      </c>
      <c r="J15" t="s">
        <v>2039</v>
      </c>
      <c r="M15" s="49"/>
    </row>
    <row r="16" spans="1:15" x14ac:dyDescent="0.25">
      <c r="D16" t="s">
        <v>2041</v>
      </c>
      <c r="F16" t="s">
        <v>2038</v>
      </c>
      <c r="G16">
        <v>73432</v>
      </c>
      <c r="H16">
        <v>8136</v>
      </c>
      <c r="I16" s="25" t="s">
        <v>2018</v>
      </c>
      <c r="J16" t="s">
        <v>2039</v>
      </c>
      <c r="M16" s="49"/>
    </row>
    <row r="17" spans="3:13" x14ac:dyDescent="0.25">
      <c r="D17" t="s">
        <v>2042</v>
      </c>
      <c r="F17" t="s">
        <v>2038</v>
      </c>
      <c r="G17">
        <v>73431</v>
      </c>
      <c r="H17">
        <v>8136</v>
      </c>
      <c r="I17" s="25" t="s">
        <v>2018</v>
      </c>
      <c r="J17" t="s">
        <v>2039</v>
      </c>
      <c r="M17" s="49"/>
    </row>
    <row r="18" spans="3:13" x14ac:dyDescent="0.25">
      <c r="D18" t="s">
        <v>2043</v>
      </c>
      <c r="F18" t="s">
        <v>2038</v>
      </c>
      <c r="G18">
        <v>73430</v>
      </c>
      <c r="H18">
        <v>8136</v>
      </c>
      <c r="I18" s="25" t="s">
        <v>2018</v>
      </c>
      <c r="J18" t="s">
        <v>2039</v>
      </c>
      <c r="M18" s="49"/>
    </row>
    <row r="19" spans="3:13" x14ac:dyDescent="0.25">
      <c r="D19" t="s">
        <v>2044</v>
      </c>
      <c r="F19" t="s">
        <v>2045</v>
      </c>
      <c r="G19">
        <v>65326</v>
      </c>
      <c r="H19">
        <v>6439</v>
      </c>
      <c r="I19" s="25" t="s">
        <v>2046</v>
      </c>
      <c r="J19" t="s">
        <v>2047</v>
      </c>
      <c r="M19" s="49"/>
    </row>
    <row r="20" spans="3:13" x14ac:dyDescent="0.25">
      <c r="D20" t="s">
        <v>2048</v>
      </c>
      <c r="F20" t="s">
        <v>2049</v>
      </c>
      <c r="G20">
        <v>91183</v>
      </c>
      <c r="H20">
        <v>9576</v>
      </c>
      <c r="I20" s="25" t="s">
        <v>2050</v>
      </c>
      <c r="J20" t="s">
        <v>2051</v>
      </c>
      <c r="M20" s="49"/>
    </row>
    <row r="21" spans="3:13" x14ac:dyDescent="0.25">
      <c r="D21" t="s">
        <v>2052</v>
      </c>
      <c r="F21" t="s">
        <v>2053</v>
      </c>
      <c r="G21">
        <v>93326</v>
      </c>
      <c r="H21">
        <v>9273</v>
      </c>
      <c r="I21" s="25" t="s">
        <v>2050</v>
      </c>
      <c r="J21" t="s">
        <v>2054</v>
      </c>
      <c r="M21" s="49"/>
    </row>
    <row r="22" spans="3:13" x14ac:dyDescent="0.25">
      <c r="D22" t="s">
        <v>2055</v>
      </c>
      <c r="F22" t="s">
        <v>2056</v>
      </c>
      <c r="G22">
        <v>91720</v>
      </c>
      <c r="H22">
        <v>9577</v>
      </c>
      <c r="I22" s="25" t="s">
        <v>2050</v>
      </c>
      <c r="J22" t="s">
        <v>2057</v>
      </c>
      <c r="M22" s="49"/>
    </row>
    <row r="23" spans="3:13" x14ac:dyDescent="0.25">
      <c r="D23" t="s">
        <v>2058</v>
      </c>
      <c r="F23" t="s">
        <v>2059</v>
      </c>
      <c r="G23">
        <v>74232</v>
      </c>
      <c r="H23">
        <v>8125</v>
      </c>
      <c r="I23" s="25" t="s">
        <v>2018</v>
      </c>
      <c r="J23" t="s">
        <v>2060</v>
      </c>
      <c r="M23" s="49"/>
    </row>
    <row r="24" spans="3:13" x14ac:dyDescent="0.25">
      <c r="D24" t="s">
        <v>2061</v>
      </c>
      <c r="F24" t="s">
        <v>2062</v>
      </c>
      <c r="G24">
        <v>73453</v>
      </c>
      <c r="H24">
        <v>8136</v>
      </c>
      <c r="I24" s="25" t="s">
        <v>2018</v>
      </c>
      <c r="J24" t="s">
        <v>2039</v>
      </c>
      <c r="M24" s="49"/>
    </row>
    <row r="25" spans="3:13" x14ac:dyDescent="0.25">
      <c r="D25" t="s">
        <v>2063</v>
      </c>
      <c r="F25" t="s">
        <v>2064</v>
      </c>
      <c r="G25">
        <v>69518</v>
      </c>
      <c r="H25">
        <v>6431</v>
      </c>
      <c r="I25" s="25" t="s">
        <v>2046</v>
      </c>
      <c r="J25" t="s">
        <v>2065</v>
      </c>
      <c r="M25" s="49"/>
    </row>
    <row r="26" spans="3:13" x14ac:dyDescent="0.25">
      <c r="D26" t="s">
        <v>2066</v>
      </c>
      <c r="F26" t="s">
        <v>2067</v>
      </c>
      <c r="G26">
        <v>88147</v>
      </c>
      <c r="H26">
        <v>8436</v>
      </c>
      <c r="I26" s="25" t="s">
        <v>2018</v>
      </c>
      <c r="J26" t="s">
        <v>2068</v>
      </c>
      <c r="M26" s="49"/>
    </row>
    <row r="27" spans="3:13" x14ac:dyDescent="0.25">
      <c r="D27" t="s">
        <v>2069</v>
      </c>
      <c r="F27" t="s">
        <v>2070</v>
      </c>
      <c r="G27">
        <v>77855</v>
      </c>
      <c r="H27">
        <v>8317</v>
      </c>
      <c r="I27" s="25" t="s">
        <v>2018</v>
      </c>
      <c r="J27" t="s">
        <v>2071</v>
      </c>
      <c r="M27" s="49"/>
    </row>
    <row r="28" spans="3:13" x14ac:dyDescent="0.25">
      <c r="D28" t="s">
        <v>2072</v>
      </c>
      <c r="F28" t="s">
        <v>2073</v>
      </c>
      <c r="G28">
        <v>28832</v>
      </c>
      <c r="H28">
        <v>3361</v>
      </c>
      <c r="I28" s="25" t="s">
        <v>2074</v>
      </c>
      <c r="J28" t="s">
        <v>2075</v>
      </c>
      <c r="M28" s="49"/>
    </row>
    <row r="29" spans="3:13" x14ac:dyDescent="0.25">
      <c r="D29" t="s">
        <v>2076</v>
      </c>
      <c r="F29" t="s">
        <v>2077</v>
      </c>
      <c r="G29">
        <v>94250</v>
      </c>
      <c r="H29">
        <v>9276</v>
      </c>
      <c r="I29" s="25" t="s">
        <v>2050</v>
      </c>
      <c r="J29" t="s">
        <v>2078</v>
      </c>
      <c r="M29" s="49"/>
    </row>
    <row r="30" spans="3:13" x14ac:dyDescent="0.25">
      <c r="D30" t="s">
        <v>2079</v>
      </c>
      <c r="F30" t="s">
        <v>2080</v>
      </c>
      <c r="G30">
        <v>88480</v>
      </c>
      <c r="H30">
        <v>8426</v>
      </c>
      <c r="I30" s="25" t="s">
        <v>2018</v>
      </c>
      <c r="J30" t="s">
        <v>2081</v>
      </c>
      <c r="M30" s="49"/>
    </row>
    <row r="31" spans="3:13" x14ac:dyDescent="0.25">
      <c r="C31" t="s">
        <v>2082</v>
      </c>
      <c r="D31" t="s">
        <v>2083</v>
      </c>
      <c r="F31" t="s">
        <v>2084</v>
      </c>
      <c r="G31">
        <v>24239</v>
      </c>
      <c r="H31">
        <v>1058</v>
      </c>
      <c r="I31" s="25" t="s">
        <v>2085</v>
      </c>
      <c r="J31" t="s">
        <v>2086</v>
      </c>
      <c r="M31" s="49"/>
    </row>
    <row r="32" spans="3:13" x14ac:dyDescent="0.25">
      <c r="D32" t="s">
        <v>2087</v>
      </c>
      <c r="F32" t="s">
        <v>2088</v>
      </c>
      <c r="G32">
        <v>73099</v>
      </c>
      <c r="H32">
        <v>8117</v>
      </c>
      <c r="I32" s="25" t="s">
        <v>2018</v>
      </c>
      <c r="J32" t="s">
        <v>2089</v>
      </c>
      <c r="M32" s="49"/>
    </row>
    <row r="33" spans="1:13" x14ac:dyDescent="0.25">
      <c r="C33" t="s">
        <v>2090</v>
      </c>
      <c r="D33" t="s">
        <v>2091</v>
      </c>
      <c r="F33" t="s">
        <v>2092</v>
      </c>
      <c r="G33">
        <v>37139</v>
      </c>
      <c r="H33">
        <v>3159</v>
      </c>
      <c r="I33" s="25" t="s">
        <v>2074</v>
      </c>
      <c r="J33" t="s">
        <v>2093</v>
      </c>
      <c r="M33" s="49"/>
    </row>
    <row r="34" spans="1:13" x14ac:dyDescent="0.25">
      <c r="D34" t="s">
        <v>2094</v>
      </c>
      <c r="F34" t="s">
        <v>2095</v>
      </c>
      <c r="G34">
        <v>29352</v>
      </c>
      <c r="H34">
        <v>3351</v>
      </c>
      <c r="I34" s="25" t="s">
        <v>2074</v>
      </c>
      <c r="J34" t="s">
        <v>2096</v>
      </c>
      <c r="M34" s="49"/>
    </row>
    <row r="35" spans="1:13" x14ac:dyDescent="0.25">
      <c r="D35" t="s">
        <v>2097</v>
      </c>
      <c r="F35" t="s">
        <v>2098</v>
      </c>
      <c r="G35">
        <v>73486</v>
      </c>
      <c r="H35">
        <v>8136</v>
      </c>
      <c r="I35" s="25" t="s">
        <v>2018</v>
      </c>
      <c r="J35" t="s">
        <v>2039</v>
      </c>
      <c r="M35" s="49"/>
    </row>
    <row r="36" spans="1:13" x14ac:dyDescent="0.25">
      <c r="A36" t="s">
        <v>582</v>
      </c>
      <c r="C36" t="s">
        <v>2099</v>
      </c>
      <c r="D36" t="s">
        <v>2100</v>
      </c>
      <c r="F36" t="s">
        <v>2101</v>
      </c>
      <c r="G36">
        <v>85111</v>
      </c>
      <c r="H36">
        <v>9176</v>
      </c>
      <c r="I36" s="25" t="s">
        <v>2050</v>
      </c>
      <c r="J36" t="s">
        <v>2102</v>
      </c>
      <c r="M36" s="49"/>
    </row>
    <row r="37" spans="1:13" x14ac:dyDescent="0.25">
      <c r="D37" t="s">
        <v>2103</v>
      </c>
      <c r="F37" t="s">
        <v>2104</v>
      </c>
      <c r="G37">
        <v>91325</v>
      </c>
      <c r="H37">
        <v>9572</v>
      </c>
      <c r="I37" s="25" t="s">
        <v>2050</v>
      </c>
      <c r="J37" t="s">
        <v>2105</v>
      </c>
      <c r="M37" s="49"/>
    </row>
    <row r="38" spans="1:13" x14ac:dyDescent="0.25">
      <c r="D38" t="s">
        <v>2106</v>
      </c>
      <c r="F38" t="s">
        <v>2107</v>
      </c>
      <c r="G38">
        <v>74740</v>
      </c>
      <c r="H38">
        <v>8225</v>
      </c>
      <c r="I38" s="25" t="s">
        <v>2018</v>
      </c>
      <c r="J38" t="s">
        <v>2108</v>
      </c>
      <c r="M38" s="49"/>
    </row>
    <row r="39" spans="1:13" x14ac:dyDescent="0.25">
      <c r="D39" t="s">
        <v>2109</v>
      </c>
      <c r="F39" t="s">
        <v>2110</v>
      </c>
      <c r="G39">
        <v>82276</v>
      </c>
      <c r="H39">
        <v>9179</v>
      </c>
      <c r="I39" s="25" t="s">
        <v>2050</v>
      </c>
      <c r="J39" t="s">
        <v>2111</v>
      </c>
      <c r="M39" s="49"/>
    </row>
    <row r="40" spans="1:13" x14ac:dyDescent="0.25">
      <c r="D40" t="s">
        <v>2112</v>
      </c>
      <c r="F40" t="s">
        <v>2110</v>
      </c>
      <c r="G40">
        <v>91587</v>
      </c>
      <c r="H40">
        <v>9571</v>
      </c>
      <c r="I40" s="25" t="s">
        <v>2050</v>
      </c>
      <c r="J40" t="s">
        <v>2113</v>
      </c>
      <c r="M40" s="49"/>
    </row>
    <row r="41" spans="1:13" x14ac:dyDescent="0.25">
      <c r="C41" t="s">
        <v>2114</v>
      </c>
      <c r="D41" t="s">
        <v>2115</v>
      </c>
      <c r="F41" t="s">
        <v>2116</v>
      </c>
      <c r="G41">
        <v>86477</v>
      </c>
      <c r="H41">
        <v>9772</v>
      </c>
      <c r="I41" s="25" t="s">
        <v>2050</v>
      </c>
      <c r="J41" t="s">
        <v>2117</v>
      </c>
      <c r="M41" s="49"/>
    </row>
    <row r="42" spans="1:13" x14ac:dyDescent="0.25">
      <c r="D42" t="s">
        <v>2118</v>
      </c>
      <c r="F42" t="s">
        <v>2119</v>
      </c>
      <c r="G42">
        <v>86559</v>
      </c>
      <c r="H42">
        <v>9771</v>
      </c>
      <c r="I42" s="25" t="s">
        <v>2050</v>
      </c>
      <c r="J42" t="s">
        <v>2120</v>
      </c>
      <c r="M42" s="49"/>
    </row>
    <row r="43" spans="1:13" x14ac:dyDescent="0.25">
      <c r="C43" t="s">
        <v>2121</v>
      </c>
      <c r="D43" t="s">
        <v>2118</v>
      </c>
      <c r="F43" t="s">
        <v>2122</v>
      </c>
      <c r="G43">
        <v>53518</v>
      </c>
      <c r="H43">
        <v>7131</v>
      </c>
      <c r="I43" s="25" t="s">
        <v>2123</v>
      </c>
      <c r="J43" t="s">
        <v>2022</v>
      </c>
      <c r="M43" s="49"/>
    </row>
    <row r="44" spans="1:13" x14ac:dyDescent="0.25">
      <c r="D44" t="s">
        <v>2124</v>
      </c>
      <c r="F44" t="s">
        <v>2125</v>
      </c>
      <c r="G44">
        <v>38528</v>
      </c>
      <c r="H44">
        <v>3151</v>
      </c>
      <c r="I44" s="25" t="s">
        <v>2074</v>
      </c>
      <c r="J44" t="s">
        <v>2126</v>
      </c>
      <c r="M44" s="49"/>
    </row>
    <row r="45" spans="1:13" x14ac:dyDescent="0.25">
      <c r="D45" t="s">
        <v>2127</v>
      </c>
      <c r="F45" t="s">
        <v>2128</v>
      </c>
      <c r="G45">
        <v>21365</v>
      </c>
      <c r="H45">
        <v>3355</v>
      </c>
      <c r="I45" s="25" t="s">
        <v>2074</v>
      </c>
      <c r="J45" t="s">
        <v>2129</v>
      </c>
      <c r="M45" s="49"/>
    </row>
    <row r="46" spans="1:13" x14ac:dyDescent="0.25">
      <c r="D46" t="s">
        <v>2130</v>
      </c>
      <c r="F46" t="s">
        <v>2131</v>
      </c>
      <c r="G46">
        <v>84166</v>
      </c>
      <c r="H46">
        <v>9274</v>
      </c>
      <c r="I46" s="25" t="s">
        <v>2050</v>
      </c>
      <c r="J46" t="s">
        <v>2132</v>
      </c>
      <c r="M46" s="49"/>
    </row>
    <row r="47" spans="1:13" x14ac:dyDescent="0.25">
      <c r="D47" t="s">
        <v>2133</v>
      </c>
      <c r="F47" t="s">
        <v>2134</v>
      </c>
      <c r="G47">
        <v>8626</v>
      </c>
      <c r="H47">
        <v>14523</v>
      </c>
      <c r="I47" s="25" t="s">
        <v>2135</v>
      </c>
      <c r="J47" t="s">
        <v>2136</v>
      </c>
      <c r="M47" s="49"/>
    </row>
    <row r="48" spans="1:13" x14ac:dyDescent="0.25">
      <c r="C48" t="s">
        <v>2137</v>
      </c>
      <c r="D48" t="s">
        <v>2100</v>
      </c>
      <c r="F48" t="s">
        <v>2138</v>
      </c>
      <c r="G48">
        <v>31855</v>
      </c>
      <c r="H48">
        <v>3252</v>
      </c>
      <c r="I48" s="25" t="s">
        <v>2074</v>
      </c>
      <c r="J48" t="s">
        <v>2139</v>
      </c>
      <c r="M48" s="49"/>
    </row>
    <row r="49" spans="3:13" x14ac:dyDescent="0.25">
      <c r="D49" t="s">
        <v>2140</v>
      </c>
      <c r="F49" t="s">
        <v>2141</v>
      </c>
      <c r="G49">
        <v>71563</v>
      </c>
      <c r="H49">
        <v>8118</v>
      </c>
      <c r="I49" s="25" t="s">
        <v>2018</v>
      </c>
      <c r="J49" t="s">
        <v>2142</v>
      </c>
      <c r="M49" s="49"/>
    </row>
    <row r="50" spans="3:13" x14ac:dyDescent="0.25">
      <c r="D50" t="s">
        <v>2143</v>
      </c>
      <c r="F50" t="s">
        <v>2144</v>
      </c>
      <c r="G50">
        <v>86444</v>
      </c>
      <c r="H50">
        <v>9771</v>
      </c>
      <c r="I50" s="25" t="s">
        <v>2050</v>
      </c>
      <c r="J50" t="s">
        <v>2120</v>
      </c>
      <c r="M50" s="49"/>
    </row>
    <row r="51" spans="3:13" x14ac:dyDescent="0.25">
      <c r="D51" t="s">
        <v>2145</v>
      </c>
      <c r="F51" t="s">
        <v>2146</v>
      </c>
      <c r="G51">
        <v>27257</v>
      </c>
      <c r="H51">
        <v>3251</v>
      </c>
      <c r="I51" s="25" t="s">
        <v>2074</v>
      </c>
      <c r="J51" t="s">
        <v>2094</v>
      </c>
      <c r="M51" s="49"/>
    </row>
    <row r="52" spans="3:13" x14ac:dyDescent="0.25">
      <c r="D52" t="s">
        <v>2147</v>
      </c>
      <c r="F52" t="s">
        <v>2148</v>
      </c>
      <c r="G52">
        <v>74858</v>
      </c>
      <c r="H52">
        <v>8225</v>
      </c>
      <c r="I52" s="25" t="s">
        <v>2018</v>
      </c>
      <c r="J52" t="s">
        <v>2108</v>
      </c>
      <c r="M52" s="49"/>
    </row>
    <row r="53" spans="3:13" x14ac:dyDescent="0.25">
      <c r="D53" t="s">
        <v>2126</v>
      </c>
      <c r="F53" t="s">
        <v>2149</v>
      </c>
      <c r="G53">
        <v>84168</v>
      </c>
      <c r="H53">
        <v>9274</v>
      </c>
      <c r="I53" s="25" t="s">
        <v>2050</v>
      </c>
      <c r="J53" t="s">
        <v>2132</v>
      </c>
      <c r="M53" s="49"/>
    </row>
    <row r="54" spans="3:13" x14ac:dyDescent="0.25">
      <c r="D54" t="s">
        <v>2150</v>
      </c>
      <c r="F54" t="s">
        <v>2151</v>
      </c>
      <c r="G54">
        <v>48683</v>
      </c>
      <c r="H54">
        <v>5554</v>
      </c>
      <c r="I54" s="25" t="s">
        <v>2023</v>
      </c>
      <c r="J54" t="s">
        <v>2055</v>
      </c>
      <c r="M54" s="49"/>
    </row>
    <row r="55" spans="3:13" x14ac:dyDescent="0.25">
      <c r="D55" t="s">
        <v>2152</v>
      </c>
      <c r="F55" t="s">
        <v>2153</v>
      </c>
      <c r="G55">
        <v>59229</v>
      </c>
      <c r="H55">
        <v>5570</v>
      </c>
      <c r="I55" s="25" t="s">
        <v>2023</v>
      </c>
      <c r="J55" t="s">
        <v>2154</v>
      </c>
      <c r="M55" s="49"/>
    </row>
    <row r="56" spans="3:13" x14ac:dyDescent="0.25">
      <c r="D56" t="s">
        <v>2155</v>
      </c>
      <c r="F56" t="s">
        <v>2153</v>
      </c>
      <c r="G56">
        <v>59227</v>
      </c>
      <c r="H56">
        <v>5570</v>
      </c>
      <c r="I56" s="25" t="s">
        <v>2023</v>
      </c>
      <c r="J56" t="s">
        <v>2154</v>
      </c>
      <c r="M56" s="49"/>
    </row>
    <row r="57" spans="3:13" x14ac:dyDescent="0.25">
      <c r="D57" t="s">
        <v>2156</v>
      </c>
      <c r="F57" t="s">
        <v>2157</v>
      </c>
      <c r="G57">
        <v>21702</v>
      </c>
      <c r="H57">
        <v>3359</v>
      </c>
      <c r="I57" s="25" t="s">
        <v>2074</v>
      </c>
      <c r="J57" t="s">
        <v>2158</v>
      </c>
      <c r="M57" s="49"/>
    </row>
    <row r="58" spans="3:13" x14ac:dyDescent="0.25">
      <c r="C58" t="s">
        <v>2159</v>
      </c>
      <c r="D58" t="s">
        <v>2160</v>
      </c>
      <c r="F58" t="s">
        <v>2161</v>
      </c>
      <c r="G58">
        <v>34292</v>
      </c>
      <c r="H58">
        <v>6633</v>
      </c>
      <c r="I58" s="25" t="s">
        <v>2046</v>
      </c>
      <c r="J58" t="s">
        <v>2162</v>
      </c>
      <c r="M58" s="49"/>
    </row>
    <row r="59" spans="3:13" x14ac:dyDescent="0.25">
      <c r="C59" t="s">
        <v>2163</v>
      </c>
      <c r="D59" t="s">
        <v>2036</v>
      </c>
      <c r="F59" t="s">
        <v>2164</v>
      </c>
      <c r="G59">
        <v>29353</v>
      </c>
      <c r="H59">
        <v>3351</v>
      </c>
      <c r="I59" s="25" t="s">
        <v>2074</v>
      </c>
      <c r="J59" t="s">
        <v>2096</v>
      </c>
      <c r="M59" s="49"/>
    </row>
    <row r="60" spans="3:13" x14ac:dyDescent="0.25">
      <c r="D60" t="s">
        <v>2165</v>
      </c>
      <c r="F60" t="s">
        <v>2166</v>
      </c>
      <c r="G60">
        <v>31708</v>
      </c>
      <c r="H60">
        <v>3257</v>
      </c>
      <c r="I60" s="25" t="s">
        <v>2074</v>
      </c>
      <c r="J60" t="s">
        <v>2167</v>
      </c>
      <c r="M60" s="49"/>
    </row>
    <row r="61" spans="3:13" x14ac:dyDescent="0.25">
      <c r="D61" t="s">
        <v>2168</v>
      </c>
      <c r="F61" t="s">
        <v>2169</v>
      </c>
      <c r="G61">
        <v>94345</v>
      </c>
      <c r="H61">
        <v>9278</v>
      </c>
      <c r="I61" s="25" t="s">
        <v>2050</v>
      </c>
      <c r="J61" t="s">
        <v>2170</v>
      </c>
      <c r="M61" s="49"/>
    </row>
    <row r="62" spans="3:13" x14ac:dyDescent="0.25">
      <c r="D62" t="s">
        <v>2139</v>
      </c>
      <c r="F62" t="s">
        <v>2171</v>
      </c>
      <c r="G62">
        <v>94527</v>
      </c>
      <c r="H62">
        <v>9271</v>
      </c>
      <c r="I62" s="25" t="s">
        <v>2050</v>
      </c>
      <c r="J62" t="s">
        <v>2172</v>
      </c>
      <c r="M62" s="49"/>
    </row>
    <row r="63" spans="3:13" x14ac:dyDescent="0.25">
      <c r="D63" t="s">
        <v>2173</v>
      </c>
      <c r="F63" t="s">
        <v>2174</v>
      </c>
      <c r="G63">
        <v>74744</v>
      </c>
      <c r="H63">
        <v>8128</v>
      </c>
      <c r="I63" s="25" t="s">
        <v>2018</v>
      </c>
      <c r="J63" t="s">
        <v>2175</v>
      </c>
      <c r="M63" s="49"/>
    </row>
    <row r="64" spans="3:13" x14ac:dyDescent="0.25">
      <c r="D64" t="s">
        <v>2176</v>
      </c>
      <c r="F64" t="s">
        <v>2174</v>
      </c>
      <c r="G64">
        <v>96482</v>
      </c>
      <c r="H64">
        <v>9473</v>
      </c>
      <c r="I64" s="25" t="s">
        <v>2050</v>
      </c>
      <c r="J64" t="s">
        <v>2177</v>
      </c>
      <c r="M64" s="49"/>
    </row>
    <row r="65" spans="3:13" x14ac:dyDescent="0.25">
      <c r="D65" t="s">
        <v>2178</v>
      </c>
      <c r="F65" t="s">
        <v>2179</v>
      </c>
      <c r="G65">
        <v>95491</v>
      </c>
      <c r="H65">
        <v>9472</v>
      </c>
      <c r="I65" s="25" t="s">
        <v>2050</v>
      </c>
      <c r="J65" t="s">
        <v>2180</v>
      </c>
      <c r="M65" s="49"/>
    </row>
    <row r="66" spans="3:13" x14ac:dyDescent="0.25">
      <c r="D66" t="s">
        <v>2181</v>
      </c>
      <c r="F66" t="s">
        <v>2182</v>
      </c>
      <c r="G66">
        <v>53506</v>
      </c>
      <c r="H66">
        <v>7131</v>
      </c>
      <c r="I66" s="25" t="s">
        <v>2123</v>
      </c>
      <c r="J66" t="s">
        <v>2022</v>
      </c>
      <c r="M66" s="49"/>
    </row>
    <row r="67" spans="3:13" x14ac:dyDescent="0.25">
      <c r="D67" t="s">
        <v>2183</v>
      </c>
      <c r="F67" t="s">
        <v>2184</v>
      </c>
      <c r="G67">
        <v>23623</v>
      </c>
      <c r="H67">
        <v>1055</v>
      </c>
      <c r="I67" s="25" t="s">
        <v>2085</v>
      </c>
      <c r="J67" t="s">
        <v>2185</v>
      </c>
      <c r="M67" s="49"/>
    </row>
    <row r="68" spans="3:13" x14ac:dyDescent="0.25">
      <c r="D68" t="s">
        <v>2186</v>
      </c>
      <c r="F68" t="s">
        <v>2187</v>
      </c>
      <c r="G68">
        <v>22926</v>
      </c>
      <c r="H68">
        <v>1062</v>
      </c>
      <c r="I68" s="25" t="s">
        <v>2085</v>
      </c>
      <c r="J68" t="s">
        <v>2188</v>
      </c>
      <c r="M68" s="49"/>
    </row>
    <row r="69" spans="3:13" x14ac:dyDescent="0.25">
      <c r="D69" t="s">
        <v>2189</v>
      </c>
      <c r="F69" t="s">
        <v>2190</v>
      </c>
      <c r="G69">
        <v>18320</v>
      </c>
      <c r="H69">
        <v>13073</v>
      </c>
      <c r="I69" s="25" t="s">
        <v>2191</v>
      </c>
      <c r="J69" t="s">
        <v>2192</v>
      </c>
      <c r="M69" s="49"/>
    </row>
    <row r="70" spans="3:13" x14ac:dyDescent="0.25">
      <c r="D70" t="s">
        <v>2193</v>
      </c>
      <c r="F70" t="s">
        <v>2194</v>
      </c>
      <c r="G70">
        <v>25853</v>
      </c>
      <c r="H70">
        <v>1054</v>
      </c>
      <c r="I70" s="25" t="s">
        <v>2085</v>
      </c>
      <c r="J70" t="s">
        <v>2195</v>
      </c>
      <c r="M70" s="49"/>
    </row>
    <row r="71" spans="3:13" x14ac:dyDescent="0.25">
      <c r="D71" t="s">
        <v>2196</v>
      </c>
      <c r="F71" t="s">
        <v>2197</v>
      </c>
      <c r="G71">
        <v>94529</v>
      </c>
      <c r="H71">
        <v>9275</v>
      </c>
      <c r="I71" s="25" t="s">
        <v>2050</v>
      </c>
      <c r="J71" t="s">
        <v>2198</v>
      </c>
      <c r="M71" s="49"/>
    </row>
    <row r="72" spans="3:13" x14ac:dyDescent="0.25">
      <c r="D72" t="s">
        <v>2199</v>
      </c>
      <c r="F72" t="s">
        <v>2200</v>
      </c>
      <c r="G72">
        <v>86551</v>
      </c>
      <c r="H72">
        <v>9771</v>
      </c>
      <c r="I72" s="25" t="s">
        <v>2050</v>
      </c>
      <c r="J72" t="s">
        <v>2120</v>
      </c>
      <c r="M72" s="49"/>
    </row>
    <row r="73" spans="3:13" x14ac:dyDescent="0.25">
      <c r="D73" t="s">
        <v>2201</v>
      </c>
      <c r="F73" t="s">
        <v>2202</v>
      </c>
      <c r="G73">
        <v>73101</v>
      </c>
      <c r="H73">
        <v>8117</v>
      </c>
      <c r="I73" s="25" t="s">
        <v>2018</v>
      </c>
      <c r="J73" t="s">
        <v>2089</v>
      </c>
      <c r="M73" s="49"/>
    </row>
    <row r="74" spans="3:13" x14ac:dyDescent="0.25">
      <c r="D74" t="s">
        <v>2203</v>
      </c>
      <c r="F74" t="s">
        <v>2204</v>
      </c>
      <c r="G74">
        <v>86479</v>
      </c>
      <c r="H74">
        <v>9774</v>
      </c>
      <c r="I74" s="25" t="s">
        <v>2050</v>
      </c>
      <c r="J74" t="s">
        <v>2205</v>
      </c>
      <c r="M74" s="49"/>
    </row>
    <row r="75" spans="3:13" x14ac:dyDescent="0.25">
      <c r="D75" t="s">
        <v>2206</v>
      </c>
      <c r="F75" t="s">
        <v>2207</v>
      </c>
      <c r="G75">
        <v>78733</v>
      </c>
      <c r="H75">
        <v>8325</v>
      </c>
      <c r="I75" s="25" t="s">
        <v>2018</v>
      </c>
      <c r="J75" t="s">
        <v>2208</v>
      </c>
      <c r="M75" s="49"/>
    </row>
    <row r="76" spans="3:13" x14ac:dyDescent="0.25">
      <c r="D76" t="s">
        <v>2209</v>
      </c>
      <c r="F76" t="s">
        <v>2210</v>
      </c>
      <c r="G76">
        <v>88317</v>
      </c>
      <c r="H76">
        <v>8436</v>
      </c>
      <c r="I76" s="25" t="s">
        <v>2018</v>
      </c>
      <c r="J76" t="s">
        <v>2068</v>
      </c>
      <c r="M76" s="49"/>
    </row>
    <row r="77" spans="3:13" x14ac:dyDescent="0.25">
      <c r="D77" t="s">
        <v>2211</v>
      </c>
      <c r="F77" t="s">
        <v>2212</v>
      </c>
      <c r="G77">
        <v>72631</v>
      </c>
      <c r="H77">
        <v>8116</v>
      </c>
      <c r="I77" s="25" t="s">
        <v>2018</v>
      </c>
      <c r="J77" t="s">
        <v>2213</v>
      </c>
      <c r="M77" s="49"/>
    </row>
    <row r="78" spans="3:13" x14ac:dyDescent="0.25">
      <c r="D78" t="s">
        <v>2214</v>
      </c>
      <c r="F78" t="s">
        <v>2215</v>
      </c>
      <c r="G78">
        <v>73773</v>
      </c>
      <c r="H78">
        <v>8116</v>
      </c>
      <c r="I78" s="25" t="s">
        <v>2018</v>
      </c>
      <c r="J78" t="s">
        <v>2213</v>
      </c>
      <c r="M78" s="49"/>
    </row>
    <row r="79" spans="3:13" x14ac:dyDescent="0.25">
      <c r="D79" t="s">
        <v>2216</v>
      </c>
      <c r="F79" t="s">
        <v>2217</v>
      </c>
      <c r="G79">
        <v>97491</v>
      </c>
      <c r="H79">
        <v>9674</v>
      </c>
      <c r="I79" s="25" t="s">
        <v>2050</v>
      </c>
      <c r="J79" t="s">
        <v>2218</v>
      </c>
      <c r="M79" s="49"/>
    </row>
    <row r="80" spans="3:13" x14ac:dyDescent="0.25">
      <c r="C80" t="s">
        <v>2219</v>
      </c>
      <c r="D80" t="s">
        <v>2220</v>
      </c>
      <c r="F80" t="s">
        <v>2221</v>
      </c>
      <c r="G80">
        <v>71134</v>
      </c>
      <c r="H80">
        <v>8115</v>
      </c>
      <c r="I80" s="25" t="s">
        <v>2018</v>
      </c>
      <c r="J80" t="s">
        <v>2222</v>
      </c>
      <c r="M80" s="49"/>
    </row>
    <row r="81" spans="3:13" x14ac:dyDescent="0.25">
      <c r="D81" t="s">
        <v>2223</v>
      </c>
      <c r="F81" t="s">
        <v>2224</v>
      </c>
      <c r="G81">
        <v>84089</v>
      </c>
      <c r="H81">
        <v>9273</v>
      </c>
      <c r="I81" s="25" t="s">
        <v>2050</v>
      </c>
      <c r="J81" t="s">
        <v>2054</v>
      </c>
      <c r="M81" s="49"/>
    </row>
    <row r="82" spans="3:13" x14ac:dyDescent="0.25">
      <c r="C82" t="s">
        <v>2225</v>
      </c>
      <c r="D82" t="s">
        <v>2150</v>
      </c>
      <c r="F82" t="s">
        <v>2226</v>
      </c>
      <c r="G82">
        <v>86447</v>
      </c>
      <c r="H82">
        <v>9771</v>
      </c>
      <c r="I82" s="25" t="s">
        <v>2050</v>
      </c>
      <c r="J82" t="s">
        <v>2120</v>
      </c>
      <c r="M82" s="49"/>
    </row>
    <row r="83" spans="3:13" x14ac:dyDescent="0.25">
      <c r="D83" t="s">
        <v>2227</v>
      </c>
      <c r="F83" t="s">
        <v>2228</v>
      </c>
      <c r="G83">
        <v>83404</v>
      </c>
      <c r="H83">
        <v>9172</v>
      </c>
      <c r="I83" s="25" t="s">
        <v>2050</v>
      </c>
      <c r="J83" t="s">
        <v>2042</v>
      </c>
      <c r="M83" s="49"/>
    </row>
    <row r="84" spans="3:13" x14ac:dyDescent="0.25">
      <c r="D84" t="s">
        <v>2229</v>
      </c>
      <c r="F84" t="s">
        <v>2230</v>
      </c>
      <c r="G84">
        <v>89344</v>
      </c>
      <c r="H84">
        <v>9773</v>
      </c>
      <c r="I84" s="25" t="s">
        <v>2050</v>
      </c>
      <c r="J84" t="s">
        <v>2231</v>
      </c>
      <c r="M84" s="49"/>
    </row>
    <row r="85" spans="3:13" x14ac:dyDescent="0.25">
      <c r="D85" t="s">
        <v>2232</v>
      </c>
      <c r="F85" t="s">
        <v>2233</v>
      </c>
      <c r="G85">
        <v>94330</v>
      </c>
      <c r="H85">
        <v>9278</v>
      </c>
      <c r="I85" s="25" t="s">
        <v>2050</v>
      </c>
      <c r="J85" t="s">
        <v>2170</v>
      </c>
      <c r="M85" s="49"/>
    </row>
    <row r="86" spans="3:13" x14ac:dyDescent="0.25">
      <c r="D86" t="s">
        <v>2234</v>
      </c>
      <c r="F86" t="s">
        <v>2235</v>
      </c>
      <c r="G86">
        <v>88319</v>
      </c>
      <c r="H86">
        <v>8436</v>
      </c>
      <c r="I86" s="25" t="s">
        <v>2018</v>
      </c>
      <c r="J86" t="s">
        <v>2068</v>
      </c>
      <c r="M86" s="49"/>
    </row>
    <row r="87" spans="3:13" x14ac:dyDescent="0.25">
      <c r="D87" t="s">
        <v>2129</v>
      </c>
      <c r="F87" t="s">
        <v>2236</v>
      </c>
      <c r="G87">
        <v>87648</v>
      </c>
      <c r="H87">
        <v>9777</v>
      </c>
      <c r="I87" s="25" t="s">
        <v>2050</v>
      </c>
      <c r="J87" t="s">
        <v>2237</v>
      </c>
      <c r="M87" s="49"/>
    </row>
    <row r="88" spans="3:13" x14ac:dyDescent="0.25">
      <c r="D88" t="s">
        <v>2238</v>
      </c>
      <c r="F88" t="s">
        <v>2236</v>
      </c>
      <c r="G88">
        <v>87648</v>
      </c>
      <c r="H88">
        <v>9777</v>
      </c>
      <c r="I88" s="25" t="s">
        <v>2050</v>
      </c>
      <c r="J88" t="s">
        <v>2237</v>
      </c>
      <c r="M88" s="49"/>
    </row>
    <row r="89" spans="3:13" x14ac:dyDescent="0.25">
      <c r="D89" t="s">
        <v>2239</v>
      </c>
      <c r="F89" t="s">
        <v>2240</v>
      </c>
      <c r="G89">
        <v>6385</v>
      </c>
      <c r="H89">
        <v>15082</v>
      </c>
      <c r="I89" s="25" t="s">
        <v>2241</v>
      </c>
      <c r="J89" t="s">
        <v>2242</v>
      </c>
      <c r="M89" s="49"/>
    </row>
    <row r="90" spans="3:13" x14ac:dyDescent="0.25">
      <c r="D90" t="s">
        <v>2243</v>
      </c>
      <c r="F90" t="s">
        <v>2244</v>
      </c>
      <c r="G90">
        <v>83544</v>
      </c>
      <c r="H90">
        <v>9187</v>
      </c>
      <c r="I90" s="25" t="s">
        <v>2050</v>
      </c>
      <c r="J90" t="s">
        <v>2245</v>
      </c>
      <c r="M90" s="49"/>
    </row>
    <row r="91" spans="3:13" x14ac:dyDescent="0.25">
      <c r="D91" t="s">
        <v>2246</v>
      </c>
      <c r="F91" t="s">
        <v>2247</v>
      </c>
      <c r="G91">
        <v>79774</v>
      </c>
      <c r="H91">
        <v>8337</v>
      </c>
      <c r="I91" s="25" t="s">
        <v>2018</v>
      </c>
      <c r="J91" t="s">
        <v>2248</v>
      </c>
      <c r="M91" s="49"/>
    </row>
    <row r="92" spans="3:13" x14ac:dyDescent="0.25">
      <c r="C92" t="s">
        <v>2249</v>
      </c>
      <c r="D92" t="s">
        <v>2091</v>
      </c>
      <c r="F92" t="s">
        <v>2250</v>
      </c>
      <c r="G92">
        <v>25767</v>
      </c>
      <c r="H92">
        <v>1051</v>
      </c>
      <c r="I92" s="25" t="s">
        <v>2085</v>
      </c>
      <c r="J92" t="s">
        <v>2097</v>
      </c>
      <c r="M92" s="49"/>
    </row>
    <row r="93" spans="3:13" x14ac:dyDescent="0.25">
      <c r="D93" t="s">
        <v>2251</v>
      </c>
      <c r="F93" t="s">
        <v>2250</v>
      </c>
      <c r="G93">
        <v>25767</v>
      </c>
      <c r="H93">
        <v>1058</v>
      </c>
      <c r="I93" s="25" t="s">
        <v>2085</v>
      </c>
      <c r="J93" t="s">
        <v>2086</v>
      </c>
      <c r="M93" s="49"/>
    </row>
    <row r="94" spans="3:13" x14ac:dyDescent="0.25">
      <c r="D94" t="s">
        <v>2252</v>
      </c>
      <c r="F94" t="s">
        <v>2253</v>
      </c>
      <c r="G94">
        <v>73095</v>
      </c>
      <c r="H94">
        <v>8117</v>
      </c>
      <c r="I94" s="25" t="s">
        <v>2018</v>
      </c>
      <c r="J94" t="s">
        <v>2089</v>
      </c>
      <c r="M94" s="49"/>
    </row>
    <row r="95" spans="3:13" x14ac:dyDescent="0.25">
      <c r="D95" t="s">
        <v>2254</v>
      </c>
      <c r="F95" t="s">
        <v>2255</v>
      </c>
      <c r="G95">
        <v>76857</v>
      </c>
      <c r="H95">
        <v>7337</v>
      </c>
      <c r="I95" s="25" t="s">
        <v>2123</v>
      </c>
      <c r="J95" t="s">
        <v>2256</v>
      </c>
      <c r="M95" s="49"/>
    </row>
    <row r="96" spans="3:13" x14ac:dyDescent="0.25">
      <c r="D96" t="s">
        <v>2257</v>
      </c>
      <c r="F96" t="s">
        <v>2258</v>
      </c>
      <c r="G96">
        <v>97320</v>
      </c>
      <c r="H96">
        <v>9675</v>
      </c>
      <c r="I96" s="25" t="s">
        <v>2050</v>
      </c>
      <c r="J96" t="s">
        <v>2259</v>
      </c>
      <c r="M96" s="49"/>
    </row>
    <row r="97" spans="3:13" x14ac:dyDescent="0.25">
      <c r="C97" t="s">
        <v>2260</v>
      </c>
      <c r="D97" t="s">
        <v>2032</v>
      </c>
      <c r="F97" t="s">
        <v>2258</v>
      </c>
      <c r="G97">
        <v>97320</v>
      </c>
      <c r="H97">
        <v>9675</v>
      </c>
      <c r="I97" s="25" t="s">
        <v>2050</v>
      </c>
      <c r="J97" t="s">
        <v>2259</v>
      </c>
      <c r="M97" s="49"/>
    </row>
    <row r="98" spans="3:13" x14ac:dyDescent="0.25">
      <c r="C98" t="s">
        <v>2261</v>
      </c>
      <c r="D98" t="s">
        <v>2100</v>
      </c>
      <c r="F98" t="s">
        <v>2258</v>
      </c>
      <c r="G98">
        <v>97320</v>
      </c>
      <c r="H98">
        <v>9675</v>
      </c>
      <c r="I98" s="25" t="s">
        <v>2050</v>
      </c>
      <c r="J98" t="s">
        <v>2259</v>
      </c>
      <c r="M98" s="49"/>
    </row>
    <row r="99" spans="3:13" x14ac:dyDescent="0.25">
      <c r="D99" t="s">
        <v>2262</v>
      </c>
      <c r="F99" t="s">
        <v>2263</v>
      </c>
      <c r="G99">
        <v>55234</v>
      </c>
      <c r="H99">
        <v>7331</v>
      </c>
      <c r="I99" s="25" t="s">
        <v>2123</v>
      </c>
      <c r="J99" t="s">
        <v>2029</v>
      </c>
      <c r="M99" s="49"/>
    </row>
    <row r="100" spans="3:13" x14ac:dyDescent="0.25">
      <c r="D100" t="s">
        <v>2264</v>
      </c>
      <c r="F100" t="s">
        <v>2263</v>
      </c>
      <c r="G100">
        <v>55234</v>
      </c>
      <c r="H100">
        <v>7331</v>
      </c>
      <c r="I100" s="25" t="s">
        <v>2123</v>
      </c>
      <c r="J100" t="s">
        <v>2029</v>
      </c>
      <c r="M100" s="49"/>
    </row>
    <row r="101" spans="3:13" x14ac:dyDescent="0.25">
      <c r="C101" t="s">
        <v>2265</v>
      </c>
      <c r="D101" t="s">
        <v>2091</v>
      </c>
      <c r="F101" t="s">
        <v>2266</v>
      </c>
      <c r="G101">
        <v>67308</v>
      </c>
      <c r="H101">
        <v>7333</v>
      </c>
      <c r="I101" s="25" t="s">
        <v>2123</v>
      </c>
      <c r="J101" t="s">
        <v>2103</v>
      </c>
      <c r="M101" s="49"/>
    </row>
    <row r="102" spans="3:13" x14ac:dyDescent="0.25">
      <c r="C102" t="s">
        <v>2267</v>
      </c>
      <c r="D102" t="s">
        <v>2091</v>
      </c>
      <c r="F102" t="s">
        <v>2268</v>
      </c>
      <c r="G102">
        <v>72458</v>
      </c>
      <c r="H102">
        <v>8417</v>
      </c>
      <c r="I102" s="25" t="s">
        <v>2018</v>
      </c>
      <c r="J102" t="s">
        <v>2269</v>
      </c>
      <c r="M102" s="49"/>
    </row>
    <row r="103" spans="3:13" x14ac:dyDescent="0.25">
      <c r="D103" t="s">
        <v>2270</v>
      </c>
      <c r="F103" t="s">
        <v>2268</v>
      </c>
      <c r="G103">
        <v>72459</v>
      </c>
      <c r="H103">
        <v>8417</v>
      </c>
      <c r="I103" s="25" t="s">
        <v>2018</v>
      </c>
      <c r="J103" t="s">
        <v>2269</v>
      </c>
      <c r="M103" s="49"/>
    </row>
    <row r="104" spans="3:13" x14ac:dyDescent="0.25">
      <c r="D104" t="s">
        <v>2271</v>
      </c>
      <c r="F104" t="s">
        <v>2268</v>
      </c>
      <c r="G104">
        <v>72461</v>
      </c>
      <c r="H104">
        <v>8417</v>
      </c>
      <c r="I104" s="25" t="s">
        <v>2018</v>
      </c>
      <c r="J104" t="s">
        <v>2269</v>
      </c>
      <c r="M104" s="49"/>
    </row>
    <row r="105" spans="3:13" x14ac:dyDescent="0.25">
      <c r="D105" t="s">
        <v>2195</v>
      </c>
      <c r="F105" t="s">
        <v>2272</v>
      </c>
      <c r="G105">
        <v>52457</v>
      </c>
      <c r="H105">
        <v>5358</v>
      </c>
      <c r="I105" s="25" t="s">
        <v>2023</v>
      </c>
      <c r="J105" t="s">
        <v>2106</v>
      </c>
      <c r="M105" s="49"/>
    </row>
    <row r="106" spans="3:13" x14ac:dyDescent="0.25">
      <c r="C106" t="s">
        <v>2273</v>
      </c>
      <c r="D106" t="s">
        <v>2192</v>
      </c>
      <c r="F106" t="s">
        <v>2274</v>
      </c>
      <c r="G106">
        <v>94501</v>
      </c>
      <c r="H106">
        <v>9275</v>
      </c>
      <c r="I106" s="25" t="s">
        <v>2050</v>
      </c>
      <c r="J106" t="s">
        <v>2198</v>
      </c>
      <c r="M106" s="49"/>
    </row>
    <row r="107" spans="3:13" x14ac:dyDescent="0.25">
      <c r="D107" t="s">
        <v>2275</v>
      </c>
      <c r="F107" t="s">
        <v>2276</v>
      </c>
      <c r="G107">
        <v>78554</v>
      </c>
      <c r="H107">
        <v>8327</v>
      </c>
      <c r="I107" s="25" t="s">
        <v>2018</v>
      </c>
      <c r="J107" t="s">
        <v>2277</v>
      </c>
      <c r="M107" s="49"/>
    </row>
    <row r="108" spans="3:13" x14ac:dyDescent="0.25">
      <c r="D108" t="s">
        <v>2278</v>
      </c>
      <c r="F108" t="s">
        <v>2279</v>
      </c>
      <c r="G108">
        <v>86733</v>
      </c>
      <c r="H108">
        <v>9779</v>
      </c>
      <c r="I108" s="25" t="s">
        <v>2050</v>
      </c>
      <c r="J108" t="s">
        <v>2280</v>
      </c>
      <c r="M108" s="49"/>
    </row>
    <row r="109" spans="3:13" x14ac:dyDescent="0.25">
      <c r="D109" t="s">
        <v>2281</v>
      </c>
      <c r="F109" t="s">
        <v>2282</v>
      </c>
      <c r="G109">
        <v>91793</v>
      </c>
      <c r="H109">
        <v>9577</v>
      </c>
      <c r="I109" s="25" t="s">
        <v>2050</v>
      </c>
      <c r="J109" t="s">
        <v>2057</v>
      </c>
      <c r="M109" s="49"/>
    </row>
    <row r="110" spans="3:13" x14ac:dyDescent="0.25">
      <c r="D110" t="s">
        <v>2283</v>
      </c>
      <c r="F110" t="s">
        <v>2284</v>
      </c>
      <c r="G110">
        <v>86480</v>
      </c>
      <c r="H110">
        <v>9774</v>
      </c>
      <c r="I110" s="25" t="s">
        <v>2050</v>
      </c>
      <c r="J110" t="s">
        <v>2205</v>
      </c>
      <c r="M110" s="49"/>
    </row>
    <row r="111" spans="3:13" x14ac:dyDescent="0.25">
      <c r="D111" t="s">
        <v>2285</v>
      </c>
      <c r="F111" t="s">
        <v>2286</v>
      </c>
      <c r="G111">
        <v>73553</v>
      </c>
      <c r="H111">
        <v>8119</v>
      </c>
      <c r="I111" s="25" t="s">
        <v>2018</v>
      </c>
      <c r="J111" t="s">
        <v>2287</v>
      </c>
      <c r="M111" s="49"/>
    </row>
    <row r="112" spans="3:13" x14ac:dyDescent="0.25">
      <c r="D112" t="s">
        <v>2288</v>
      </c>
      <c r="F112" t="s">
        <v>2286</v>
      </c>
      <c r="G112">
        <v>73553</v>
      </c>
      <c r="H112">
        <v>8136</v>
      </c>
      <c r="I112" s="25" t="s">
        <v>2018</v>
      </c>
      <c r="J112" t="s">
        <v>2039</v>
      </c>
      <c r="M112" s="49"/>
    </row>
    <row r="113" spans="3:13" x14ac:dyDescent="0.25">
      <c r="D113" t="s">
        <v>2289</v>
      </c>
      <c r="F113" t="s">
        <v>2290</v>
      </c>
      <c r="G113">
        <v>91236</v>
      </c>
      <c r="H113">
        <v>9574</v>
      </c>
      <c r="I113" s="25" t="s">
        <v>2050</v>
      </c>
      <c r="J113" t="s">
        <v>2291</v>
      </c>
      <c r="M113" s="49"/>
    </row>
    <row r="114" spans="3:13" x14ac:dyDescent="0.25">
      <c r="D114" t="s">
        <v>2292</v>
      </c>
      <c r="F114" t="s">
        <v>2293</v>
      </c>
      <c r="G114">
        <v>31061</v>
      </c>
      <c r="H114">
        <v>3254</v>
      </c>
      <c r="I114" s="25" t="s">
        <v>2074</v>
      </c>
      <c r="J114" t="s">
        <v>2196</v>
      </c>
      <c r="M114" s="49"/>
    </row>
    <row r="115" spans="3:13" x14ac:dyDescent="0.25">
      <c r="D115" t="s">
        <v>2237</v>
      </c>
      <c r="F115" t="s">
        <v>2294</v>
      </c>
      <c r="G115">
        <v>49594</v>
      </c>
      <c r="H115">
        <v>3459</v>
      </c>
      <c r="I115" s="25" t="s">
        <v>2074</v>
      </c>
      <c r="J115" t="s">
        <v>2292</v>
      </c>
      <c r="M115" s="49"/>
    </row>
    <row r="116" spans="3:13" x14ac:dyDescent="0.25">
      <c r="D116" t="s">
        <v>2295</v>
      </c>
      <c r="F116" t="s">
        <v>2296</v>
      </c>
      <c r="G116">
        <v>56828</v>
      </c>
      <c r="H116">
        <v>7135</v>
      </c>
      <c r="I116" s="25" t="s">
        <v>2123</v>
      </c>
      <c r="J116" t="s">
        <v>2072</v>
      </c>
      <c r="M116" s="49"/>
    </row>
    <row r="117" spans="3:13" x14ac:dyDescent="0.25">
      <c r="D117" t="s">
        <v>2185</v>
      </c>
      <c r="F117" t="s">
        <v>2297</v>
      </c>
      <c r="G117">
        <v>53347</v>
      </c>
      <c r="H117">
        <v>5382</v>
      </c>
      <c r="I117" s="25" t="s">
        <v>2023</v>
      </c>
      <c r="J117" t="s">
        <v>2298</v>
      </c>
      <c r="M117" s="49"/>
    </row>
    <row r="118" spans="3:13" x14ac:dyDescent="0.25">
      <c r="D118" t="s">
        <v>2299</v>
      </c>
      <c r="F118" t="s">
        <v>2300</v>
      </c>
      <c r="G118">
        <v>31191</v>
      </c>
      <c r="H118">
        <v>3254</v>
      </c>
      <c r="I118" s="25" t="s">
        <v>2074</v>
      </c>
      <c r="J118" t="s">
        <v>2196</v>
      </c>
      <c r="M118" s="49"/>
    </row>
    <row r="119" spans="3:13" x14ac:dyDescent="0.25">
      <c r="C119" t="s">
        <v>2301</v>
      </c>
      <c r="D119" t="s">
        <v>2160</v>
      </c>
      <c r="F119" t="s">
        <v>2302</v>
      </c>
      <c r="G119">
        <v>36211</v>
      </c>
      <c r="H119">
        <v>6632</v>
      </c>
      <c r="I119" s="25" t="s">
        <v>2046</v>
      </c>
      <c r="J119" t="s">
        <v>2303</v>
      </c>
      <c r="M119" s="49"/>
    </row>
    <row r="120" spans="3:13" x14ac:dyDescent="0.25">
      <c r="D120" t="s">
        <v>2304</v>
      </c>
      <c r="F120" t="s">
        <v>2305</v>
      </c>
      <c r="G120">
        <v>35469</v>
      </c>
      <c r="H120">
        <v>6531</v>
      </c>
      <c r="I120" s="25" t="s">
        <v>2046</v>
      </c>
      <c r="J120" t="s">
        <v>2306</v>
      </c>
      <c r="M120" s="49"/>
    </row>
    <row r="121" spans="3:13" x14ac:dyDescent="0.25">
      <c r="C121" t="s">
        <v>2307</v>
      </c>
      <c r="D121" t="s">
        <v>2234</v>
      </c>
      <c r="F121" t="s">
        <v>2305</v>
      </c>
      <c r="G121">
        <v>35108</v>
      </c>
      <c r="H121">
        <v>6635</v>
      </c>
      <c r="I121" s="25" t="s">
        <v>2046</v>
      </c>
      <c r="J121" t="s">
        <v>2308</v>
      </c>
      <c r="M121" s="49"/>
    </row>
    <row r="122" spans="3:13" x14ac:dyDescent="0.25">
      <c r="D122" t="s">
        <v>2309</v>
      </c>
      <c r="F122" t="s">
        <v>2310</v>
      </c>
      <c r="G122">
        <v>78476</v>
      </c>
      <c r="H122">
        <v>8335</v>
      </c>
      <c r="I122" s="25" t="s">
        <v>2018</v>
      </c>
      <c r="J122" t="s">
        <v>2019</v>
      </c>
      <c r="M122" s="49"/>
    </row>
    <row r="123" spans="3:13" x14ac:dyDescent="0.25">
      <c r="D123" t="s">
        <v>2311</v>
      </c>
      <c r="F123" t="s">
        <v>2312</v>
      </c>
      <c r="G123">
        <v>90584</v>
      </c>
      <c r="H123">
        <v>9576</v>
      </c>
      <c r="I123" s="25" t="s">
        <v>2050</v>
      </c>
      <c r="J123" t="s">
        <v>2051</v>
      </c>
      <c r="M123" s="49"/>
    </row>
    <row r="124" spans="3:13" x14ac:dyDescent="0.25">
      <c r="D124" t="s">
        <v>2313</v>
      </c>
      <c r="F124" t="s">
        <v>2314</v>
      </c>
      <c r="G124">
        <v>85391</v>
      </c>
      <c r="H124">
        <v>9178</v>
      </c>
      <c r="I124" s="25" t="s">
        <v>2050</v>
      </c>
      <c r="J124" t="s">
        <v>2315</v>
      </c>
      <c r="M124" s="49"/>
    </row>
    <row r="125" spans="3:13" x14ac:dyDescent="0.25">
      <c r="D125" t="s">
        <v>2316</v>
      </c>
      <c r="F125" t="s">
        <v>2317</v>
      </c>
      <c r="G125">
        <v>82239</v>
      </c>
      <c r="H125">
        <v>9179</v>
      </c>
      <c r="I125" s="25" t="s">
        <v>2050</v>
      </c>
      <c r="J125" t="s">
        <v>2111</v>
      </c>
      <c r="M125" s="49"/>
    </row>
    <row r="126" spans="3:13" x14ac:dyDescent="0.25">
      <c r="D126" t="s">
        <v>2318</v>
      </c>
      <c r="F126" t="s">
        <v>2319</v>
      </c>
      <c r="G126">
        <v>89604</v>
      </c>
      <c r="H126">
        <v>8425</v>
      </c>
      <c r="I126" s="25" t="s">
        <v>2018</v>
      </c>
      <c r="J126" t="s">
        <v>2027</v>
      </c>
      <c r="M126" s="49"/>
    </row>
    <row r="127" spans="3:13" x14ac:dyDescent="0.25">
      <c r="D127" t="s">
        <v>2078</v>
      </c>
      <c r="F127" t="s">
        <v>2319</v>
      </c>
      <c r="G127">
        <v>89604</v>
      </c>
      <c r="H127">
        <v>8425</v>
      </c>
      <c r="I127" s="25" t="s">
        <v>2018</v>
      </c>
      <c r="J127" t="s">
        <v>2027</v>
      </c>
      <c r="M127" s="49"/>
    </row>
    <row r="128" spans="3:13" x14ac:dyDescent="0.25">
      <c r="C128" t="s">
        <v>2320</v>
      </c>
      <c r="D128" t="s">
        <v>2321</v>
      </c>
      <c r="F128" t="s">
        <v>2322</v>
      </c>
      <c r="G128">
        <v>71573</v>
      </c>
      <c r="H128">
        <v>8119</v>
      </c>
      <c r="I128" s="25" t="s">
        <v>2018</v>
      </c>
      <c r="J128" t="s">
        <v>2287</v>
      </c>
      <c r="M128" s="49"/>
    </row>
    <row r="129" spans="3:13" x14ac:dyDescent="0.25">
      <c r="D129" t="s">
        <v>2086</v>
      </c>
      <c r="F129" t="s">
        <v>2323</v>
      </c>
      <c r="G129">
        <v>6542</v>
      </c>
      <c r="H129">
        <v>15087</v>
      </c>
      <c r="I129" s="25" t="s">
        <v>2241</v>
      </c>
      <c r="J129" t="s">
        <v>2324</v>
      </c>
      <c r="M129" s="49"/>
    </row>
    <row r="130" spans="3:13" x14ac:dyDescent="0.25">
      <c r="D130" t="s">
        <v>2325</v>
      </c>
      <c r="F130" t="s">
        <v>2323</v>
      </c>
      <c r="G130">
        <v>6542</v>
      </c>
      <c r="H130">
        <v>15087</v>
      </c>
      <c r="I130" s="25" t="s">
        <v>2241</v>
      </c>
      <c r="J130" t="s">
        <v>2324</v>
      </c>
      <c r="M130" s="49"/>
    </row>
    <row r="131" spans="3:13" x14ac:dyDescent="0.25">
      <c r="D131" t="s">
        <v>2326</v>
      </c>
      <c r="F131" t="s">
        <v>2327</v>
      </c>
      <c r="G131">
        <v>46519</v>
      </c>
      <c r="H131">
        <v>5170</v>
      </c>
      <c r="I131" s="25" t="s">
        <v>2023</v>
      </c>
      <c r="J131" t="s">
        <v>2328</v>
      </c>
      <c r="M131" s="49"/>
    </row>
    <row r="132" spans="3:13" x14ac:dyDescent="0.25">
      <c r="D132" t="s">
        <v>2329</v>
      </c>
      <c r="F132" t="s">
        <v>2330</v>
      </c>
      <c r="G132">
        <v>57642</v>
      </c>
      <c r="H132">
        <v>7143</v>
      </c>
      <c r="I132" s="25" t="s">
        <v>2123</v>
      </c>
      <c r="J132" t="s">
        <v>2331</v>
      </c>
      <c r="M132" s="49"/>
    </row>
    <row r="133" spans="3:13" x14ac:dyDescent="0.25">
      <c r="C133" t="s">
        <v>2332</v>
      </c>
      <c r="D133" t="s">
        <v>2333</v>
      </c>
      <c r="F133" t="s">
        <v>2330</v>
      </c>
      <c r="G133">
        <v>57642</v>
      </c>
      <c r="H133">
        <v>7143</v>
      </c>
      <c r="I133" s="25" t="s">
        <v>2123</v>
      </c>
      <c r="J133" t="s">
        <v>2331</v>
      </c>
      <c r="M133" s="49"/>
    </row>
    <row r="134" spans="3:13" x14ac:dyDescent="0.25">
      <c r="C134" t="s">
        <v>2334</v>
      </c>
      <c r="D134" t="s">
        <v>2251</v>
      </c>
      <c r="F134" t="s">
        <v>2335</v>
      </c>
      <c r="G134">
        <v>72275</v>
      </c>
      <c r="H134">
        <v>8237</v>
      </c>
      <c r="I134" s="25" t="s">
        <v>2018</v>
      </c>
      <c r="J134" t="s">
        <v>2336</v>
      </c>
      <c r="M134" s="49"/>
    </row>
    <row r="135" spans="3:13" x14ac:dyDescent="0.25">
      <c r="D135" t="s">
        <v>2036</v>
      </c>
      <c r="F135" t="s">
        <v>2337</v>
      </c>
      <c r="G135">
        <v>64665</v>
      </c>
      <c r="H135">
        <v>6432</v>
      </c>
      <c r="I135" s="25" t="s">
        <v>2046</v>
      </c>
      <c r="J135" t="s">
        <v>2338</v>
      </c>
      <c r="M135" s="49"/>
    </row>
    <row r="136" spans="3:13" x14ac:dyDescent="0.25">
      <c r="D136" t="s">
        <v>2339</v>
      </c>
      <c r="F136" t="s">
        <v>2340</v>
      </c>
      <c r="G136">
        <v>52477</v>
      </c>
      <c r="H136">
        <v>5334</v>
      </c>
      <c r="I136" s="25" t="s">
        <v>2023</v>
      </c>
      <c r="J136" t="s">
        <v>2341</v>
      </c>
      <c r="M136" s="49"/>
    </row>
    <row r="137" spans="3:13" x14ac:dyDescent="0.25">
      <c r="C137" t="s">
        <v>2342</v>
      </c>
      <c r="D137" t="s">
        <v>2192</v>
      </c>
      <c r="F137" t="s">
        <v>2343</v>
      </c>
      <c r="G137">
        <v>67821</v>
      </c>
      <c r="H137">
        <v>7333</v>
      </c>
      <c r="I137" s="25" t="s">
        <v>2123</v>
      </c>
      <c r="J137" t="s">
        <v>2103</v>
      </c>
      <c r="M137" s="49"/>
    </row>
    <row r="138" spans="3:13" x14ac:dyDescent="0.25">
      <c r="D138" t="s">
        <v>2344</v>
      </c>
      <c r="F138" t="s">
        <v>2345</v>
      </c>
      <c r="G138">
        <v>36304</v>
      </c>
      <c r="H138">
        <v>6535</v>
      </c>
      <c r="I138" s="25" t="s">
        <v>2046</v>
      </c>
      <c r="J138" t="s">
        <v>2346</v>
      </c>
      <c r="M138" s="49"/>
    </row>
    <row r="139" spans="3:13" x14ac:dyDescent="0.25">
      <c r="D139" t="s">
        <v>2347</v>
      </c>
      <c r="F139" t="s">
        <v>2348</v>
      </c>
      <c r="G139">
        <v>67577</v>
      </c>
      <c r="H139">
        <v>7331</v>
      </c>
      <c r="I139" s="25" t="s">
        <v>2123</v>
      </c>
      <c r="J139" t="s">
        <v>2029</v>
      </c>
      <c r="M139" s="49"/>
    </row>
    <row r="140" spans="3:13" x14ac:dyDescent="0.25">
      <c r="D140" t="s">
        <v>2349</v>
      </c>
      <c r="F140" t="s">
        <v>2350</v>
      </c>
      <c r="G140">
        <v>6425</v>
      </c>
      <c r="H140">
        <v>15089</v>
      </c>
      <c r="I140" s="25" t="s">
        <v>2241</v>
      </c>
      <c r="J140" t="s">
        <v>2351</v>
      </c>
      <c r="M140" s="49"/>
    </row>
    <row r="141" spans="3:13" x14ac:dyDescent="0.25">
      <c r="D141" t="s">
        <v>2351</v>
      </c>
      <c r="F141" t="s">
        <v>2352</v>
      </c>
      <c r="G141">
        <v>24791</v>
      </c>
      <c r="H141">
        <v>1058</v>
      </c>
      <c r="I141" s="25" t="s">
        <v>2085</v>
      </c>
      <c r="J141" t="s">
        <v>2086</v>
      </c>
      <c r="M141" s="49"/>
    </row>
    <row r="142" spans="3:13" x14ac:dyDescent="0.25">
      <c r="D142" t="s">
        <v>2167</v>
      </c>
      <c r="F142" t="s">
        <v>2353</v>
      </c>
      <c r="G142">
        <v>73776</v>
      </c>
      <c r="H142">
        <v>8116</v>
      </c>
      <c r="I142" s="25" t="s">
        <v>2018</v>
      </c>
      <c r="J142" t="s">
        <v>2213</v>
      </c>
      <c r="M142" s="49"/>
    </row>
    <row r="143" spans="3:13" x14ac:dyDescent="0.25">
      <c r="D143" t="s">
        <v>2354</v>
      </c>
      <c r="F143" t="s">
        <v>2355</v>
      </c>
      <c r="G143">
        <v>3229</v>
      </c>
      <c r="H143">
        <v>12066</v>
      </c>
      <c r="I143" s="25" t="s">
        <v>2356</v>
      </c>
      <c r="J143" t="s">
        <v>2357</v>
      </c>
      <c r="M143" s="49"/>
    </row>
    <row r="144" spans="3:13" x14ac:dyDescent="0.25">
      <c r="D144" t="s">
        <v>2358</v>
      </c>
      <c r="F144" t="s">
        <v>2359</v>
      </c>
      <c r="G144">
        <v>71155</v>
      </c>
      <c r="H144">
        <v>8115</v>
      </c>
      <c r="I144" s="25" t="s">
        <v>2018</v>
      </c>
      <c r="J144" t="s">
        <v>2222</v>
      </c>
      <c r="M144" s="49"/>
    </row>
    <row r="145" spans="3:13" x14ac:dyDescent="0.25">
      <c r="D145" t="s">
        <v>2360</v>
      </c>
      <c r="F145" t="s">
        <v>2359</v>
      </c>
      <c r="G145">
        <v>72655</v>
      </c>
      <c r="H145">
        <v>8116</v>
      </c>
      <c r="I145" s="25" t="s">
        <v>2018</v>
      </c>
      <c r="J145" t="s">
        <v>2213</v>
      </c>
      <c r="M145" s="49"/>
    </row>
    <row r="146" spans="3:13" x14ac:dyDescent="0.25">
      <c r="D146" t="s">
        <v>2361</v>
      </c>
      <c r="F146" t="s">
        <v>2362</v>
      </c>
      <c r="G146">
        <v>90518</v>
      </c>
      <c r="H146">
        <v>9574</v>
      </c>
      <c r="I146" s="25" t="s">
        <v>2050</v>
      </c>
      <c r="J146" t="s">
        <v>2291</v>
      </c>
      <c r="M146" s="49"/>
    </row>
    <row r="147" spans="3:13" x14ac:dyDescent="0.25">
      <c r="D147" t="s">
        <v>2363</v>
      </c>
      <c r="F147" t="s">
        <v>2364</v>
      </c>
      <c r="G147">
        <v>93087</v>
      </c>
      <c r="H147">
        <v>9375</v>
      </c>
      <c r="I147" s="25" t="s">
        <v>2050</v>
      </c>
      <c r="J147" t="s">
        <v>2365</v>
      </c>
      <c r="M147" s="49"/>
    </row>
    <row r="148" spans="3:13" x14ac:dyDescent="0.25">
      <c r="D148" t="s">
        <v>2366</v>
      </c>
      <c r="F148" t="s">
        <v>2367</v>
      </c>
      <c r="G148">
        <v>58762</v>
      </c>
      <c r="H148">
        <v>5962</v>
      </c>
      <c r="I148" s="25" t="s">
        <v>2023</v>
      </c>
      <c r="J148" t="s">
        <v>2239</v>
      </c>
      <c r="M148" s="49"/>
    </row>
    <row r="149" spans="3:13" x14ac:dyDescent="0.25">
      <c r="D149" t="s">
        <v>2368</v>
      </c>
      <c r="F149" t="s">
        <v>2369</v>
      </c>
      <c r="G149">
        <v>53505</v>
      </c>
      <c r="H149">
        <v>7131</v>
      </c>
      <c r="I149" s="25" t="s">
        <v>2123</v>
      </c>
      <c r="J149" t="s">
        <v>2022</v>
      </c>
      <c r="M149" s="49"/>
    </row>
    <row r="150" spans="3:13" x14ac:dyDescent="0.25">
      <c r="C150" t="s">
        <v>2370</v>
      </c>
      <c r="D150" t="s">
        <v>2371</v>
      </c>
      <c r="F150" t="s">
        <v>2372</v>
      </c>
      <c r="G150">
        <v>38707</v>
      </c>
      <c r="H150">
        <v>3153</v>
      </c>
      <c r="I150" s="25" t="s">
        <v>2074</v>
      </c>
      <c r="J150" t="s">
        <v>2152</v>
      </c>
      <c r="M150" s="49"/>
    </row>
    <row r="151" spans="3:13" x14ac:dyDescent="0.25">
      <c r="D151" t="s">
        <v>2373</v>
      </c>
      <c r="F151" t="s">
        <v>2374</v>
      </c>
      <c r="G151">
        <v>33184</v>
      </c>
      <c r="H151">
        <v>5774</v>
      </c>
      <c r="I151" s="25" t="s">
        <v>2023</v>
      </c>
      <c r="J151" t="s">
        <v>2304</v>
      </c>
      <c r="M151" s="49"/>
    </row>
    <row r="152" spans="3:13" x14ac:dyDescent="0.25">
      <c r="D152" t="s">
        <v>2375</v>
      </c>
      <c r="F152" t="s">
        <v>2376</v>
      </c>
      <c r="G152">
        <v>1773</v>
      </c>
      <c r="H152">
        <v>14628</v>
      </c>
      <c r="I152" s="25" t="s">
        <v>2135</v>
      </c>
      <c r="J152" t="s">
        <v>2347</v>
      </c>
      <c r="M152" s="49"/>
    </row>
    <row r="153" spans="3:13" x14ac:dyDescent="0.25">
      <c r="D153" t="s">
        <v>2158</v>
      </c>
      <c r="F153" t="s">
        <v>2376</v>
      </c>
      <c r="G153">
        <v>1778</v>
      </c>
      <c r="H153">
        <v>14628</v>
      </c>
      <c r="I153" s="25" t="s">
        <v>2135</v>
      </c>
      <c r="J153" t="s">
        <v>2347</v>
      </c>
      <c r="M153" s="49"/>
    </row>
    <row r="154" spans="3:13" x14ac:dyDescent="0.25">
      <c r="D154" t="s">
        <v>2377</v>
      </c>
      <c r="F154" t="s">
        <v>2378</v>
      </c>
      <c r="G154">
        <v>48341</v>
      </c>
      <c r="H154">
        <v>5566</v>
      </c>
      <c r="I154" s="25" t="s">
        <v>2023</v>
      </c>
      <c r="J154" t="s">
        <v>2379</v>
      </c>
      <c r="M154" s="49"/>
    </row>
    <row r="155" spans="3:13" x14ac:dyDescent="0.25">
      <c r="D155" t="s">
        <v>2379</v>
      </c>
      <c r="F155" t="s">
        <v>2380</v>
      </c>
      <c r="G155">
        <v>97901</v>
      </c>
      <c r="H155">
        <v>9676</v>
      </c>
      <c r="I155" s="25" t="s">
        <v>2050</v>
      </c>
      <c r="J155" t="s">
        <v>2381</v>
      </c>
      <c r="M155" s="49"/>
    </row>
    <row r="156" spans="3:13" x14ac:dyDescent="0.25">
      <c r="D156" t="s">
        <v>2382</v>
      </c>
      <c r="F156" t="s">
        <v>2383</v>
      </c>
      <c r="G156">
        <v>4600</v>
      </c>
      <c r="H156">
        <v>16077</v>
      </c>
      <c r="I156" s="25" t="s">
        <v>2384</v>
      </c>
      <c r="J156" t="s">
        <v>2385</v>
      </c>
      <c r="M156" s="49"/>
    </row>
    <row r="157" spans="3:13" x14ac:dyDescent="0.25">
      <c r="C157" t="s">
        <v>2386</v>
      </c>
      <c r="D157" t="s">
        <v>2032</v>
      </c>
      <c r="F157" t="s">
        <v>2387</v>
      </c>
      <c r="G157">
        <v>65624</v>
      </c>
      <c r="H157">
        <v>7141</v>
      </c>
      <c r="I157" s="25" t="s">
        <v>2123</v>
      </c>
      <c r="J157" t="s">
        <v>2388</v>
      </c>
      <c r="M157" s="49"/>
    </row>
    <row r="158" spans="3:13" x14ac:dyDescent="0.25">
      <c r="D158" t="s">
        <v>2188</v>
      </c>
      <c r="F158" t="s">
        <v>2389</v>
      </c>
      <c r="G158">
        <v>92540</v>
      </c>
      <c r="H158">
        <v>9376</v>
      </c>
      <c r="I158" s="25" t="s">
        <v>2050</v>
      </c>
      <c r="J158" t="s">
        <v>2390</v>
      </c>
      <c r="M158" s="49"/>
    </row>
    <row r="159" spans="3:13" x14ac:dyDescent="0.25">
      <c r="C159" t="s">
        <v>2391</v>
      </c>
      <c r="D159" t="s">
        <v>2192</v>
      </c>
      <c r="F159" t="s">
        <v>2389</v>
      </c>
      <c r="G159">
        <v>96146</v>
      </c>
      <c r="H159">
        <v>9471</v>
      </c>
      <c r="I159" s="25" t="s">
        <v>2050</v>
      </c>
      <c r="J159" t="s">
        <v>2392</v>
      </c>
      <c r="M159" s="49"/>
    </row>
    <row r="160" spans="3:13" x14ac:dyDescent="0.25">
      <c r="D160" t="s">
        <v>2393</v>
      </c>
      <c r="F160" t="s">
        <v>2394</v>
      </c>
      <c r="G160">
        <v>66885</v>
      </c>
      <c r="H160">
        <v>7336</v>
      </c>
      <c r="I160" s="25" t="s">
        <v>2123</v>
      </c>
      <c r="J160" t="s">
        <v>2216</v>
      </c>
      <c r="M160" s="49"/>
    </row>
    <row r="161" spans="3:13" x14ac:dyDescent="0.25">
      <c r="D161" t="s">
        <v>2395</v>
      </c>
      <c r="F161" t="s">
        <v>2396</v>
      </c>
      <c r="G161">
        <v>24161</v>
      </c>
      <c r="H161">
        <v>1058</v>
      </c>
      <c r="I161" s="25" t="s">
        <v>2085</v>
      </c>
      <c r="J161" t="s">
        <v>2086</v>
      </c>
      <c r="M161" s="49"/>
    </row>
    <row r="162" spans="3:13" x14ac:dyDescent="0.25">
      <c r="D162" t="s">
        <v>2397</v>
      </c>
      <c r="F162" t="s">
        <v>2398</v>
      </c>
      <c r="G162">
        <v>66903</v>
      </c>
      <c r="H162">
        <v>7336</v>
      </c>
      <c r="I162" s="25" t="s">
        <v>2123</v>
      </c>
      <c r="J162" t="s">
        <v>2216</v>
      </c>
      <c r="M162" s="49"/>
    </row>
    <row r="163" spans="3:13" x14ac:dyDescent="0.25">
      <c r="C163" t="s">
        <v>2399</v>
      </c>
      <c r="D163" t="s">
        <v>2160</v>
      </c>
      <c r="F163" t="s">
        <v>2398</v>
      </c>
      <c r="G163">
        <v>66903</v>
      </c>
      <c r="H163">
        <v>7336</v>
      </c>
      <c r="I163" s="25" t="s">
        <v>2123</v>
      </c>
      <c r="J163" t="s">
        <v>2216</v>
      </c>
      <c r="M163" s="49"/>
    </row>
    <row r="164" spans="3:13" x14ac:dyDescent="0.25">
      <c r="D164" t="s">
        <v>2400</v>
      </c>
      <c r="F164" t="s">
        <v>2401</v>
      </c>
      <c r="G164">
        <v>57610</v>
      </c>
      <c r="H164">
        <v>7132</v>
      </c>
      <c r="I164" s="25" t="s">
        <v>2123</v>
      </c>
      <c r="J164" t="s">
        <v>2401</v>
      </c>
      <c r="M164" s="49"/>
    </row>
    <row r="165" spans="3:13" x14ac:dyDescent="0.25">
      <c r="D165" t="s">
        <v>2402</v>
      </c>
      <c r="F165" t="s">
        <v>2403</v>
      </c>
      <c r="G165">
        <v>96264</v>
      </c>
      <c r="H165">
        <v>9478</v>
      </c>
      <c r="I165" s="25" t="s">
        <v>2050</v>
      </c>
      <c r="J165" t="s">
        <v>2404</v>
      </c>
      <c r="M165" s="49"/>
    </row>
    <row r="166" spans="3:13" x14ac:dyDescent="0.25">
      <c r="D166" t="s">
        <v>2405</v>
      </c>
      <c r="F166" t="s">
        <v>2406</v>
      </c>
      <c r="G166">
        <v>83352</v>
      </c>
      <c r="H166">
        <v>9189</v>
      </c>
      <c r="I166" s="25" t="s">
        <v>2050</v>
      </c>
      <c r="J166" t="s">
        <v>2407</v>
      </c>
      <c r="M166" s="49"/>
    </row>
    <row r="167" spans="3:13" x14ac:dyDescent="0.25">
      <c r="D167" t="s">
        <v>2408</v>
      </c>
      <c r="F167" t="s">
        <v>2409</v>
      </c>
      <c r="G167">
        <v>29575</v>
      </c>
      <c r="H167">
        <v>3360</v>
      </c>
      <c r="I167" s="25" t="s">
        <v>2074</v>
      </c>
      <c r="J167" t="s">
        <v>2400</v>
      </c>
      <c r="M167" s="49"/>
    </row>
    <row r="168" spans="3:13" x14ac:dyDescent="0.25">
      <c r="C168" t="s">
        <v>2410</v>
      </c>
      <c r="D168" t="s">
        <v>2075</v>
      </c>
      <c r="F168" t="s">
        <v>2411</v>
      </c>
      <c r="G168">
        <v>86450</v>
      </c>
      <c r="H168">
        <v>9772</v>
      </c>
      <c r="I168" s="25" t="s">
        <v>2050</v>
      </c>
      <c r="J168" t="s">
        <v>2117</v>
      </c>
      <c r="M168" s="49"/>
    </row>
    <row r="169" spans="3:13" x14ac:dyDescent="0.25">
      <c r="D169" t="s">
        <v>2412</v>
      </c>
      <c r="F169" t="s">
        <v>2413</v>
      </c>
      <c r="G169">
        <v>72657</v>
      </c>
      <c r="H169">
        <v>8116</v>
      </c>
      <c r="I169" s="25" t="s">
        <v>2018</v>
      </c>
      <c r="J169" t="s">
        <v>2213</v>
      </c>
      <c r="M169" s="49"/>
    </row>
    <row r="170" spans="3:13" x14ac:dyDescent="0.25">
      <c r="D170" t="s">
        <v>2346</v>
      </c>
      <c r="F170" t="s">
        <v>2413</v>
      </c>
      <c r="G170">
        <v>72657</v>
      </c>
      <c r="H170">
        <v>8116</v>
      </c>
      <c r="I170" s="25" t="s">
        <v>2018</v>
      </c>
      <c r="J170" t="s">
        <v>2213</v>
      </c>
      <c r="M170" s="49"/>
    </row>
    <row r="171" spans="3:13" x14ac:dyDescent="0.25">
      <c r="D171" t="s">
        <v>2136</v>
      </c>
      <c r="F171" t="s">
        <v>2414</v>
      </c>
      <c r="G171">
        <v>63674</v>
      </c>
      <c r="H171">
        <v>6440</v>
      </c>
      <c r="I171" s="25" t="s">
        <v>2046</v>
      </c>
      <c r="J171" t="s">
        <v>2415</v>
      </c>
      <c r="M171" s="49"/>
    </row>
    <row r="172" spans="3:13" x14ac:dyDescent="0.25">
      <c r="D172" t="s">
        <v>2416</v>
      </c>
      <c r="F172" t="s">
        <v>2414</v>
      </c>
      <c r="G172">
        <v>86972</v>
      </c>
      <c r="H172">
        <v>9190</v>
      </c>
      <c r="I172" s="25" t="s">
        <v>2050</v>
      </c>
      <c r="J172" t="s">
        <v>2417</v>
      </c>
      <c r="M172" s="49"/>
    </row>
    <row r="173" spans="3:13" x14ac:dyDescent="0.25">
      <c r="D173" t="s">
        <v>2308</v>
      </c>
      <c r="F173" t="s">
        <v>2414</v>
      </c>
      <c r="G173">
        <v>89281</v>
      </c>
      <c r="H173">
        <v>9775</v>
      </c>
      <c r="I173" s="25" t="s">
        <v>2050</v>
      </c>
      <c r="J173" t="s">
        <v>2418</v>
      </c>
      <c r="M173" s="49"/>
    </row>
    <row r="174" spans="3:13" x14ac:dyDescent="0.25">
      <c r="D174" t="s">
        <v>2248</v>
      </c>
      <c r="F174" t="s">
        <v>2419</v>
      </c>
      <c r="G174">
        <v>92665</v>
      </c>
      <c r="H174">
        <v>9374</v>
      </c>
      <c r="I174" s="25" t="s">
        <v>2050</v>
      </c>
      <c r="J174" t="s">
        <v>2420</v>
      </c>
      <c r="M174" s="49"/>
    </row>
    <row r="175" spans="3:13" x14ac:dyDescent="0.25">
      <c r="D175" t="s">
        <v>2154</v>
      </c>
      <c r="F175" t="s">
        <v>2421</v>
      </c>
      <c r="G175">
        <v>72213</v>
      </c>
      <c r="H175">
        <v>8235</v>
      </c>
      <c r="I175" s="25" t="s">
        <v>2018</v>
      </c>
      <c r="J175" t="s">
        <v>2422</v>
      </c>
      <c r="M175" s="49"/>
    </row>
    <row r="176" spans="3:13" x14ac:dyDescent="0.25">
      <c r="C176" t="s">
        <v>2423</v>
      </c>
      <c r="D176" t="s">
        <v>2347</v>
      </c>
      <c r="F176" t="s">
        <v>2424</v>
      </c>
      <c r="G176">
        <v>93177</v>
      </c>
      <c r="H176">
        <v>9375</v>
      </c>
      <c r="I176" s="25" t="s">
        <v>2050</v>
      </c>
      <c r="J176" t="s">
        <v>2365</v>
      </c>
      <c r="M176" s="49"/>
    </row>
    <row r="177" spans="4:13" x14ac:dyDescent="0.25">
      <c r="D177" t="s">
        <v>2328</v>
      </c>
      <c r="F177" t="s">
        <v>2425</v>
      </c>
      <c r="G177">
        <v>17087</v>
      </c>
      <c r="H177">
        <v>13071</v>
      </c>
      <c r="I177" s="25" t="s">
        <v>2191</v>
      </c>
      <c r="J177" t="s">
        <v>2091</v>
      </c>
      <c r="M177" s="49"/>
    </row>
    <row r="178" spans="4:13" x14ac:dyDescent="0.25">
      <c r="D178" t="s">
        <v>2426</v>
      </c>
      <c r="F178" t="s">
        <v>2427</v>
      </c>
      <c r="G178">
        <v>97237</v>
      </c>
      <c r="H178">
        <v>9679</v>
      </c>
      <c r="I178" s="25" t="s">
        <v>2050</v>
      </c>
      <c r="J178" t="s">
        <v>2428</v>
      </c>
      <c r="M178" s="49"/>
    </row>
    <row r="179" spans="4:13" x14ac:dyDescent="0.25">
      <c r="D179" t="s">
        <v>2331</v>
      </c>
      <c r="F179" t="s">
        <v>2429</v>
      </c>
      <c r="G179">
        <v>84169</v>
      </c>
      <c r="H179">
        <v>9274</v>
      </c>
      <c r="I179" s="25" t="s">
        <v>2050</v>
      </c>
      <c r="J179" t="s">
        <v>2132</v>
      </c>
      <c r="M179" s="49"/>
    </row>
    <row r="180" spans="4:13" x14ac:dyDescent="0.25">
      <c r="D180" t="s">
        <v>2430</v>
      </c>
      <c r="F180" t="s">
        <v>2431</v>
      </c>
      <c r="G180">
        <v>82278</v>
      </c>
      <c r="H180">
        <v>9179</v>
      </c>
      <c r="I180" s="25" t="s">
        <v>2050</v>
      </c>
      <c r="J180" t="s">
        <v>2111</v>
      </c>
      <c r="M180" s="49"/>
    </row>
    <row r="181" spans="4:13" x14ac:dyDescent="0.25">
      <c r="D181" t="s">
        <v>2275</v>
      </c>
      <c r="F181" t="s">
        <v>2432</v>
      </c>
      <c r="G181">
        <v>89605</v>
      </c>
      <c r="H181">
        <v>8425</v>
      </c>
      <c r="I181" s="25" t="s">
        <v>2018</v>
      </c>
      <c r="J181" t="s">
        <v>2027</v>
      </c>
      <c r="M181" s="49"/>
    </row>
    <row r="182" spans="4:13" x14ac:dyDescent="0.25">
      <c r="D182" t="s">
        <v>2433</v>
      </c>
      <c r="F182" t="s">
        <v>2432</v>
      </c>
      <c r="G182">
        <v>89605</v>
      </c>
      <c r="H182">
        <v>8425</v>
      </c>
      <c r="I182" s="25" t="s">
        <v>2018</v>
      </c>
      <c r="J182" t="s">
        <v>2027</v>
      </c>
      <c r="M182" s="49"/>
    </row>
    <row r="183" spans="4:13" x14ac:dyDescent="0.25">
      <c r="D183" t="s">
        <v>2434</v>
      </c>
      <c r="F183" t="s">
        <v>2435</v>
      </c>
      <c r="G183">
        <v>89174</v>
      </c>
      <c r="H183">
        <v>8425</v>
      </c>
      <c r="I183" s="25" t="s">
        <v>2018</v>
      </c>
      <c r="J183" t="s">
        <v>2027</v>
      </c>
      <c r="M183" s="49"/>
    </row>
    <row r="184" spans="4:13" x14ac:dyDescent="0.25">
      <c r="D184" t="s">
        <v>2436</v>
      </c>
      <c r="F184" t="s">
        <v>2437</v>
      </c>
      <c r="G184">
        <v>75382</v>
      </c>
      <c r="H184">
        <v>8235</v>
      </c>
      <c r="I184" s="25" t="s">
        <v>2018</v>
      </c>
      <c r="J184" t="s">
        <v>2422</v>
      </c>
      <c r="M184" s="49"/>
    </row>
    <row r="185" spans="4:13" x14ac:dyDescent="0.25">
      <c r="F185" t="s">
        <v>2438</v>
      </c>
      <c r="G185">
        <v>71566</v>
      </c>
      <c r="H185">
        <v>8119</v>
      </c>
      <c r="I185" s="25" t="s">
        <v>2018</v>
      </c>
      <c r="J185" t="s">
        <v>2287</v>
      </c>
      <c r="M185" s="49"/>
    </row>
    <row r="186" spans="4:13" x14ac:dyDescent="0.25">
      <c r="F186" t="s">
        <v>2439</v>
      </c>
      <c r="G186">
        <v>67317</v>
      </c>
      <c r="H186">
        <v>7332</v>
      </c>
      <c r="I186" s="25" t="s">
        <v>2123</v>
      </c>
      <c r="J186" t="s">
        <v>2440</v>
      </c>
      <c r="M186" s="49"/>
    </row>
    <row r="187" spans="4:13" x14ac:dyDescent="0.25">
      <c r="F187" t="s">
        <v>2441</v>
      </c>
      <c r="G187">
        <v>68804</v>
      </c>
      <c r="H187">
        <v>8226</v>
      </c>
      <c r="I187" s="25" t="s">
        <v>2018</v>
      </c>
      <c r="J187" t="s">
        <v>2442</v>
      </c>
      <c r="M187" s="49"/>
    </row>
    <row r="188" spans="4:13" x14ac:dyDescent="0.25">
      <c r="F188" t="s">
        <v>2443</v>
      </c>
      <c r="G188">
        <v>93336</v>
      </c>
      <c r="H188">
        <v>9176</v>
      </c>
      <c r="I188" s="25" t="s">
        <v>2050</v>
      </c>
      <c r="J188" t="s">
        <v>2102</v>
      </c>
      <c r="M188" s="49"/>
    </row>
    <row r="189" spans="4:13" x14ac:dyDescent="0.25">
      <c r="F189" t="s">
        <v>2444</v>
      </c>
      <c r="G189">
        <v>85250</v>
      </c>
      <c r="H189">
        <v>9174</v>
      </c>
      <c r="I189" s="25" t="s">
        <v>2050</v>
      </c>
      <c r="J189" t="s">
        <v>2445</v>
      </c>
      <c r="M189" s="49"/>
    </row>
    <row r="190" spans="4:13" x14ac:dyDescent="0.25">
      <c r="F190" t="s">
        <v>2446</v>
      </c>
      <c r="G190">
        <v>84503</v>
      </c>
      <c r="H190">
        <v>9171</v>
      </c>
      <c r="I190" s="25" t="s">
        <v>2050</v>
      </c>
      <c r="J190" t="s">
        <v>2446</v>
      </c>
      <c r="M190" s="49"/>
    </row>
    <row r="191" spans="4:13" x14ac:dyDescent="0.25">
      <c r="F191" t="s">
        <v>2447</v>
      </c>
      <c r="G191">
        <v>67122</v>
      </c>
      <c r="H191">
        <v>7338</v>
      </c>
      <c r="I191" s="25" t="s">
        <v>2123</v>
      </c>
      <c r="J191" t="s">
        <v>2448</v>
      </c>
      <c r="M191" s="49"/>
    </row>
    <row r="192" spans="4:13" x14ac:dyDescent="0.25">
      <c r="F192" t="s">
        <v>2449</v>
      </c>
      <c r="G192">
        <v>88361</v>
      </c>
      <c r="H192">
        <v>8436</v>
      </c>
      <c r="I192" s="25" t="s">
        <v>2018</v>
      </c>
      <c r="J192" t="s">
        <v>2068</v>
      </c>
      <c r="M192" s="49"/>
    </row>
    <row r="193" spans="6:13" x14ac:dyDescent="0.25">
      <c r="F193" t="s">
        <v>2450</v>
      </c>
      <c r="G193">
        <v>87452</v>
      </c>
      <c r="H193">
        <v>9780</v>
      </c>
      <c r="I193" s="25" t="s">
        <v>2050</v>
      </c>
      <c r="J193" t="s">
        <v>2278</v>
      </c>
      <c r="M193" s="49"/>
    </row>
    <row r="194" spans="6:13" x14ac:dyDescent="0.25">
      <c r="F194" t="s">
        <v>2451</v>
      </c>
      <c r="G194">
        <v>25486</v>
      </c>
      <c r="H194">
        <v>1060</v>
      </c>
      <c r="I194" s="25" t="s">
        <v>2085</v>
      </c>
      <c r="J194" t="s">
        <v>2363</v>
      </c>
      <c r="M194" s="49"/>
    </row>
    <row r="195" spans="6:13" x14ac:dyDescent="0.25">
      <c r="F195" t="s">
        <v>2452</v>
      </c>
      <c r="G195">
        <v>63755</v>
      </c>
      <c r="H195">
        <v>9671</v>
      </c>
      <c r="I195" s="25" t="s">
        <v>2050</v>
      </c>
      <c r="J195" t="s">
        <v>2453</v>
      </c>
      <c r="M195" s="49"/>
    </row>
    <row r="196" spans="6:13" x14ac:dyDescent="0.25">
      <c r="F196" t="s">
        <v>2454</v>
      </c>
      <c r="G196">
        <v>55232</v>
      </c>
      <c r="H196">
        <v>7331</v>
      </c>
      <c r="I196" s="25" t="s">
        <v>2123</v>
      </c>
      <c r="J196" t="s">
        <v>2029</v>
      </c>
      <c r="M196" s="49"/>
    </row>
    <row r="197" spans="6:13" x14ac:dyDescent="0.25">
      <c r="F197" t="s">
        <v>2454</v>
      </c>
      <c r="G197">
        <v>55232</v>
      </c>
      <c r="H197">
        <v>7331</v>
      </c>
      <c r="I197" s="25" t="s">
        <v>2123</v>
      </c>
      <c r="J197" t="s">
        <v>2029</v>
      </c>
      <c r="M197" s="49"/>
    </row>
    <row r="198" spans="6:13" x14ac:dyDescent="0.25">
      <c r="F198" t="s">
        <v>2455</v>
      </c>
      <c r="G198">
        <v>15838</v>
      </c>
      <c r="H198">
        <v>12072</v>
      </c>
      <c r="I198" s="25" t="s">
        <v>2356</v>
      </c>
      <c r="J198" t="s">
        <v>2456</v>
      </c>
      <c r="M198" s="49"/>
    </row>
    <row r="199" spans="6:13" x14ac:dyDescent="0.25">
      <c r="F199" t="s">
        <v>2457</v>
      </c>
      <c r="G199">
        <v>37345</v>
      </c>
      <c r="H199">
        <v>16061</v>
      </c>
      <c r="I199" s="25" t="s">
        <v>2384</v>
      </c>
      <c r="J199" t="s">
        <v>2109</v>
      </c>
      <c r="M199" s="49"/>
    </row>
    <row r="200" spans="6:13" x14ac:dyDescent="0.25">
      <c r="F200" t="s">
        <v>2458</v>
      </c>
      <c r="G200">
        <v>92224</v>
      </c>
      <c r="H200">
        <v>9361</v>
      </c>
      <c r="I200" s="25" t="s">
        <v>2050</v>
      </c>
      <c r="J200" t="s">
        <v>2459</v>
      </c>
      <c r="M200" s="49"/>
    </row>
    <row r="201" spans="6:13" x14ac:dyDescent="0.25">
      <c r="F201" t="s">
        <v>2458</v>
      </c>
      <c r="G201">
        <v>86854</v>
      </c>
      <c r="H201">
        <v>9778</v>
      </c>
      <c r="I201" s="25" t="s">
        <v>2050</v>
      </c>
      <c r="J201" t="s">
        <v>2460</v>
      </c>
      <c r="M201" s="49"/>
    </row>
    <row r="202" spans="6:13" x14ac:dyDescent="0.25">
      <c r="F202" t="s">
        <v>2461</v>
      </c>
      <c r="G202">
        <v>83123</v>
      </c>
      <c r="H202">
        <v>9187</v>
      </c>
      <c r="I202" s="25" t="s">
        <v>2050</v>
      </c>
      <c r="J202" t="s">
        <v>2245</v>
      </c>
      <c r="M202" s="49"/>
    </row>
    <row r="203" spans="6:13" x14ac:dyDescent="0.25">
      <c r="F203" t="s">
        <v>2462</v>
      </c>
      <c r="G203">
        <v>86735</v>
      </c>
      <c r="H203">
        <v>9779</v>
      </c>
      <c r="I203" s="25" t="s">
        <v>2050</v>
      </c>
      <c r="J203" t="s">
        <v>2280</v>
      </c>
      <c r="M203" s="49"/>
    </row>
    <row r="204" spans="6:13" x14ac:dyDescent="0.25">
      <c r="F204" t="s">
        <v>2463</v>
      </c>
      <c r="G204">
        <v>72119</v>
      </c>
      <c r="H204">
        <v>8416</v>
      </c>
      <c r="I204" s="25" t="s">
        <v>2018</v>
      </c>
      <c r="J204" t="s">
        <v>2464</v>
      </c>
      <c r="M204" s="49"/>
    </row>
    <row r="205" spans="6:13" x14ac:dyDescent="0.25">
      <c r="F205" t="s">
        <v>2465</v>
      </c>
      <c r="G205">
        <v>90614</v>
      </c>
      <c r="H205">
        <v>9573</v>
      </c>
      <c r="I205" s="25" t="s">
        <v>2050</v>
      </c>
      <c r="J205" t="s">
        <v>2466</v>
      </c>
      <c r="M205" s="49"/>
    </row>
    <row r="206" spans="6:13" x14ac:dyDescent="0.25">
      <c r="F206" t="s">
        <v>2467</v>
      </c>
      <c r="G206">
        <v>22949</v>
      </c>
      <c r="H206">
        <v>1062</v>
      </c>
      <c r="I206" s="25" t="s">
        <v>2085</v>
      </c>
      <c r="J206" t="s">
        <v>2188</v>
      </c>
      <c r="M206" s="49"/>
    </row>
    <row r="207" spans="6:13" x14ac:dyDescent="0.25">
      <c r="F207" t="s">
        <v>2468</v>
      </c>
      <c r="G207">
        <v>92260</v>
      </c>
      <c r="H207">
        <v>9371</v>
      </c>
      <c r="I207" s="25" t="s">
        <v>2050</v>
      </c>
      <c r="J207" t="s">
        <v>2469</v>
      </c>
      <c r="M207" s="49"/>
    </row>
    <row r="208" spans="6:13" x14ac:dyDescent="0.25">
      <c r="F208" t="s">
        <v>2470</v>
      </c>
      <c r="G208">
        <v>35287</v>
      </c>
      <c r="H208">
        <v>6534</v>
      </c>
      <c r="I208" s="25" t="s">
        <v>2046</v>
      </c>
      <c r="J208" t="s">
        <v>2471</v>
      </c>
      <c r="M208" s="49"/>
    </row>
    <row r="209" spans="6:13" x14ac:dyDescent="0.25">
      <c r="F209" t="s">
        <v>2472</v>
      </c>
      <c r="G209">
        <v>63916</v>
      </c>
      <c r="H209">
        <v>9676</v>
      </c>
      <c r="I209" s="25" t="s">
        <v>2050</v>
      </c>
      <c r="J209" t="s">
        <v>2381</v>
      </c>
      <c r="M209" s="49"/>
    </row>
    <row r="210" spans="6:13" x14ac:dyDescent="0.25">
      <c r="F210" t="s">
        <v>2472</v>
      </c>
      <c r="G210">
        <v>63916</v>
      </c>
      <c r="H210">
        <v>9676</v>
      </c>
      <c r="I210" s="25" t="s">
        <v>2050</v>
      </c>
      <c r="J210" t="s">
        <v>2381</v>
      </c>
      <c r="M210" s="49"/>
    </row>
    <row r="211" spans="6:13" x14ac:dyDescent="0.25">
      <c r="F211" t="s">
        <v>2473</v>
      </c>
      <c r="G211">
        <v>84539</v>
      </c>
      <c r="H211">
        <v>9183</v>
      </c>
      <c r="I211" s="25" t="s">
        <v>2050</v>
      </c>
      <c r="J211" t="s">
        <v>2474</v>
      </c>
      <c r="M211" s="49"/>
    </row>
    <row r="212" spans="6:13" x14ac:dyDescent="0.25">
      <c r="F212" t="s">
        <v>2475</v>
      </c>
      <c r="G212">
        <v>25946</v>
      </c>
      <c r="H212">
        <v>1054</v>
      </c>
      <c r="I212" s="25" t="s">
        <v>2085</v>
      </c>
      <c r="J212" t="s">
        <v>2195</v>
      </c>
      <c r="M212" s="49"/>
    </row>
    <row r="213" spans="6:13" x14ac:dyDescent="0.25">
      <c r="F213" t="s">
        <v>2476</v>
      </c>
      <c r="G213">
        <v>73340</v>
      </c>
      <c r="H213">
        <v>8425</v>
      </c>
      <c r="I213" s="25" t="s">
        <v>2018</v>
      </c>
      <c r="J213" t="s">
        <v>2027</v>
      </c>
      <c r="M213" s="49"/>
    </row>
    <row r="214" spans="6:13" x14ac:dyDescent="0.25">
      <c r="F214" t="s">
        <v>2477</v>
      </c>
      <c r="G214">
        <v>19273</v>
      </c>
      <c r="H214">
        <v>3355</v>
      </c>
      <c r="I214" s="25" t="s">
        <v>2074</v>
      </c>
      <c r="J214" t="s">
        <v>2129</v>
      </c>
      <c r="M214" s="49"/>
    </row>
    <row r="215" spans="6:13" x14ac:dyDescent="0.25">
      <c r="F215" t="s">
        <v>2477</v>
      </c>
      <c r="G215">
        <v>19273</v>
      </c>
      <c r="H215">
        <v>13076</v>
      </c>
      <c r="I215" s="25" t="s">
        <v>2191</v>
      </c>
      <c r="J215" t="s">
        <v>2234</v>
      </c>
      <c r="M215" s="49"/>
    </row>
    <row r="216" spans="6:13" x14ac:dyDescent="0.25">
      <c r="F216" t="s">
        <v>2478</v>
      </c>
      <c r="G216">
        <v>9439</v>
      </c>
      <c r="H216">
        <v>14521</v>
      </c>
      <c r="I216" s="25" t="s">
        <v>2135</v>
      </c>
      <c r="J216" t="s">
        <v>2032</v>
      </c>
      <c r="M216" s="49"/>
    </row>
    <row r="217" spans="6:13" x14ac:dyDescent="0.25">
      <c r="F217" t="s">
        <v>2479</v>
      </c>
      <c r="G217">
        <v>88279</v>
      </c>
      <c r="H217">
        <v>8436</v>
      </c>
      <c r="I217" s="25" t="s">
        <v>2018</v>
      </c>
      <c r="J217" t="s">
        <v>2068</v>
      </c>
      <c r="M217" s="49"/>
    </row>
    <row r="218" spans="6:13" x14ac:dyDescent="0.25">
      <c r="F218" t="s">
        <v>2480</v>
      </c>
      <c r="G218">
        <v>82346</v>
      </c>
      <c r="H218">
        <v>9188</v>
      </c>
      <c r="I218" s="25" t="s">
        <v>2050</v>
      </c>
      <c r="J218" t="s">
        <v>2481</v>
      </c>
      <c r="M218" s="49"/>
    </row>
    <row r="219" spans="6:13" x14ac:dyDescent="0.25">
      <c r="F219" t="s">
        <v>2482</v>
      </c>
      <c r="G219">
        <v>56626</v>
      </c>
      <c r="H219">
        <v>7137</v>
      </c>
      <c r="I219" s="25" t="s">
        <v>2123</v>
      </c>
      <c r="J219" t="s">
        <v>2246</v>
      </c>
      <c r="M219" s="49"/>
    </row>
    <row r="220" spans="6:13" x14ac:dyDescent="0.25">
      <c r="F220" t="s">
        <v>2483</v>
      </c>
      <c r="G220">
        <v>49832</v>
      </c>
      <c r="H220">
        <v>3454</v>
      </c>
      <c r="I220" s="25" t="s">
        <v>2074</v>
      </c>
      <c r="J220" t="s">
        <v>2118</v>
      </c>
      <c r="M220" s="49"/>
    </row>
    <row r="221" spans="6:13" x14ac:dyDescent="0.25">
      <c r="F221" t="s">
        <v>2484</v>
      </c>
      <c r="G221">
        <v>74918</v>
      </c>
      <c r="H221">
        <v>8226</v>
      </c>
      <c r="I221" s="25" t="s">
        <v>2018</v>
      </c>
      <c r="J221" t="s">
        <v>2442</v>
      </c>
      <c r="M221" s="49"/>
    </row>
    <row r="222" spans="6:13" x14ac:dyDescent="0.25">
      <c r="F222" t="s">
        <v>2485</v>
      </c>
      <c r="G222">
        <v>35719</v>
      </c>
      <c r="H222">
        <v>6534</v>
      </c>
      <c r="I222" s="25" t="s">
        <v>2046</v>
      </c>
      <c r="J222" t="s">
        <v>2471</v>
      </c>
      <c r="M222" s="49"/>
    </row>
    <row r="223" spans="6:13" x14ac:dyDescent="0.25">
      <c r="F223" t="s">
        <v>2486</v>
      </c>
      <c r="G223">
        <v>83454</v>
      </c>
      <c r="H223">
        <v>9172</v>
      </c>
      <c r="I223" s="25" t="s">
        <v>2050</v>
      </c>
      <c r="J223" t="s">
        <v>2042</v>
      </c>
      <c r="M223" s="49"/>
    </row>
    <row r="224" spans="6:13" x14ac:dyDescent="0.25">
      <c r="F224" t="s">
        <v>2487</v>
      </c>
      <c r="G224">
        <v>16278</v>
      </c>
      <c r="H224">
        <v>12073</v>
      </c>
      <c r="I224" s="25" t="s">
        <v>2356</v>
      </c>
      <c r="J224" t="s">
        <v>2397</v>
      </c>
      <c r="M224" s="49"/>
    </row>
    <row r="225" spans="6:13" x14ac:dyDescent="0.25">
      <c r="F225" t="s">
        <v>2488</v>
      </c>
      <c r="G225">
        <v>56584</v>
      </c>
      <c r="H225">
        <v>7138</v>
      </c>
      <c r="I225" s="25" t="s">
        <v>2123</v>
      </c>
      <c r="J225" t="s">
        <v>2489</v>
      </c>
      <c r="M225" s="49"/>
    </row>
    <row r="226" spans="6:13" x14ac:dyDescent="0.25">
      <c r="F226" t="s">
        <v>2490</v>
      </c>
      <c r="G226">
        <v>17389</v>
      </c>
      <c r="H226">
        <v>13075</v>
      </c>
      <c r="I226" s="25" t="s">
        <v>2191</v>
      </c>
      <c r="J226" t="s">
        <v>2160</v>
      </c>
      <c r="M226" s="49"/>
    </row>
    <row r="227" spans="6:13" x14ac:dyDescent="0.25">
      <c r="F227" t="s">
        <v>2491</v>
      </c>
      <c r="G227">
        <v>9456</v>
      </c>
      <c r="H227">
        <v>14521</v>
      </c>
      <c r="I227" s="25" t="s">
        <v>2135</v>
      </c>
      <c r="J227" t="s">
        <v>2032</v>
      </c>
      <c r="M227" s="49"/>
    </row>
    <row r="228" spans="6:13" x14ac:dyDescent="0.25">
      <c r="F228" t="s">
        <v>2492</v>
      </c>
      <c r="G228">
        <v>6925</v>
      </c>
      <c r="H228">
        <v>15091</v>
      </c>
      <c r="I228" s="25" t="s">
        <v>2241</v>
      </c>
      <c r="J228" t="s">
        <v>1509</v>
      </c>
      <c r="M228" s="49"/>
    </row>
    <row r="229" spans="6:13" x14ac:dyDescent="0.25">
      <c r="F229" t="s">
        <v>2493</v>
      </c>
      <c r="G229">
        <v>76855</v>
      </c>
      <c r="H229">
        <v>7337</v>
      </c>
      <c r="I229" s="25" t="s">
        <v>2123</v>
      </c>
      <c r="J229" t="s">
        <v>2256</v>
      </c>
      <c r="M229" s="49"/>
    </row>
    <row r="230" spans="6:13" x14ac:dyDescent="0.25">
      <c r="F230" t="s">
        <v>2493</v>
      </c>
      <c r="G230">
        <v>76855</v>
      </c>
      <c r="H230">
        <v>7337</v>
      </c>
      <c r="I230" s="25" t="s">
        <v>2123</v>
      </c>
      <c r="J230" t="s">
        <v>2256</v>
      </c>
      <c r="M230" s="49"/>
    </row>
    <row r="231" spans="6:13" x14ac:dyDescent="0.25">
      <c r="F231" t="s">
        <v>2494</v>
      </c>
      <c r="G231">
        <v>59609</v>
      </c>
      <c r="H231">
        <v>5974</v>
      </c>
      <c r="I231" s="25" t="s">
        <v>2023</v>
      </c>
      <c r="J231" t="s">
        <v>2368</v>
      </c>
      <c r="M231" s="49"/>
    </row>
    <row r="232" spans="6:13" x14ac:dyDescent="0.25">
      <c r="F232" t="s">
        <v>2113</v>
      </c>
      <c r="G232">
        <v>91522</v>
      </c>
      <c r="H232">
        <v>9561</v>
      </c>
      <c r="I232" s="25" t="s">
        <v>2050</v>
      </c>
      <c r="J232" t="s">
        <v>2495</v>
      </c>
      <c r="M232" s="49"/>
    </row>
    <row r="233" spans="6:13" x14ac:dyDescent="0.25">
      <c r="F233" t="s">
        <v>2496</v>
      </c>
      <c r="G233">
        <v>82387</v>
      </c>
      <c r="H233">
        <v>9190</v>
      </c>
      <c r="I233" s="25" t="s">
        <v>2050</v>
      </c>
      <c r="J233" t="s">
        <v>2417</v>
      </c>
      <c r="M233" s="49"/>
    </row>
    <row r="234" spans="6:13" x14ac:dyDescent="0.25">
      <c r="F234" t="s">
        <v>2497</v>
      </c>
      <c r="G234">
        <v>36326</v>
      </c>
      <c r="H234">
        <v>6535</v>
      </c>
      <c r="I234" s="25" t="s">
        <v>2046</v>
      </c>
      <c r="J234" t="s">
        <v>2346</v>
      </c>
      <c r="M234" s="49"/>
    </row>
    <row r="235" spans="6:13" x14ac:dyDescent="0.25">
      <c r="F235" t="s">
        <v>2498</v>
      </c>
      <c r="G235">
        <v>53533</v>
      </c>
      <c r="H235">
        <v>7131</v>
      </c>
      <c r="I235" s="25" t="s">
        <v>2123</v>
      </c>
      <c r="J235" t="s">
        <v>2022</v>
      </c>
      <c r="M235" s="49"/>
    </row>
    <row r="236" spans="6:13" x14ac:dyDescent="0.25">
      <c r="F236" t="s">
        <v>2499</v>
      </c>
      <c r="G236">
        <v>85646</v>
      </c>
      <c r="H236">
        <v>9175</v>
      </c>
      <c r="I236" s="25" t="s">
        <v>2050</v>
      </c>
      <c r="J236" t="s">
        <v>2500</v>
      </c>
      <c r="M236" s="49"/>
    </row>
    <row r="237" spans="6:13" x14ac:dyDescent="0.25">
      <c r="F237" t="s">
        <v>2501</v>
      </c>
      <c r="G237">
        <v>31552</v>
      </c>
      <c r="H237">
        <v>3257</v>
      </c>
      <c r="I237" s="25" t="s">
        <v>2074</v>
      </c>
      <c r="J237" t="s">
        <v>2167</v>
      </c>
      <c r="M237" s="49"/>
    </row>
    <row r="238" spans="6:13" x14ac:dyDescent="0.25">
      <c r="F238" t="s">
        <v>2502</v>
      </c>
      <c r="G238">
        <v>26689</v>
      </c>
      <c r="H238">
        <v>3451</v>
      </c>
      <c r="I238" s="25" t="s">
        <v>2074</v>
      </c>
      <c r="J238" t="s">
        <v>2030</v>
      </c>
      <c r="M238" s="49"/>
    </row>
    <row r="239" spans="6:13" x14ac:dyDescent="0.25">
      <c r="F239" t="s">
        <v>2503</v>
      </c>
      <c r="G239">
        <v>21641</v>
      </c>
      <c r="H239">
        <v>3359</v>
      </c>
      <c r="I239" s="25" t="s">
        <v>2074</v>
      </c>
      <c r="J239" t="s">
        <v>2158</v>
      </c>
      <c r="M239" s="49"/>
    </row>
    <row r="240" spans="6:13" x14ac:dyDescent="0.25">
      <c r="F240" t="s">
        <v>2504</v>
      </c>
      <c r="G240">
        <v>86974</v>
      </c>
      <c r="H240">
        <v>9181</v>
      </c>
      <c r="I240" s="25" t="s">
        <v>2050</v>
      </c>
      <c r="J240" t="s">
        <v>2505</v>
      </c>
      <c r="M240" s="49"/>
    </row>
    <row r="241" spans="6:13" x14ac:dyDescent="0.25">
      <c r="F241" t="s">
        <v>2506</v>
      </c>
      <c r="G241">
        <v>87742</v>
      </c>
      <c r="H241">
        <v>9778</v>
      </c>
      <c r="I241" s="25" t="s">
        <v>2050</v>
      </c>
      <c r="J241" t="s">
        <v>2460</v>
      </c>
      <c r="M241" s="49"/>
    </row>
    <row r="242" spans="6:13" x14ac:dyDescent="0.25">
      <c r="F242" t="s">
        <v>2507</v>
      </c>
      <c r="G242">
        <v>99510</v>
      </c>
      <c r="H242">
        <v>16071</v>
      </c>
      <c r="I242" s="25" t="s">
        <v>2384</v>
      </c>
      <c r="J242" t="s">
        <v>2508</v>
      </c>
      <c r="M242" s="49"/>
    </row>
    <row r="243" spans="6:13" x14ac:dyDescent="0.25">
      <c r="F243" t="s">
        <v>2509</v>
      </c>
      <c r="G243">
        <v>25482</v>
      </c>
      <c r="H243">
        <v>1056</v>
      </c>
      <c r="I243" s="25" t="s">
        <v>2085</v>
      </c>
      <c r="J243" t="s">
        <v>2311</v>
      </c>
      <c r="M243" s="49"/>
    </row>
    <row r="244" spans="6:13" x14ac:dyDescent="0.25">
      <c r="F244" t="s">
        <v>2510</v>
      </c>
      <c r="G244">
        <v>77767</v>
      </c>
      <c r="H244">
        <v>8317</v>
      </c>
      <c r="I244" s="25" t="s">
        <v>2018</v>
      </c>
      <c r="J244" t="s">
        <v>2071</v>
      </c>
      <c r="M244" s="49"/>
    </row>
    <row r="245" spans="6:13" x14ac:dyDescent="0.25">
      <c r="F245" t="s">
        <v>2511</v>
      </c>
      <c r="G245">
        <v>91722</v>
      </c>
      <c r="H245">
        <v>9571</v>
      </c>
      <c r="I245" s="25" t="s">
        <v>2050</v>
      </c>
      <c r="J245" t="s">
        <v>2113</v>
      </c>
      <c r="M245" s="49"/>
    </row>
    <row r="246" spans="6:13" x14ac:dyDescent="0.25">
      <c r="F246" t="s">
        <v>2512</v>
      </c>
      <c r="G246">
        <v>39619</v>
      </c>
      <c r="H246">
        <v>15081</v>
      </c>
      <c r="I246" s="25" t="s">
        <v>2241</v>
      </c>
      <c r="J246" t="s">
        <v>2028</v>
      </c>
      <c r="M246" s="49"/>
    </row>
    <row r="247" spans="6:13" x14ac:dyDescent="0.25">
      <c r="F247" t="s">
        <v>2513</v>
      </c>
      <c r="G247">
        <v>37318</v>
      </c>
      <c r="H247">
        <v>16061</v>
      </c>
      <c r="I247" s="25" t="s">
        <v>2384</v>
      </c>
      <c r="J247" t="s">
        <v>2109</v>
      </c>
      <c r="M247" s="49"/>
    </row>
    <row r="248" spans="6:13" x14ac:dyDescent="0.25">
      <c r="F248" t="s">
        <v>2514</v>
      </c>
      <c r="G248">
        <v>86561</v>
      </c>
      <c r="H248">
        <v>9185</v>
      </c>
      <c r="I248" s="25" t="s">
        <v>2050</v>
      </c>
      <c r="J248" t="s">
        <v>2515</v>
      </c>
      <c r="M248" s="49"/>
    </row>
    <row r="249" spans="6:13" x14ac:dyDescent="0.25">
      <c r="F249" t="s">
        <v>2516</v>
      </c>
      <c r="G249">
        <v>88260</v>
      </c>
      <c r="H249">
        <v>8436</v>
      </c>
      <c r="I249" s="25" t="s">
        <v>2018</v>
      </c>
      <c r="J249" t="s">
        <v>2068</v>
      </c>
      <c r="M249" s="49"/>
    </row>
    <row r="250" spans="6:13" x14ac:dyDescent="0.25">
      <c r="F250" t="s">
        <v>2517</v>
      </c>
      <c r="G250">
        <v>55496</v>
      </c>
      <c r="H250">
        <v>7140</v>
      </c>
      <c r="I250" s="25" t="s">
        <v>2123</v>
      </c>
      <c r="J250" t="s">
        <v>2329</v>
      </c>
      <c r="M250" s="49"/>
    </row>
    <row r="251" spans="6:13" x14ac:dyDescent="0.25">
      <c r="F251" t="s">
        <v>2518</v>
      </c>
      <c r="G251">
        <v>55288</v>
      </c>
      <c r="H251">
        <v>7331</v>
      </c>
      <c r="I251" s="25" t="s">
        <v>2123</v>
      </c>
      <c r="J251" t="s">
        <v>2029</v>
      </c>
      <c r="M251" s="49"/>
    </row>
    <row r="252" spans="6:13" x14ac:dyDescent="0.25">
      <c r="F252" t="s">
        <v>2518</v>
      </c>
      <c r="G252">
        <v>55288</v>
      </c>
      <c r="H252">
        <v>7331</v>
      </c>
      <c r="I252" s="25" t="s">
        <v>2123</v>
      </c>
      <c r="J252" t="s">
        <v>2029</v>
      </c>
      <c r="M252" s="49"/>
    </row>
    <row r="253" spans="6:13" x14ac:dyDescent="0.25">
      <c r="F253" t="s">
        <v>2518</v>
      </c>
      <c r="G253">
        <v>55288</v>
      </c>
      <c r="H253">
        <v>7331</v>
      </c>
      <c r="I253" s="25" t="s">
        <v>2123</v>
      </c>
      <c r="J253" t="s">
        <v>2029</v>
      </c>
      <c r="M253" s="49"/>
    </row>
    <row r="254" spans="6:13" x14ac:dyDescent="0.25">
      <c r="F254" t="s">
        <v>2519</v>
      </c>
      <c r="G254">
        <v>93471</v>
      </c>
      <c r="H254">
        <v>9276</v>
      </c>
      <c r="I254" s="25" t="s">
        <v>2050</v>
      </c>
      <c r="J254" t="s">
        <v>2078</v>
      </c>
      <c r="M254" s="49"/>
    </row>
    <row r="255" spans="6:13" x14ac:dyDescent="0.25">
      <c r="F255" t="s">
        <v>2520</v>
      </c>
      <c r="G255">
        <v>24399</v>
      </c>
      <c r="H255">
        <v>1059</v>
      </c>
      <c r="I255" s="25" t="s">
        <v>2085</v>
      </c>
      <c r="J255" t="s">
        <v>2354</v>
      </c>
      <c r="M255" s="49"/>
    </row>
    <row r="256" spans="6:13" x14ac:dyDescent="0.25">
      <c r="F256" t="s">
        <v>2521</v>
      </c>
      <c r="G256">
        <v>59823</v>
      </c>
      <c r="H256">
        <v>5958</v>
      </c>
      <c r="I256" s="25" t="s">
        <v>2023</v>
      </c>
      <c r="J256" t="s">
        <v>2199</v>
      </c>
      <c r="M256" s="49"/>
    </row>
    <row r="257" spans="6:13" x14ac:dyDescent="0.25">
      <c r="F257" t="s">
        <v>2521</v>
      </c>
      <c r="G257">
        <v>59755</v>
      </c>
      <c r="H257">
        <v>5958</v>
      </c>
      <c r="I257" s="25" t="s">
        <v>2023</v>
      </c>
      <c r="J257" t="s">
        <v>2199</v>
      </c>
      <c r="M257" s="49"/>
    </row>
    <row r="258" spans="6:13" x14ac:dyDescent="0.25">
      <c r="F258" t="s">
        <v>2521</v>
      </c>
      <c r="G258">
        <v>59757</v>
      </c>
      <c r="H258">
        <v>5958</v>
      </c>
      <c r="I258" s="25" t="s">
        <v>2023</v>
      </c>
      <c r="J258" t="s">
        <v>2199</v>
      </c>
      <c r="M258" s="49"/>
    </row>
    <row r="259" spans="6:13" x14ac:dyDescent="0.25">
      <c r="F259" t="s">
        <v>2521</v>
      </c>
      <c r="G259">
        <v>59759</v>
      </c>
      <c r="H259">
        <v>5958</v>
      </c>
      <c r="I259" s="25" t="s">
        <v>2023</v>
      </c>
      <c r="J259" t="s">
        <v>2199</v>
      </c>
      <c r="M259" s="49"/>
    </row>
    <row r="260" spans="6:13" x14ac:dyDescent="0.25">
      <c r="F260" t="s">
        <v>2521</v>
      </c>
      <c r="G260">
        <v>59821</v>
      </c>
      <c r="H260">
        <v>5958</v>
      </c>
      <c r="I260" s="25" t="s">
        <v>2023</v>
      </c>
      <c r="J260" t="s">
        <v>2199</v>
      </c>
      <c r="M260" s="49"/>
    </row>
    <row r="261" spans="6:13" x14ac:dyDescent="0.25">
      <c r="F261" t="s">
        <v>2522</v>
      </c>
      <c r="G261">
        <v>93473</v>
      </c>
      <c r="H261">
        <v>9372</v>
      </c>
      <c r="I261" s="25" t="s">
        <v>2050</v>
      </c>
      <c r="J261" t="s">
        <v>2523</v>
      </c>
      <c r="M261" s="49"/>
    </row>
    <row r="262" spans="6:13" x14ac:dyDescent="0.25">
      <c r="F262" t="s">
        <v>2524</v>
      </c>
      <c r="G262">
        <v>1477</v>
      </c>
      <c r="H262">
        <v>14625</v>
      </c>
      <c r="I262" s="25" t="s">
        <v>2135</v>
      </c>
      <c r="J262" t="s">
        <v>2041</v>
      </c>
      <c r="M262" s="49"/>
    </row>
    <row r="263" spans="6:13" x14ac:dyDescent="0.25">
      <c r="F263" t="s">
        <v>2525</v>
      </c>
      <c r="G263">
        <v>99310</v>
      </c>
      <c r="H263">
        <v>16070</v>
      </c>
      <c r="I263" s="25" t="s">
        <v>2384</v>
      </c>
      <c r="J263" t="s">
        <v>2206</v>
      </c>
      <c r="M263" s="49"/>
    </row>
    <row r="264" spans="6:13" x14ac:dyDescent="0.25">
      <c r="F264" t="s">
        <v>2525</v>
      </c>
      <c r="G264">
        <v>99338</v>
      </c>
      <c r="H264">
        <v>16070</v>
      </c>
      <c r="I264" s="25" t="s">
        <v>2384</v>
      </c>
      <c r="J264" t="s">
        <v>2206</v>
      </c>
      <c r="M264" s="49"/>
    </row>
    <row r="265" spans="6:13" x14ac:dyDescent="0.25">
      <c r="F265" t="s">
        <v>2526</v>
      </c>
      <c r="G265">
        <v>97450</v>
      </c>
      <c r="H265">
        <v>9677</v>
      </c>
      <c r="I265" s="25" t="s">
        <v>2050</v>
      </c>
      <c r="J265" t="s">
        <v>2527</v>
      </c>
      <c r="M265" s="49"/>
    </row>
    <row r="266" spans="6:13" x14ac:dyDescent="0.25">
      <c r="F266" t="s">
        <v>2526</v>
      </c>
      <c r="G266">
        <v>6456</v>
      </c>
      <c r="H266">
        <v>15087</v>
      </c>
      <c r="I266" s="25" t="s">
        <v>2241</v>
      </c>
      <c r="J266" t="s">
        <v>2324</v>
      </c>
      <c r="M266" s="49"/>
    </row>
    <row r="267" spans="6:13" x14ac:dyDescent="0.25">
      <c r="F267" t="s">
        <v>2528</v>
      </c>
      <c r="G267">
        <v>94424</v>
      </c>
      <c r="H267">
        <v>9277</v>
      </c>
      <c r="I267" s="25" t="s">
        <v>2050</v>
      </c>
      <c r="J267" t="s">
        <v>2529</v>
      </c>
      <c r="M267" s="49"/>
    </row>
    <row r="268" spans="6:13" x14ac:dyDescent="0.25">
      <c r="F268" t="s">
        <v>2530</v>
      </c>
      <c r="G268">
        <v>93474</v>
      </c>
      <c r="H268">
        <v>9372</v>
      </c>
      <c r="I268" s="25" t="s">
        <v>2050</v>
      </c>
      <c r="J268" t="s">
        <v>2523</v>
      </c>
      <c r="M268" s="49"/>
    </row>
    <row r="269" spans="6:13" x14ac:dyDescent="0.25">
      <c r="F269" t="s">
        <v>2531</v>
      </c>
      <c r="G269">
        <v>6556</v>
      </c>
      <c r="H269">
        <v>16065</v>
      </c>
      <c r="I269" s="25" t="s">
        <v>2384</v>
      </c>
      <c r="J269" t="s">
        <v>2532</v>
      </c>
      <c r="M269" s="49"/>
    </row>
    <row r="270" spans="6:13" x14ac:dyDescent="0.25">
      <c r="F270" t="s">
        <v>2533</v>
      </c>
      <c r="G270">
        <v>21380</v>
      </c>
      <c r="H270">
        <v>3355</v>
      </c>
      <c r="I270" s="25" t="s">
        <v>2074</v>
      </c>
      <c r="J270" t="s">
        <v>2129</v>
      </c>
      <c r="M270" s="49"/>
    </row>
    <row r="271" spans="6:13" x14ac:dyDescent="0.25">
      <c r="F271" t="s">
        <v>2534</v>
      </c>
      <c r="G271">
        <v>95659</v>
      </c>
      <c r="H271">
        <v>9479</v>
      </c>
      <c r="I271" s="25" t="s">
        <v>2050</v>
      </c>
      <c r="J271" t="s">
        <v>2436</v>
      </c>
      <c r="M271" s="49"/>
    </row>
    <row r="272" spans="6:13" x14ac:dyDescent="0.25">
      <c r="F272" t="s">
        <v>2535</v>
      </c>
      <c r="G272">
        <v>4886</v>
      </c>
      <c r="H272">
        <v>14730</v>
      </c>
      <c r="I272" s="25" t="s">
        <v>2135</v>
      </c>
      <c r="J272" t="s">
        <v>2083</v>
      </c>
      <c r="M272" s="49"/>
    </row>
    <row r="273" spans="6:13" x14ac:dyDescent="0.25">
      <c r="F273" t="s">
        <v>2536</v>
      </c>
      <c r="G273">
        <v>54687</v>
      </c>
      <c r="H273">
        <v>7232</v>
      </c>
      <c r="I273" s="25" t="s">
        <v>2123</v>
      </c>
      <c r="J273" t="s">
        <v>2112</v>
      </c>
      <c r="M273" s="49"/>
    </row>
    <row r="274" spans="6:13" x14ac:dyDescent="0.25">
      <c r="F274" t="s">
        <v>2537</v>
      </c>
      <c r="G274">
        <v>53567</v>
      </c>
      <c r="H274">
        <v>7138</v>
      </c>
      <c r="I274" s="25" t="s">
        <v>2123</v>
      </c>
      <c r="J274" t="s">
        <v>2489</v>
      </c>
      <c r="M274" s="49"/>
    </row>
    <row r="275" spans="6:13" x14ac:dyDescent="0.25">
      <c r="F275" t="s">
        <v>2538</v>
      </c>
      <c r="G275">
        <v>86663</v>
      </c>
      <c r="H275">
        <v>9779</v>
      </c>
      <c r="I275" s="25" t="s">
        <v>2050</v>
      </c>
      <c r="J275" t="s">
        <v>2280</v>
      </c>
      <c r="M275" s="49"/>
    </row>
    <row r="276" spans="6:13" x14ac:dyDescent="0.25">
      <c r="F276" t="s">
        <v>2539</v>
      </c>
      <c r="G276">
        <v>94347</v>
      </c>
      <c r="H276">
        <v>9278</v>
      </c>
      <c r="I276" s="25" t="s">
        <v>2050</v>
      </c>
      <c r="J276" t="s">
        <v>2170</v>
      </c>
      <c r="M276" s="49"/>
    </row>
    <row r="277" spans="6:13" x14ac:dyDescent="0.25">
      <c r="F277" t="s">
        <v>2453</v>
      </c>
      <c r="G277">
        <v>63739</v>
      </c>
      <c r="H277">
        <v>9661</v>
      </c>
      <c r="I277" s="25" t="s">
        <v>2050</v>
      </c>
      <c r="J277" t="s">
        <v>2540</v>
      </c>
      <c r="M277" s="49"/>
    </row>
    <row r="278" spans="6:13" x14ac:dyDescent="0.25">
      <c r="F278" t="s">
        <v>2453</v>
      </c>
      <c r="G278">
        <v>63741</v>
      </c>
      <c r="H278">
        <v>9661</v>
      </c>
      <c r="I278" s="25" t="s">
        <v>2050</v>
      </c>
      <c r="J278" t="s">
        <v>2540</v>
      </c>
      <c r="M278" s="49"/>
    </row>
    <row r="279" spans="6:13" x14ac:dyDescent="0.25">
      <c r="F279" t="s">
        <v>2453</v>
      </c>
      <c r="G279">
        <v>63743</v>
      </c>
      <c r="H279">
        <v>9661</v>
      </c>
      <c r="I279" s="25" t="s">
        <v>2050</v>
      </c>
      <c r="J279" t="s">
        <v>2540</v>
      </c>
      <c r="M279" s="49"/>
    </row>
    <row r="280" spans="6:13" x14ac:dyDescent="0.25">
      <c r="F280" t="s">
        <v>2541</v>
      </c>
      <c r="G280">
        <v>84544</v>
      </c>
      <c r="H280">
        <v>9183</v>
      </c>
      <c r="I280" s="25" t="s">
        <v>2050</v>
      </c>
      <c r="J280" t="s">
        <v>2474</v>
      </c>
      <c r="M280" s="49"/>
    </row>
    <row r="281" spans="6:13" x14ac:dyDescent="0.25">
      <c r="F281" t="s">
        <v>2542</v>
      </c>
      <c r="G281">
        <v>83229</v>
      </c>
      <c r="H281">
        <v>9187</v>
      </c>
      <c r="I281" s="25" t="s">
        <v>2050</v>
      </c>
      <c r="J281" t="s">
        <v>2245</v>
      </c>
      <c r="M281" s="49"/>
    </row>
    <row r="282" spans="6:13" x14ac:dyDescent="0.25">
      <c r="F282" t="s">
        <v>2543</v>
      </c>
      <c r="G282">
        <v>24326</v>
      </c>
      <c r="H282">
        <v>1057</v>
      </c>
      <c r="I282" s="25" t="s">
        <v>2085</v>
      </c>
      <c r="J282" t="s">
        <v>2313</v>
      </c>
      <c r="M282" s="49"/>
    </row>
    <row r="283" spans="6:13" x14ac:dyDescent="0.25">
      <c r="F283" t="s">
        <v>2543</v>
      </c>
      <c r="G283">
        <v>24326</v>
      </c>
      <c r="H283">
        <v>1060</v>
      </c>
      <c r="I283" s="25" t="s">
        <v>2085</v>
      </c>
      <c r="J283" t="s">
        <v>2363</v>
      </c>
      <c r="M283" s="49"/>
    </row>
    <row r="284" spans="6:13" x14ac:dyDescent="0.25">
      <c r="F284" t="s">
        <v>2543</v>
      </c>
      <c r="G284">
        <v>59387</v>
      </c>
      <c r="H284">
        <v>5558</v>
      </c>
      <c r="I284" s="25" t="s">
        <v>2023</v>
      </c>
      <c r="J284" t="s">
        <v>2076</v>
      </c>
      <c r="M284" s="49"/>
    </row>
    <row r="285" spans="6:13" x14ac:dyDescent="0.25">
      <c r="F285" t="s">
        <v>2544</v>
      </c>
      <c r="G285">
        <v>24358</v>
      </c>
      <c r="H285">
        <v>1058</v>
      </c>
      <c r="I285" s="25" t="s">
        <v>2085</v>
      </c>
      <c r="J285" t="s">
        <v>2086</v>
      </c>
      <c r="M285" s="49"/>
    </row>
    <row r="286" spans="6:13" x14ac:dyDescent="0.25">
      <c r="F286" t="s">
        <v>2545</v>
      </c>
      <c r="G286">
        <v>6449</v>
      </c>
      <c r="H286">
        <v>15089</v>
      </c>
      <c r="I286" s="25" t="s">
        <v>2241</v>
      </c>
      <c r="J286" t="s">
        <v>2351</v>
      </c>
      <c r="M286" s="49"/>
    </row>
    <row r="287" spans="6:13" x14ac:dyDescent="0.25">
      <c r="F287" t="s">
        <v>2546</v>
      </c>
      <c r="G287">
        <v>85609</v>
      </c>
      <c r="H287">
        <v>9184</v>
      </c>
      <c r="I287" s="25" t="s">
        <v>2050</v>
      </c>
      <c r="J287" t="s">
        <v>2547</v>
      </c>
      <c r="M287" s="49"/>
    </row>
    <row r="288" spans="6:13" x14ac:dyDescent="0.25">
      <c r="F288" t="s">
        <v>2548</v>
      </c>
      <c r="G288">
        <v>27330</v>
      </c>
      <c r="H288">
        <v>3251</v>
      </c>
      <c r="I288" s="25" t="s">
        <v>2074</v>
      </c>
      <c r="J288" t="s">
        <v>2094</v>
      </c>
      <c r="M288" s="49"/>
    </row>
    <row r="289" spans="6:13" x14ac:dyDescent="0.25">
      <c r="F289" t="s">
        <v>2548</v>
      </c>
      <c r="G289">
        <v>27330</v>
      </c>
      <c r="H289">
        <v>3251</v>
      </c>
      <c r="I289" s="25" t="s">
        <v>2074</v>
      </c>
      <c r="J289" t="s">
        <v>2094</v>
      </c>
      <c r="M289" s="49"/>
    </row>
    <row r="290" spans="6:13" x14ac:dyDescent="0.25">
      <c r="F290" t="s">
        <v>2549</v>
      </c>
      <c r="G290">
        <v>71546</v>
      </c>
      <c r="H290">
        <v>8119</v>
      </c>
      <c r="I290" s="25" t="s">
        <v>2018</v>
      </c>
      <c r="J290" t="s">
        <v>2287</v>
      </c>
      <c r="M290" s="49"/>
    </row>
    <row r="291" spans="6:13" x14ac:dyDescent="0.25">
      <c r="F291" t="s">
        <v>2550</v>
      </c>
      <c r="G291">
        <v>71679</v>
      </c>
      <c r="H291">
        <v>8118</v>
      </c>
      <c r="I291" s="25" t="s">
        <v>2018</v>
      </c>
      <c r="J291" t="s">
        <v>2142</v>
      </c>
      <c r="M291" s="49"/>
    </row>
    <row r="292" spans="6:13" x14ac:dyDescent="0.25">
      <c r="F292" t="s">
        <v>2551</v>
      </c>
      <c r="G292">
        <v>55459</v>
      </c>
      <c r="H292">
        <v>7339</v>
      </c>
      <c r="I292" s="25" t="s">
        <v>2123</v>
      </c>
      <c r="J292" t="s">
        <v>2238</v>
      </c>
      <c r="M292" s="49"/>
    </row>
    <row r="293" spans="6:13" x14ac:dyDescent="0.25">
      <c r="F293" t="s">
        <v>2551</v>
      </c>
      <c r="G293">
        <v>55459</v>
      </c>
      <c r="H293">
        <v>7339</v>
      </c>
      <c r="I293" s="25" t="s">
        <v>2123</v>
      </c>
      <c r="J293" t="s">
        <v>2238</v>
      </c>
      <c r="M293" s="49"/>
    </row>
    <row r="294" spans="6:13" x14ac:dyDescent="0.25">
      <c r="F294" t="s">
        <v>2552</v>
      </c>
      <c r="G294">
        <v>97959</v>
      </c>
      <c r="H294">
        <v>8128</v>
      </c>
      <c r="I294" s="25" t="s">
        <v>2018</v>
      </c>
      <c r="J294" t="s">
        <v>2175</v>
      </c>
      <c r="M294" s="49"/>
    </row>
    <row r="295" spans="6:13" x14ac:dyDescent="0.25">
      <c r="F295" t="s">
        <v>2553</v>
      </c>
      <c r="G295">
        <v>89176</v>
      </c>
      <c r="H295">
        <v>8425</v>
      </c>
      <c r="I295" s="25" t="s">
        <v>2018</v>
      </c>
      <c r="J295" t="s">
        <v>2027</v>
      </c>
      <c r="M295" s="49"/>
    </row>
    <row r="296" spans="6:13" x14ac:dyDescent="0.25">
      <c r="F296" t="s">
        <v>2554</v>
      </c>
      <c r="G296">
        <v>35614</v>
      </c>
      <c r="H296">
        <v>6532</v>
      </c>
      <c r="I296" s="25" t="s">
        <v>2046</v>
      </c>
      <c r="J296" t="s">
        <v>2555</v>
      </c>
      <c r="M296" s="49"/>
    </row>
    <row r="297" spans="6:13" x14ac:dyDescent="0.25">
      <c r="F297" t="s">
        <v>2556</v>
      </c>
      <c r="G297">
        <v>85617</v>
      </c>
      <c r="H297">
        <v>9175</v>
      </c>
      <c r="I297" s="25" t="s">
        <v>2050</v>
      </c>
      <c r="J297" t="s">
        <v>2500</v>
      </c>
      <c r="M297" s="49"/>
    </row>
    <row r="298" spans="6:13" x14ac:dyDescent="0.25">
      <c r="F298" t="s">
        <v>2557</v>
      </c>
      <c r="G298">
        <v>57439</v>
      </c>
      <c r="H298">
        <v>5966</v>
      </c>
      <c r="I298" s="25" t="s">
        <v>2023</v>
      </c>
      <c r="J298" t="s">
        <v>2289</v>
      </c>
      <c r="M298" s="49"/>
    </row>
    <row r="299" spans="6:13" x14ac:dyDescent="0.25">
      <c r="F299" t="s">
        <v>2558</v>
      </c>
      <c r="G299">
        <v>84091</v>
      </c>
      <c r="H299">
        <v>9273</v>
      </c>
      <c r="I299" s="25" t="s">
        <v>2050</v>
      </c>
      <c r="J299" t="s">
        <v>2054</v>
      </c>
      <c r="M299" s="49"/>
    </row>
    <row r="300" spans="6:13" x14ac:dyDescent="0.25">
      <c r="F300" t="s">
        <v>2559</v>
      </c>
      <c r="G300">
        <v>85395</v>
      </c>
      <c r="H300">
        <v>9178</v>
      </c>
      <c r="I300" s="25" t="s">
        <v>2050</v>
      </c>
      <c r="J300" t="s">
        <v>2315</v>
      </c>
      <c r="M300" s="49"/>
    </row>
    <row r="301" spans="6:13" x14ac:dyDescent="0.25">
      <c r="F301" t="s">
        <v>2560</v>
      </c>
      <c r="G301">
        <v>88448</v>
      </c>
      <c r="H301">
        <v>8426</v>
      </c>
      <c r="I301" s="25" t="s">
        <v>2018</v>
      </c>
      <c r="J301" t="s">
        <v>2081</v>
      </c>
      <c r="M301" s="49"/>
    </row>
    <row r="302" spans="6:13" x14ac:dyDescent="0.25">
      <c r="F302" t="s">
        <v>2561</v>
      </c>
      <c r="G302">
        <v>94348</v>
      </c>
      <c r="H302">
        <v>9278</v>
      </c>
      <c r="I302" s="25" t="s">
        <v>2050</v>
      </c>
      <c r="J302" t="s">
        <v>2170</v>
      </c>
      <c r="M302" s="49"/>
    </row>
    <row r="303" spans="6:13" x14ac:dyDescent="0.25">
      <c r="F303" t="s">
        <v>2562</v>
      </c>
      <c r="G303">
        <v>79280</v>
      </c>
      <c r="H303">
        <v>8315</v>
      </c>
      <c r="I303" s="25" t="s">
        <v>2018</v>
      </c>
      <c r="J303" t="s">
        <v>2061</v>
      </c>
      <c r="M303" s="49"/>
    </row>
    <row r="304" spans="6:13" x14ac:dyDescent="0.25">
      <c r="F304" t="s">
        <v>2563</v>
      </c>
      <c r="G304">
        <v>76474</v>
      </c>
      <c r="H304">
        <v>8216</v>
      </c>
      <c r="I304" s="25" t="s">
        <v>2018</v>
      </c>
      <c r="J304" t="s">
        <v>2564</v>
      </c>
      <c r="M304" s="49"/>
    </row>
    <row r="305" spans="6:13" x14ac:dyDescent="0.25">
      <c r="F305" t="s">
        <v>2565</v>
      </c>
      <c r="G305">
        <v>84072</v>
      </c>
      <c r="H305">
        <v>9178</v>
      </c>
      <c r="I305" s="25" t="s">
        <v>2050</v>
      </c>
      <c r="J305" t="s">
        <v>2315</v>
      </c>
      <c r="M305" s="49"/>
    </row>
    <row r="306" spans="6:13" x14ac:dyDescent="0.25">
      <c r="F306" t="s">
        <v>2566</v>
      </c>
      <c r="G306">
        <v>97239</v>
      </c>
      <c r="H306">
        <v>9679</v>
      </c>
      <c r="I306" s="25" t="s">
        <v>2050</v>
      </c>
      <c r="J306" t="s">
        <v>2428</v>
      </c>
      <c r="M306" s="49"/>
    </row>
    <row r="307" spans="6:13" x14ac:dyDescent="0.25">
      <c r="F307" t="s">
        <v>2567</v>
      </c>
      <c r="G307">
        <v>8280</v>
      </c>
      <c r="H307">
        <v>14521</v>
      </c>
      <c r="I307" s="25" t="s">
        <v>2135</v>
      </c>
      <c r="J307" t="s">
        <v>2032</v>
      </c>
      <c r="M307" s="49"/>
    </row>
    <row r="308" spans="6:13" x14ac:dyDescent="0.25">
      <c r="F308" t="s">
        <v>2568</v>
      </c>
      <c r="G308">
        <v>71549</v>
      </c>
      <c r="H308">
        <v>8119</v>
      </c>
      <c r="I308" s="25" t="s">
        <v>2018</v>
      </c>
      <c r="J308" t="s">
        <v>2287</v>
      </c>
      <c r="M308" s="49"/>
    </row>
    <row r="309" spans="6:13" x14ac:dyDescent="0.25">
      <c r="F309" t="s">
        <v>2569</v>
      </c>
      <c r="G309">
        <v>94530</v>
      </c>
      <c r="H309">
        <v>9271</v>
      </c>
      <c r="I309" s="25" t="s">
        <v>2050</v>
      </c>
      <c r="J309" t="s">
        <v>2172</v>
      </c>
      <c r="M309" s="49"/>
    </row>
    <row r="310" spans="6:13" x14ac:dyDescent="0.25">
      <c r="F310" t="s">
        <v>2569</v>
      </c>
      <c r="G310">
        <v>9392</v>
      </c>
      <c r="H310">
        <v>14521</v>
      </c>
      <c r="I310" s="25" t="s">
        <v>2135</v>
      </c>
      <c r="J310" t="s">
        <v>2032</v>
      </c>
      <c r="M310" s="49"/>
    </row>
    <row r="311" spans="6:13" x14ac:dyDescent="0.25">
      <c r="F311" t="s">
        <v>2570</v>
      </c>
      <c r="G311">
        <v>91275</v>
      </c>
      <c r="H311">
        <v>9371</v>
      </c>
      <c r="I311" s="25" t="s">
        <v>2050</v>
      </c>
      <c r="J311" t="s">
        <v>2469</v>
      </c>
      <c r="M311" s="49"/>
    </row>
    <row r="312" spans="6:13" x14ac:dyDescent="0.25">
      <c r="F312" t="s">
        <v>2571</v>
      </c>
      <c r="G312">
        <v>8209</v>
      </c>
      <c r="H312">
        <v>14523</v>
      </c>
      <c r="I312" s="25" t="s">
        <v>2135</v>
      </c>
      <c r="J312" t="s">
        <v>2136</v>
      </c>
      <c r="M312" s="49"/>
    </row>
    <row r="313" spans="6:13" x14ac:dyDescent="0.25">
      <c r="F313" t="s">
        <v>2572</v>
      </c>
      <c r="G313">
        <v>31749</v>
      </c>
      <c r="H313">
        <v>3257</v>
      </c>
      <c r="I313" s="25" t="s">
        <v>2074</v>
      </c>
      <c r="J313" t="s">
        <v>2167</v>
      </c>
      <c r="M313" s="49"/>
    </row>
    <row r="314" spans="6:13" x14ac:dyDescent="0.25">
      <c r="F314" t="s">
        <v>2573</v>
      </c>
      <c r="G314">
        <v>93089</v>
      </c>
      <c r="H314">
        <v>9375</v>
      </c>
      <c r="I314" s="25" t="s">
        <v>2050</v>
      </c>
      <c r="J314" t="s">
        <v>2365</v>
      </c>
      <c r="M314" s="49"/>
    </row>
    <row r="315" spans="6:13" x14ac:dyDescent="0.25">
      <c r="F315" t="s">
        <v>2574</v>
      </c>
      <c r="G315">
        <v>91347</v>
      </c>
      <c r="H315">
        <v>9472</v>
      </c>
      <c r="I315" s="25" t="s">
        <v>2050</v>
      </c>
      <c r="J315" t="s">
        <v>2180</v>
      </c>
      <c r="M315" s="49"/>
    </row>
    <row r="316" spans="6:13" x14ac:dyDescent="0.25">
      <c r="F316" t="s">
        <v>2575</v>
      </c>
      <c r="G316">
        <v>79424</v>
      </c>
      <c r="H316">
        <v>8315</v>
      </c>
      <c r="I316" s="25" t="s">
        <v>2018</v>
      </c>
      <c r="J316" t="s">
        <v>2061</v>
      </c>
      <c r="M316" s="49"/>
    </row>
    <row r="317" spans="6:13" x14ac:dyDescent="0.25">
      <c r="F317" t="s">
        <v>2117</v>
      </c>
      <c r="G317">
        <v>86179</v>
      </c>
      <c r="H317">
        <v>9761</v>
      </c>
      <c r="I317" s="25" t="s">
        <v>2050</v>
      </c>
      <c r="J317" t="s">
        <v>2576</v>
      </c>
      <c r="M317" s="49"/>
    </row>
    <row r="318" spans="6:13" x14ac:dyDescent="0.25">
      <c r="F318" t="s">
        <v>2117</v>
      </c>
      <c r="G318">
        <v>86169</v>
      </c>
      <c r="H318">
        <v>9761</v>
      </c>
      <c r="I318" s="25" t="s">
        <v>2050</v>
      </c>
      <c r="J318" t="s">
        <v>2576</v>
      </c>
      <c r="M318" s="49"/>
    </row>
    <row r="319" spans="6:13" x14ac:dyDescent="0.25">
      <c r="F319" t="s">
        <v>2117</v>
      </c>
      <c r="G319">
        <v>86157</v>
      </c>
      <c r="H319">
        <v>9761</v>
      </c>
      <c r="I319" s="25" t="s">
        <v>2050</v>
      </c>
      <c r="J319" t="s">
        <v>2576</v>
      </c>
      <c r="M319" s="49"/>
    </row>
    <row r="320" spans="6:13" x14ac:dyDescent="0.25">
      <c r="F320" t="s">
        <v>2117</v>
      </c>
      <c r="G320">
        <v>86154</v>
      </c>
      <c r="H320">
        <v>9761</v>
      </c>
      <c r="I320" s="25" t="s">
        <v>2050</v>
      </c>
      <c r="J320" t="s">
        <v>2576</v>
      </c>
      <c r="M320" s="49"/>
    </row>
    <row r="321" spans="6:13" x14ac:dyDescent="0.25">
      <c r="F321" t="s">
        <v>2117</v>
      </c>
      <c r="G321">
        <v>86165</v>
      </c>
      <c r="H321">
        <v>9761</v>
      </c>
      <c r="I321" s="25" t="s">
        <v>2050</v>
      </c>
      <c r="J321" t="s">
        <v>2576</v>
      </c>
      <c r="M321" s="49"/>
    </row>
    <row r="322" spans="6:13" x14ac:dyDescent="0.25">
      <c r="F322" t="s">
        <v>2117</v>
      </c>
      <c r="G322">
        <v>86163</v>
      </c>
      <c r="H322">
        <v>9761</v>
      </c>
      <c r="I322" s="25" t="s">
        <v>2050</v>
      </c>
      <c r="J322" t="s">
        <v>2576</v>
      </c>
      <c r="M322" s="49"/>
    </row>
    <row r="323" spans="6:13" x14ac:dyDescent="0.25">
      <c r="F323" t="s">
        <v>2117</v>
      </c>
      <c r="G323">
        <v>86199</v>
      </c>
      <c r="H323">
        <v>9761</v>
      </c>
      <c r="I323" s="25" t="s">
        <v>2050</v>
      </c>
      <c r="J323" t="s">
        <v>2576</v>
      </c>
      <c r="M323" s="49"/>
    </row>
    <row r="324" spans="6:13" x14ac:dyDescent="0.25">
      <c r="F324" t="s">
        <v>2117</v>
      </c>
      <c r="G324">
        <v>86161</v>
      </c>
      <c r="H324">
        <v>9761</v>
      </c>
      <c r="I324" s="25" t="s">
        <v>2050</v>
      </c>
      <c r="J324" t="s">
        <v>2576</v>
      </c>
      <c r="M324" s="49"/>
    </row>
    <row r="325" spans="6:13" x14ac:dyDescent="0.25">
      <c r="F325" t="s">
        <v>2117</v>
      </c>
      <c r="G325">
        <v>86150</v>
      </c>
      <c r="H325">
        <v>9761</v>
      </c>
      <c r="I325" s="25" t="s">
        <v>2050</v>
      </c>
      <c r="J325" t="s">
        <v>2576</v>
      </c>
      <c r="M325" s="49"/>
    </row>
    <row r="326" spans="6:13" x14ac:dyDescent="0.25">
      <c r="F326" t="s">
        <v>2117</v>
      </c>
      <c r="G326">
        <v>86156</v>
      </c>
      <c r="H326">
        <v>9761</v>
      </c>
      <c r="I326" s="25" t="s">
        <v>2050</v>
      </c>
      <c r="J326" t="s">
        <v>2576</v>
      </c>
      <c r="M326" s="49"/>
    </row>
    <row r="327" spans="6:13" x14ac:dyDescent="0.25">
      <c r="F327" t="s">
        <v>2117</v>
      </c>
      <c r="G327">
        <v>86159</v>
      </c>
      <c r="H327">
        <v>9761</v>
      </c>
      <c r="I327" s="25" t="s">
        <v>2050</v>
      </c>
      <c r="J327" t="s">
        <v>2576</v>
      </c>
      <c r="M327" s="49"/>
    </row>
    <row r="328" spans="6:13" x14ac:dyDescent="0.25">
      <c r="F328" t="s">
        <v>2117</v>
      </c>
      <c r="G328">
        <v>86167</v>
      </c>
      <c r="H328">
        <v>9761</v>
      </c>
      <c r="I328" s="25" t="s">
        <v>2050</v>
      </c>
      <c r="J328" t="s">
        <v>2576</v>
      </c>
      <c r="M328" s="49"/>
    </row>
    <row r="329" spans="6:13" x14ac:dyDescent="0.25">
      <c r="F329" t="s">
        <v>2117</v>
      </c>
      <c r="G329">
        <v>86152</v>
      </c>
      <c r="H329">
        <v>9761</v>
      </c>
      <c r="I329" s="25" t="s">
        <v>2050</v>
      </c>
      <c r="J329" t="s">
        <v>2576</v>
      </c>
      <c r="M329" s="49"/>
    </row>
    <row r="330" spans="6:13" x14ac:dyDescent="0.25">
      <c r="F330" t="s">
        <v>2117</v>
      </c>
      <c r="G330">
        <v>86153</v>
      </c>
      <c r="H330">
        <v>9761</v>
      </c>
      <c r="I330" s="25" t="s">
        <v>2050</v>
      </c>
      <c r="J330" t="s">
        <v>2576</v>
      </c>
      <c r="M330" s="49"/>
    </row>
    <row r="331" spans="6:13" x14ac:dyDescent="0.25">
      <c r="F331" t="s">
        <v>2577</v>
      </c>
      <c r="G331">
        <v>32832</v>
      </c>
      <c r="H331">
        <v>5766</v>
      </c>
      <c r="I331" s="25" t="s">
        <v>2023</v>
      </c>
      <c r="J331" t="s">
        <v>2223</v>
      </c>
      <c r="M331" s="49"/>
    </row>
    <row r="332" spans="6:13" x14ac:dyDescent="0.25">
      <c r="F332" t="s">
        <v>2578</v>
      </c>
      <c r="G332">
        <v>31553</v>
      </c>
      <c r="H332">
        <v>3257</v>
      </c>
      <c r="I332" s="25" t="s">
        <v>2074</v>
      </c>
      <c r="J332" t="s">
        <v>2167</v>
      </c>
      <c r="M332" s="49"/>
    </row>
    <row r="333" spans="6:13" x14ac:dyDescent="0.25">
      <c r="F333" t="s">
        <v>2579</v>
      </c>
      <c r="G333">
        <v>86736</v>
      </c>
      <c r="H333">
        <v>9779</v>
      </c>
      <c r="I333" s="25" t="s">
        <v>2050</v>
      </c>
      <c r="J333" t="s">
        <v>2280</v>
      </c>
      <c r="M333" s="49"/>
    </row>
    <row r="334" spans="6:13" x14ac:dyDescent="0.25">
      <c r="F334" t="s">
        <v>2580</v>
      </c>
      <c r="G334">
        <v>24613</v>
      </c>
      <c r="H334">
        <v>1058</v>
      </c>
      <c r="I334" s="25" t="s">
        <v>2085</v>
      </c>
      <c r="J334" t="s">
        <v>2086</v>
      </c>
      <c r="M334" s="49"/>
    </row>
    <row r="335" spans="6:13" x14ac:dyDescent="0.25">
      <c r="F335" t="s">
        <v>2580</v>
      </c>
      <c r="G335">
        <v>24613</v>
      </c>
      <c r="H335">
        <v>1061</v>
      </c>
      <c r="I335" s="25" t="s">
        <v>2085</v>
      </c>
      <c r="J335" t="s">
        <v>2377</v>
      </c>
      <c r="M335" s="49"/>
    </row>
    <row r="336" spans="6:13" x14ac:dyDescent="0.25">
      <c r="F336" t="s">
        <v>2581</v>
      </c>
      <c r="G336">
        <v>88326</v>
      </c>
      <c r="H336">
        <v>8436</v>
      </c>
      <c r="I336" s="25" t="s">
        <v>2018</v>
      </c>
      <c r="J336" t="s">
        <v>2068</v>
      </c>
      <c r="M336" s="49"/>
    </row>
    <row r="337" spans="6:13" x14ac:dyDescent="0.25">
      <c r="F337" t="s">
        <v>2582</v>
      </c>
      <c r="G337">
        <v>7955</v>
      </c>
      <c r="H337">
        <v>16076</v>
      </c>
      <c r="I337" s="25" t="s">
        <v>2384</v>
      </c>
      <c r="J337" t="s">
        <v>2583</v>
      </c>
      <c r="M337" s="49"/>
    </row>
    <row r="338" spans="6:13" x14ac:dyDescent="0.25">
      <c r="F338" t="s">
        <v>2584</v>
      </c>
      <c r="G338">
        <v>21521</v>
      </c>
      <c r="H338">
        <v>1053</v>
      </c>
      <c r="I338" s="25" t="s">
        <v>2085</v>
      </c>
      <c r="J338" t="s">
        <v>2193</v>
      </c>
      <c r="M338" s="49"/>
    </row>
    <row r="339" spans="6:13" x14ac:dyDescent="0.25">
      <c r="F339" t="s">
        <v>2584</v>
      </c>
      <c r="G339">
        <v>21521</v>
      </c>
      <c r="H339">
        <v>1062</v>
      </c>
      <c r="I339" s="25" t="s">
        <v>2085</v>
      </c>
      <c r="J339" t="s">
        <v>2188</v>
      </c>
      <c r="M339" s="49"/>
    </row>
    <row r="340" spans="6:13" x14ac:dyDescent="0.25">
      <c r="F340" t="s">
        <v>2585</v>
      </c>
      <c r="G340">
        <v>97773</v>
      </c>
      <c r="H340">
        <v>9677</v>
      </c>
      <c r="I340" s="25" t="s">
        <v>2050</v>
      </c>
      <c r="J340" t="s">
        <v>2527</v>
      </c>
      <c r="M340" s="49"/>
    </row>
    <row r="341" spans="6:13" x14ac:dyDescent="0.25">
      <c r="F341" t="s">
        <v>2586</v>
      </c>
      <c r="G341">
        <v>91589</v>
      </c>
      <c r="H341">
        <v>9571</v>
      </c>
      <c r="I341" s="25" t="s">
        <v>2050</v>
      </c>
      <c r="J341" t="s">
        <v>2113</v>
      </c>
      <c r="M341" s="49"/>
    </row>
    <row r="342" spans="6:13" x14ac:dyDescent="0.25">
      <c r="F342" t="s">
        <v>2587</v>
      </c>
      <c r="G342">
        <v>91086</v>
      </c>
      <c r="H342">
        <v>9572</v>
      </c>
      <c r="I342" s="25" t="s">
        <v>2050</v>
      </c>
      <c r="J342" t="s">
        <v>2105</v>
      </c>
      <c r="M342" s="49"/>
    </row>
    <row r="343" spans="6:13" x14ac:dyDescent="0.25">
      <c r="F343" t="s">
        <v>2034</v>
      </c>
      <c r="G343">
        <v>26605</v>
      </c>
      <c r="H343">
        <v>3452</v>
      </c>
      <c r="I343" s="25" t="s">
        <v>2074</v>
      </c>
      <c r="J343" t="s">
        <v>2034</v>
      </c>
      <c r="M343" s="49"/>
    </row>
    <row r="344" spans="6:13" x14ac:dyDescent="0.25">
      <c r="F344" t="s">
        <v>2034</v>
      </c>
      <c r="G344">
        <v>26603</v>
      </c>
      <c r="H344">
        <v>3452</v>
      </c>
      <c r="I344" s="25" t="s">
        <v>2074</v>
      </c>
      <c r="J344" t="s">
        <v>2034</v>
      </c>
      <c r="M344" s="49"/>
    </row>
    <row r="345" spans="6:13" x14ac:dyDescent="0.25">
      <c r="F345" t="s">
        <v>2034</v>
      </c>
      <c r="G345">
        <v>26607</v>
      </c>
      <c r="H345">
        <v>3452</v>
      </c>
      <c r="I345" s="25" t="s">
        <v>2074</v>
      </c>
      <c r="J345" t="s">
        <v>2034</v>
      </c>
      <c r="M345" s="49"/>
    </row>
    <row r="346" spans="6:13" x14ac:dyDescent="0.25">
      <c r="F346" t="s">
        <v>2588</v>
      </c>
      <c r="G346">
        <v>94532</v>
      </c>
      <c r="H346">
        <v>9271</v>
      </c>
      <c r="I346" s="25" t="s">
        <v>2050</v>
      </c>
      <c r="J346" t="s">
        <v>2172</v>
      </c>
      <c r="M346" s="49"/>
    </row>
    <row r="347" spans="6:13" x14ac:dyDescent="0.25">
      <c r="F347" t="s">
        <v>2589</v>
      </c>
      <c r="G347">
        <v>85653</v>
      </c>
      <c r="H347">
        <v>9184</v>
      </c>
      <c r="I347" s="25" t="s">
        <v>2050</v>
      </c>
      <c r="J347" t="s">
        <v>2547</v>
      </c>
      <c r="M347" s="49"/>
    </row>
    <row r="348" spans="6:13" x14ac:dyDescent="0.25">
      <c r="F348" t="s">
        <v>2590</v>
      </c>
      <c r="G348">
        <v>54441</v>
      </c>
      <c r="H348">
        <v>7235</v>
      </c>
      <c r="I348" s="25" t="s">
        <v>2123</v>
      </c>
      <c r="J348" t="s">
        <v>2395</v>
      </c>
      <c r="M348" s="49"/>
    </row>
    <row r="349" spans="6:13" x14ac:dyDescent="0.25">
      <c r="F349" t="s">
        <v>2590</v>
      </c>
      <c r="G349">
        <v>54441</v>
      </c>
      <c r="H349">
        <v>7235</v>
      </c>
      <c r="I349" s="25" t="s">
        <v>2123</v>
      </c>
      <c r="J349" t="s">
        <v>2395</v>
      </c>
      <c r="M349" s="49"/>
    </row>
    <row r="350" spans="6:13" x14ac:dyDescent="0.25">
      <c r="F350" t="s">
        <v>2590</v>
      </c>
      <c r="G350">
        <v>54441</v>
      </c>
      <c r="H350">
        <v>7235</v>
      </c>
      <c r="I350" s="25" t="s">
        <v>2123</v>
      </c>
      <c r="J350" t="s">
        <v>2395</v>
      </c>
      <c r="M350" s="49"/>
    </row>
    <row r="351" spans="6:13" x14ac:dyDescent="0.25">
      <c r="F351" t="s">
        <v>2591</v>
      </c>
      <c r="G351">
        <v>86482</v>
      </c>
      <c r="H351">
        <v>9772</v>
      </c>
      <c r="I351" s="25" t="s">
        <v>2050</v>
      </c>
      <c r="J351" t="s">
        <v>2117</v>
      </c>
      <c r="M351" s="49"/>
    </row>
    <row r="352" spans="6:13" x14ac:dyDescent="0.25">
      <c r="F352" t="s">
        <v>2592</v>
      </c>
      <c r="G352">
        <v>86674</v>
      </c>
      <c r="H352">
        <v>9771</v>
      </c>
      <c r="I352" s="25" t="s">
        <v>2050</v>
      </c>
      <c r="J352" t="s">
        <v>2120</v>
      </c>
      <c r="M352" s="49"/>
    </row>
    <row r="353" spans="6:13" x14ac:dyDescent="0.25">
      <c r="F353" t="s">
        <v>2593</v>
      </c>
      <c r="G353">
        <v>85107</v>
      </c>
      <c r="H353">
        <v>9186</v>
      </c>
      <c r="I353" s="25" t="s">
        <v>2050</v>
      </c>
      <c r="J353" t="s">
        <v>2594</v>
      </c>
      <c r="M353" s="49"/>
    </row>
    <row r="354" spans="6:13" x14ac:dyDescent="0.25">
      <c r="F354" t="s">
        <v>2595</v>
      </c>
      <c r="G354">
        <v>64832</v>
      </c>
      <c r="H354">
        <v>6432</v>
      </c>
      <c r="I354" s="25" t="s">
        <v>2046</v>
      </c>
      <c r="J354" t="s">
        <v>2338</v>
      </c>
      <c r="M354" s="49"/>
    </row>
    <row r="355" spans="6:13" x14ac:dyDescent="0.25">
      <c r="F355" t="s">
        <v>2595</v>
      </c>
      <c r="G355">
        <v>87727</v>
      </c>
      <c r="H355">
        <v>9778</v>
      </c>
      <c r="I355" s="25" t="s">
        <v>2050</v>
      </c>
      <c r="J355" t="s">
        <v>2460</v>
      </c>
      <c r="M355" s="49"/>
    </row>
    <row r="356" spans="6:13" x14ac:dyDescent="0.25">
      <c r="F356" t="s">
        <v>2596</v>
      </c>
      <c r="G356">
        <v>83547</v>
      </c>
      <c r="H356">
        <v>9187</v>
      </c>
      <c r="I356" s="25" t="s">
        <v>2050</v>
      </c>
      <c r="J356" t="s">
        <v>2245</v>
      </c>
      <c r="M356" s="49"/>
    </row>
    <row r="357" spans="6:13" x14ac:dyDescent="0.25">
      <c r="F357" t="s">
        <v>2597</v>
      </c>
      <c r="G357">
        <v>93090</v>
      </c>
      <c r="H357">
        <v>9375</v>
      </c>
      <c r="I357" s="25" t="s">
        <v>2050</v>
      </c>
      <c r="J357" t="s">
        <v>2365</v>
      </c>
      <c r="M357" s="49"/>
    </row>
    <row r="358" spans="6:13" x14ac:dyDescent="0.25">
      <c r="F358" t="s">
        <v>2598</v>
      </c>
      <c r="G358">
        <v>55422</v>
      </c>
      <c r="H358">
        <v>7339</v>
      </c>
      <c r="I358" s="25" t="s">
        <v>2123</v>
      </c>
      <c r="J358" t="s">
        <v>2238</v>
      </c>
      <c r="M358" s="49"/>
    </row>
    <row r="359" spans="6:13" x14ac:dyDescent="0.25">
      <c r="F359" t="s">
        <v>2599</v>
      </c>
      <c r="G359">
        <v>89429</v>
      </c>
      <c r="H359">
        <v>9773</v>
      </c>
      <c r="I359" s="25" t="s">
        <v>2050</v>
      </c>
      <c r="J359" t="s">
        <v>2231</v>
      </c>
      <c r="M359" s="49"/>
    </row>
    <row r="360" spans="6:13" x14ac:dyDescent="0.25">
      <c r="F360" t="s">
        <v>2600</v>
      </c>
      <c r="G360">
        <v>89431</v>
      </c>
      <c r="H360">
        <v>9773</v>
      </c>
      <c r="I360" s="25" t="s">
        <v>2050</v>
      </c>
      <c r="J360" t="s">
        <v>2231</v>
      </c>
      <c r="M360" s="49"/>
    </row>
    <row r="361" spans="6:13" x14ac:dyDescent="0.25">
      <c r="F361" t="s">
        <v>2601</v>
      </c>
      <c r="G361">
        <v>71522</v>
      </c>
      <c r="H361">
        <v>8119</v>
      </c>
      <c r="I361" s="25" t="s">
        <v>2018</v>
      </c>
      <c r="J361" t="s">
        <v>2287</v>
      </c>
      <c r="M361" s="49"/>
    </row>
    <row r="362" spans="6:13" x14ac:dyDescent="0.25">
      <c r="F362" t="s">
        <v>2602</v>
      </c>
      <c r="G362">
        <v>93077</v>
      </c>
      <c r="H362">
        <v>9273</v>
      </c>
      <c r="I362" s="25" t="s">
        <v>2050</v>
      </c>
      <c r="J362" t="s">
        <v>2054</v>
      </c>
      <c r="M362" s="49"/>
    </row>
    <row r="363" spans="6:13" x14ac:dyDescent="0.25">
      <c r="F363" t="s">
        <v>2603</v>
      </c>
      <c r="G363">
        <v>83043</v>
      </c>
      <c r="H363">
        <v>9187</v>
      </c>
      <c r="I363" s="25" t="s">
        <v>2050</v>
      </c>
      <c r="J363" t="s">
        <v>2245</v>
      </c>
      <c r="M363" s="49"/>
    </row>
    <row r="364" spans="6:13" x14ac:dyDescent="0.25">
      <c r="F364" t="s">
        <v>2604</v>
      </c>
      <c r="G364">
        <v>95680</v>
      </c>
      <c r="H364">
        <v>9479</v>
      </c>
      <c r="I364" s="25" t="s">
        <v>2050</v>
      </c>
      <c r="J364" t="s">
        <v>2436</v>
      </c>
      <c r="M364" s="49"/>
    </row>
    <row r="365" spans="6:13" x14ac:dyDescent="0.25">
      <c r="F365" t="s">
        <v>2605</v>
      </c>
      <c r="G365">
        <v>34454</v>
      </c>
      <c r="H365">
        <v>6635</v>
      </c>
      <c r="I365" s="25" t="s">
        <v>2046</v>
      </c>
      <c r="J365" t="s">
        <v>2308</v>
      </c>
      <c r="M365" s="49"/>
    </row>
    <row r="366" spans="6:13" x14ac:dyDescent="0.25">
      <c r="F366" t="s">
        <v>2606</v>
      </c>
      <c r="G366">
        <v>79415</v>
      </c>
      <c r="H366">
        <v>8336</v>
      </c>
      <c r="I366" s="25" t="s">
        <v>2018</v>
      </c>
      <c r="J366" t="s">
        <v>2227</v>
      </c>
      <c r="M366" s="49"/>
    </row>
    <row r="367" spans="6:13" x14ac:dyDescent="0.25">
      <c r="F367" t="s">
        <v>2607</v>
      </c>
      <c r="G367">
        <v>48455</v>
      </c>
      <c r="H367">
        <v>3456</v>
      </c>
      <c r="I367" s="25" t="s">
        <v>2074</v>
      </c>
      <c r="J367" t="s">
        <v>2156</v>
      </c>
      <c r="M367" s="49"/>
    </row>
    <row r="368" spans="6:13" x14ac:dyDescent="0.25">
      <c r="F368" t="s">
        <v>2608</v>
      </c>
      <c r="G368">
        <v>76887</v>
      </c>
      <c r="H368">
        <v>7337</v>
      </c>
      <c r="I368" s="25" t="s">
        <v>2123</v>
      </c>
      <c r="J368" t="s">
        <v>2256</v>
      </c>
      <c r="M368" s="49"/>
    </row>
    <row r="369" spans="6:13" x14ac:dyDescent="0.25">
      <c r="F369" t="s">
        <v>2608</v>
      </c>
      <c r="G369">
        <v>76887</v>
      </c>
      <c r="H369">
        <v>7337</v>
      </c>
      <c r="I369" s="25" t="s">
        <v>2123</v>
      </c>
      <c r="J369" t="s">
        <v>2256</v>
      </c>
      <c r="M369" s="49"/>
    </row>
    <row r="370" spans="6:13" x14ac:dyDescent="0.25">
      <c r="F370" t="s">
        <v>2608</v>
      </c>
      <c r="G370">
        <v>76887</v>
      </c>
      <c r="H370">
        <v>7337</v>
      </c>
      <c r="I370" s="25" t="s">
        <v>2123</v>
      </c>
      <c r="J370" t="s">
        <v>2256</v>
      </c>
      <c r="M370" s="49"/>
    </row>
    <row r="371" spans="6:13" x14ac:dyDescent="0.25">
      <c r="F371" t="s">
        <v>2608</v>
      </c>
      <c r="G371">
        <v>76887</v>
      </c>
      <c r="H371">
        <v>7337</v>
      </c>
      <c r="I371" s="25" t="s">
        <v>2123</v>
      </c>
      <c r="J371" t="s">
        <v>2256</v>
      </c>
      <c r="M371" s="49"/>
    </row>
    <row r="372" spans="6:13" x14ac:dyDescent="0.25">
      <c r="F372" t="s">
        <v>2609</v>
      </c>
      <c r="G372">
        <v>99438</v>
      </c>
      <c r="H372">
        <v>16071</v>
      </c>
      <c r="I372" s="25" t="s">
        <v>2384</v>
      </c>
      <c r="J372" t="s">
        <v>2508</v>
      </c>
      <c r="M372" s="49"/>
    </row>
    <row r="373" spans="6:13" x14ac:dyDescent="0.25">
      <c r="F373" t="s">
        <v>2610</v>
      </c>
      <c r="G373">
        <v>57319</v>
      </c>
      <c r="H373">
        <v>5970</v>
      </c>
      <c r="I373" s="25" t="s">
        <v>2023</v>
      </c>
      <c r="J373" t="s">
        <v>2366</v>
      </c>
      <c r="M373" s="49"/>
    </row>
    <row r="374" spans="6:13" x14ac:dyDescent="0.25">
      <c r="F374" t="s">
        <v>2611</v>
      </c>
      <c r="G374">
        <v>95460</v>
      </c>
      <c r="H374">
        <v>9472</v>
      </c>
      <c r="I374" s="25" t="s">
        <v>2050</v>
      </c>
      <c r="J374" t="s">
        <v>2180</v>
      </c>
      <c r="M374" s="49"/>
    </row>
    <row r="375" spans="6:13" x14ac:dyDescent="0.25">
      <c r="F375" t="s">
        <v>2611</v>
      </c>
      <c r="G375">
        <v>95460</v>
      </c>
      <c r="H375">
        <v>9472</v>
      </c>
      <c r="I375" s="25" t="s">
        <v>2050</v>
      </c>
      <c r="J375" t="s">
        <v>2180</v>
      </c>
      <c r="M375" s="49"/>
    </row>
    <row r="376" spans="6:13" x14ac:dyDescent="0.25">
      <c r="F376" t="s">
        <v>2612</v>
      </c>
      <c r="G376">
        <v>56864</v>
      </c>
      <c r="H376">
        <v>7135</v>
      </c>
      <c r="I376" s="25" t="s">
        <v>2123</v>
      </c>
      <c r="J376" t="s">
        <v>2072</v>
      </c>
      <c r="M376" s="49"/>
    </row>
    <row r="377" spans="6:13" x14ac:dyDescent="0.25">
      <c r="F377" t="s">
        <v>2613</v>
      </c>
      <c r="G377">
        <v>29549</v>
      </c>
      <c r="H377">
        <v>3360</v>
      </c>
      <c r="I377" s="25" t="s">
        <v>2074</v>
      </c>
      <c r="J377" t="s">
        <v>2400</v>
      </c>
      <c r="M377" s="49"/>
    </row>
    <row r="378" spans="6:13" x14ac:dyDescent="0.25">
      <c r="F378" t="s">
        <v>2614</v>
      </c>
      <c r="G378">
        <v>6647</v>
      </c>
      <c r="H378">
        <v>15084</v>
      </c>
      <c r="I378" s="25" t="s">
        <v>2241</v>
      </c>
      <c r="J378" t="s">
        <v>2615</v>
      </c>
      <c r="M378" s="49"/>
    </row>
    <row r="379" spans="6:13" x14ac:dyDescent="0.25">
      <c r="F379" t="s">
        <v>2614</v>
      </c>
      <c r="G379">
        <v>6647</v>
      </c>
      <c r="H379">
        <v>15084</v>
      </c>
      <c r="I379" s="25" t="s">
        <v>2241</v>
      </c>
      <c r="J379" t="s">
        <v>2615</v>
      </c>
      <c r="M379" s="49"/>
    </row>
    <row r="380" spans="6:13" x14ac:dyDescent="0.25">
      <c r="F380" t="s">
        <v>2616</v>
      </c>
      <c r="G380">
        <v>84364</v>
      </c>
      <c r="H380">
        <v>9277</v>
      </c>
      <c r="I380" s="25" t="s">
        <v>2050</v>
      </c>
      <c r="J380" t="s">
        <v>2529</v>
      </c>
      <c r="M380" s="49"/>
    </row>
    <row r="381" spans="6:13" x14ac:dyDescent="0.25">
      <c r="F381" t="s">
        <v>2617</v>
      </c>
      <c r="G381">
        <v>7422</v>
      </c>
      <c r="H381">
        <v>16073</v>
      </c>
      <c r="I381" s="25" t="s">
        <v>2384</v>
      </c>
      <c r="J381" t="s">
        <v>2618</v>
      </c>
      <c r="M381" s="49"/>
    </row>
    <row r="382" spans="6:13" x14ac:dyDescent="0.25">
      <c r="F382" t="s">
        <v>2619</v>
      </c>
      <c r="G382">
        <v>97708</v>
      </c>
      <c r="H382">
        <v>9672</v>
      </c>
      <c r="I382" s="25" t="s">
        <v>2050</v>
      </c>
      <c r="J382" t="s">
        <v>2620</v>
      </c>
      <c r="M382" s="49"/>
    </row>
    <row r="383" spans="6:13" x14ac:dyDescent="0.25">
      <c r="F383" t="s">
        <v>2621</v>
      </c>
      <c r="G383">
        <v>29389</v>
      </c>
      <c r="H383">
        <v>3360</v>
      </c>
      <c r="I383" s="25" t="s">
        <v>2074</v>
      </c>
      <c r="J383" t="s">
        <v>2400</v>
      </c>
      <c r="M383" s="49"/>
    </row>
    <row r="384" spans="6:13" x14ac:dyDescent="0.25">
      <c r="F384" t="s">
        <v>2622</v>
      </c>
      <c r="G384">
        <v>73087</v>
      </c>
      <c r="H384">
        <v>8117</v>
      </c>
      <c r="I384" s="25" t="s">
        <v>2018</v>
      </c>
      <c r="J384" t="s">
        <v>2089</v>
      </c>
      <c r="M384" s="49"/>
    </row>
    <row r="385" spans="6:13" x14ac:dyDescent="0.25">
      <c r="F385" t="s">
        <v>2623</v>
      </c>
      <c r="G385">
        <v>8648</v>
      </c>
      <c r="H385">
        <v>14523</v>
      </c>
      <c r="I385" s="25" t="s">
        <v>2135</v>
      </c>
      <c r="J385" t="s">
        <v>2136</v>
      </c>
      <c r="M385" s="49"/>
    </row>
    <row r="386" spans="6:13" x14ac:dyDescent="0.25">
      <c r="F386" t="s">
        <v>2624</v>
      </c>
      <c r="G386">
        <v>24576</v>
      </c>
      <c r="H386">
        <v>1060</v>
      </c>
      <c r="I386" s="25" t="s">
        <v>2085</v>
      </c>
      <c r="J386" t="s">
        <v>2363</v>
      </c>
      <c r="M386" s="49"/>
    </row>
    <row r="387" spans="6:13" x14ac:dyDescent="0.25">
      <c r="F387" t="s">
        <v>2625</v>
      </c>
      <c r="G387">
        <v>53498</v>
      </c>
      <c r="H387">
        <v>7131</v>
      </c>
      <c r="I387" s="25" t="s">
        <v>2123</v>
      </c>
      <c r="J387" t="s">
        <v>2022</v>
      </c>
      <c r="M387" s="49"/>
    </row>
    <row r="388" spans="6:13" x14ac:dyDescent="0.25">
      <c r="F388" t="s">
        <v>2626</v>
      </c>
      <c r="G388">
        <v>97769</v>
      </c>
      <c r="H388">
        <v>9672</v>
      </c>
      <c r="I388" s="25" t="s">
        <v>2050</v>
      </c>
      <c r="J388" t="s">
        <v>2620</v>
      </c>
      <c r="M388" s="49"/>
    </row>
    <row r="389" spans="6:13" x14ac:dyDescent="0.25">
      <c r="F389" t="s">
        <v>2627</v>
      </c>
      <c r="G389">
        <v>88422</v>
      </c>
      <c r="H389">
        <v>8426</v>
      </c>
      <c r="I389" s="25" t="s">
        <v>2018</v>
      </c>
      <c r="J389" t="s">
        <v>2081</v>
      </c>
      <c r="M389" s="49"/>
    </row>
    <row r="390" spans="6:13" x14ac:dyDescent="0.25">
      <c r="F390" t="s">
        <v>2628</v>
      </c>
      <c r="G390">
        <v>65520</v>
      </c>
      <c r="H390">
        <v>6533</v>
      </c>
      <c r="I390" s="25" t="s">
        <v>2046</v>
      </c>
      <c r="J390" t="s">
        <v>2629</v>
      </c>
      <c r="M390" s="49"/>
    </row>
    <row r="391" spans="6:13" x14ac:dyDescent="0.25">
      <c r="F391" t="s">
        <v>2630</v>
      </c>
      <c r="G391">
        <v>98663</v>
      </c>
      <c r="H391">
        <v>16069</v>
      </c>
      <c r="I391" s="25" t="s">
        <v>2384</v>
      </c>
      <c r="J391" t="s">
        <v>2631</v>
      </c>
      <c r="M391" s="49"/>
    </row>
    <row r="392" spans="6:13" x14ac:dyDescent="0.25">
      <c r="F392" t="s">
        <v>2632</v>
      </c>
      <c r="G392">
        <v>73342</v>
      </c>
      <c r="H392">
        <v>8117</v>
      </c>
      <c r="I392" s="25" t="s">
        <v>2018</v>
      </c>
      <c r="J392" t="s">
        <v>2089</v>
      </c>
      <c r="M392" s="49"/>
    </row>
    <row r="393" spans="6:13" x14ac:dyDescent="0.25">
      <c r="F393" t="s">
        <v>2633</v>
      </c>
      <c r="G393">
        <v>18209</v>
      </c>
      <c r="H393">
        <v>13072</v>
      </c>
      <c r="I393" s="25" t="s">
        <v>2191</v>
      </c>
      <c r="J393" t="s">
        <v>2036</v>
      </c>
      <c r="M393" s="49"/>
    </row>
    <row r="394" spans="6:13" x14ac:dyDescent="0.25">
      <c r="F394" t="s">
        <v>2634</v>
      </c>
      <c r="G394">
        <v>33014</v>
      </c>
      <c r="H394">
        <v>5762</v>
      </c>
      <c r="I394" s="25" t="s">
        <v>2023</v>
      </c>
      <c r="J394" t="s">
        <v>2203</v>
      </c>
      <c r="M394" s="49"/>
    </row>
    <row r="395" spans="6:13" x14ac:dyDescent="0.25">
      <c r="F395" t="s">
        <v>2635</v>
      </c>
      <c r="G395">
        <v>4849</v>
      </c>
      <c r="H395">
        <v>14730</v>
      </c>
      <c r="I395" s="25" t="s">
        <v>2135</v>
      </c>
      <c r="J395" t="s">
        <v>2083</v>
      </c>
      <c r="M395" s="49"/>
    </row>
    <row r="396" spans="6:13" x14ac:dyDescent="0.25">
      <c r="F396" t="s">
        <v>2440</v>
      </c>
      <c r="G396">
        <v>67098</v>
      </c>
      <c r="H396">
        <v>7332</v>
      </c>
      <c r="I396" s="25" t="s">
        <v>2123</v>
      </c>
      <c r="J396" t="s">
        <v>2440</v>
      </c>
      <c r="M396" s="49"/>
    </row>
    <row r="397" spans="6:13" x14ac:dyDescent="0.25">
      <c r="F397" t="s">
        <v>2636</v>
      </c>
      <c r="G397">
        <v>6231</v>
      </c>
      <c r="H397">
        <v>15088</v>
      </c>
      <c r="I397" s="25" t="s">
        <v>2241</v>
      </c>
      <c r="J397" t="s">
        <v>2344</v>
      </c>
      <c r="M397" s="49"/>
    </row>
    <row r="398" spans="6:13" x14ac:dyDescent="0.25">
      <c r="F398" t="s">
        <v>2637</v>
      </c>
      <c r="G398">
        <v>78073</v>
      </c>
      <c r="H398">
        <v>8326</v>
      </c>
      <c r="I398" s="25" t="s">
        <v>2018</v>
      </c>
      <c r="J398" t="s">
        <v>2638</v>
      </c>
      <c r="M398" s="49"/>
    </row>
    <row r="399" spans="6:13" x14ac:dyDescent="0.25">
      <c r="F399" t="s">
        <v>2639</v>
      </c>
      <c r="G399">
        <v>8645</v>
      </c>
      <c r="H399">
        <v>14523</v>
      </c>
      <c r="I399" s="25" t="s">
        <v>2135</v>
      </c>
      <c r="J399" t="s">
        <v>2136</v>
      </c>
      <c r="M399" s="49"/>
    </row>
    <row r="400" spans="6:13" x14ac:dyDescent="0.25">
      <c r="F400" t="s">
        <v>2640</v>
      </c>
      <c r="G400">
        <v>56130</v>
      </c>
      <c r="H400">
        <v>7141</v>
      </c>
      <c r="I400" s="25" t="s">
        <v>2123</v>
      </c>
      <c r="J400" t="s">
        <v>2388</v>
      </c>
      <c r="M400" s="49"/>
    </row>
    <row r="401" spans="6:13" x14ac:dyDescent="0.25">
      <c r="F401" t="s">
        <v>2641</v>
      </c>
      <c r="G401">
        <v>56132</v>
      </c>
      <c r="H401">
        <v>7141</v>
      </c>
      <c r="I401" s="25" t="s">
        <v>2123</v>
      </c>
      <c r="J401" t="s">
        <v>2388</v>
      </c>
      <c r="M401" s="49"/>
    </row>
    <row r="402" spans="6:13" x14ac:dyDescent="0.25">
      <c r="F402" t="s">
        <v>2641</v>
      </c>
      <c r="G402">
        <v>56132</v>
      </c>
      <c r="H402">
        <v>7141</v>
      </c>
      <c r="I402" s="25" t="s">
        <v>2123</v>
      </c>
      <c r="J402" t="s">
        <v>2388</v>
      </c>
      <c r="M402" s="49"/>
    </row>
    <row r="403" spans="6:13" x14ac:dyDescent="0.25">
      <c r="F403" t="s">
        <v>2641</v>
      </c>
      <c r="G403">
        <v>56132</v>
      </c>
      <c r="H403">
        <v>7141</v>
      </c>
      <c r="I403" s="25" t="s">
        <v>2123</v>
      </c>
      <c r="J403" t="s">
        <v>2388</v>
      </c>
      <c r="M403" s="49"/>
    </row>
    <row r="404" spans="6:13" x14ac:dyDescent="0.25">
      <c r="F404" t="s">
        <v>2642</v>
      </c>
      <c r="G404">
        <v>34308</v>
      </c>
      <c r="H404">
        <v>6633</v>
      </c>
      <c r="I404" s="25" t="s">
        <v>2046</v>
      </c>
      <c r="J404" t="s">
        <v>2162</v>
      </c>
      <c r="M404" s="49"/>
    </row>
    <row r="405" spans="6:13" x14ac:dyDescent="0.25">
      <c r="F405" t="s">
        <v>2643</v>
      </c>
      <c r="G405">
        <v>35080</v>
      </c>
      <c r="H405">
        <v>6534</v>
      </c>
      <c r="I405" s="25" t="s">
        <v>2046</v>
      </c>
      <c r="J405" t="s">
        <v>2471</v>
      </c>
      <c r="M405" s="49"/>
    </row>
    <row r="406" spans="6:13" x14ac:dyDescent="0.25">
      <c r="F406" t="s">
        <v>2644</v>
      </c>
      <c r="G406">
        <v>83093</v>
      </c>
      <c r="H406">
        <v>9187</v>
      </c>
      <c r="I406" s="25" t="s">
        <v>2050</v>
      </c>
      <c r="J406" t="s">
        <v>2245</v>
      </c>
      <c r="M406" s="49"/>
    </row>
    <row r="407" spans="6:13" x14ac:dyDescent="0.25">
      <c r="F407" t="s">
        <v>2645</v>
      </c>
      <c r="G407">
        <v>49152</v>
      </c>
      <c r="H407">
        <v>3459</v>
      </c>
      <c r="I407" s="25" t="s">
        <v>2074</v>
      </c>
      <c r="J407" t="s">
        <v>2292</v>
      </c>
      <c r="M407" s="49"/>
    </row>
    <row r="408" spans="6:13" x14ac:dyDescent="0.25">
      <c r="F408" t="s">
        <v>2646</v>
      </c>
      <c r="G408">
        <v>29683</v>
      </c>
      <c r="H408">
        <v>3358</v>
      </c>
      <c r="I408" s="25" t="s">
        <v>2074</v>
      </c>
      <c r="J408" t="s">
        <v>2371</v>
      </c>
      <c r="M408" s="49"/>
    </row>
    <row r="409" spans="6:13" x14ac:dyDescent="0.25">
      <c r="F409" t="s">
        <v>2647</v>
      </c>
      <c r="G409">
        <v>83075</v>
      </c>
      <c r="H409">
        <v>9187</v>
      </c>
      <c r="I409" s="25" t="s">
        <v>2050</v>
      </c>
      <c r="J409" t="s">
        <v>2245</v>
      </c>
      <c r="M409" s="49"/>
    </row>
    <row r="410" spans="6:13" x14ac:dyDescent="0.25">
      <c r="F410" t="s">
        <v>2648</v>
      </c>
      <c r="G410">
        <v>6567</v>
      </c>
      <c r="H410">
        <v>16065</v>
      </c>
      <c r="I410" s="25" t="s">
        <v>2384</v>
      </c>
      <c r="J410" t="s">
        <v>2532</v>
      </c>
      <c r="M410" s="49"/>
    </row>
    <row r="411" spans="6:13" x14ac:dyDescent="0.25">
      <c r="F411" t="s">
        <v>2649</v>
      </c>
      <c r="G411">
        <v>16259</v>
      </c>
      <c r="H411">
        <v>12064</v>
      </c>
      <c r="I411" s="25" t="s">
        <v>2356</v>
      </c>
      <c r="J411" t="s">
        <v>2243</v>
      </c>
      <c r="M411" s="49"/>
    </row>
    <row r="412" spans="6:13" x14ac:dyDescent="0.25">
      <c r="F412" t="s">
        <v>2650</v>
      </c>
      <c r="G412">
        <v>74177</v>
      </c>
      <c r="H412">
        <v>8125</v>
      </c>
      <c r="I412" s="25" t="s">
        <v>2018</v>
      </c>
      <c r="J412" t="s">
        <v>2060</v>
      </c>
      <c r="M412" s="49"/>
    </row>
    <row r="413" spans="6:13" x14ac:dyDescent="0.25">
      <c r="F413" t="s">
        <v>2651</v>
      </c>
      <c r="G413">
        <v>94072</v>
      </c>
      <c r="H413">
        <v>9275</v>
      </c>
      <c r="I413" s="25" t="s">
        <v>2050</v>
      </c>
      <c r="J413" t="s">
        <v>2198</v>
      </c>
      <c r="M413" s="49"/>
    </row>
    <row r="414" spans="6:13" x14ac:dyDescent="0.25">
      <c r="F414" t="s">
        <v>2652</v>
      </c>
      <c r="G414">
        <v>37581</v>
      </c>
      <c r="H414">
        <v>3155</v>
      </c>
      <c r="I414" s="25" t="s">
        <v>2074</v>
      </c>
      <c r="J414" t="s">
        <v>2653</v>
      </c>
      <c r="M414" s="49"/>
    </row>
    <row r="415" spans="6:13" x14ac:dyDescent="0.25">
      <c r="F415" t="s">
        <v>2654</v>
      </c>
      <c r="G415">
        <v>1816</v>
      </c>
      <c r="H415">
        <v>14628</v>
      </c>
      <c r="I415" s="25" t="s">
        <v>2135</v>
      </c>
      <c r="J415" t="s">
        <v>2347</v>
      </c>
      <c r="M415" s="49"/>
    </row>
    <row r="416" spans="6:13" x14ac:dyDescent="0.25">
      <c r="F416" t="s">
        <v>2655</v>
      </c>
      <c r="G416">
        <v>87730</v>
      </c>
      <c r="H416">
        <v>9778</v>
      </c>
      <c r="I416" s="25" t="s">
        <v>2050</v>
      </c>
      <c r="J416" t="s">
        <v>2460</v>
      </c>
      <c r="M416" s="49"/>
    </row>
    <row r="417" spans="6:13" x14ac:dyDescent="0.25">
      <c r="F417" t="s">
        <v>2656</v>
      </c>
      <c r="G417">
        <v>37539</v>
      </c>
      <c r="H417">
        <v>3159</v>
      </c>
      <c r="I417" s="25" t="s">
        <v>2074</v>
      </c>
      <c r="J417" t="s">
        <v>2093</v>
      </c>
      <c r="M417" s="49"/>
    </row>
    <row r="418" spans="6:13" x14ac:dyDescent="0.25">
      <c r="F418" t="s">
        <v>2657</v>
      </c>
      <c r="G418">
        <v>38667</v>
      </c>
      <c r="H418">
        <v>3153</v>
      </c>
      <c r="I418" s="25" t="s">
        <v>2074</v>
      </c>
      <c r="J418" t="s">
        <v>2152</v>
      </c>
      <c r="M418" s="49"/>
    </row>
    <row r="419" spans="6:13" x14ac:dyDescent="0.25">
      <c r="F419" t="s">
        <v>2658</v>
      </c>
      <c r="G419">
        <v>83670</v>
      </c>
      <c r="H419">
        <v>9173</v>
      </c>
      <c r="I419" s="25" t="s">
        <v>2050</v>
      </c>
      <c r="J419" t="s">
        <v>2659</v>
      </c>
      <c r="M419" s="49"/>
    </row>
    <row r="420" spans="6:13" x14ac:dyDescent="0.25">
      <c r="F420" t="s">
        <v>2660</v>
      </c>
      <c r="G420">
        <v>76332</v>
      </c>
      <c r="H420">
        <v>8235</v>
      </c>
      <c r="I420" s="25" t="s">
        <v>2018</v>
      </c>
      <c r="J420" t="s">
        <v>2422</v>
      </c>
      <c r="M420" s="49"/>
    </row>
    <row r="421" spans="6:13" x14ac:dyDescent="0.25">
      <c r="F421" t="s">
        <v>2661</v>
      </c>
      <c r="G421">
        <v>36251</v>
      </c>
      <c r="H421">
        <v>6632</v>
      </c>
      <c r="I421" s="25" t="s">
        <v>2046</v>
      </c>
      <c r="J421" t="s">
        <v>2303</v>
      </c>
      <c r="M421" s="49"/>
    </row>
    <row r="422" spans="6:13" x14ac:dyDescent="0.25">
      <c r="F422" t="s">
        <v>2662</v>
      </c>
      <c r="G422">
        <v>87541</v>
      </c>
      <c r="H422">
        <v>9780</v>
      </c>
      <c r="I422" s="25" t="s">
        <v>2050</v>
      </c>
      <c r="J422" t="s">
        <v>2278</v>
      </c>
      <c r="M422" s="49"/>
    </row>
    <row r="423" spans="6:13" x14ac:dyDescent="0.25">
      <c r="F423" t="s">
        <v>2663</v>
      </c>
      <c r="G423">
        <v>61350</v>
      </c>
      <c r="H423">
        <v>6434</v>
      </c>
      <c r="I423" s="25" t="s">
        <v>2046</v>
      </c>
      <c r="J423" t="s">
        <v>2664</v>
      </c>
      <c r="M423" s="49"/>
    </row>
    <row r="424" spans="6:13" x14ac:dyDescent="0.25">
      <c r="F424" t="s">
        <v>2663</v>
      </c>
      <c r="G424">
        <v>61348</v>
      </c>
      <c r="H424">
        <v>6434</v>
      </c>
      <c r="I424" s="25" t="s">
        <v>2046</v>
      </c>
      <c r="J424" t="s">
        <v>2664</v>
      </c>
      <c r="M424" s="49"/>
    </row>
    <row r="425" spans="6:13" x14ac:dyDescent="0.25">
      <c r="F425" t="s">
        <v>2663</v>
      </c>
      <c r="G425">
        <v>61352</v>
      </c>
      <c r="H425">
        <v>6434</v>
      </c>
      <c r="I425" s="25" t="s">
        <v>2046</v>
      </c>
      <c r="J425" t="s">
        <v>2664</v>
      </c>
      <c r="M425" s="49"/>
    </row>
    <row r="426" spans="6:13" x14ac:dyDescent="0.25">
      <c r="F426" t="s">
        <v>2665</v>
      </c>
      <c r="G426">
        <v>53604</v>
      </c>
      <c r="H426">
        <v>5382</v>
      </c>
      <c r="I426" s="25" t="s">
        <v>2023</v>
      </c>
      <c r="J426" t="s">
        <v>2298</v>
      </c>
      <c r="M426" s="49"/>
    </row>
    <row r="427" spans="6:13" x14ac:dyDescent="0.25">
      <c r="F427" t="s">
        <v>2666</v>
      </c>
      <c r="G427">
        <v>53557</v>
      </c>
      <c r="H427">
        <v>7138</v>
      </c>
      <c r="I427" s="25" t="s">
        <v>2123</v>
      </c>
      <c r="J427" t="s">
        <v>2489</v>
      </c>
      <c r="M427" s="49"/>
    </row>
    <row r="428" spans="6:13" x14ac:dyDescent="0.25">
      <c r="F428" t="s">
        <v>2667</v>
      </c>
      <c r="G428">
        <v>49186</v>
      </c>
      <c r="H428">
        <v>3459</v>
      </c>
      <c r="I428" s="25" t="s">
        <v>2074</v>
      </c>
      <c r="J428" t="s">
        <v>2292</v>
      </c>
      <c r="M428" s="49"/>
    </row>
    <row r="429" spans="6:13" x14ac:dyDescent="0.25">
      <c r="F429" t="s">
        <v>2668</v>
      </c>
      <c r="G429">
        <v>34385</v>
      </c>
      <c r="H429">
        <v>6633</v>
      </c>
      <c r="I429" s="25" t="s">
        <v>2046</v>
      </c>
      <c r="J429" t="s">
        <v>2162</v>
      </c>
      <c r="M429" s="49"/>
    </row>
    <row r="430" spans="6:13" x14ac:dyDescent="0.25">
      <c r="F430" t="s">
        <v>2620</v>
      </c>
      <c r="G430">
        <v>97688</v>
      </c>
      <c r="H430">
        <v>9672</v>
      </c>
      <c r="I430" s="25" t="s">
        <v>2050</v>
      </c>
      <c r="J430" t="s">
        <v>2620</v>
      </c>
      <c r="M430" s="49"/>
    </row>
    <row r="431" spans="6:13" x14ac:dyDescent="0.25">
      <c r="F431" t="s">
        <v>2669</v>
      </c>
      <c r="G431">
        <v>23996</v>
      </c>
      <c r="H431">
        <v>13074</v>
      </c>
      <c r="I431" s="25" t="s">
        <v>2191</v>
      </c>
      <c r="J431" t="s">
        <v>2275</v>
      </c>
      <c r="M431" s="49"/>
    </row>
    <row r="432" spans="6:13" x14ac:dyDescent="0.25">
      <c r="F432" t="s">
        <v>2670</v>
      </c>
      <c r="G432">
        <v>7639</v>
      </c>
      <c r="H432">
        <v>16074</v>
      </c>
      <c r="I432" s="25" t="s">
        <v>2384</v>
      </c>
      <c r="J432" t="s">
        <v>2671</v>
      </c>
      <c r="M432" s="49"/>
    </row>
    <row r="433" spans="6:13" x14ac:dyDescent="0.25">
      <c r="F433" t="s">
        <v>2672</v>
      </c>
      <c r="G433">
        <v>82433</v>
      </c>
      <c r="H433">
        <v>9180</v>
      </c>
      <c r="I433" s="25" t="s">
        <v>2050</v>
      </c>
      <c r="J433" t="s">
        <v>2147</v>
      </c>
      <c r="M433" s="49"/>
    </row>
    <row r="434" spans="6:13" x14ac:dyDescent="0.25">
      <c r="F434" t="s">
        <v>2673</v>
      </c>
      <c r="G434">
        <v>64732</v>
      </c>
      <c r="H434">
        <v>6437</v>
      </c>
      <c r="I434" s="25" t="s">
        <v>2046</v>
      </c>
      <c r="J434" t="s">
        <v>2674</v>
      </c>
      <c r="M434" s="49"/>
    </row>
    <row r="435" spans="6:13" x14ac:dyDescent="0.25">
      <c r="F435" t="s">
        <v>2675</v>
      </c>
      <c r="G435">
        <v>97631</v>
      </c>
      <c r="H435">
        <v>9673</v>
      </c>
      <c r="I435" s="25" t="s">
        <v>2050</v>
      </c>
      <c r="J435" t="s">
        <v>2676</v>
      </c>
      <c r="M435" s="49"/>
    </row>
    <row r="436" spans="6:13" x14ac:dyDescent="0.25">
      <c r="F436" t="s">
        <v>2677</v>
      </c>
      <c r="G436">
        <v>7586</v>
      </c>
      <c r="H436">
        <v>16076</v>
      </c>
      <c r="I436" s="25" t="s">
        <v>2384</v>
      </c>
      <c r="J436" t="s">
        <v>2583</v>
      </c>
      <c r="M436" s="49"/>
    </row>
    <row r="437" spans="6:13" x14ac:dyDescent="0.25">
      <c r="F437" t="s">
        <v>2037</v>
      </c>
      <c r="G437">
        <v>55543</v>
      </c>
      <c r="H437">
        <v>7133</v>
      </c>
      <c r="I437" s="25" t="s">
        <v>2123</v>
      </c>
      <c r="J437" t="s">
        <v>2037</v>
      </c>
      <c r="M437" s="49"/>
    </row>
    <row r="438" spans="6:13" x14ac:dyDescent="0.25">
      <c r="F438" t="s">
        <v>2037</v>
      </c>
      <c r="G438">
        <v>55545</v>
      </c>
      <c r="H438">
        <v>7133</v>
      </c>
      <c r="I438" s="25" t="s">
        <v>2123</v>
      </c>
      <c r="J438" t="s">
        <v>2037</v>
      </c>
      <c r="M438" s="49"/>
    </row>
    <row r="439" spans="6:13" x14ac:dyDescent="0.25">
      <c r="F439" t="s">
        <v>2037</v>
      </c>
      <c r="G439">
        <v>55583</v>
      </c>
      <c r="H439">
        <v>7133</v>
      </c>
      <c r="I439" s="25" t="s">
        <v>2123</v>
      </c>
      <c r="J439" t="s">
        <v>2037</v>
      </c>
      <c r="M439" s="49"/>
    </row>
    <row r="440" spans="6:13" x14ac:dyDescent="0.25">
      <c r="F440" t="s">
        <v>2678</v>
      </c>
      <c r="G440">
        <v>79189</v>
      </c>
      <c r="H440">
        <v>8315</v>
      </c>
      <c r="I440" s="25" t="s">
        <v>2018</v>
      </c>
      <c r="J440" t="s">
        <v>2061</v>
      </c>
      <c r="M440" s="49"/>
    </row>
    <row r="441" spans="6:13" x14ac:dyDescent="0.25">
      <c r="F441" t="s">
        <v>2679</v>
      </c>
      <c r="G441">
        <v>57334</v>
      </c>
      <c r="H441">
        <v>5970</v>
      </c>
      <c r="I441" s="25" t="s">
        <v>2023</v>
      </c>
      <c r="J441" t="s">
        <v>2366</v>
      </c>
      <c r="M441" s="49"/>
    </row>
    <row r="442" spans="6:13" x14ac:dyDescent="0.25">
      <c r="F442" t="s">
        <v>2680</v>
      </c>
      <c r="G442">
        <v>49196</v>
      </c>
      <c r="H442">
        <v>3459</v>
      </c>
      <c r="I442" s="25" t="s">
        <v>2074</v>
      </c>
      <c r="J442" t="s">
        <v>2292</v>
      </c>
      <c r="M442" s="49"/>
    </row>
    <row r="443" spans="6:13" x14ac:dyDescent="0.25">
      <c r="F443" t="s">
        <v>2681</v>
      </c>
      <c r="G443">
        <v>99947</v>
      </c>
      <c r="H443">
        <v>16064</v>
      </c>
      <c r="I443" s="25" t="s">
        <v>2384</v>
      </c>
      <c r="J443" t="s">
        <v>2405</v>
      </c>
      <c r="M443" s="49"/>
    </row>
    <row r="444" spans="6:13" x14ac:dyDescent="0.25">
      <c r="F444" t="s">
        <v>2682</v>
      </c>
      <c r="G444">
        <v>6246</v>
      </c>
      <c r="H444">
        <v>15088</v>
      </c>
      <c r="I444" s="25" t="s">
        <v>2241</v>
      </c>
      <c r="J444" t="s">
        <v>2344</v>
      </c>
      <c r="M444" s="49"/>
    </row>
    <row r="445" spans="6:13" x14ac:dyDescent="0.25">
      <c r="F445" t="s">
        <v>2683</v>
      </c>
      <c r="G445">
        <v>4651</v>
      </c>
      <c r="H445">
        <v>14729</v>
      </c>
      <c r="I445" s="25" t="s">
        <v>2135</v>
      </c>
      <c r="J445" t="s">
        <v>2684</v>
      </c>
      <c r="M445" s="49"/>
    </row>
    <row r="446" spans="6:13" x14ac:dyDescent="0.25">
      <c r="F446" t="s">
        <v>2685</v>
      </c>
      <c r="G446">
        <v>37431</v>
      </c>
      <c r="H446">
        <v>3159</v>
      </c>
      <c r="I446" s="25" t="s">
        <v>2074</v>
      </c>
      <c r="J446" t="s">
        <v>2093</v>
      </c>
      <c r="M446" s="49"/>
    </row>
    <row r="447" spans="6:13" x14ac:dyDescent="0.25">
      <c r="F447" t="s">
        <v>2686</v>
      </c>
      <c r="G447">
        <v>36448</v>
      </c>
      <c r="H447">
        <v>16063</v>
      </c>
      <c r="I447" s="25" t="s">
        <v>2384</v>
      </c>
      <c r="J447" t="s">
        <v>2687</v>
      </c>
      <c r="M447" s="49"/>
    </row>
    <row r="448" spans="6:13" x14ac:dyDescent="0.25">
      <c r="F448" t="s">
        <v>2688</v>
      </c>
      <c r="G448">
        <v>4924</v>
      </c>
      <c r="H448">
        <v>12062</v>
      </c>
      <c r="I448" s="25" t="s">
        <v>2356</v>
      </c>
      <c r="J448" t="s">
        <v>2689</v>
      </c>
      <c r="M448" s="49"/>
    </row>
    <row r="449" spans="6:13" x14ac:dyDescent="0.25">
      <c r="F449" t="s">
        <v>2690</v>
      </c>
      <c r="G449">
        <v>75378</v>
      </c>
      <c r="H449">
        <v>8235</v>
      </c>
      <c r="I449" s="25" t="s">
        <v>2018</v>
      </c>
      <c r="J449" t="s">
        <v>2422</v>
      </c>
      <c r="M449" s="49"/>
    </row>
    <row r="450" spans="6:13" x14ac:dyDescent="0.25">
      <c r="F450" t="s">
        <v>2691</v>
      </c>
      <c r="G450">
        <v>33175</v>
      </c>
      <c r="H450">
        <v>5774</v>
      </c>
      <c r="I450" s="25" t="s">
        <v>2023</v>
      </c>
      <c r="J450" t="s">
        <v>2304</v>
      </c>
      <c r="M450" s="49"/>
    </row>
    <row r="451" spans="6:13" x14ac:dyDescent="0.25">
      <c r="F451" t="s">
        <v>2692</v>
      </c>
      <c r="G451">
        <v>56470</v>
      </c>
      <c r="H451">
        <v>7143</v>
      </c>
      <c r="I451" s="25" t="s">
        <v>2123</v>
      </c>
      <c r="J451" t="s">
        <v>2331</v>
      </c>
      <c r="M451" s="49"/>
    </row>
    <row r="452" spans="6:13" x14ac:dyDescent="0.25">
      <c r="F452" t="s">
        <v>2693</v>
      </c>
      <c r="G452">
        <v>97980</v>
      </c>
      <c r="H452">
        <v>8128</v>
      </c>
      <c r="I452" s="25" t="s">
        <v>2018</v>
      </c>
      <c r="J452" t="s">
        <v>2175</v>
      </c>
      <c r="M452" s="49"/>
    </row>
    <row r="453" spans="6:13" x14ac:dyDescent="0.25">
      <c r="F453" t="s">
        <v>2694</v>
      </c>
      <c r="G453">
        <v>31848</v>
      </c>
      <c r="H453">
        <v>3252</v>
      </c>
      <c r="I453" s="25" t="s">
        <v>2074</v>
      </c>
      <c r="J453" t="s">
        <v>2139</v>
      </c>
      <c r="M453" s="49"/>
    </row>
    <row r="454" spans="6:13" x14ac:dyDescent="0.25">
      <c r="F454" t="s">
        <v>2695</v>
      </c>
      <c r="G454">
        <v>53902</v>
      </c>
      <c r="H454">
        <v>5366</v>
      </c>
      <c r="I454" s="25" t="s">
        <v>2023</v>
      </c>
      <c r="J454" t="s">
        <v>2127</v>
      </c>
      <c r="M454" s="49"/>
    </row>
    <row r="455" spans="6:13" x14ac:dyDescent="0.25">
      <c r="F455" t="s">
        <v>2696</v>
      </c>
      <c r="G455">
        <v>2953</v>
      </c>
      <c r="H455">
        <v>14626</v>
      </c>
      <c r="I455" s="25" t="s">
        <v>2135</v>
      </c>
      <c r="J455" t="s">
        <v>2150</v>
      </c>
      <c r="M455" s="49"/>
    </row>
    <row r="456" spans="6:13" x14ac:dyDescent="0.25">
      <c r="F456" t="s">
        <v>2697</v>
      </c>
      <c r="G456">
        <v>61231</v>
      </c>
      <c r="H456">
        <v>6440</v>
      </c>
      <c r="I456" s="25" t="s">
        <v>2046</v>
      </c>
      <c r="J456" t="s">
        <v>2415</v>
      </c>
      <c r="M456" s="49"/>
    </row>
    <row r="457" spans="6:13" x14ac:dyDescent="0.25">
      <c r="F457" t="s">
        <v>2698</v>
      </c>
      <c r="G457">
        <v>31542</v>
      </c>
      <c r="H457">
        <v>3257</v>
      </c>
      <c r="I457" s="25" t="s">
        <v>2074</v>
      </c>
      <c r="J457" t="s">
        <v>2167</v>
      </c>
      <c r="M457" s="49"/>
    </row>
    <row r="458" spans="6:13" x14ac:dyDescent="0.25">
      <c r="F458" t="s">
        <v>2025</v>
      </c>
      <c r="G458">
        <v>53474</v>
      </c>
      <c r="H458">
        <v>7131</v>
      </c>
      <c r="I458" s="25" t="s">
        <v>2123</v>
      </c>
      <c r="J458" t="s">
        <v>2022</v>
      </c>
      <c r="M458" s="49"/>
    </row>
    <row r="459" spans="6:13" x14ac:dyDescent="0.25">
      <c r="F459" t="s">
        <v>2699</v>
      </c>
      <c r="G459">
        <v>97616</v>
      </c>
      <c r="H459">
        <v>9673</v>
      </c>
      <c r="I459" s="25" t="s">
        <v>2050</v>
      </c>
      <c r="J459" t="s">
        <v>2676</v>
      </c>
      <c r="M459" s="49"/>
    </row>
    <row r="460" spans="6:13" x14ac:dyDescent="0.25">
      <c r="F460" t="s">
        <v>2700</v>
      </c>
      <c r="G460">
        <v>32547</v>
      </c>
      <c r="H460">
        <v>5770</v>
      </c>
      <c r="I460" s="25" t="s">
        <v>2023</v>
      </c>
      <c r="J460" t="s">
        <v>2257</v>
      </c>
      <c r="M460" s="49"/>
    </row>
    <row r="461" spans="6:13" x14ac:dyDescent="0.25">
      <c r="F461" t="s">
        <v>2700</v>
      </c>
      <c r="G461">
        <v>32549</v>
      </c>
      <c r="H461">
        <v>5770</v>
      </c>
      <c r="I461" s="25" t="s">
        <v>2023</v>
      </c>
      <c r="J461" t="s">
        <v>2257</v>
      </c>
      <c r="M461" s="49"/>
    </row>
    <row r="462" spans="6:13" x14ac:dyDescent="0.25">
      <c r="F462" t="s">
        <v>2700</v>
      </c>
      <c r="G462">
        <v>32545</v>
      </c>
      <c r="H462">
        <v>5770</v>
      </c>
      <c r="I462" s="25" t="s">
        <v>2023</v>
      </c>
      <c r="J462" t="s">
        <v>2257</v>
      </c>
      <c r="M462" s="49"/>
    </row>
    <row r="463" spans="6:13" x14ac:dyDescent="0.25">
      <c r="F463" t="s">
        <v>2701</v>
      </c>
      <c r="G463">
        <v>23843</v>
      </c>
      <c r="H463">
        <v>1062</v>
      </c>
      <c r="I463" s="25" t="s">
        <v>2085</v>
      </c>
      <c r="J463" t="s">
        <v>2188</v>
      </c>
      <c r="M463" s="49"/>
    </row>
    <row r="464" spans="6:13" x14ac:dyDescent="0.25">
      <c r="F464" t="s">
        <v>2702</v>
      </c>
      <c r="G464">
        <v>63619</v>
      </c>
      <c r="H464">
        <v>6435</v>
      </c>
      <c r="I464" s="25" t="s">
        <v>2046</v>
      </c>
      <c r="J464" t="s">
        <v>2703</v>
      </c>
      <c r="M464" s="49"/>
    </row>
    <row r="465" spans="6:13" x14ac:dyDescent="0.25">
      <c r="F465" t="s">
        <v>2704</v>
      </c>
      <c r="G465">
        <v>77740</v>
      </c>
      <c r="H465">
        <v>8317</v>
      </c>
      <c r="I465" s="25" t="s">
        <v>2018</v>
      </c>
      <c r="J465" t="s">
        <v>2071</v>
      </c>
      <c r="M465" s="49"/>
    </row>
    <row r="466" spans="6:13" x14ac:dyDescent="0.25">
      <c r="F466" t="s">
        <v>2705</v>
      </c>
      <c r="G466">
        <v>31812</v>
      </c>
      <c r="H466">
        <v>3252</v>
      </c>
      <c r="I466" s="25" t="s">
        <v>2074</v>
      </c>
      <c r="J466" t="s">
        <v>2139</v>
      </c>
      <c r="M466" s="49"/>
    </row>
    <row r="467" spans="6:13" x14ac:dyDescent="0.25">
      <c r="F467" t="s">
        <v>2706</v>
      </c>
      <c r="G467">
        <v>74906</v>
      </c>
      <c r="H467">
        <v>8125</v>
      </c>
      <c r="I467" s="25" t="s">
        <v>2018</v>
      </c>
      <c r="J467" t="s">
        <v>2060</v>
      </c>
      <c r="M467" s="49"/>
    </row>
    <row r="468" spans="6:13" x14ac:dyDescent="0.25">
      <c r="F468" t="s">
        <v>2707</v>
      </c>
      <c r="G468">
        <v>83435</v>
      </c>
      <c r="H468">
        <v>9172</v>
      </c>
      <c r="I468" s="25" t="s">
        <v>2050</v>
      </c>
      <c r="J468" t="s">
        <v>2042</v>
      </c>
      <c r="M468" s="49"/>
    </row>
    <row r="469" spans="6:13" x14ac:dyDescent="0.25">
      <c r="F469" t="s">
        <v>2708</v>
      </c>
      <c r="G469">
        <v>77776</v>
      </c>
      <c r="H469">
        <v>8237</v>
      </c>
      <c r="I469" s="25" t="s">
        <v>2018</v>
      </c>
      <c r="J469" t="s">
        <v>2336</v>
      </c>
      <c r="M469" s="49"/>
    </row>
    <row r="470" spans="6:13" x14ac:dyDescent="0.25">
      <c r="F470" t="s">
        <v>2709</v>
      </c>
      <c r="G470">
        <v>49214</v>
      </c>
      <c r="H470">
        <v>3459</v>
      </c>
      <c r="I470" s="25" t="s">
        <v>2074</v>
      </c>
      <c r="J470" t="s">
        <v>2292</v>
      </c>
      <c r="M470" s="49"/>
    </row>
    <row r="471" spans="6:13" x14ac:dyDescent="0.25">
      <c r="F471" t="s">
        <v>2710</v>
      </c>
      <c r="G471">
        <v>15526</v>
      </c>
      <c r="H471">
        <v>12067</v>
      </c>
      <c r="I471" s="25" t="s">
        <v>2356</v>
      </c>
      <c r="J471" t="s">
        <v>2711</v>
      </c>
      <c r="M471" s="49"/>
    </row>
    <row r="472" spans="6:13" x14ac:dyDescent="0.25">
      <c r="F472" t="s">
        <v>2712</v>
      </c>
      <c r="G472">
        <v>37441</v>
      </c>
      <c r="H472">
        <v>3159</v>
      </c>
      <c r="I472" s="25" t="s">
        <v>2074</v>
      </c>
      <c r="J472" t="s">
        <v>2093</v>
      </c>
      <c r="M472" s="49"/>
    </row>
    <row r="473" spans="6:13" x14ac:dyDescent="0.25">
      <c r="F473" t="s">
        <v>2713</v>
      </c>
      <c r="G473">
        <v>79713</v>
      </c>
      <c r="H473">
        <v>8337</v>
      </c>
      <c r="I473" s="25" t="s">
        <v>2018</v>
      </c>
      <c r="J473" t="s">
        <v>2248</v>
      </c>
      <c r="M473" s="49"/>
    </row>
    <row r="474" spans="6:13" x14ac:dyDescent="0.25">
      <c r="F474" t="s">
        <v>2714</v>
      </c>
      <c r="G474">
        <v>31162</v>
      </c>
      <c r="H474">
        <v>3254</v>
      </c>
      <c r="I474" s="25" t="s">
        <v>2074</v>
      </c>
      <c r="J474" t="s">
        <v>2196</v>
      </c>
      <c r="M474" s="49"/>
    </row>
    <row r="475" spans="6:13" x14ac:dyDescent="0.25">
      <c r="F475" t="s">
        <v>2715</v>
      </c>
      <c r="G475">
        <v>36364</v>
      </c>
      <c r="H475">
        <v>6631</v>
      </c>
      <c r="I475" s="25" t="s">
        <v>2046</v>
      </c>
      <c r="J475" t="s">
        <v>2145</v>
      </c>
      <c r="M475" s="49"/>
    </row>
    <row r="476" spans="6:13" x14ac:dyDescent="0.25">
      <c r="F476" t="s">
        <v>2716</v>
      </c>
      <c r="G476">
        <v>32108</v>
      </c>
      <c r="H476">
        <v>5766</v>
      </c>
      <c r="I476" s="25" t="s">
        <v>2023</v>
      </c>
      <c r="J476" t="s">
        <v>2223</v>
      </c>
      <c r="M476" s="49"/>
    </row>
    <row r="477" spans="6:13" x14ac:dyDescent="0.25">
      <c r="F477" t="s">
        <v>2716</v>
      </c>
      <c r="G477">
        <v>32105</v>
      </c>
      <c r="H477">
        <v>5766</v>
      </c>
      <c r="I477" s="25" t="s">
        <v>2023</v>
      </c>
      <c r="J477" t="s">
        <v>2223</v>
      </c>
      <c r="M477" s="49"/>
    </row>
    <row r="478" spans="6:13" x14ac:dyDescent="0.25">
      <c r="F478" t="s">
        <v>2716</v>
      </c>
      <c r="G478">
        <v>32107</v>
      </c>
      <c r="H478">
        <v>5766</v>
      </c>
      <c r="I478" s="25" t="s">
        <v>2023</v>
      </c>
      <c r="J478" t="s">
        <v>2223</v>
      </c>
      <c r="M478" s="49"/>
    </row>
    <row r="479" spans="6:13" x14ac:dyDescent="0.25">
      <c r="F479" t="s">
        <v>2717</v>
      </c>
      <c r="G479">
        <v>36433</v>
      </c>
      <c r="H479">
        <v>16063</v>
      </c>
      <c r="I479" s="25" t="s">
        <v>2384</v>
      </c>
      <c r="J479" t="s">
        <v>2687</v>
      </c>
      <c r="M479" s="49"/>
    </row>
    <row r="480" spans="6:13" x14ac:dyDescent="0.25">
      <c r="F480" t="s">
        <v>2718</v>
      </c>
      <c r="G480">
        <v>59505</v>
      </c>
      <c r="H480">
        <v>5974</v>
      </c>
      <c r="I480" s="25" t="s">
        <v>2023</v>
      </c>
      <c r="J480" t="s">
        <v>2368</v>
      </c>
      <c r="M480" s="49"/>
    </row>
    <row r="481" spans="6:13" x14ac:dyDescent="0.25">
      <c r="F481" t="s">
        <v>2719</v>
      </c>
      <c r="G481">
        <v>88348</v>
      </c>
      <c r="H481">
        <v>8426</v>
      </c>
      <c r="I481" s="25" t="s">
        <v>2018</v>
      </c>
      <c r="J481" t="s">
        <v>2081</v>
      </c>
      <c r="M481" s="49"/>
    </row>
    <row r="482" spans="6:13" x14ac:dyDescent="0.25">
      <c r="F482" t="s">
        <v>2719</v>
      </c>
      <c r="G482">
        <v>88348</v>
      </c>
      <c r="H482">
        <v>8437</v>
      </c>
      <c r="I482" s="25" t="s">
        <v>2018</v>
      </c>
      <c r="J482" t="s">
        <v>2720</v>
      </c>
      <c r="M482" s="49"/>
    </row>
    <row r="483" spans="6:13" x14ac:dyDescent="0.25">
      <c r="F483" t="s">
        <v>2721</v>
      </c>
      <c r="G483">
        <v>1814</v>
      </c>
      <c r="H483">
        <v>14628</v>
      </c>
      <c r="I483" s="25" t="s">
        <v>2135</v>
      </c>
      <c r="J483" t="s">
        <v>2347</v>
      </c>
      <c r="M483" s="49"/>
    </row>
    <row r="484" spans="6:13" x14ac:dyDescent="0.25">
      <c r="F484" t="s">
        <v>2722</v>
      </c>
      <c r="G484">
        <v>6905</v>
      </c>
      <c r="H484">
        <v>15091</v>
      </c>
      <c r="I484" s="25" t="s">
        <v>2241</v>
      </c>
      <c r="J484" t="s">
        <v>1509</v>
      </c>
      <c r="M484" s="49"/>
    </row>
    <row r="485" spans="6:13" x14ac:dyDescent="0.25">
      <c r="F485" t="s">
        <v>2723</v>
      </c>
      <c r="G485">
        <v>76669</v>
      </c>
      <c r="H485">
        <v>8215</v>
      </c>
      <c r="I485" s="25" t="s">
        <v>2018</v>
      </c>
      <c r="J485" t="s">
        <v>2724</v>
      </c>
      <c r="M485" s="49"/>
    </row>
    <row r="486" spans="6:13" x14ac:dyDescent="0.25">
      <c r="F486" t="s">
        <v>2725</v>
      </c>
      <c r="G486">
        <v>88427</v>
      </c>
      <c r="H486">
        <v>8426</v>
      </c>
      <c r="I486" s="25" t="s">
        <v>2018</v>
      </c>
      <c r="J486" t="s">
        <v>2081</v>
      </c>
      <c r="M486" s="49"/>
    </row>
    <row r="487" spans="6:13" x14ac:dyDescent="0.25">
      <c r="F487" t="s">
        <v>2726</v>
      </c>
      <c r="G487">
        <v>65307</v>
      </c>
      <c r="H487">
        <v>6439</v>
      </c>
      <c r="I487" s="25" t="s">
        <v>2046</v>
      </c>
      <c r="J487" t="s">
        <v>2047</v>
      </c>
      <c r="M487" s="49"/>
    </row>
    <row r="488" spans="6:13" x14ac:dyDescent="0.25">
      <c r="F488" t="s">
        <v>2727</v>
      </c>
      <c r="G488">
        <v>23611</v>
      </c>
      <c r="H488">
        <v>1055</v>
      </c>
      <c r="I488" s="25" t="s">
        <v>2085</v>
      </c>
      <c r="J488" t="s">
        <v>2185</v>
      </c>
      <c r="M488" s="49"/>
    </row>
    <row r="489" spans="6:13" x14ac:dyDescent="0.25">
      <c r="F489" t="s">
        <v>2728</v>
      </c>
      <c r="G489">
        <v>23795</v>
      </c>
      <c r="H489">
        <v>1060</v>
      </c>
      <c r="I489" s="25" t="s">
        <v>2085</v>
      </c>
      <c r="J489" t="s">
        <v>2363</v>
      </c>
      <c r="M489" s="49"/>
    </row>
    <row r="490" spans="6:13" x14ac:dyDescent="0.25">
      <c r="F490" t="s">
        <v>2729</v>
      </c>
      <c r="G490">
        <v>65812</v>
      </c>
      <c r="H490">
        <v>6436</v>
      </c>
      <c r="I490" s="25" t="s">
        <v>2046</v>
      </c>
      <c r="J490" t="s">
        <v>2730</v>
      </c>
      <c r="M490" s="49"/>
    </row>
    <row r="491" spans="6:13" x14ac:dyDescent="0.25">
      <c r="F491" t="s">
        <v>2731</v>
      </c>
      <c r="G491">
        <v>63628</v>
      </c>
      <c r="H491">
        <v>6435</v>
      </c>
      <c r="I491" s="25" t="s">
        <v>2046</v>
      </c>
      <c r="J491" t="s">
        <v>2703</v>
      </c>
      <c r="M491" s="49"/>
    </row>
    <row r="492" spans="6:13" x14ac:dyDescent="0.25">
      <c r="F492" t="s">
        <v>2732</v>
      </c>
      <c r="G492">
        <v>37242</v>
      </c>
      <c r="H492">
        <v>6636</v>
      </c>
      <c r="I492" s="25" t="s">
        <v>2046</v>
      </c>
      <c r="J492" t="s">
        <v>2733</v>
      </c>
      <c r="M492" s="49"/>
    </row>
    <row r="493" spans="6:13" x14ac:dyDescent="0.25">
      <c r="F493" t="s">
        <v>2734</v>
      </c>
      <c r="G493">
        <v>95138</v>
      </c>
      <c r="H493">
        <v>9475</v>
      </c>
      <c r="I493" s="25" t="s">
        <v>2050</v>
      </c>
      <c r="J493" t="s">
        <v>2201</v>
      </c>
      <c r="M493" s="49"/>
    </row>
    <row r="494" spans="6:13" x14ac:dyDescent="0.25">
      <c r="F494" t="s">
        <v>2735</v>
      </c>
      <c r="G494">
        <v>99518</v>
      </c>
      <c r="H494">
        <v>16071</v>
      </c>
      <c r="I494" s="25" t="s">
        <v>2384</v>
      </c>
      <c r="J494" t="s">
        <v>2508</v>
      </c>
      <c r="M494" s="49"/>
    </row>
    <row r="495" spans="6:13" x14ac:dyDescent="0.25">
      <c r="F495" t="s">
        <v>2736</v>
      </c>
      <c r="G495">
        <v>18334</v>
      </c>
      <c r="H495">
        <v>13073</v>
      </c>
      <c r="I495" s="25" t="s">
        <v>2191</v>
      </c>
      <c r="J495" t="s">
        <v>2192</v>
      </c>
      <c r="M495" s="49"/>
    </row>
    <row r="496" spans="6:13" x14ac:dyDescent="0.25">
      <c r="F496" t="s">
        <v>2737</v>
      </c>
      <c r="G496">
        <v>75385</v>
      </c>
      <c r="H496">
        <v>8235</v>
      </c>
      <c r="I496" s="25" t="s">
        <v>2018</v>
      </c>
      <c r="J496" t="s">
        <v>2422</v>
      </c>
      <c r="M496" s="49"/>
    </row>
    <row r="497" spans="6:13" x14ac:dyDescent="0.25">
      <c r="F497" t="s">
        <v>2738</v>
      </c>
      <c r="G497">
        <v>99955</v>
      </c>
      <c r="H497">
        <v>16064</v>
      </c>
      <c r="I497" s="25" t="s">
        <v>2384</v>
      </c>
      <c r="J497" t="s">
        <v>2405</v>
      </c>
      <c r="M497" s="49"/>
    </row>
    <row r="498" spans="6:13" x14ac:dyDescent="0.25">
      <c r="F498" t="s">
        <v>2739</v>
      </c>
      <c r="G498">
        <v>83646</v>
      </c>
      <c r="H498">
        <v>9173</v>
      </c>
      <c r="I498" s="25" t="s">
        <v>2050</v>
      </c>
      <c r="J498" t="s">
        <v>2659</v>
      </c>
      <c r="M498" s="49"/>
    </row>
    <row r="499" spans="6:13" x14ac:dyDescent="0.25">
      <c r="F499" t="s">
        <v>2740</v>
      </c>
      <c r="G499">
        <v>73337</v>
      </c>
      <c r="H499">
        <v>8117</v>
      </c>
      <c r="I499" s="25" t="s">
        <v>2018</v>
      </c>
      <c r="J499" t="s">
        <v>2089</v>
      </c>
      <c r="M499" s="49"/>
    </row>
    <row r="500" spans="6:13" x14ac:dyDescent="0.25">
      <c r="F500" t="s">
        <v>2741</v>
      </c>
      <c r="G500">
        <v>72574</v>
      </c>
      <c r="H500">
        <v>8415</v>
      </c>
      <c r="I500" s="25" t="s">
        <v>2018</v>
      </c>
      <c r="J500" t="s">
        <v>2325</v>
      </c>
      <c r="M500" s="49"/>
    </row>
    <row r="501" spans="6:13" x14ac:dyDescent="0.25">
      <c r="F501" t="s">
        <v>2742</v>
      </c>
      <c r="G501">
        <v>61118</v>
      </c>
      <c r="H501">
        <v>6440</v>
      </c>
      <c r="I501" s="25" t="s">
        <v>2046</v>
      </c>
      <c r="J501" t="s">
        <v>2415</v>
      </c>
      <c r="M501" s="49"/>
    </row>
    <row r="502" spans="6:13" x14ac:dyDescent="0.25">
      <c r="F502" t="s">
        <v>2743</v>
      </c>
      <c r="G502">
        <v>88339</v>
      </c>
      <c r="H502">
        <v>8436</v>
      </c>
      <c r="I502" s="25" t="s">
        <v>2018</v>
      </c>
      <c r="J502" t="s">
        <v>2068</v>
      </c>
      <c r="M502" s="49"/>
    </row>
    <row r="503" spans="6:13" x14ac:dyDescent="0.25">
      <c r="F503" t="s">
        <v>2744</v>
      </c>
      <c r="G503">
        <v>83707</v>
      </c>
      <c r="H503">
        <v>9182</v>
      </c>
      <c r="I503" s="25" t="s">
        <v>2050</v>
      </c>
      <c r="J503" t="s">
        <v>2254</v>
      </c>
      <c r="M503" s="49"/>
    </row>
    <row r="504" spans="6:13" x14ac:dyDescent="0.25">
      <c r="F504" t="s">
        <v>2745</v>
      </c>
      <c r="G504">
        <v>75323</v>
      </c>
      <c r="H504">
        <v>8235</v>
      </c>
      <c r="I504" s="25" t="s">
        <v>2018</v>
      </c>
      <c r="J504" t="s">
        <v>2422</v>
      </c>
      <c r="M504" s="49"/>
    </row>
    <row r="505" spans="6:13" x14ac:dyDescent="0.25">
      <c r="F505" t="s">
        <v>2746</v>
      </c>
      <c r="G505">
        <v>34537</v>
      </c>
      <c r="H505">
        <v>6635</v>
      </c>
      <c r="I505" s="25" t="s">
        <v>2046</v>
      </c>
      <c r="J505" t="s">
        <v>2308</v>
      </c>
      <c r="M505" s="49"/>
    </row>
    <row r="506" spans="6:13" x14ac:dyDescent="0.25">
      <c r="F506" t="s">
        <v>2747</v>
      </c>
      <c r="G506">
        <v>74206</v>
      </c>
      <c r="H506">
        <v>8125</v>
      </c>
      <c r="I506" s="25" t="s">
        <v>2018</v>
      </c>
      <c r="J506" t="s">
        <v>2060</v>
      </c>
      <c r="M506" s="49"/>
    </row>
    <row r="507" spans="6:13" x14ac:dyDescent="0.25">
      <c r="F507" t="s">
        <v>2748</v>
      </c>
      <c r="G507">
        <v>91438</v>
      </c>
      <c r="H507">
        <v>9575</v>
      </c>
      <c r="I507" s="25" t="s">
        <v>2050</v>
      </c>
      <c r="J507" t="s">
        <v>2749</v>
      </c>
      <c r="M507" s="49"/>
    </row>
    <row r="508" spans="6:13" x14ac:dyDescent="0.25">
      <c r="F508" t="s">
        <v>2750</v>
      </c>
      <c r="G508">
        <v>86825</v>
      </c>
      <c r="H508">
        <v>9778</v>
      </c>
      <c r="I508" s="25" t="s">
        <v>2050</v>
      </c>
      <c r="J508" t="s">
        <v>2460</v>
      </c>
      <c r="M508" s="49"/>
    </row>
    <row r="509" spans="6:13" x14ac:dyDescent="0.25">
      <c r="F509" t="s">
        <v>2751</v>
      </c>
      <c r="G509">
        <v>88410</v>
      </c>
      <c r="H509">
        <v>8436</v>
      </c>
      <c r="I509" s="25" t="s">
        <v>2018</v>
      </c>
      <c r="J509" t="s">
        <v>2068</v>
      </c>
      <c r="M509" s="49"/>
    </row>
    <row r="510" spans="6:13" x14ac:dyDescent="0.25">
      <c r="F510" t="s">
        <v>2752</v>
      </c>
      <c r="G510">
        <v>34596</v>
      </c>
      <c r="H510">
        <v>6634</v>
      </c>
      <c r="I510" s="25" t="s">
        <v>2046</v>
      </c>
      <c r="J510" t="s">
        <v>2360</v>
      </c>
      <c r="M510" s="49"/>
    </row>
    <row r="511" spans="6:13" x14ac:dyDescent="0.25">
      <c r="F511" t="s">
        <v>2753</v>
      </c>
      <c r="G511">
        <v>26160</v>
      </c>
      <c r="H511">
        <v>3451</v>
      </c>
      <c r="I511" s="25" t="s">
        <v>2074</v>
      </c>
      <c r="J511" t="s">
        <v>2030</v>
      </c>
      <c r="M511" s="49"/>
    </row>
    <row r="512" spans="6:13" x14ac:dyDescent="0.25">
      <c r="F512" t="s">
        <v>2754</v>
      </c>
      <c r="G512">
        <v>49635</v>
      </c>
      <c r="H512">
        <v>3459</v>
      </c>
      <c r="I512" s="25" t="s">
        <v>2074</v>
      </c>
      <c r="J512" t="s">
        <v>2292</v>
      </c>
      <c r="M512" s="49"/>
    </row>
    <row r="513" spans="6:13" x14ac:dyDescent="0.25">
      <c r="F513" t="s">
        <v>2755</v>
      </c>
      <c r="G513">
        <v>38271</v>
      </c>
      <c r="H513">
        <v>3158</v>
      </c>
      <c r="I513" s="25" t="s">
        <v>2074</v>
      </c>
      <c r="J513" t="s">
        <v>2434</v>
      </c>
      <c r="M513" s="49"/>
    </row>
    <row r="514" spans="6:13" x14ac:dyDescent="0.25">
      <c r="F514" t="s">
        <v>2756</v>
      </c>
      <c r="G514">
        <v>54657</v>
      </c>
      <c r="H514">
        <v>7232</v>
      </c>
      <c r="I514" s="25" t="s">
        <v>2123</v>
      </c>
      <c r="J514" t="s">
        <v>2112</v>
      </c>
      <c r="M514" s="49"/>
    </row>
    <row r="515" spans="6:13" x14ac:dyDescent="0.25">
      <c r="F515" t="s">
        <v>2756</v>
      </c>
      <c r="G515">
        <v>54657</v>
      </c>
      <c r="H515">
        <v>7232</v>
      </c>
      <c r="I515" s="25" t="s">
        <v>2123</v>
      </c>
      <c r="J515" t="s">
        <v>2112</v>
      </c>
      <c r="M515" s="49"/>
    </row>
    <row r="516" spans="6:13" x14ac:dyDescent="0.25">
      <c r="F516" t="s">
        <v>2757</v>
      </c>
      <c r="G516">
        <v>76532</v>
      </c>
      <c r="H516">
        <v>8211</v>
      </c>
      <c r="I516" s="25" t="s">
        <v>2018</v>
      </c>
      <c r="J516" t="s">
        <v>2758</v>
      </c>
      <c r="M516" s="49"/>
    </row>
    <row r="517" spans="6:13" x14ac:dyDescent="0.25">
      <c r="F517" t="s">
        <v>2757</v>
      </c>
      <c r="G517">
        <v>76532</v>
      </c>
      <c r="H517">
        <v>8211</v>
      </c>
      <c r="I517" s="25" t="s">
        <v>2018</v>
      </c>
      <c r="J517" t="s">
        <v>2758</v>
      </c>
      <c r="M517" s="49"/>
    </row>
    <row r="518" spans="6:13" x14ac:dyDescent="0.25">
      <c r="F518" t="s">
        <v>2757</v>
      </c>
      <c r="G518">
        <v>76530</v>
      </c>
      <c r="H518">
        <v>8211</v>
      </c>
      <c r="I518" s="25" t="s">
        <v>2018</v>
      </c>
      <c r="J518" t="s">
        <v>2758</v>
      </c>
      <c r="M518" s="49"/>
    </row>
    <row r="519" spans="6:13" x14ac:dyDescent="0.25">
      <c r="F519" t="s">
        <v>2757</v>
      </c>
      <c r="G519">
        <v>76534</v>
      </c>
      <c r="H519">
        <v>8211</v>
      </c>
      <c r="I519" s="25" t="s">
        <v>2018</v>
      </c>
      <c r="J519" t="s">
        <v>2758</v>
      </c>
      <c r="M519" s="49"/>
    </row>
    <row r="520" spans="6:13" x14ac:dyDescent="0.25">
      <c r="F520" t="s">
        <v>2759</v>
      </c>
      <c r="G520">
        <v>79410</v>
      </c>
      <c r="H520">
        <v>8315</v>
      </c>
      <c r="I520" s="25" t="s">
        <v>2018</v>
      </c>
      <c r="J520" t="s">
        <v>2061</v>
      </c>
      <c r="M520" s="49"/>
    </row>
    <row r="521" spans="6:13" x14ac:dyDescent="0.25">
      <c r="F521" t="s">
        <v>2760</v>
      </c>
      <c r="G521">
        <v>38836</v>
      </c>
      <c r="H521">
        <v>15085</v>
      </c>
      <c r="I521" s="25" t="s">
        <v>2241</v>
      </c>
      <c r="J521" t="s">
        <v>2178</v>
      </c>
      <c r="M521" s="49"/>
    </row>
    <row r="522" spans="6:13" x14ac:dyDescent="0.25">
      <c r="F522" t="s">
        <v>2761</v>
      </c>
      <c r="G522">
        <v>64754</v>
      </c>
      <c r="H522">
        <v>8226</v>
      </c>
      <c r="I522" s="25" t="s">
        <v>2018</v>
      </c>
      <c r="J522" t="s">
        <v>2442</v>
      </c>
      <c r="M522" s="49"/>
    </row>
    <row r="523" spans="6:13" x14ac:dyDescent="0.25">
      <c r="F523" t="s">
        <v>2762</v>
      </c>
      <c r="G523">
        <v>52499</v>
      </c>
      <c r="H523">
        <v>5334</v>
      </c>
      <c r="I523" s="25" t="s">
        <v>2023</v>
      </c>
      <c r="J523" t="s">
        <v>2341</v>
      </c>
      <c r="M523" s="49"/>
    </row>
    <row r="524" spans="6:13" x14ac:dyDescent="0.25">
      <c r="F524" t="s">
        <v>2763</v>
      </c>
      <c r="G524">
        <v>79353</v>
      </c>
      <c r="H524">
        <v>8316</v>
      </c>
      <c r="I524" s="25" t="s">
        <v>2018</v>
      </c>
      <c r="J524" t="s">
        <v>2764</v>
      </c>
      <c r="M524" s="49"/>
    </row>
    <row r="525" spans="6:13" x14ac:dyDescent="0.25">
      <c r="F525" t="s">
        <v>2765</v>
      </c>
      <c r="G525">
        <v>38459</v>
      </c>
      <c r="H525">
        <v>3154</v>
      </c>
      <c r="I525" s="25" t="s">
        <v>2074</v>
      </c>
      <c r="J525" t="s">
        <v>2186</v>
      </c>
      <c r="M525" s="49"/>
    </row>
    <row r="526" spans="6:13" x14ac:dyDescent="0.25">
      <c r="F526" t="s">
        <v>2766</v>
      </c>
      <c r="G526">
        <v>27245</v>
      </c>
      <c r="H526">
        <v>3251</v>
      </c>
      <c r="I526" s="25" t="s">
        <v>2074</v>
      </c>
      <c r="J526" t="s">
        <v>2094</v>
      </c>
      <c r="M526" s="49"/>
    </row>
    <row r="527" spans="6:13" x14ac:dyDescent="0.25">
      <c r="F527" t="s">
        <v>2767</v>
      </c>
      <c r="G527">
        <v>1819</v>
      </c>
      <c r="H527">
        <v>14628</v>
      </c>
      <c r="I527" s="25" t="s">
        <v>2135</v>
      </c>
      <c r="J527" t="s">
        <v>2347</v>
      </c>
      <c r="M527" s="49"/>
    </row>
    <row r="528" spans="6:13" x14ac:dyDescent="0.25">
      <c r="F528" t="s">
        <v>2768</v>
      </c>
      <c r="G528">
        <v>88255</v>
      </c>
      <c r="H528">
        <v>8436</v>
      </c>
      <c r="I528" s="25" t="s">
        <v>2018</v>
      </c>
      <c r="J528" t="s">
        <v>2068</v>
      </c>
      <c r="M528" s="49"/>
    </row>
    <row r="529" spans="6:13" x14ac:dyDescent="0.25">
      <c r="F529" t="s">
        <v>2769</v>
      </c>
      <c r="G529">
        <v>84171</v>
      </c>
      <c r="H529">
        <v>9274</v>
      </c>
      <c r="I529" s="25" t="s">
        <v>2050</v>
      </c>
      <c r="J529" t="s">
        <v>2132</v>
      </c>
      <c r="M529" s="49"/>
    </row>
    <row r="530" spans="6:13" x14ac:dyDescent="0.25">
      <c r="F530" t="s">
        <v>2770</v>
      </c>
      <c r="G530">
        <v>82065</v>
      </c>
      <c r="H530">
        <v>9184</v>
      </c>
      <c r="I530" s="25" t="s">
        <v>2050</v>
      </c>
      <c r="J530" t="s">
        <v>2547</v>
      </c>
      <c r="M530" s="49"/>
    </row>
    <row r="531" spans="6:13" x14ac:dyDescent="0.25">
      <c r="F531" t="s">
        <v>2771</v>
      </c>
      <c r="G531">
        <v>72270</v>
      </c>
      <c r="H531">
        <v>8237</v>
      </c>
      <c r="I531" s="25" t="s">
        <v>2018</v>
      </c>
      <c r="J531" t="s">
        <v>2336</v>
      </c>
      <c r="M531" s="49"/>
    </row>
    <row r="532" spans="6:13" x14ac:dyDescent="0.25">
      <c r="F532" t="s">
        <v>2772</v>
      </c>
      <c r="G532">
        <v>91083</v>
      </c>
      <c r="H532">
        <v>9572</v>
      </c>
      <c r="I532" s="25" t="s">
        <v>2050</v>
      </c>
      <c r="J532" t="s">
        <v>2105</v>
      </c>
      <c r="M532" s="49"/>
    </row>
    <row r="533" spans="6:13" x14ac:dyDescent="0.25">
      <c r="F533" t="s">
        <v>2773</v>
      </c>
      <c r="G533">
        <v>87650</v>
      </c>
      <c r="H533">
        <v>9777</v>
      </c>
      <c r="I533" s="25" t="s">
        <v>2050</v>
      </c>
      <c r="J533" t="s">
        <v>2237</v>
      </c>
      <c r="M533" s="49"/>
    </row>
    <row r="534" spans="6:13" x14ac:dyDescent="0.25">
      <c r="F534" t="s">
        <v>2774</v>
      </c>
      <c r="G534">
        <v>49456</v>
      </c>
      <c r="H534">
        <v>3460</v>
      </c>
      <c r="I534" s="25" t="s">
        <v>2074</v>
      </c>
      <c r="J534" t="s">
        <v>2408</v>
      </c>
      <c r="M534" s="49"/>
    </row>
    <row r="535" spans="6:13" x14ac:dyDescent="0.25">
      <c r="F535" t="s">
        <v>2775</v>
      </c>
      <c r="G535">
        <v>85598</v>
      </c>
      <c r="H535">
        <v>9175</v>
      </c>
      <c r="I535" s="25" t="s">
        <v>2050</v>
      </c>
      <c r="J535" t="s">
        <v>2500</v>
      </c>
      <c r="M535" s="49"/>
    </row>
    <row r="536" spans="6:13" x14ac:dyDescent="0.25">
      <c r="F536" t="s">
        <v>2776</v>
      </c>
      <c r="G536">
        <v>31609</v>
      </c>
      <c r="H536">
        <v>3256</v>
      </c>
      <c r="I536" s="25" t="s">
        <v>2074</v>
      </c>
      <c r="J536" t="s">
        <v>2271</v>
      </c>
      <c r="M536" s="49"/>
    </row>
    <row r="537" spans="6:13" x14ac:dyDescent="0.25">
      <c r="F537" t="s">
        <v>2777</v>
      </c>
      <c r="G537">
        <v>78582</v>
      </c>
      <c r="H537">
        <v>8327</v>
      </c>
      <c r="I537" s="25" t="s">
        <v>2018</v>
      </c>
      <c r="J537" t="s">
        <v>2277</v>
      </c>
      <c r="M537" s="49"/>
    </row>
    <row r="538" spans="6:13" x14ac:dyDescent="0.25">
      <c r="F538" t="s">
        <v>2778</v>
      </c>
      <c r="G538">
        <v>72336</v>
      </c>
      <c r="H538">
        <v>8417</v>
      </c>
      <c r="I538" s="25" t="s">
        <v>2018</v>
      </c>
      <c r="J538" t="s">
        <v>2269</v>
      </c>
      <c r="M538" s="49"/>
    </row>
    <row r="539" spans="6:13" x14ac:dyDescent="0.25">
      <c r="F539" t="s">
        <v>2779</v>
      </c>
      <c r="G539">
        <v>21730</v>
      </c>
      <c r="H539">
        <v>3359</v>
      </c>
      <c r="I539" s="25" t="s">
        <v>2074</v>
      </c>
      <c r="J539" t="s">
        <v>2158</v>
      </c>
      <c r="M539" s="49"/>
    </row>
    <row r="540" spans="6:13" x14ac:dyDescent="0.25">
      <c r="F540" t="s">
        <v>2780</v>
      </c>
      <c r="G540">
        <v>89177</v>
      </c>
      <c r="H540">
        <v>8425</v>
      </c>
      <c r="I540" s="25" t="s">
        <v>2018</v>
      </c>
      <c r="J540" t="s">
        <v>2027</v>
      </c>
      <c r="M540" s="49"/>
    </row>
    <row r="541" spans="6:13" x14ac:dyDescent="0.25">
      <c r="F541" t="s">
        <v>2781</v>
      </c>
      <c r="G541">
        <v>6493</v>
      </c>
      <c r="H541">
        <v>15085</v>
      </c>
      <c r="I541" s="25" t="s">
        <v>2241</v>
      </c>
      <c r="J541" t="s">
        <v>2178</v>
      </c>
      <c r="M541" s="49"/>
    </row>
    <row r="542" spans="6:13" x14ac:dyDescent="0.25">
      <c r="F542" t="s">
        <v>2781</v>
      </c>
      <c r="G542">
        <v>6493</v>
      </c>
      <c r="H542">
        <v>15085</v>
      </c>
      <c r="I542" s="25" t="s">
        <v>2241</v>
      </c>
      <c r="J542" t="s">
        <v>2178</v>
      </c>
      <c r="M542" s="49"/>
    </row>
    <row r="543" spans="6:13" x14ac:dyDescent="0.25">
      <c r="F543" t="s">
        <v>2781</v>
      </c>
      <c r="G543">
        <v>6493</v>
      </c>
      <c r="H543">
        <v>15085</v>
      </c>
      <c r="I543" s="25" t="s">
        <v>2241</v>
      </c>
      <c r="J543" t="s">
        <v>2178</v>
      </c>
      <c r="M543" s="49"/>
    </row>
    <row r="544" spans="6:13" x14ac:dyDescent="0.25">
      <c r="F544" t="s">
        <v>2781</v>
      </c>
      <c r="G544">
        <v>6493</v>
      </c>
      <c r="H544">
        <v>15085</v>
      </c>
      <c r="I544" s="25" t="s">
        <v>2241</v>
      </c>
      <c r="J544" t="s">
        <v>2178</v>
      </c>
      <c r="M544" s="49"/>
    </row>
    <row r="545" spans="6:13" x14ac:dyDescent="0.25">
      <c r="F545" t="s">
        <v>2782</v>
      </c>
      <c r="G545">
        <v>79282</v>
      </c>
      <c r="H545">
        <v>8315</v>
      </c>
      <c r="I545" s="25" t="s">
        <v>2018</v>
      </c>
      <c r="J545" t="s">
        <v>2061</v>
      </c>
      <c r="M545" s="49"/>
    </row>
    <row r="546" spans="6:13" x14ac:dyDescent="0.25">
      <c r="F546" t="s">
        <v>2783</v>
      </c>
      <c r="G546">
        <v>73666</v>
      </c>
      <c r="H546">
        <v>8116</v>
      </c>
      <c r="I546" s="25" t="s">
        <v>2018</v>
      </c>
      <c r="J546" t="s">
        <v>2213</v>
      </c>
      <c r="M546" s="49"/>
    </row>
    <row r="547" spans="6:13" x14ac:dyDescent="0.25">
      <c r="F547" t="s">
        <v>2784</v>
      </c>
      <c r="G547">
        <v>26579</v>
      </c>
      <c r="H547">
        <v>3452</v>
      </c>
      <c r="I547" s="25" t="s">
        <v>2074</v>
      </c>
      <c r="J547" t="s">
        <v>2034</v>
      </c>
      <c r="M547" s="49"/>
    </row>
    <row r="548" spans="6:13" x14ac:dyDescent="0.25">
      <c r="F548" t="s">
        <v>2785</v>
      </c>
      <c r="G548">
        <v>58802</v>
      </c>
      <c r="H548">
        <v>5962</v>
      </c>
      <c r="I548" s="25" t="s">
        <v>2023</v>
      </c>
      <c r="J548" t="s">
        <v>2239</v>
      </c>
      <c r="M548" s="49"/>
    </row>
    <row r="549" spans="6:13" x14ac:dyDescent="0.25">
      <c r="F549" t="s">
        <v>2786</v>
      </c>
      <c r="G549">
        <v>86483</v>
      </c>
      <c r="H549">
        <v>9774</v>
      </c>
      <c r="I549" s="25" t="s">
        <v>2050</v>
      </c>
      <c r="J549" t="s">
        <v>2205</v>
      </c>
      <c r="M549" s="49"/>
    </row>
    <row r="550" spans="6:13" x14ac:dyDescent="0.25">
      <c r="F550" t="s">
        <v>2787</v>
      </c>
      <c r="G550">
        <v>88481</v>
      </c>
      <c r="H550">
        <v>8425</v>
      </c>
      <c r="I550" s="25" t="s">
        <v>2018</v>
      </c>
      <c r="J550" t="s">
        <v>2027</v>
      </c>
      <c r="M550" s="49"/>
    </row>
    <row r="551" spans="6:13" x14ac:dyDescent="0.25">
      <c r="F551" t="s">
        <v>2392</v>
      </c>
      <c r="G551">
        <v>96049</v>
      </c>
      <c r="H551">
        <v>9461</v>
      </c>
      <c r="I551" s="25" t="s">
        <v>2050</v>
      </c>
      <c r="J551" t="s">
        <v>2788</v>
      </c>
      <c r="M551" s="49"/>
    </row>
    <row r="552" spans="6:13" x14ac:dyDescent="0.25">
      <c r="F552" t="s">
        <v>2392</v>
      </c>
      <c r="G552">
        <v>96050</v>
      </c>
      <c r="H552">
        <v>9461</v>
      </c>
      <c r="I552" s="25" t="s">
        <v>2050</v>
      </c>
      <c r="J552" t="s">
        <v>2788</v>
      </c>
      <c r="M552" s="49"/>
    </row>
    <row r="553" spans="6:13" x14ac:dyDescent="0.25">
      <c r="F553" t="s">
        <v>2392</v>
      </c>
      <c r="G553">
        <v>96047</v>
      </c>
      <c r="H553">
        <v>9461</v>
      </c>
      <c r="I553" s="25" t="s">
        <v>2050</v>
      </c>
      <c r="J553" t="s">
        <v>2788</v>
      </c>
      <c r="M553" s="49"/>
    </row>
    <row r="554" spans="6:13" x14ac:dyDescent="0.25">
      <c r="F554" t="s">
        <v>2392</v>
      </c>
      <c r="G554">
        <v>96052</v>
      </c>
      <c r="H554">
        <v>9461</v>
      </c>
      <c r="I554" s="25" t="s">
        <v>2050</v>
      </c>
      <c r="J554" t="s">
        <v>2788</v>
      </c>
      <c r="M554" s="49"/>
    </row>
    <row r="555" spans="6:13" x14ac:dyDescent="0.25">
      <c r="F555" t="s">
        <v>2789</v>
      </c>
      <c r="G555">
        <v>69245</v>
      </c>
      <c r="H555">
        <v>8226</v>
      </c>
      <c r="I555" s="25" t="s">
        <v>2018</v>
      </c>
      <c r="J555" t="s">
        <v>2442</v>
      </c>
      <c r="M555" s="49"/>
    </row>
    <row r="556" spans="6:13" x14ac:dyDescent="0.25">
      <c r="F556" t="s">
        <v>2790</v>
      </c>
      <c r="G556">
        <v>1728</v>
      </c>
      <c r="H556">
        <v>14628</v>
      </c>
      <c r="I556" s="25" t="s">
        <v>2135</v>
      </c>
      <c r="J556" t="s">
        <v>2347</v>
      </c>
      <c r="M556" s="49"/>
    </row>
    <row r="557" spans="6:13" x14ac:dyDescent="0.25">
      <c r="F557" t="s">
        <v>2791</v>
      </c>
      <c r="G557">
        <v>19079</v>
      </c>
      <c r="H557">
        <v>13076</v>
      </c>
      <c r="I557" s="25" t="s">
        <v>2191</v>
      </c>
      <c r="J557" t="s">
        <v>2234</v>
      </c>
      <c r="M557" s="49"/>
    </row>
    <row r="558" spans="6:13" x14ac:dyDescent="0.25">
      <c r="F558" t="s">
        <v>2792</v>
      </c>
      <c r="G558">
        <v>93092</v>
      </c>
      <c r="H558">
        <v>9375</v>
      </c>
      <c r="I558" s="25" t="s">
        <v>2050</v>
      </c>
      <c r="J558" t="s">
        <v>2365</v>
      </c>
      <c r="M558" s="49"/>
    </row>
    <row r="559" spans="6:13" x14ac:dyDescent="0.25">
      <c r="F559" t="s">
        <v>2793</v>
      </c>
      <c r="G559">
        <v>39249</v>
      </c>
      <c r="H559">
        <v>15089</v>
      </c>
      <c r="I559" s="25" t="s">
        <v>2241</v>
      </c>
      <c r="J559" t="s">
        <v>2351</v>
      </c>
      <c r="M559" s="49"/>
    </row>
    <row r="560" spans="6:13" x14ac:dyDescent="0.25">
      <c r="F560" t="s">
        <v>2794</v>
      </c>
      <c r="G560">
        <v>36456</v>
      </c>
      <c r="H560">
        <v>16063</v>
      </c>
      <c r="I560" s="25" t="s">
        <v>2384</v>
      </c>
      <c r="J560" t="s">
        <v>2687</v>
      </c>
      <c r="M560" s="49"/>
    </row>
    <row r="561" spans="6:13" x14ac:dyDescent="0.25">
      <c r="F561" t="s">
        <v>2795</v>
      </c>
      <c r="G561">
        <v>21357</v>
      </c>
      <c r="H561">
        <v>3355</v>
      </c>
      <c r="I561" s="25" t="s">
        <v>2074</v>
      </c>
      <c r="J561" t="s">
        <v>2129</v>
      </c>
      <c r="M561" s="49"/>
    </row>
    <row r="562" spans="6:13" x14ac:dyDescent="0.25">
      <c r="F562" t="s">
        <v>2796</v>
      </c>
      <c r="G562">
        <v>21397</v>
      </c>
      <c r="H562">
        <v>3355</v>
      </c>
      <c r="I562" s="25" t="s">
        <v>2074</v>
      </c>
      <c r="J562" t="s">
        <v>2129</v>
      </c>
      <c r="M562" s="49"/>
    </row>
    <row r="563" spans="6:13" x14ac:dyDescent="0.25">
      <c r="F563" t="s">
        <v>2797</v>
      </c>
      <c r="G563">
        <v>9471</v>
      </c>
      <c r="H563">
        <v>14521</v>
      </c>
      <c r="I563" s="25" t="s">
        <v>2135</v>
      </c>
      <c r="J563" t="s">
        <v>2032</v>
      </c>
      <c r="M563" s="49"/>
    </row>
    <row r="564" spans="6:13" x14ac:dyDescent="0.25">
      <c r="F564" t="s">
        <v>2798</v>
      </c>
      <c r="G564">
        <v>78580</v>
      </c>
      <c r="H564">
        <v>8327</v>
      </c>
      <c r="I564" s="25" t="s">
        <v>2018</v>
      </c>
      <c r="J564" t="s">
        <v>2277</v>
      </c>
      <c r="M564" s="49"/>
    </row>
    <row r="565" spans="6:13" x14ac:dyDescent="0.25">
      <c r="F565" t="s">
        <v>2799</v>
      </c>
      <c r="G565">
        <v>23863</v>
      </c>
      <c r="H565">
        <v>1060</v>
      </c>
      <c r="I565" s="25" t="s">
        <v>2085</v>
      </c>
      <c r="J565" t="s">
        <v>2363</v>
      </c>
      <c r="M565" s="49"/>
    </row>
    <row r="566" spans="6:13" x14ac:dyDescent="0.25">
      <c r="F566" t="s">
        <v>2799</v>
      </c>
      <c r="G566">
        <v>23863</v>
      </c>
      <c r="H566">
        <v>1062</v>
      </c>
      <c r="I566" s="25" t="s">
        <v>2085</v>
      </c>
      <c r="J566" t="s">
        <v>2188</v>
      </c>
      <c r="M566" s="49"/>
    </row>
    <row r="567" spans="6:13" x14ac:dyDescent="0.25">
      <c r="F567" t="s">
        <v>2800</v>
      </c>
      <c r="G567">
        <v>24793</v>
      </c>
      <c r="H567">
        <v>1058</v>
      </c>
      <c r="I567" s="25" t="s">
        <v>2085</v>
      </c>
      <c r="J567" t="s">
        <v>2086</v>
      </c>
      <c r="M567" s="49"/>
    </row>
    <row r="568" spans="6:13" x14ac:dyDescent="0.25">
      <c r="F568" t="s">
        <v>2801</v>
      </c>
      <c r="G568">
        <v>22941</v>
      </c>
      <c r="H568">
        <v>1062</v>
      </c>
      <c r="I568" s="25" t="s">
        <v>2085</v>
      </c>
      <c r="J568" t="s">
        <v>2188</v>
      </c>
      <c r="M568" s="49"/>
    </row>
    <row r="569" spans="6:13" x14ac:dyDescent="0.25">
      <c r="F569" t="s">
        <v>2802</v>
      </c>
      <c r="G569">
        <v>23826</v>
      </c>
      <c r="H569">
        <v>1060</v>
      </c>
      <c r="I569" s="25" t="s">
        <v>2085</v>
      </c>
      <c r="J569" t="s">
        <v>2363</v>
      </c>
      <c r="M569" s="49"/>
    </row>
    <row r="570" spans="6:13" x14ac:dyDescent="0.25">
      <c r="F570" t="s">
        <v>2803</v>
      </c>
      <c r="G570">
        <v>24360</v>
      </c>
      <c r="H570">
        <v>1058</v>
      </c>
      <c r="I570" s="25" t="s">
        <v>2085</v>
      </c>
      <c r="J570" t="s">
        <v>2086</v>
      </c>
      <c r="M570" s="49"/>
    </row>
    <row r="571" spans="6:13" x14ac:dyDescent="0.25">
      <c r="F571" t="s">
        <v>2804</v>
      </c>
      <c r="G571">
        <v>39179</v>
      </c>
      <c r="H571">
        <v>15083</v>
      </c>
      <c r="I571" s="25" t="s">
        <v>2241</v>
      </c>
      <c r="J571" t="s">
        <v>2052</v>
      </c>
      <c r="M571" s="49"/>
    </row>
    <row r="572" spans="6:13" x14ac:dyDescent="0.25">
      <c r="F572" t="s">
        <v>2805</v>
      </c>
      <c r="G572">
        <v>25719</v>
      </c>
      <c r="H572">
        <v>1051</v>
      </c>
      <c r="I572" s="25" t="s">
        <v>2085</v>
      </c>
      <c r="J572" t="s">
        <v>2097</v>
      </c>
      <c r="M572" s="49"/>
    </row>
    <row r="573" spans="6:13" x14ac:dyDescent="0.25">
      <c r="F573" t="s">
        <v>2806</v>
      </c>
      <c r="G573">
        <v>25355</v>
      </c>
      <c r="H573">
        <v>1056</v>
      </c>
      <c r="I573" s="25" t="s">
        <v>2085</v>
      </c>
      <c r="J573" t="s">
        <v>2311</v>
      </c>
      <c r="M573" s="49"/>
    </row>
    <row r="574" spans="6:13" x14ac:dyDescent="0.25">
      <c r="F574" t="s">
        <v>2807</v>
      </c>
      <c r="G574">
        <v>95671</v>
      </c>
      <c r="H574">
        <v>9377</v>
      </c>
      <c r="I574" s="25" t="s">
        <v>2050</v>
      </c>
      <c r="J574" t="s">
        <v>2393</v>
      </c>
      <c r="M574" s="49"/>
    </row>
    <row r="575" spans="6:13" x14ac:dyDescent="0.25">
      <c r="F575" t="s">
        <v>2808</v>
      </c>
      <c r="G575">
        <v>23968</v>
      </c>
      <c r="H575">
        <v>13074</v>
      </c>
      <c r="I575" s="25" t="s">
        <v>2191</v>
      </c>
      <c r="J575" t="s">
        <v>2275</v>
      </c>
      <c r="M575" s="49"/>
    </row>
    <row r="576" spans="6:13" x14ac:dyDescent="0.25">
      <c r="F576" t="s">
        <v>2809</v>
      </c>
      <c r="G576">
        <v>49406</v>
      </c>
      <c r="H576">
        <v>3251</v>
      </c>
      <c r="I576" s="25" t="s">
        <v>2074</v>
      </c>
      <c r="J576" t="s">
        <v>2094</v>
      </c>
      <c r="M576" s="49"/>
    </row>
    <row r="577" spans="6:13" x14ac:dyDescent="0.25">
      <c r="F577" t="s">
        <v>2810</v>
      </c>
      <c r="G577">
        <v>32683</v>
      </c>
      <c r="H577">
        <v>5766</v>
      </c>
      <c r="I577" s="25" t="s">
        <v>2023</v>
      </c>
      <c r="J577" t="s">
        <v>2223</v>
      </c>
      <c r="M577" s="49"/>
    </row>
    <row r="578" spans="6:13" x14ac:dyDescent="0.25">
      <c r="F578" t="s">
        <v>2811</v>
      </c>
      <c r="G578">
        <v>22885</v>
      </c>
      <c r="H578">
        <v>1062</v>
      </c>
      <c r="I578" s="25" t="s">
        <v>2085</v>
      </c>
      <c r="J578" t="s">
        <v>2188</v>
      </c>
      <c r="M578" s="49"/>
    </row>
    <row r="579" spans="6:13" x14ac:dyDescent="0.25">
      <c r="F579" t="s">
        <v>2812</v>
      </c>
      <c r="G579">
        <v>30890</v>
      </c>
      <c r="H579">
        <v>3241</v>
      </c>
      <c r="I579" s="25" t="s">
        <v>2074</v>
      </c>
      <c r="J579" t="s">
        <v>2321</v>
      </c>
      <c r="M579" s="49"/>
    </row>
    <row r="580" spans="6:13" x14ac:dyDescent="0.25">
      <c r="F580" t="s">
        <v>2813</v>
      </c>
      <c r="G580">
        <v>26676</v>
      </c>
      <c r="H580">
        <v>3453</v>
      </c>
      <c r="I580" s="25" t="s">
        <v>2074</v>
      </c>
      <c r="J580" t="s">
        <v>2069</v>
      </c>
      <c r="M580" s="49"/>
    </row>
    <row r="581" spans="6:13" x14ac:dyDescent="0.25">
      <c r="F581" t="s">
        <v>2814</v>
      </c>
      <c r="G581">
        <v>18356</v>
      </c>
      <c r="H581">
        <v>13073</v>
      </c>
      <c r="I581" s="25" t="s">
        <v>2191</v>
      </c>
      <c r="J581" t="s">
        <v>2192</v>
      </c>
      <c r="M581" s="49"/>
    </row>
    <row r="582" spans="6:13" x14ac:dyDescent="0.25">
      <c r="F582" t="s">
        <v>2814</v>
      </c>
      <c r="G582">
        <v>18356</v>
      </c>
      <c r="H582">
        <v>13073</v>
      </c>
      <c r="I582" s="25" t="s">
        <v>2191</v>
      </c>
      <c r="J582" t="s">
        <v>2192</v>
      </c>
      <c r="M582" s="49"/>
    </row>
    <row r="583" spans="6:13" x14ac:dyDescent="0.25">
      <c r="F583" t="s">
        <v>2815</v>
      </c>
      <c r="G583">
        <v>73566</v>
      </c>
      <c r="H583">
        <v>8135</v>
      </c>
      <c r="I583" s="25" t="s">
        <v>2018</v>
      </c>
      <c r="J583" t="s">
        <v>2816</v>
      </c>
      <c r="M583" s="49"/>
    </row>
    <row r="584" spans="6:13" x14ac:dyDescent="0.25">
      <c r="F584" t="s">
        <v>2815</v>
      </c>
      <c r="G584">
        <v>73566</v>
      </c>
      <c r="H584">
        <v>8136</v>
      </c>
      <c r="I584" s="25" t="s">
        <v>2018</v>
      </c>
      <c r="J584" t="s">
        <v>2039</v>
      </c>
      <c r="M584" s="49"/>
    </row>
    <row r="585" spans="6:13" x14ac:dyDescent="0.25">
      <c r="F585" t="s">
        <v>2817</v>
      </c>
      <c r="G585">
        <v>29576</v>
      </c>
      <c r="H585">
        <v>3360</v>
      </c>
      <c r="I585" s="25" t="s">
        <v>2074</v>
      </c>
      <c r="J585" t="s">
        <v>2400</v>
      </c>
      <c r="M585" s="49"/>
    </row>
    <row r="586" spans="6:13" x14ac:dyDescent="0.25">
      <c r="F586" t="s">
        <v>2818</v>
      </c>
      <c r="G586">
        <v>15837</v>
      </c>
      <c r="H586">
        <v>12072</v>
      </c>
      <c r="I586" s="25" t="s">
        <v>2356</v>
      </c>
      <c r="J586" t="s">
        <v>2456</v>
      </c>
      <c r="M586" s="49"/>
    </row>
    <row r="587" spans="6:13" x14ac:dyDescent="0.25">
      <c r="F587" t="s">
        <v>2819</v>
      </c>
      <c r="G587">
        <v>49453</v>
      </c>
      <c r="H587">
        <v>3251</v>
      </c>
      <c r="I587" s="25" t="s">
        <v>2074</v>
      </c>
      <c r="J587" t="s">
        <v>2094</v>
      </c>
      <c r="M587" s="49"/>
    </row>
    <row r="588" spans="6:13" x14ac:dyDescent="0.25">
      <c r="F588" t="s">
        <v>2820</v>
      </c>
      <c r="G588">
        <v>38476</v>
      </c>
      <c r="H588">
        <v>3151</v>
      </c>
      <c r="I588" s="25" t="s">
        <v>2074</v>
      </c>
      <c r="J588" t="s">
        <v>2126</v>
      </c>
      <c r="M588" s="49"/>
    </row>
    <row r="589" spans="6:13" x14ac:dyDescent="0.25">
      <c r="F589" t="s">
        <v>2821</v>
      </c>
      <c r="G589">
        <v>53534</v>
      </c>
      <c r="H589">
        <v>7131</v>
      </c>
      <c r="I589" s="25" t="s">
        <v>2123</v>
      </c>
      <c r="J589" t="s">
        <v>2022</v>
      </c>
      <c r="M589" s="49"/>
    </row>
    <row r="590" spans="6:13" x14ac:dyDescent="0.25">
      <c r="F590" t="s">
        <v>2822</v>
      </c>
      <c r="G590">
        <v>27211</v>
      </c>
      <c r="H590">
        <v>3251</v>
      </c>
      <c r="I590" s="25" t="s">
        <v>2074</v>
      </c>
      <c r="J590" t="s">
        <v>2094</v>
      </c>
      <c r="M590" s="49"/>
    </row>
    <row r="591" spans="6:13" x14ac:dyDescent="0.25">
      <c r="F591" t="s">
        <v>2823</v>
      </c>
      <c r="G591">
        <v>97654</v>
      </c>
      <c r="H591">
        <v>9673</v>
      </c>
      <c r="I591" s="25" t="s">
        <v>2050</v>
      </c>
      <c r="J591" t="s">
        <v>2676</v>
      </c>
      <c r="M591" s="49"/>
    </row>
    <row r="592" spans="6:13" x14ac:dyDescent="0.25">
      <c r="F592" t="s">
        <v>2824</v>
      </c>
      <c r="G592">
        <v>35088</v>
      </c>
      <c r="H592">
        <v>6635</v>
      </c>
      <c r="I592" s="25" t="s">
        <v>2046</v>
      </c>
      <c r="J592" t="s">
        <v>2308</v>
      </c>
      <c r="M592" s="49"/>
    </row>
    <row r="593" spans="6:13" x14ac:dyDescent="0.25">
      <c r="F593" t="s">
        <v>2825</v>
      </c>
      <c r="G593">
        <v>66484</v>
      </c>
      <c r="H593">
        <v>7340</v>
      </c>
      <c r="I593" s="25" t="s">
        <v>2123</v>
      </c>
      <c r="J593" t="s">
        <v>2826</v>
      </c>
      <c r="M593" s="49"/>
    </row>
    <row r="594" spans="6:13" x14ac:dyDescent="0.25">
      <c r="F594" t="s">
        <v>2825</v>
      </c>
      <c r="G594">
        <v>66484</v>
      </c>
      <c r="H594">
        <v>7340</v>
      </c>
      <c r="I594" s="25" t="s">
        <v>2123</v>
      </c>
      <c r="J594" t="s">
        <v>2826</v>
      </c>
      <c r="M594" s="49"/>
    </row>
    <row r="595" spans="6:13" x14ac:dyDescent="0.25">
      <c r="F595" t="s">
        <v>2827</v>
      </c>
      <c r="G595">
        <v>91460</v>
      </c>
      <c r="H595">
        <v>9575</v>
      </c>
      <c r="I595" s="25" t="s">
        <v>2050</v>
      </c>
      <c r="J595" t="s">
        <v>2749</v>
      </c>
      <c r="M595" s="49"/>
    </row>
    <row r="596" spans="6:13" x14ac:dyDescent="0.25">
      <c r="F596" t="s">
        <v>2828</v>
      </c>
      <c r="G596">
        <v>55774</v>
      </c>
      <c r="H596">
        <v>7134</v>
      </c>
      <c r="I596" s="25" t="s">
        <v>2123</v>
      </c>
      <c r="J596" t="s">
        <v>2048</v>
      </c>
      <c r="M596" s="49"/>
    </row>
    <row r="597" spans="6:13" x14ac:dyDescent="0.25">
      <c r="F597" t="s">
        <v>2829</v>
      </c>
      <c r="G597">
        <v>96148</v>
      </c>
      <c r="H597">
        <v>9471</v>
      </c>
      <c r="I597" s="25" t="s">
        <v>2050</v>
      </c>
      <c r="J597" t="s">
        <v>2392</v>
      </c>
      <c r="M597" s="49"/>
    </row>
    <row r="598" spans="6:13" x14ac:dyDescent="0.25">
      <c r="F598" t="s">
        <v>2830</v>
      </c>
      <c r="G598">
        <v>34225</v>
      </c>
      <c r="H598">
        <v>6633</v>
      </c>
      <c r="I598" s="25" t="s">
        <v>2046</v>
      </c>
      <c r="J598" t="s">
        <v>2162</v>
      </c>
      <c r="M598" s="49"/>
    </row>
    <row r="599" spans="6:13" x14ac:dyDescent="0.25">
      <c r="F599" t="s">
        <v>2831</v>
      </c>
      <c r="G599">
        <v>54538</v>
      </c>
      <c r="H599">
        <v>7231</v>
      </c>
      <c r="I599" s="25" t="s">
        <v>2123</v>
      </c>
      <c r="J599" t="s">
        <v>2043</v>
      </c>
      <c r="M599" s="49"/>
    </row>
    <row r="600" spans="6:13" x14ac:dyDescent="0.25">
      <c r="F600" t="s">
        <v>2041</v>
      </c>
      <c r="G600">
        <v>2625</v>
      </c>
      <c r="H600">
        <v>14625</v>
      </c>
      <c r="I600" s="25" t="s">
        <v>2135</v>
      </c>
      <c r="J600" t="s">
        <v>2041</v>
      </c>
      <c r="M600" s="49"/>
    </row>
    <row r="601" spans="6:13" x14ac:dyDescent="0.25">
      <c r="F601" t="s">
        <v>2832</v>
      </c>
      <c r="G601">
        <v>49844</v>
      </c>
      <c r="H601">
        <v>3454</v>
      </c>
      <c r="I601" s="25" t="s">
        <v>2074</v>
      </c>
      <c r="J601" t="s">
        <v>2118</v>
      </c>
      <c r="M601" s="49"/>
    </row>
    <row r="602" spans="6:13" x14ac:dyDescent="0.25">
      <c r="F602" t="s">
        <v>2833</v>
      </c>
      <c r="G602">
        <v>94137</v>
      </c>
      <c r="H602">
        <v>9277</v>
      </c>
      <c r="I602" s="25" t="s">
        <v>2050</v>
      </c>
      <c r="J602" t="s">
        <v>2529</v>
      </c>
      <c r="M602" s="49"/>
    </row>
    <row r="603" spans="6:13" x14ac:dyDescent="0.25">
      <c r="F603" t="s">
        <v>2834</v>
      </c>
      <c r="G603">
        <v>84092</v>
      </c>
      <c r="H603">
        <v>9274</v>
      </c>
      <c r="I603" s="25" t="s">
        <v>2050</v>
      </c>
      <c r="J603" t="s">
        <v>2132</v>
      </c>
      <c r="M603" s="49"/>
    </row>
    <row r="604" spans="6:13" x14ac:dyDescent="0.25">
      <c r="F604" t="s">
        <v>2835</v>
      </c>
      <c r="G604">
        <v>94252</v>
      </c>
      <c r="H604">
        <v>9276</v>
      </c>
      <c r="I604" s="25" t="s">
        <v>2050</v>
      </c>
      <c r="J604" t="s">
        <v>2078</v>
      </c>
      <c r="M604" s="49"/>
    </row>
    <row r="605" spans="6:13" x14ac:dyDescent="0.25">
      <c r="F605" t="s">
        <v>2836</v>
      </c>
      <c r="G605">
        <v>83457</v>
      </c>
      <c r="H605">
        <v>9172</v>
      </c>
      <c r="I605" s="25" t="s">
        <v>2050</v>
      </c>
      <c r="J605" t="s">
        <v>2042</v>
      </c>
      <c r="M605" s="49"/>
    </row>
    <row r="606" spans="6:13" x14ac:dyDescent="0.25">
      <c r="F606" t="s">
        <v>2837</v>
      </c>
      <c r="G606">
        <v>82435</v>
      </c>
      <c r="H606">
        <v>9180</v>
      </c>
      <c r="I606" s="25" t="s">
        <v>2050</v>
      </c>
      <c r="J606" t="s">
        <v>2147</v>
      </c>
      <c r="M606" s="49"/>
    </row>
    <row r="607" spans="6:13" x14ac:dyDescent="0.25">
      <c r="F607" t="s">
        <v>2180</v>
      </c>
      <c r="G607">
        <v>95448</v>
      </c>
      <c r="H607">
        <v>9462</v>
      </c>
      <c r="I607" s="25" t="s">
        <v>2050</v>
      </c>
      <c r="J607" t="s">
        <v>2838</v>
      </c>
      <c r="M607" s="49"/>
    </row>
    <row r="608" spans="6:13" x14ac:dyDescent="0.25">
      <c r="F608" t="s">
        <v>2180</v>
      </c>
      <c r="G608">
        <v>95445</v>
      </c>
      <c r="H608">
        <v>9462</v>
      </c>
      <c r="I608" s="25" t="s">
        <v>2050</v>
      </c>
      <c r="J608" t="s">
        <v>2838</v>
      </c>
      <c r="M608" s="49"/>
    </row>
    <row r="609" spans="6:13" x14ac:dyDescent="0.25">
      <c r="F609" t="s">
        <v>2180</v>
      </c>
      <c r="G609">
        <v>95447</v>
      </c>
      <c r="H609">
        <v>9462</v>
      </c>
      <c r="I609" s="25" t="s">
        <v>2050</v>
      </c>
      <c r="J609" t="s">
        <v>2838</v>
      </c>
      <c r="M609" s="49"/>
    </row>
    <row r="610" spans="6:13" x14ac:dyDescent="0.25">
      <c r="F610" t="s">
        <v>2180</v>
      </c>
      <c r="G610">
        <v>95444</v>
      </c>
      <c r="H610">
        <v>9462</v>
      </c>
      <c r="I610" s="25" t="s">
        <v>2050</v>
      </c>
      <c r="J610" t="s">
        <v>2838</v>
      </c>
      <c r="M610" s="49"/>
    </row>
    <row r="611" spans="6:13" x14ac:dyDescent="0.25">
      <c r="F611" t="s">
        <v>2839</v>
      </c>
      <c r="G611">
        <v>83735</v>
      </c>
      <c r="H611">
        <v>9182</v>
      </c>
      <c r="I611" s="25" t="s">
        <v>2050</v>
      </c>
      <c r="J611" t="s">
        <v>2254</v>
      </c>
      <c r="M611" s="49"/>
    </row>
    <row r="612" spans="6:13" x14ac:dyDescent="0.25">
      <c r="F612" t="s">
        <v>2840</v>
      </c>
      <c r="G612">
        <v>36179</v>
      </c>
      <c r="H612">
        <v>6632</v>
      </c>
      <c r="I612" s="25" t="s">
        <v>2046</v>
      </c>
      <c r="J612" t="s">
        <v>2303</v>
      </c>
      <c r="M612" s="49"/>
    </row>
    <row r="613" spans="6:13" x14ac:dyDescent="0.25">
      <c r="F613" t="s">
        <v>2841</v>
      </c>
      <c r="G613">
        <v>67827</v>
      </c>
      <c r="H613">
        <v>7133</v>
      </c>
      <c r="I613" s="25" t="s">
        <v>2123</v>
      </c>
      <c r="J613" t="s">
        <v>2037</v>
      </c>
      <c r="M613" s="49"/>
    </row>
    <row r="614" spans="6:13" x14ac:dyDescent="0.25">
      <c r="F614" t="s">
        <v>2842</v>
      </c>
      <c r="G614">
        <v>66894</v>
      </c>
      <c r="H614">
        <v>7335</v>
      </c>
      <c r="I614" s="25" t="s">
        <v>2123</v>
      </c>
      <c r="J614" t="s">
        <v>2843</v>
      </c>
      <c r="M614" s="49"/>
    </row>
    <row r="615" spans="6:13" x14ac:dyDescent="0.25">
      <c r="F615" t="s">
        <v>2842</v>
      </c>
      <c r="G615">
        <v>66894</v>
      </c>
      <c r="H615">
        <v>7340</v>
      </c>
      <c r="I615" s="25" t="s">
        <v>2123</v>
      </c>
      <c r="J615" t="s">
        <v>2826</v>
      </c>
      <c r="M615" s="49"/>
    </row>
    <row r="616" spans="6:13" x14ac:dyDescent="0.25">
      <c r="F616" t="s">
        <v>2842</v>
      </c>
      <c r="G616">
        <v>91572</v>
      </c>
      <c r="H616">
        <v>9571</v>
      </c>
      <c r="I616" s="25" t="s">
        <v>2050</v>
      </c>
      <c r="J616" t="s">
        <v>2113</v>
      </c>
      <c r="M616" s="49"/>
    </row>
    <row r="617" spans="6:13" x14ac:dyDescent="0.25">
      <c r="F617" t="s">
        <v>2844</v>
      </c>
      <c r="G617">
        <v>67595</v>
      </c>
      <c r="H617">
        <v>7331</v>
      </c>
      <c r="I617" s="25" t="s">
        <v>2123</v>
      </c>
      <c r="J617" t="s">
        <v>2029</v>
      </c>
      <c r="M617" s="49"/>
    </row>
    <row r="618" spans="6:13" x14ac:dyDescent="0.25">
      <c r="F618" t="s">
        <v>2845</v>
      </c>
      <c r="G618">
        <v>92699</v>
      </c>
      <c r="H618">
        <v>9374</v>
      </c>
      <c r="I618" s="25" t="s">
        <v>2050</v>
      </c>
      <c r="J618" t="s">
        <v>2420</v>
      </c>
      <c r="M618" s="49"/>
    </row>
    <row r="619" spans="6:13" x14ac:dyDescent="0.25">
      <c r="F619" t="s">
        <v>2846</v>
      </c>
      <c r="G619">
        <v>21643</v>
      </c>
      <c r="H619">
        <v>3359</v>
      </c>
      <c r="I619" s="25" t="s">
        <v>2074</v>
      </c>
      <c r="J619" t="s">
        <v>2158</v>
      </c>
      <c r="M619" s="49"/>
    </row>
    <row r="620" spans="6:13" x14ac:dyDescent="0.25">
      <c r="F620" t="s">
        <v>2847</v>
      </c>
      <c r="G620">
        <v>31699</v>
      </c>
      <c r="H620">
        <v>3257</v>
      </c>
      <c r="I620" s="25" t="s">
        <v>2074</v>
      </c>
      <c r="J620" t="s">
        <v>2167</v>
      </c>
      <c r="M620" s="49"/>
    </row>
    <row r="621" spans="6:13" x14ac:dyDescent="0.25">
      <c r="F621" t="s">
        <v>2848</v>
      </c>
      <c r="G621">
        <v>66701</v>
      </c>
      <c r="H621">
        <v>10042</v>
      </c>
      <c r="I621" s="25" t="s">
        <v>2849</v>
      </c>
      <c r="J621" t="s">
        <v>2850</v>
      </c>
      <c r="M621" s="49"/>
    </row>
    <row r="622" spans="6:13" x14ac:dyDescent="0.25">
      <c r="F622" t="s">
        <v>2851</v>
      </c>
      <c r="G622">
        <v>59269</v>
      </c>
      <c r="H622">
        <v>5570</v>
      </c>
      <c r="I622" s="25" t="s">
        <v>2023</v>
      </c>
      <c r="J622" t="s">
        <v>2154</v>
      </c>
      <c r="M622" s="49"/>
    </row>
    <row r="623" spans="6:13" x14ac:dyDescent="0.25">
      <c r="F623" t="s">
        <v>2852</v>
      </c>
      <c r="G623">
        <v>50181</v>
      </c>
      <c r="H623">
        <v>5362</v>
      </c>
      <c r="I623" s="25" t="s">
        <v>2023</v>
      </c>
      <c r="J623" t="s">
        <v>2326</v>
      </c>
      <c r="M623" s="49"/>
    </row>
    <row r="624" spans="6:13" x14ac:dyDescent="0.25">
      <c r="F624" t="s">
        <v>2853</v>
      </c>
      <c r="G624">
        <v>47551</v>
      </c>
      <c r="H624">
        <v>5154</v>
      </c>
      <c r="I624" s="25" t="s">
        <v>2023</v>
      </c>
      <c r="J624" t="s">
        <v>2214</v>
      </c>
      <c r="M624" s="49"/>
    </row>
    <row r="625" spans="6:13" x14ac:dyDescent="0.25">
      <c r="F625" t="s">
        <v>2854</v>
      </c>
      <c r="G625">
        <v>29355</v>
      </c>
      <c r="H625">
        <v>3351</v>
      </c>
      <c r="I625" s="25" t="s">
        <v>2074</v>
      </c>
      <c r="J625" t="s">
        <v>2096</v>
      </c>
      <c r="M625" s="49"/>
    </row>
    <row r="626" spans="6:13" x14ac:dyDescent="0.25">
      <c r="F626" t="s">
        <v>2855</v>
      </c>
      <c r="G626">
        <v>48361</v>
      </c>
      <c r="H626">
        <v>5570</v>
      </c>
      <c r="I626" s="25" t="s">
        <v>2023</v>
      </c>
      <c r="J626" t="s">
        <v>2154</v>
      </c>
      <c r="M626" s="49"/>
    </row>
    <row r="627" spans="6:13" x14ac:dyDescent="0.25">
      <c r="F627" t="s">
        <v>2856</v>
      </c>
      <c r="G627">
        <v>14547</v>
      </c>
      <c r="H627">
        <v>12069</v>
      </c>
      <c r="I627" s="25" t="s">
        <v>2356</v>
      </c>
      <c r="J627" t="s">
        <v>2857</v>
      </c>
      <c r="M627" s="49"/>
    </row>
    <row r="628" spans="6:13" x14ac:dyDescent="0.25">
      <c r="F628" t="s">
        <v>2858</v>
      </c>
      <c r="G628">
        <v>15848</v>
      </c>
      <c r="H628">
        <v>12067</v>
      </c>
      <c r="I628" s="25" t="s">
        <v>2356</v>
      </c>
      <c r="J628" t="s">
        <v>2711</v>
      </c>
      <c r="M628" s="49"/>
    </row>
    <row r="629" spans="6:13" x14ac:dyDescent="0.25">
      <c r="F629" t="s">
        <v>2859</v>
      </c>
      <c r="G629">
        <v>38489</v>
      </c>
      <c r="H629">
        <v>15081</v>
      </c>
      <c r="I629" s="25" t="s">
        <v>2241</v>
      </c>
      <c r="J629" t="s">
        <v>2028</v>
      </c>
      <c r="M629" s="49"/>
    </row>
    <row r="630" spans="6:13" x14ac:dyDescent="0.25">
      <c r="F630" t="s">
        <v>2860</v>
      </c>
      <c r="G630">
        <v>14778</v>
      </c>
      <c r="H630">
        <v>12069</v>
      </c>
      <c r="I630" s="25" t="s">
        <v>2356</v>
      </c>
      <c r="J630" t="s">
        <v>2857</v>
      </c>
      <c r="M630" s="49"/>
    </row>
    <row r="631" spans="6:13" x14ac:dyDescent="0.25">
      <c r="F631" t="s">
        <v>2860</v>
      </c>
      <c r="G631">
        <v>14778</v>
      </c>
      <c r="H631">
        <v>12069</v>
      </c>
      <c r="I631" s="25" t="s">
        <v>2356</v>
      </c>
      <c r="J631" t="s">
        <v>2857</v>
      </c>
      <c r="M631" s="49"/>
    </row>
    <row r="632" spans="6:13" x14ac:dyDescent="0.25">
      <c r="F632" t="s">
        <v>2861</v>
      </c>
      <c r="G632">
        <v>25850</v>
      </c>
      <c r="H632">
        <v>1054</v>
      </c>
      <c r="I632" s="25" t="s">
        <v>2085</v>
      </c>
      <c r="J632" t="s">
        <v>2195</v>
      </c>
      <c r="M632" s="49"/>
    </row>
    <row r="633" spans="6:13" x14ac:dyDescent="0.25">
      <c r="F633" t="s">
        <v>2862</v>
      </c>
      <c r="G633">
        <v>25573</v>
      </c>
      <c r="H633">
        <v>1061</v>
      </c>
      <c r="I633" s="25" t="s">
        <v>2085</v>
      </c>
      <c r="J633" t="s">
        <v>2377</v>
      </c>
      <c r="M633" s="49"/>
    </row>
    <row r="634" spans="6:13" x14ac:dyDescent="0.25">
      <c r="F634" t="s">
        <v>2863</v>
      </c>
      <c r="G634">
        <v>2736</v>
      </c>
      <c r="H634">
        <v>14626</v>
      </c>
      <c r="I634" s="25" t="s">
        <v>2135</v>
      </c>
      <c r="J634" t="s">
        <v>2150</v>
      </c>
      <c r="M634" s="49"/>
    </row>
    <row r="635" spans="6:13" x14ac:dyDescent="0.25">
      <c r="F635" t="s">
        <v>2864</v>
      </c>
      <c r="G635">
        <v>38382</v>
      </c>
      <c r="H635">
        <v>3154</v>
      </c>
      <c r="I635" s="25" t="s">
        <v>2074</v>
      </c>
      <c r="J635" t="s">
        <v>2186</v>
      </c>
      <c r="M635" s="49"/>
    </row>
    <row r="636" spans="6:13" x14ac:dyDescent="0.25">
      <c r="F636" t="s">
        <v>2865</v>
      </c>
      <c r="G636">
        <v>92339</v>
      </c>
      <c r="H636">
        <v>9176</v>
      </c>
      <c r="I636" s="25" t="s">
        <v>2050</v>
      </c>
      <c r="J636" t="s">
        <v>2102</v>
      </c>
      <c r="M636" s="49"/>
    </row>
    <row r="637" spans="6:13" x14ac:dyDescent="0.25">
      <c r="F637" t="s">
        <v>2866</v>
      </c>
      <c r="G637">
        <v>71717</v>
      </c>
      <c r="H637">
        <v>8125</v>
      </c>
      <c r="I637" s="25" t="s">
        <v>2018</v>
      </c>
      <c r="J637" t="s">
        <v>2060</v>
      </c>
      <c r="M637" s="49"/>
    </row>
    <row r="638" spans="6:13" x14ac:dyDescent="0.25">
      <c r="F638" t="s">
        <v>2867</v>
      </c>
      <c r="G638">
        <v>89179</v>
      </c>
      <c r="H638">
        <v>8425</v>
      </c>
      <c r="I638" s="25" t="s">
        <v>2018</v>
      </c>
      <c r="J638" t="s">
        <v>2027</v>
      </c>
      <c r="M638" s="49"/>
    </row>
    <row r="639" spans="6:13" x14ac:dyDescent="0.25">
      <c r="F639" t="s">
        <v>2868</v>
      </c>
      <c r="G639">
        <v>67259</v>
      </c>
      <c r="H639">
        <v>7338</v>
      </c>
      <c r="I639" s="25" t="s">
        <v>2123</v>
      </c>
      <c r="J639" t="s">
        <v>2448</v>
      </c>
      <c r="M639" s="49"/>
    </row>
    <row r="640" spans="6:13" x14ac:dyDescent="0.25">
      <c r="F640" t="s">
        <v>2869</v>
      </c>
      <c r="G640">
        <v>4874</v>
      </c>
      <c r="H640">
        <v>14730</v>
      </c>
      <c r="I640" s="25" t="s">
        <v>2135</v>
      </c>
      <c r="J640" t="s">
        <v>2083</v>
      </c>
      <c r="M640" s="49"/>
    </row>
    <row r="641" spans="6:13" x14ac:dyDescent="0.25">
      <c r="F641" t="s">
        <v>2869</v>
      </c>
      <c r="G641">
        <v>4889</v>
      </c>
      <c r="H641">
        <v>14730</v>
      </c>
      <c r="I641" s="25" t="s">
        <v>2135</v>
      </c>
      <c r="J641" t="s">
        <v>2083</v>
      </c>
      <c r="M641" s="49"/>
    </row>
    <row r="642" spans="6:13" x14ac:dyDescent="0.25">
      <c r="F642" t="s">
        <v>2870</v>
      </c>
      <c r="G642">
        <v>56745</v>
      </c>
      <c r="H642">
        <v>7131</v>
      </c>
      <c r="I642" s="25" t="s">
        <v>2123</v>
      </c>
      <c r="J642" t="s">
        <v>2022</v>
      </c>
      <c r="M642" s="49"/>
    </row>
    <row r="643" spans="6:13" x14ac:dyDescent="0.25">
      <c r="F643" t="s">
        <v>2870</v>
      </c>
      <c r="G643">
        <v>56745</v>
      </c>
      <c r="H643">
        <v>7137</v>
      </c>
      <c r="I643" s="25" t="s">
        <v>2123</v>
      </c>
      <c r="J643" t="s">
        <v>2246</v>
      </c>
      <c r="M643" s="49"/>
    </row>
    <row r="644" spans="6:13" x14ac:dyDescent="0.25">
      <c r="F644" t="s">
        <v>2871</v>
      </c>
      <c r="G644">
        <v>89287</v>
      </c>
      <c r="H644">
        <v>9775</v>
      </c>
      <c r="I644" s="25" t="s">
        <v>2050</v>
      </c>
      <c r="J644" t="s">
        <v>2418</v>
      </c>
      <c r="M644" s="49"/>
    </row>
    <row r="645" spans="6:13" x14ac:dyDescent="0.25">
      <c r="F645" t="s">
        <v>2872</v>
      </c>
      <c r="G645">
        <v>76756</v>
      </c>
      <c r="H645">
        <v>7334</v>
      </c>
      <c r="I645" s="25" t="s">
        <v>2123</v>
      </c>
      <c r="J645" t="s">
        <v>2873</v>
      </c>
      <c r="M645" s="49"/>
    </row>
    <row r="646" spans="6:13" x14ac:dyDescent="0.25">
      <c r="F646" t="s">
        <v>2874</v>
      </c>
      <c r="G646">
        <v>56459</v>
      </c>
      <c r="H646">
        <v>7143</v>
      </c>
      <c r="I646" s="25" t="s">
        <v>2123</v>
      </c>
      <c r="J646" t="s">
        <v>2331</v>
      </c>
      <c r="M646" s="49"/>
    </row>
    <row r="647" spans="6:13" x14ac:dyDescent="0.25">
      <c r="F647" t="s">
        <v>2875</v>
      </c>
      <c r="G647">
        <v>49191</v>
      </c>
      <c r="H647">
        <v>3459</v>
      </c>
      <c r="I647" s="25" t="s">
        <v>2074</v>
      </c>
      <c r="J647" t="s">
        <v>2292</v>
      </c>
      <c r="M647" s="49"/>
    </row>
    <row r="648" spans="6:13" x14ac:dyDescent="0.25">
      <c r="F648" t="s">
        <v>2876</v>
      </c>
      <c r="G648">
        <v>56290</v>
      </c>
      <c r="H648">
        <v>7135</v>
      </c>
      <c r="I648" s="25" t="s">
        <v>2123</v>
      </c>
      <c r="J648" t="s">
        <v>2072</v>
      </c>
      <c r="M648" s="49"/>
    </row>
    <row r="649" spans="6:13" x14ac:dyDescent="0.25">
      <c r="F649" t="s">
        <v>2876</v>
      </c>
      <c r="G649">
        <v>56290</v>
      </c>
      <c r="H649">
        <v>7137</v>
      </c>
      <c r="I649" s="25" t="s">
        <v>2123</v>
      </c>
      <c r="J649" t="s">
        <v>2246</v>
      </c>
      <c r="M649" s="49"/>
    </row>
    <row r="650" spans="6:13" x14ac:dyDescent="0.25">
      <c r="F650" t="s">
        <v>2876</v>
      </c>
      <c r="G650">
        <v>56290</v>
      </c>
      <c r="H650">
        <v>7140</v>
      </c>
      <c r="I650" s="25" t="s">
        <v>2123</v>
      </c>
      <c r="J650" t="s">
        <v>2329</v>
      </c>
      <c r="M650" s="49"/>
    </row>
    <row r="651" spans="6:13" x14ac:dyDescent="0.25">
      <c r="F651" t="s">
        <v>2877</v>
      </c>
      <c r="G651">
        <v>14806</v>
      </c>
      <c r="H651">
        <v>12069</v>
      </c>
      <c r="I651" s="25" t="s">
        <v>2356</v>
      </c>
      <c r="J651" t="s">
        <v>2857</v>
      </c>
      <c r="M651" s="49"/>
    </row>
    <row r="652" spans="6:13" x14ac:dyDescent="0.25">
      <c r="F652" t="s">
        <v>2878</v>
      </c>
      <c r="G652">
        <v>72658</v>
      </c>
      <c r="H652">
        <v>8116</v>
      </c>
      <c r="I652" s="25" t="s">
        <v>2018</v>
      </c>
      <c r="J652" t="s">
        <v>2213</v>
      </c>
      <c r="M652" s="49"/>
    </row>
    <row r="653" spans="6:13" x14ac:dyDescent="0.25">
      <c r="F653" t="s">
        <v>2879</v>
      </c>
      <c r="G653">
        <v>21227</v>
      </c>
      <c r="H653">
        <v>3353</v>
      </c>
      <c r="I653" s="25" t="s">
        <v>2074</v>
      </c>
      <c r="J653" t="s">
        <v>2176</v>
      </c>
      <c r="M653" s="49"/>
    </row>
    <row r="654" spans="6:13" x14ac:dyDescent="0.25">
      <c r="F654" t="s">
        <v>2880</v>
      </c>
      <c r="G654">
        <v>56170</v>
      </c>
      <c r="H654">
        <v>7137</v>
      </c>
      <c r="I654" s="25" t="s">
        <v>2123</v>
      </c>
      <c r="J654" t="s">
        <v>2246</v>
      </c>
      <c r="M654" s="49"/>
    </row>
    <row r="655" spans="6:13" x14ac:dyDescent="0.25">
      <c r="F655" t="s">
        <v>2881</v>
      </c>
      <c r="G655">
        <v>83671</v>
      </c>
      <c r="H655">
        <v>9173</v>
      </c>
      <c r="I655" s="25" t="s">
        <v>2050</v>
      </c>
      <c r="J655" t="s">
        <v>2659</v>
      </c>
      <c r="M655" s="49"/>
    </row>
    <row r="656" spans="6:13" x14ac:dyDescent="0.25">
      <c r="F656" t="s">
        <v>2882</v>
      </c>
      <c r="G656">
        <v>4828</v>
      </c>
      <c r="H656">
        <v>14729</v>
      </c>
      <c r="I656" s="25" t="s">
        <v>2135</v>
      </c>
      <c r="J656" t="s">
        <v>2684</v>
      </c>
      <c r="M656" s="49"/>
    </row>
    <row r="657" spans="6:13" x14ac:dyDescent="0.25">
      <c r="F657" t="s">
        <v>2883</v>
      </c>
      <c r="G657">
        <v>87734</v>
      </c>
      <c r="H657">
        <v>9778</v>
      </c>
      <c r="I657" s="25" t="s">
        <v>2050</v>
      </c>
      <c r="J657" t="s">
        <v>2460</v>
      </c>
      <c r="M657" s="49"/>
    </row>
    <row r="658" spans="6:13" x14ac:dyDescent="0.25">
      <c r="F658" t="s">
        <v>2884</v>
      </c>
      <c r="G658">
        <v>71726</v>
      </c>
      <c r="H658">
        <v>8118</v>
      </c>
      <c r="I658" s="25" t="s">
        <v>2018</v>
      </c>
      <c r="J658" t="s">
        <v>2142</v>
      </c>
      <c r="M658" s="49"/>
    </row>
    <row r="659" spans="6:13" x14ac:dyDescent="0.25">
      <c r="F659" t="s">
        <v>2885</v>
      </c>
      <c r="G659">
        <v>98554</v>
      </c>
      <c r="H659">
        <v>16066</v>
      </c>
      <c r="I659" s="25" t="s">
        <v>2384</v>
      </c>
      <c r="J659" t="s">
        <v>2358</v>
      </c>
      <c r="M659" s="49"/>
    </row>
    <row r="660" spans="6:13" x14ac:dyDescent="0.25">
      <c r="F660" t="s">
        <v>2886</v>
      </c>
      <c r="G660">
        <v>64625</v>
      </c>
      <c r="H660">
        <v>6431</v>
      </c>
      <c r="I660" s="25" t="s">
        <v>2046</v>
      </c>
      <c r="J660" t="s">
        <v>2065</v>
      </c>
      <c r="M660" s="49"/>
    </row>
    <row r="661" spans="6:13" x14ac:dyDescent="0.25">
      <c r="F661" t="s">
        <v>2887</v>
      </c>
      <c r="G661">
        <v>17129</v>
      </c>
      <c r="H661">
        <v>13075</v>
      </c>
      <c r="I661" s="25" t="s">
        <v>2191</v>
      </c>
      <c r="J661" t="s">
        <v>2160</v>
      </c>
      <c r="M661" s="49"/>
    </row>
    <row r="662" spans="6:13" x14ac:dyDescent="0.25">
      <c r="F662" t="s">
        <v>2888</v>
      </c>
      <c r="G662">
        <v>17429</v>
      </c>
      <c r="H662">
        <v>13075</v>
      </c>
      <c r="I662" s="25" t="s">
        <v>2191</v>
      </c>
      <c r="J662" t="s">
        <v>2160</v>
      </c>
      <c r="M662" s="49"/>
    </row>
    <row r="663" spans="6:13" x14ac:dyDescent="0.25">
      <c r="F663" t="s">
        <v>2889</v>
      </c>
      <c r="G663">
        <v>93176</v>
      </c>
      <c r="H663">
        <v>9375</v>
      </c>
      <c r="I663" s="25" t="s">
        <v>2050</v>
      </c>
      <c r="J663" t="s">
        <v>2365</v>
      </c>
      <c r="M663" s="49"/>
    </row>
    <row r="664" spans="6:13" x14ac:dyDescent="0.25">
      <c r="F664" t="s">
        <v>2890</v>
      </c>
      <c r="G664">
        <v>92334</v>
      </c>
      <c r="H664">
        <v>9373</v>
      </c>
      <c r="I664" s="25" t="s">
        <v>2050</v>
      </c>
      <c r="J664" t="s">
        <v>2891</v>
      </c>
      <c r="M664" s="49"/>
    </row>
    <row r="665" spans="6:13" x14ac:dyDescent="0.25">
      <c r="F665" t="s">
        <v>2892</v>
      </c>
      <c r="G665">
        <v>83471</v>
      </c>
      <c r="H665">
        <v>9172</v>
      </c>
      <c r="I665" s="25" t="s">
        <v>2050</v>
      </c>
      <c r="J665" t="s">
        <v>2042</v>
      </c>
      <c r="M665" s="49"/>
    </row>
    <row r="666" spans="6:13" x14ac:dyDescent="0.25">
      <c r="F666" t="s">
        <v>2893</v>
      </c>
      <c r="G666">
        <v>76768</v>
      </c>
      <c r="H666">
        <v>7334</v>
      </c>
      <c r="I666" s="25" t="s">
        <v>2123</v>
      </c>
      <c r="J666" t="s">
        <v>2873</v>
      </c>
      <c r="M666" s="49"/>
    </row>
    <row r="667" spans="6:13" x14ac:dyDescent="0.25">
      <c r="F667" t="s">
        <v>2893</v>
      </c>
      <c r="G667">
        <v>88276</v>
      </c>
      <c r="H667">
        <v>8436</v>
      </c>
      <c r="I667" s="25" t="s">
        <v>2018</v>
      </c>
      <c r="J667" t="s">
        <v>2068</v>
      </c>
      <c r="M667" s="49"/>
    </row>
    <row r="668" spans="6:13" x14ac:dyDescent="0.25">
      <c r="F668" t="s">
        <v>2893</v>
      </c>
      <c r="G668">
        <v>82335</v>
      </c>
      <c r="H668">
        <v>9188</v>
      </c>
      <c r="I668" s="25" t="s">
        <v>2050</v>
      </c>
      <c r="J668" t="s">
        <v>2481</v>
      </c>
      <c r="M668" s="49"/>
    </row>
    <row r="669" spans="6:13" x14ac:dyDescent="0.25">
      <c r="F669" t="s">
        <v>2893</v>
      </c>
      <c r="G669">
        <v>95180</v>
      </c>
      <c r="H669">
        <v>9475</v>
      </c>
      <c r="I669" s="25" t="s">
        <v>2050</v>
      </c>
      <c r="J669" t="s">
        <v>2201</v>
      </c>
      <c r="M669" s="49"/>
    </row>
    <row r="670" spans="6:13" x14ac:dyDescent="0.25">
      <c r="F670" t="s">
        <v>2894</v>
      </c>
      <c r="G670">
        <v>92348</v>
      </c>
      <c r="H670">
        <v>9373</v>
      </c>
      <c r="I670" s="25" t="s">
        <v>2050</v>
      </c>
      <c r="J670" t="s">
        <v>2891</v>
      </c>
      <c r="M670" s="49"/>
    </row>
    <row r="671" spans="6:13" x14ac:dyDescent="0.25">
      <c r="F671" t="s">
        <v>2895</v>
      </c>
      <c r="G671">
        <v>86562</v>
      </c>
      <c r="H671">
        <v>9185</v>
      </c>
      <c r="I671" s="25" t="s">
        <v>2050</v>
      </c>
      <c r="J671" t="s">
        <v>2515</v>
      </c>
      <c r="M671" s="49"/>
    </row>
    <row r="672" spans="6:13" x14ac:dyDescent="0.25">
      <c r="F672" t="s">
        <v>2896</v>
      </c>
      <c r="G672">
        <v>7980</v>
      </c>
      <c r="H672">
        <v>16076</v>
      </c>
      <c r="I672" s="25" t="s">
        <v>2384</v>
      </c>
      <c r="J672" t="s">
        <v>2583</v>
      </c>
      <c r="M672" s="49"/>
    </row>
    <row r="673" spans="6:13" x14ac:dyDescent="0.25">
      <c r="F673" t="s">
        <v>2896</v>
      </c>
      <c r="G673">
        <v>7980</v>
      </c>
      <c r="H673">
        <v>16076</v>
      </c>
      <c r="I673" s="25" t="s">
        <v>2384</v>
      </c>
      <c r="J673" t="s">
        <v>2583</v>
      </c>
      <c r="M673" s="49"/>
    </row>
    <row r="674" spans="6:13" x14ac:dyDescent="0.25">
      <c r="F674" t="s">
        <v>2896</v>
      </c>
      <c r="G674">
        <v>7980</v>
      </c>
      <c r="H674">
        <v>16076</v>
      </c>
      <c r="I674" s="25" t="s">
        <v>2384</v>
      </c>
      <c r="J674" t="s">
        <v>2583</v>
      </c>
      <c r="M674" s="49"/>
    </row>
    <row r="675" spans="6:13" x14ac:dyDescent="0.25">
      <c r="F675" t="s">
        <v>2896</v>
      </c>
      <c r="G675">
        <v>7980</v>
      </c>
      <c r="H675">
        <v>16076</v>
      </c>
      <c r="I675" s="25" t="s">
        <v>2384</v>
      </c>
      <c r="J675" t="s">
        <v>2583</v>
      </c>
      <c r="M675" s="49"/>
    </row>
    <row r="676" spans="6:13" x14ac:dyDescent="0.25">
      <c r="F676" t="s">
        <v>2897</v>
      </c>
      <c r="G676">
        <v>88368</v>
      </c>
      <c r="H676">
        <v>8436</v>
      </c>
      <c r="I676" s="25" t="s">
        <v>2018</v>
      </c>
      <c r="J676" t="s">
        <v>2068</v>
      </c>
      <c r="M676" s="49"/>
    </row>
    <row r="677" spans="6:13" x14ac:dyDescent="0.25">
      <c r="F677" t="s">
        <v>2898</v>
      </c>
      <c r="G677">
        <v>49626</v>
      </c>
      <c r="H677">
        <v>3459</v>
      </c>
      <c r="I677" s="25" t="s">
        <v>2074</v>
      </c>
      <c r="J677" t="s">
        <v>2292</v>
      </c>
      <c r="M677" s="49"/>
    </row>
    <row r="678" spans="6:13" x14ac:dyDescent="0.25">
      <c r="F678" t="s">
        <v>2899</v>
      </c>
      <c r="G678">
        <v>29468</v>
      </c>
      <c r="H678">
        <v>3354</v>
      </c>
      <c r="I678" s="25" t="s">
        <v>2074</v>
      </c>
      <c r="J678" t="s">
        <v>2232</v>
      </c>
      <c r="M678" s="49"/>
    </row>
    <row r="679" spans="6:13" x14ac:dyDescent="0.25">
      <c r="F679" t="s">
        <v>2899</v>
      </c>
      <c r="G679">
        <v>55608</v>
      </c>
      <c r="H679">
        <v>7133</v>
      </c>
      <c r="I679" s="25" t="s">
        <v>2123</v>
      </c>
      <c r="J679" t="s">
        <v>2037</v>
      </c>
      <c r="M679" s="49"/>
    </row>
    <row r="680" spans="6:13" x14ac:dyDescent="0.25">
      <c r="F680" t="s">
        <v>2899</v>
      </c>
      <c r="G680">
        <v>55608</v>
      </c>
      <c r="H680">
        <v>7133</v>
      </c>
      <c r="I680" s="25" t="s">
        <v>2123</v>
      </c>
      <c r="J680" t="s">
        <v>2037</v>
      </c>
      <c r="M680" s="49"/>
    </row>
    <row r="681" spans="6:13" x14ac:dyDescent="0.25">
      <c r="F681" t="s">
        <v>2899</v>
      </c>
      <c r="G681">
        <v>55608</v>
      </c>
      <c r="H681">
        <v>7133</v>
      </c>
      <c r="I681" s="25" t="s">
        <v>2123</v>
      </c>
      <c r="J681" t="s">
        <v>2037</v>
      </c>
      <c r="M681" s="49"/>
    </row>
    <row r="682" spans="6:13" x14ac:dyDescent="0.25">
      <c r="F682" t="s">
        <v>2899</v>
      </c>
      <c r="G682">
        <v>55608</v>
      </c>
      <c r="H682">
        <v>7133</v>
      </c>
      <c r="I682" s="25" t="s">
        <v>2123</v>
      </c>
      <c r="J682" t="s">
        <v>2037</v>
      </c>
      <c r="M682" s="49"/>
    </row>
    <row r="683" spans="6:13" x14ac:dyDescent="0.25">
      <c r="F683" t="s">
        <v>2899</v>
      </c>
      <c r="G683">
        <v>55608</v>
      </c>
      <c r="H683">
        <v>7134</v>
      </c>
      <c r="I683" s="25" t="s">
        <v>2123</v>
      </c>
      <c r="J683" t="s">
        <v>2048</v>
      </c>
      <c r="M683" s="49"/>
    </row>
    <row r="684" spans="6:13" x14ac:dyDescent="0.25">
      <c r="F684" t="s">
        <v>2899</v>
      </c>
      <c r="G684">
        <v>55608</v>
      </c>
      <c r="H684">
        <v>7134</v>
      </c>
      <c r="I684" s="25" t="s">
        <v>2123</v>
      </c>
      <c r="J684" t="s">
        <v>2048</v>
      </c>
      <c r="M684" s="49"/>
    </row>
    <row r="685" spans="6:13" x14ac:dyDescent="0.25">
      <c r="F685" t="s">
        <v>2899</v>
      </c>
      <c r="G685">
        <v>55608</v>
      </c>
      <c r="H685">
        <v>7134</v>
      </c>
      <c r="I685" s="25" t="s">
        <v>2123</v>
      </c>
      <c r="J685" t="s">
        <v>2048</v>
      </c>
      <c r="M685" s="49"/>
    </row>
    <row r="686" spans="6:13" x14ac:dyDescent="0.25">
      <c r="F686" t="s">
        <v>2899</v>
      </c>
      <c r="G686">
        <v>55608</v>
      </c>
      <c r="H686">
        <v>7134</v>
      </c>
      <c r="I686" s="25" t="s">
        <v>2123</v>
      </c>
      <c r="J686" t="s">
        <v>2048</v>
      </c>
      <c r="M686" s="49"/>
    </row>
    <row r="687" spans="6:13" x14ac:dyDescent="0.25">
      <c r="F687" t="s">
        <v>2899</v>
      </c>
      <c r="G687">
        <v>83346</v>
      </c>
      <c r="H687">
        <v>9189</v>
      </c>
      <c r="I687" s="25" t="s">
        <v>2050</v>
      </c>
      <c r="J687" t="s">
        <v>2407</v>
      </c>
      <c r="M687" s="49"/>
    </row>
    <row r="688" spans="6:13" x14ac:dyDescent="0.25">
      <c r="F688" t="s">
        <v>2899</v>
      </c>
      <c r="G688">
        <v>8239</v>
      </c>
      <c r="H688">
        <v>14523</v>
      </c>
      <c r="I688" s="25" t="s">
        <v>2135</v>
      </c>
      <c r="J688" t="s">
        <v>2136</v>
      </c>
      <c r="M688" s="49"/>
    </row>
    <row r="689" spans="6:13" x14ac:dyDescent="0.25">
      <c r="F689" t="s">
        <v>2900</v>
      </c>
      <c r="G689">
        <v>29303</v>
      </c>
      <c r="H689">
        <v>3351</v>
      </c>
      <c r="I689" s="25" t="s">
        <v>2074</v>
      </c>
      <c r="J689" t="s">
        <v>2096</v>
      </c>
      <c r="M689" s="49"/>
    </row>
    <row r="690" spans="6:13" x14ac:dyDescent="0.25">
      <c r="F690" t="s">
        <v>2901</v>
      </c>
      <c r="G690">
        <v>18528</v>
      </c>
      <c r="H690">
        <v>13073</v>
      </c>
      <c r="I690" s="25" t="s">
        <v>2191</v>
      </c>
      <c r="J690" t="s">
        <v>2192</v>
      </c>
      <c r="M690" s="49"/>
    </row>
    <row r="691" spans="6:13" x14ac:dyDescent="0.25">
      <c r="F691" t="s">
        <v>2902</v>
      </c>
      <c r="G691">
        <v>24861</v>
      </c>
      <c r="H691">
        <v>1059</v>
      </c>
      <c r="I691" s="25" t="s">
        <v>2085</v>
      </c>
      <c r="J691" t="s">
        <v>2354</v>
      </c>
      <c r="M691" s="49"/>
    </row>
    <row r="692" spans="6:13" x14ac:dyDescent="0.25">
      <c r="F692" t="s">
        <v>2903</v>
      </c>
      <c r="G692">
        <v>38467</v>
      </c>
      <c r="H692">
        <v>3151</v>
      </c>
      <c r="I692" s="25" t="s">
        <v>2074</v>
      </c>
      <c r="J692" t="s">
        <v>2126</v>
      </c>
      <c r="M692" s="49"/>
    </row>
    <row r="693" spans="6:13" x14ac:dyDescent="0.25">
      <c r="F693" t="s">
        <v>2904</v>
      </c>
      <c r="G693">
        <v>77791</v>
      </c>
      <c r="H693">
        <v>8317</v>
      </c>
      <c r="I693" s="25" t="s">
        <v>2018</v>
      </c>
      <c r="J693" t="s">
        <v>2071</v>
      </c>
      <c r="M693" s="49"/>
    </row>
    <row r="694" spans="6:13" x14ac:dyDescent="0.25">
      <c r="F694" t="s">
        <v>2905</v>
      </c>
      <c r="G694">
        <v>50127</v>
      </c>
      <c r="H694">
        <v>5362</v>
      </c>
      <c r="I694" s="25" t="s">
        <v>2023</v>
      </c>
      <c r="J694" t="s">
        <v>2326</v>
      </c>
      <c r="M694" s="49"/>
    </row>
    <row r="695" spans="6:13" x14ac:dyDescent="0.25">
      <c r="F695" t="s">
        <v>2905</v>
      </c>
      <c r="G695">
        <v>50129</v>
      </c>
      <c r="H695">
        <v>5362</v>
      </c>
      <c r="I695" s="25" t="s">
        <v>2023</v>
      </c>
      <c r="J695" t="s">
        <v>2326</v>
      </c>
      <c r="M695" s="49"/>
    </row>
    <row r="696" spans="6:13" x14ac:dyDescent="0.25">
      <c r="F696" t="s">
        <v>2905</v>
      </c>
      <c r="G696">
        <v>50126</v>
      </c>
      <c r="H696">
        <v>5362</v>
      </c>
      <c r="I696" s="25" t="s">
        <v>2023</v>
      </c>
      <c r="J696" t="s">
        <v>2326</v>
      </c>
      <c r="M696" s="49"/>
    </row>
    <row r="697" spans="6:13" x14ac:dyDescent="0.25">
      <c r="F697" t="s">
        <v>2905</v>
      </c>
      <c r="G697">
        <v>86673</v>
      </c>
      <c r="H697">
        <v>9185</v>
      </c>
      <c r="I697" s="25" t="s">
        <v>2050</v>
      </c>
      <c r="J697" t="s">
        <v>2515</v>
      </c>
      <c r="M697" s="49"/>
    </row>
    <row r="698" spans="6:13" x14ac:dyDescent="0.25">
      <c r="F698" t="s">
        <v>2906</v>
      </c>
      <c r="G698">
        <v>89180</v>
      </c>
      <c r="H698">
        <v>8425</v>
      </c>
      <c r="I698" s="25" t="s">
        <v>2018</v>
      </c>
      <c r="J698" t="s">
        <v>2027</v>
      </c>
      <c r="M698" s="49"/>
    </row>
    <row r="699" spans="6:13" x14ac:dyDescent="0.25">
      <c r="F699" t="s">
        <v>2907</v>
      </c>
      <c r="G699">
        <v>51467</v>
      </c>
      <c r="H699">
        <v>5315</v>
      </c>
      <c r="I699" s="25" t="s">
        <v>2023</v>
      </c>
      <c r="J699" t="s">
        <v>2908</v>
      </c>
      <c r="M699" s="49"/>
    </row>
    <row r="700" spans="6:13" x14ac:dyDescent="0.25">
      <c r="F700" t="s">
        <v>2907</v>
      </c>
      <c r="G700">
        <v>51429</v>
      </c>
      <c r="H700">
        <v>5378</v>
      </c>
      <c r="I700" s="25" t="s">
        <v>2023</v>
      </c>
      <c r="J700" t="s">
        <v>2909</v>
      </c>
      <c r="M700" s="49"/>
    </row>
    <row r="701" spans="6:13" x14ac:dyDescent="0.25">
      <c r="F701" t="s">
        <v>2907</v>
      </c>
      <c r="G701">
        <v>51467</v>
      </c>
      <c r="H701">
        <v>5378</v>
      </c>
      <c r="I701" s="25" t="s">
        <v>2023</v>
      </c>
      <c r="J701" t="s">
        <v>2909</v>
      </c>
      <c r="M701" s="49"/>
    </row>
    <row r="702" spans="6:13" x14ac:dyDescent="0.25">
      <c r="F702" t="s">
        <v>2907</v>
      </c>
      <c r="G702">
        <v>51427</v>
      </c>
      <c r="H702">
        <v>5378</v>
      </c>
      <c r="I702" s="25" t="s">
        <v>2023</v>
      </c>
      <c r="J702" t="s">
        <v>2909</v>
      </c>
      <c r="M702" s="49"/>
    </row>
    <row r="703" spans="6:13" x14ac:dyDescent="0.25">
      <c r="F703" t="s">
        <v>2907</v>
      </c>
      <c r="G703">
        <v>51469</v>
      </c>
      <c r="H703">
        <v>5378</v>
      </c>
      <c r="I703" s="25" t="s">
        <v>2023</v>
      </c>
      <c r="J703" t="s">
        <v>2909</v>
      </c>
      <c r="M703" s="49"/>
    </row>
    <row r="704" spans="6:13" x14ac:dyDescent="0.25">
      <c r="F704" t="s">
        <v>2907</v>
      </c>
      <c r="G704">
        <v>51465</v>
      </c>
      <c r="H704">
        <v>5378</v>
      </c>
      <c r="I704" s="25" t="s">
        <v>2023</v>
      </c>
      <c r="J704" t="s">
        <v>2909</v>
      </c>
      <c r="M704" s="49"/>
    </row>
    <row r="705" spans="6:13" x14ac:dyDescent="0.25">
      <c r="F705" t="s">
        <v>2910</v>
      </c>
      <c r="G705">
        <v>59192</v>
      </c>
      <c r="H705">
        <v>5978</v>
      </c>
      <c r="I705" s="25" t="s">
        <v>2023</v>
      </c>
      <c r="J705" t="s">
        <v>2402</v>
      </c>
      <c r="M705" s="49"/>
    </row>
    <row r="706" spans="6:13" x14ac:dyDescent="0.25">
      <c r="F706" t="s">
        <v>2911</v>
      </c>
      <c r="G706">
        <v>85232</v>
      </c>
      <c r="H706">
        <v>9174</v>
      </c>
      <c r="I706" s="25" t="s">
        <v>2050</v>
      </c>
      <c r="J706" t="s">
        <v>2445</v>
      </c>
      <c r="M706" s="49"/>
    </row>
    <row r="707" spans="6:13" x14ac:dyDescent="0.25">
      <c r="F707" t="s">
        <v>2912</v>
      </c>
      <c r="G707">
        <v>55776</v>
      </c>
      <c r="H707">
        <v>7134</v>
      </c>
      <c r="I707" s="25" t="s">
        <v>2123</v>
      </c>
      <c r="J707" t="s">
        <v>2048</v>
      </c>
      <c r="M707" s="49"/>
    </row>
    <row r="708" spans="6:13" x14ac:dyDescent="0.25">
      <c r="F708" t="s">
        <v>2913</v>
      </c>
      <c r="G708">
        <v>73663</v>
      </c>
      <c r="H708">
        <v>8119</v>
      </c>
      <c r="I708" s="25" t="s">
        <v>2018</v>
      </c>
      <c r="J708" t="s">
        <v>2287</v>
      </c>
      <c r="M708" s="49"/>
    </row>
    <row r="709" spans="6:13" x14ac:dyDescent="0.25">
      <c r="F709" t="s">
        <v>2914</v>
      </c>
      <c r="G709">
        <v>85459</v>
      </c>
      <c r="H709">
        <v>9177</v>
      </c>
      <c r="I709" s="25" t="s">
        <v>2050</v>
      </c>
      <c r="J709" t="s">
        <v>2915</v>
      </c>
      <c r="M709" s="49"/>
    </row>
    <row r="710" spans="6:13" x14ac:dyDescent="0.25">
      <c r="F710" t="s">
        <v>2916</v>
      </c>
      <c r="G710">
        <v>51702</v>
      </c>
      <c r="H710">
        <v>5374</v>
      </c>
      <c r="I710" s="25" t="s">
        <v>2023</v>
      </c>
      <c r="J710" t="s">
        <v>2281</v>
      </c>
      <c r="M710" s="49"/>
    </row>
    <row r="711" spans="6:13" x14ac:dyDescent="0.25">
      <c r="F711" t="s">
        <v>2917</v>
      </c>
      <c r="G711">
        <v>97493</v>
      </c>
      <c r="H711">
        <v>9678</v>
      </c>
      <c r="I711" s="25" t="s">
        <v>2050</v>
      </c>
      <c r="J711" t="s">
        <v>2918</v>
      </c>
      <c r="M711" s="49"/>
    </row>
    <row r="712" spans="6:13" x14ac:dyDescent="0.25">
      <c r="F712" t="s">
        <v>2919</v>
      </c>
      <c r="G712">
        <v>97241</v>
      </c>
      <c r="H712">
        <v>9679</v>
      </c>
      <c r="I712" s="25" t="s">
        <v>2050</v>
      </c>
      <c r="J712" t="s">
        <v>2428</v>
      </c>
      <c r="M712" s="49"/>
    </row>
    <row r="713" spans="6:13" x14ac:dyDescent="0.25">
      <c r="F713" t="s">
        <v>2920</v>
      </c>
      <c r="G713">
        <v>25575</v>
      </c>
      <c r="H713">
        <v>1058</v>
      </c>
      <c r="I713" s="25" t="s">
        <v>2085</v>
      </c>
      <c r="J713" t="s">
        <v>2086</v>
      </c>
      <c r="M713" s="49"/>
    </row>
    <row r="714" spans="6:13" x14ac:dyDescent="0.25">
      <c r="F714" t="s">
        <v>2921</v>
      </c>
      <c r="G714">
        <v>99837</v>
      </c>
      <c r="H714">
        <v>16063</v>
      </c>
      <c r="I714" s="25" t="s">
        <v>2384</v>
      </c>
      <c r="J714" t="s">
        <v>2687</v>
      </c>
      <c r="M714" s="49"/>
    </row>
    <row r="715" spans="6:13" x14ac:dyDescent="0.25">
      <c r="F715" t="s">
        <v>2922</v>
      </c>
      <c r="G715">
        <v>37297</v>
      </c>
      <c r="H715">
        <v>6636</v>
      </c>
      <c r="I715" s="25" t="s">
        <v>2046</v>
      </c>
      <c r="J715" t="s">
        <v>2733</v>
      </c>
      <c r="M715" s="49"/>
    </row>
    <row r="716" spans="6:13" x14ac:dyDescent="0.25">
      <c r="F716" t="s">
        <v>2923</v>
      </c>
      <c r="G716">
        <v>23919</v>
      </c>
      <c r="H716">
        <v>1053</v>
      </c>
      <c r="I716" s="25" t="s">
        <v>2085</v>
      </c>
      <c r="J716" t="s">
        <v>2193</v>
      </c>
      <c r="M716" s="49"/>
    </row>
    <row r="717" spans="6:13" x14ac:dyDescent="0.25">
      <c r="F717" t="s">
        <v>2924</v>
      </c>
      <c r="G717">
        <v>88450</v>
      </c>
      <c r="H717">
        <v>8426</v>
      </c>
      <c r="I717" s="25" t="s">
        <v>2018</v>
      </c>
      <c r="J717" t="s">
        <v>2081</v>
      </c>
      <c r="M717" s="49"/>
    </row>
    <row r="718" spans="6:13" x14ac:dyDescent="0.25">
      <c r="F718" t="s">
        <v>2925</v>
      </c>
      <c r="G718">
        <v>12557</v>
      </c>
      <c r="H718">
        <v>11000</v>
      </c>
      <c r="I718" s="25" t="s">
        <v>2925</v>
      </c>
      <c r="J718" t="s">
        <v>2926</v>
      </c>
      <c r="M718" s="49"/>
    </row>
    <row r="719" spans="6:13" x14ac:dyDescent="0.25">
      <c r="F719" t="s">
        <v>2925</v>
      </c>
      <c r="G719">
        <v>12685</v>
      </c>
      <c r="H719">
        <v>11000</v>
      </c>
      <c r="I719" s="25" t="s">
        <v>2925</v>
      </c>
      <c r="J719" t="s">
        <v>2926</v>
      </c>
      <c r="M719" s="49"/>
    </row>
    <row r="720" spans="6:13" x14ac:dyDescent="0.25">
      <c r="F720" t="s">
        <v>2925</v>
      </c>
      <c r="G720">
        <v>12679</v>
      </c>
      <c r="H720">
        <v>11000</v>
      </c>
      <c r="I720" s="25" t="s">
        <v>2925</v>
      </c>
      <c r="J720" t="s">
        <v>2926</v>
      </c>
      <c r="M720" s="49"/>
    </row>
    <row r="721" spans="6:13" x14ac:dyDescent="0.25">
      <c r="F721" t="s">
        <v>2925</v>
      </c>
      <c r="G721">
        <v>10825</v>
      </c>
      <c r="H721">
        <v>11000</v>
      </c>
      <c r="I721" s="25" t="s">
        <v>2925</v>
      </c>
      <c r="J721" t="s">
        <v>2926</v>
      </c>
      <c r="M721" s="49"/>
    </row>
    <row r="722" spans="6:13" x14ac:dyDescent="0.25">
      <c r="F722" t="s">
        <v>2925</v>
      </c>
      <c r="G722">
        <v>12679</v>
      </c>
      <c r="H722">
        <v>11000</v>
      </c>
      <c r="I722" s="25" t="s">
        <v>2925</v>
      </c>
      <c r="J722" t="s">
        <v>2926</v>
      </c>
      <c r="M722" s="49"/>
    </row>
    <row r="723" spans="6:13" x14ac:dyDescent="0.25">
      <c r="F723" t="s">
        <v>2925</v>
      </c>
      <c r="G723">
        <v>12307</v>
      </c>
      <c r="H723">
        <v>11000</v>
      </c>
      <c r="I723" s="25" t="s">
        <v>2925</v>
      </c>
      <c r="J723" t="s">
        <v>2926</v>
      </c>
      <c r="M723" s="49"/>
    </row>
    <row r="724" spans="6:13" x14ac:dyDescent="0.25">
      <c r="F724" t="s">
        <v>2925</v>
      </c>
      <c r="G724">
        <v>10827</v>
      </c>
      <c r="H724">
        <v>11000</v>
      </c>
      <c r="I724" s="25" t="s">
        <v>2925</v>
      </c>
      <c r="J724" t="s">
        <v>2926</v>
      </c>
      <c r="M724" s="49"/>
    </row>
    <row r="725" spans="6:13" x14ac:dyDescent="0.25">
      <c r="F725" t="s">
        <v>2925</v>
      </c>
      <c r="G725">
        <v>12277</v>
      </c>
      <c r="H725">
        <v>11000</v>
      </c>
      <c r="I725" s="25" t="s">
        <v>2925</v>
      </c>
      <c r="J725" t="s">
        <v>2926</v>
      </c>
      <c r="M725" s="49"/>
    </row>
    <row r="726" spans="6:13" x14ac:dyDescent="0.25">
      <c r="F726" t="s">
        <v>2925</v>
      </c>
      <c r="G726">
        <v>10319</v>
      </c>
      <c r="H726">
        <v>11000</v>
      </c>
      <c r="I726" s="25" t="s">
        <v>2925</v>
      </c>
      <c r="J726" t="s">
        <v>2926</v>
      </c>
      <c r="M726" s="49"/>
    </row>
    <row r="727" spans="6:13" x14ac:dyDescent="0.25">
      <c r="F727" t="s">
        <v>2925</v>
      </c>
      <c r="G727">
        <v>12619</v>
      </c>
      <c r="H727">
        <v>11000</v>
      </c>
      <c r="I727" s="25" t="s">
        <v>2925</v>
      </c>
      <c r="J727" t="s">
        <v>2926</v>
      </c>
      <c r="M727" s="49"/>
    </row>
    <row r="728" spans="6:13" x14ac:dyDescent="0.25">
      <c r="F728" t="s">
        <v>2925</v>
      </c>
      <c r="G728">
        <v>12309</v>
      </c>
      <c r="H728">
        <v>11000</v>
      </c>
      <c r="I728" s="25" t="s">
        <v>2925</v>
      </c>
      <c r="J728" t="s">
        <v>2926</v>
      </c>
      <c r="M728" s="49"/>
    </row>
    <row r="729" spans="6:13" x14ac:dyDescent="0.25">
      <c r="F729" t="s">
        <v>2925</v>
      </c>
      <c r="G729">
        <v>12629</v>
      </c>
      <c r="H729">
        <v>11000</v>
      </c>
      <c r="I729" s="25" t="s">
        <v>2925</v>
      </c>
      <c r="J729" t="s">
        <v>2926</v>
      </c>
      <c r="M729" s="49"/>
    </row>
    <row r="730" spans="6:13" x14ac:dyDescent="0.25">
      <c r="F730" t="s">
        <v>2925</v>
      </c>
      <c r="G730">
        <v>12487</v>
      </c>
      <c r="H730">
        <v>11000</v>
      </c>
      <c r="I730" s="25" t="s">
        <v>2925</v>
      </c>
      <c r="J730" t="s">
        <v>2926</v>
      </c>
      <c r="M730" s="49"/>
    </row>
    <row r="731" spans="6:13" x14ac:dyDescent="0.25">
      <c r="F731" t="s">
        <v>2925</v>
      </c>
      <c r="G731">
        <v>12305</v>
      </c>
      <c r="H731">
        <v>11000</v>
      </c>
      <c r="I731" s="25" t="s">
        <v>2925</v>
      </c>
      <c r="J731" t="s">
        <v>2926</v>
      </c>
      <c r="M731" s="49"/>
    </row>
    <row r="732" spans="6:13" x14ac:dyDescent="0.25">
      <c r="F732" t="s">
        <v>2925</v>
      </c>
      <c r="G732">
        <v>12305</v>
      </c>
      <c r="H732">
        <v>11000</v>
      </c>
      <c r="I732" s="25" t="s">
        <v>2925</v>
      </c>
      <c r="J732" t="s">
        <v>2926</v>
      </c>
      <c r="M732" s="49"/>
    </row>
    <row r="733" spans="6:13" x14ac:dyDescent="0.25">
      <c r="F733" t="s">
        <v>2925</v>
      </c>
      <c r="G733">
        <v>12687</v>
      </c>
      <c r="H733">
        <v>11000</v>
      </c>
      <c r="I733" s="25" t="s">
        <v>2925</v>
      </c>
      <c r="J733" t="s">
        <v>2926</v>
      </c>
      <c r="M733" s="49"/>
    </row>
    <row r="734" spans="6:13" x14ac:dyDescent="0.25">
      <c r="F734" t="s">
        <v>2925</v>
      </c>
      <c r="G734">
        <v>12685</v>
      </c>
      <c r="H734">
        <v>11000</v>
      </c>
      <c r="I734" s="25" t="s">
        <v>2925</v>
      </c>
      <c r="J734" t="s">
        <v>2926</v>
      </c>
      <c r="M734" s="49"/>
    </row>
    <row r="735" spans="6:13" x14ac:dyDescent="0.25">
      <c r="F735" t="s">
        <v>2925</v>
      </c>
      <c r="G735">
        <v>12681</v>
      </c>
      <c r="H735">
        <v>11000</v>
      </c>
      <c r="I735" s="25" t="s">
        <v>2925</v>
      </c>
      <c r="J735" t="s">
        <v>2926</v>
      </c>
      <c r="M735" s="49"/>
    </row>
    <row r="736" spans="6:13" x14ac:dyDescent="0.25">
      <c r="F736" t="s">
        <v>2925</v>
      </c>
      <c r="G736">
        <v>12279</v>
      </c>
      <c r="H736">
        <v>11000</v>
      </c>
      <c r="I736" s="25" t="s">
        <v>2925</v>
      </c>
      <c r="J736" t="s">
        <v>2926</v>
      </c>
      <c r="M736" s="49"/>
    </row>
    <row r="737" spans="6:13" x14ac:dyDescent="0.25">
      <c r="F737" t="s">
        <v>2925</v>
      </c>
      <c r="G737">
        <v>12689</v>
      </c>
      <c r="H737">
        <v>11000</v>
      </c>
      <c r="I737" s="25" t="s">
        <v>2925</v>
      </c>
      <c r="J737" t="s">
        <v>2926</v>
      </c>
      <c r="M737" s="49"/>
    </row>
    <row r="738" spans="6:13" x14ac:dyDescent="0.25">
      <c r="F738" t="s">
        <v>2927</v>
      </c>
      <c r="G738">
        <v>12435</v>
      </c>
      <c r="H738">
        <v>11000</v>
      </c>
      <c r="I738" s="25" t="s">
        <v>2925</v>
      </c>
      <c r="J738" t="s">
        <v>2926</v>
      </c>
      <c r="M738" s="49"/>
    </row>
    <row r="739" spans="6:13" x14ac:dyDescent="0.25">
      <c r="F739" t="s">
        <v>2928</v>
      </c>
      <c r="G739">
        <v>12524</v>
      </c>
      <c r="H739">
        <v>11000</v>
      </c>
      <c r="I739" s="25" t="s">
        <v>2925</v>
      </c>
      <c r="J739" t="s">
        <v>2926</v>
      </c>
      <c r="M739" s="49"/>
    </row>
    <row r="740" spans="6:13" x14ac:dyDescent="0.25">
      <c r="F740" t="s">
        <v>2929</v>
      </c>
      <c r="G740">
        <v>13055</v>
      </c>
      <c r="H740">
        <v>11000</v>
      </c>
      <c r="I740" s="25" t="s">
        <v>2925</v>
      </c>
      <c r="J740" t="s">
        <v>2926</v>
      </c>
      <c r="M740" s="49"/>
    </row>
    <row r="741" spans="6:13" x14ac:dyDescent="0.25">
      <c r="F741" t="s">
        <v>2929</v>
      </c>
      <c r="G741">
        <v>13053</v>
      </c>
      <c r="H741">
        <v>11000</v>
      </c>
      <c r="I741" s="25" t="s">
        <v>2925</v>
      </c>
      <c r="J741" t="s">
        <v>2926</v>
      </c>
      <c r="M741" s="49"/>
    </row>
    <row r="742" spans="6:13" x14ac:dyDescent="0.25">
      <c r="F742" t="s">
        <v>2930</v>
      </c>
      <c r="G742">
        <v>12437</v>
      </c>
      <c r="H742">
        <v>11000</v>
      </c>
      <c r="I742" s="25" t="s">
        <v>2925</v>
      </c>
      <c r="J742" t="s">
        <v>2926</v>
      </c>
      <c r="M742" s="49"/>
    </row>
    <row r="743" spans="6:13" x14ac:dyDescent="0.25">
      <c r="F743" t="s">
        <v>2931</v>
      </c>
      <c r="G743">
        <v>12683</v>
      </c>
      <c r="H743">
        <v>11000</v>
      </c>
      <c r="I743" s="25" t="s">
        <v>2925</v>
      </c>
      <c r="J743" t="s">
        <v>2926</v>
      </c>
      <c r="M743" s="49"/>
    </row>
    <row r="744" spans="6:13" x14ac:dyDescent="0.25">
      <c r="F744" t="s">
        <v>2932</v>
      </c>
      <c r="G744">
        <v>13129</v>
      </c>
      <c r="H744">
        <v>11000</v>
      </c>
      <c r="I744" s="25" t="s">
        <v>2925</v>
      </c>
      <c r="J744" t="s">
        <v>2926</v>
      </c>
      <c r="M744" s="49"/>
    </row>
    <row r="745" spans="6:13" x14ac:dyDescent="0.25">
      <c r="F745" t="s">
        <v>2933</v>
      </c>
      <c r="G745">
        <v>13159</v>
      </c>
      <c r="H745">
        <v>11000</v>
      </c>
      <c r="I745" s="25" t="s">
        <v>2925</v>
      </c>
      <c r="J745" t="s">
        <v>2926</v>
      </c>
      <c r="M745" s="49"/>
    </row>
    <row r="746" spans="6:13" x14ac:dyDescent="0.25">
      <c r="F746" t="s">
        <v>2934</v>
      </c>
      <c r="G746">
        <v>12526</v>
      </c>
      <c r="H746">
        <v>11000</v>
      </c>
      <c r="I746" s="25" t="s">
        <v>2925</v>
      </c>
      <c r="J746" t="s">
        <v>2926</v>
      </c>
      <c r="M746" s="49"/>
    </row>
    <row r="747" spans="6:13" x14ac:dyDescent="0.25">
      <c r="F747" t="s">
        <v>2935</v>
      </c>
      <c r="G747">
        <v>12347</v>
      </c>
      <c r="H747">
        <v>11000</v>
      </c>
      <c r="I747" s="25" t="s">
        <v>2925</v>
      </c>
      <c r="J747" t="s">
        <v>2926</v>
      </c>
      <c r="M747" s="49"/>
    </row>
    <row r="748" spans="6:13" x14ac:dyDescent="0.25">
      <c r="F748" t="s">
        <v>2935</v>
      </c>
      <c r="G748">
        <v>12359</v>
      </c>
      <c r="H748">
        <v>11000</v>
      </c>
      <c r="I748" s="25" t="s">
        <v>2925</v>
      </c>
      <c r="J748" t="s">
        <v>2926</v>
      </c>
      <c r="M748" s="49"/>
    </row>
    <row r="749" spans="6:13" x14ac:dyDescent="0.25">
      <c r="F749" t="s">
        <v>2936</v>
      </c>
      <c r="G749">
        <v>13125</v>
      </c>
      <c r="H749">
        <v>11000</v>
      </c>
      <c r="I749" s="25" t="s">
        <v>2925</v>
      </c>
      <c r="J749" t="s">
        <v>2926</v>
      </c>
      <c r="M749" s="49"/>
    </row>
    <row r="750" spans="6:13" x14ac:dyDescent="0.25">
      <c r="F750" t="s">
        <v>2937</v>
      </c>
      <c r="G750">
        <v>12349</v>
      </c>
      <c r="H750">
        <v>11000</v>
      </c>
      <c r="I750" s="25" t="s">
        <v>2925</v>
      </c>
      <c r="J750" t="s">
        <v>2926</v>
      </c>
      <c r="M750" s="49"/>
    </row>
    <row r="751" spans="6:13" x14ac:dyDescent="0.25">
      <c r="F751" t="s">
        <v>2937</v>
      </c>
      <c r="G751">
        <v>12351</v>
      </c>
      <c r="H751">
        <v>11000</v>
      </c>
      <c r="I751" s="25" t="s">
        <v>2925</v>
      </c>
      <c r="J751" t="s">
        <v>2926</v>
      </c>
      <c r="M751" s="49"/>
    </row>
    <row r="752" spans="6:13" x14ac:dyDescent="0.25">
      <c r="F752" t="s">
        <v>2938</v>
      </c>
      <c r="G752">
        <v>10625</v>
      </c>
      <c r="H752">
        <v>11000</v>
      </c>
      <c r="I752" s="25" t="s">
        <v>2925</v>
      </c>
      <c r="J752" t="s">
        <v>2926</v>
      </c>
      <c r="M752" s="49"/>
    </row>
    <row r="753" spans="6:13" x14ac:dyDescent="0.25">
      <c r="F753" t="s">
        <v>2938</v>
      </c>
      <c r="G753">
        <v>14059</v>
      </c>
      <c r="H753">
        <v>11000</v>
      </c>
      <c r="I753" s="25" t="s">
        <v>2925</v>
      </c>
      <c r="J753" t="s">
        <v>2926</v>
      </c>
      <c r="M753" s="49"/>
    </row>
    <row r="754" spans="6:13" x14ac:dyDescent="0.25">
      <c r="F754" t="s">
        <v>2938</v>
      </c>
      <c r="G754">
        <v>10623</v>
      </c>
      <c r="H754">
        <v>11000</v>
      </c>
      <c r="I754" s="25" t="s">
        <v>2925</v>
      </c>
      <c r="J754" t="s">
        <v>2926</v>
      </c>
      <c r="M754" s="49"/>
    </row>
    <row r="755" spans="6:13" x14ac:dyDescent="0.25">
      <c r="F755" t="s">
        <v>2938</v>
      </c>
      <c r="G755">
        <v>14057</v>
      </c>
      <c r="H755">
        <v>11000</v>
      </c>
      <c r="I755" s="25" t="s">
        <v>2925</v>
      </c>
      <c r="J755" t="s">
        <v>2926</v>
      </c>
      <c r="M755" s="49"/>
    </row>
    <row r="756" spans="6:13" x14ac:dyDescent="0.25">
      <c r="F756" t="s">
        <v>2938</v>
      </c>
      <c r="G756">
        <v>10627</v>
      </c>
      <c r="H756">
        <v>11000</v>
      </c>
      <c r="I756" s="25" t="s">
        <v>2925</v>
      </c>
      <c r="J756" t="s">
        <v>2926</v>
      </c>
      <c r="M756" s="49"/>
    </row>
    <row r="757" spans="6:13" x14ac:dyDescent="0.25">
      <c r="F757" t="s">
        <v>2938</v>
      </c>
      <c r="G757">
        <v>10585</v>
      </c>
      <c r="H757">
        <v>11000</v>
      </c>
      <c r="I757" s="25" t="s">
        <v>2925</v>
      </c>
      <c r="J757" t="s">
        <v>2926</v>
      </c>
      <c r="M757" s="49"/>
    </row>
    <row r="758" spans="6:13" x14ac:dyDescent="0.25">
      <c r="F758" t="s">
        <v>2938</v>
      </c>
      <c r="G758">
        <v>10589</v>
      </c>
      <c r="H758">
        <v>11000</v>
      </c>
      <c r="I758" s="25" t="s">
        <v>2925</v>
      </c>
      <c r="J758" t="s">
        <v>2926</v>
      </c>
      <c r="M758" s="49"/>
    </row>
    <row r="759" spans="6:13" x14ac:dyDescent="0.25">
      <c r="F759" t="s">
        <v>2938</v>
      </c>
      <c r="G759">
        <v>10587</v>
      </c>
      <c r="H759">
        <v>11000</v>
      </c>
      <c r="I759" s="25" t="s">
        <v>2925</v>
      </c>
      <c r="J759" t="s">
        <v>2926</v>
      </c>
      <c r="M759" s="49"/>
    </row>
    <row r="760" spans="6:13" x14ac:dyDescent="0.25">
      <c r="F760" t="s">
        <v>2938</v>
      </c>
      <c r="G760">
        <v>10623</v>
      </c>
      <c r="H760">
        <v>11000</v>
      </c>
      <c r="I760" s="25" t="s">
        <v>2925</v>
      </c>
      <c r="J760" t="s">
        <v>2926</v>
      </c>
      <c r="M760" s="49"/>
    </row>
    <row r="761" spans="6:13" x14ac:dyDescent="0.25">
      <c r="F761" t="s">
        <v>2938</v>
      </c>
      <c r="G761">
        <v>10629</v>
      </c>
      <c r="H761">
        <v>11000</v>
      </c>
      <c r="I761" s="25" t="s">
        <v>2925</v>
      </c>
      <c r="J761" t="s">
        <v>2926</v>
      </c>
      <c r="M761" s="49"/>
    </row>
    <row r="762" spans="6:13" x14ac:dyDescent="0.25">
      <c r="F762" t="s">
        <v>2939</v>
      </c>
      <c r="G762">
        <v>13627</v>
      </c>
      <c r="H762">
        <v>11000</v>
      </c>
      <c r="I762" s="25" t="s">
        <v>2925</v>
      </c>
      <c r="J762" t="s">
        <v>2926</v>
      </c>
      <c r="M762" s="49"/>
    </row>
    <row r="763" spans="6:13" x14ac:dyDescent="0.25">
      <c r="F763" t="s">
        <v>2940</v>
      </c>
      <c r="G763">
        <v>14195</v>
      </c>
      <c r="H763">
        <v>11000</v>
      </c>
      <c r="I763" s="25" t="s">
        <v>2925</v>
      </c>
      <c r="J763" t="s">
        <v>2926</v>
      </c>
      <c r="M763" s="49"/>
    </row>
    <row r="764" spans="6:13" x14ac:dyDescent="0.25">
      <c r="F764" t="s">
        <v>2941</v>
      </c>
      <c r="G764">
        <v>13057</v>
      </c>
      <c r="H764">
        <v>11000</v>
      </c>
      <c r="I764" s="25" t="s">
        <v>2925</v>
      </c>
      <c r="J764" t="s">
        <v>2926</v>
      </c>
      <c r="M764" s="49"/>
    </row>
    <row r="765" spans="6:13" x14ac:dyDescent="0.25">
      <c r="F765" t="s">
        <v>2942</v>
      </c>
      <c r="G765">
        <v>13589</v>
      </c>
      <c r="H765">
        <v>11000</v>
      </c>
      <c r="I765" s="25" t="s">
        <v>2925</v>
      </c>
      <c r="J765" t="s">
        <v>2926</v>
      </c>
      <c r="M765" s="49"/>
    </row>
    <row r="766" spans="6:13" x14ac:dyDescent="0.25">
      <c r="F766" t="s">
        <v>2943</v>
      </c>
      <c r="G766">
        <v>13127</v>
      </c>
      <c r="H766">
        <v>11000</v>
      </c>
      <c r="I766" s="25" t="s">
        <v>2925</v>
      </c>
      <c r="J766" t="s">
        <v>2926</v>
      </c>
      <c r="M766" s="49"/>
    </row>
    <row r="767" spans="6:13" x14ac:dyDescent="0.25">
      <c r="F767" t="s">
        <v>2944</v>
      </c>
      <c r="G767">
        <v>12159</v>
      </c>
      <c r="H767">
        <v>11000</v>
      </c>
      <c r="I767" s="25" t="s">
        <v>2925</v>
      </c>
      <c r="J767" t="s">
        <v>2926</v>
      </c>
      <c r="M767" s="49"/>
    </row>
    <row r="768" spans="6:13" x14ac:dyDescent="0.25">
      <c r="F768" t="s">
        <v>2944</v>
      </c>
      <c r="G768">
        <v>12161</v>
      </c>
      <c r="H768">
        <v>11000</v>
      </c>
      <c r="I768" s="25" t="s">
        <v>2925</v>
      </c>
      <c r="J768" t="s">
        <v>2926</v>
      </c>
      <c r="M768" s="49"/>
    </row>
    <row r="769" spans="6:13" x14ac:dyDescent="0.25">
      <c r="F769" t="s">
        <v>2945</v>
      </c>
      <c r="G769">
        <v>10315</v>
      </c>
      <c r="H769">
        <v>11000</v>
      </c>
      <c r="I769" s="25" t="s">
        <v>2925</v>
      </c>
      <c r="J769" t="s">
        <v>2926</v>
      </c>
      <c r="M769" s="49"/>
    </row>
    <row r="770" spans="6:13" x14ac:dyDescent="0.25">
      <c r="F770" t="s">
        <v>2946</v>
      </c>
      <c r="G770">
        <v>10249</v>
      </c>
      <c r="H770">
        <v>11000</v>
      </c>
      <c r="I770" s="25" t="s">
        <v>2925</v>
      </c>
      <c r="J770" t="s">
        <v>2926</v>
      </c>
      <c r="M770" s="49"/>
    </row>
    <row r="771" spans="6:13" x14ac:dyDescent="0.25">
      <c r="F771" t="s">
        <v>2946</v>
      </c>
      <c r="G771">
        <v>10247</v>
      </c>
      <c r="H771">
        <v>11000</v>
      </c>
      <c r="I771" s="25" t="s">
        <v>2925</v>
      </c>
      <c r="J771" t="s">
        <v>2926</v>
      </c>
      <c r="M771" s="49"/>
    </row>
    <row r="772" spans="6:13" x14ac:dyDescent="0.25">
      <c r="F772" t="s">
        <v>2946</v>
      </c>
      <c r="G772">
        <v>10243</v>
      </c>
      <c r="H772">
        <v>11000</v>
      </c>
      <c r="I772" s="25" t="s">
        <v>2925</v>
      </c>
      <c r="J772" t="s">
        <v>2926</v>
      </c>
      <c r="M772" s="49"/>
    </row>
    <row r="773" spans="6:13" x14ac:dyDescent="0.25">
      <c r="F773" t="s">
        <v>2946</v>
      </c>
      <c r="G773">
        <v>10245</v>
      </c>
      <c r="H773">
        <v>11000</v>
      </c>
      <c r="I773" s="25" t="s">
        <v>2925</v>
      </c>
      <c r="J773" t="s">
        <v>2926</v>
      </c>
      <c r="M773" s="49"/>
    </row>
    <row r="774" spans="6:13" x14ac:dyDescent="0.25">
      <c r="F774" t="s">
        <v>2947</v>
      </c>
      <c r="G774">
        <v>13465</v>
      </c>
      <c r="H774">
        <v>11000</v>
      </c>
      <c r="I774" s="25" t="s">
        <v>2925</v>
      </c>
      <c r="J774" t="s">
        <v>2926</v>
      </c>
      <c r="M774" s="49"/>
    </row>
    <row r="775" spans="6:13" x14ac:dyDescent="0.25">
      <c r="F775" t="s">
        <v>2948</v>
      </c>
      <c r="G775">
        <v>14089</v>
      </c>
      <c r="H775">
        <v>11000</v>
      </c>
      <c r="I775" s="25" t="s">
        <v>2925</v>
      </c>
      <c r="J775" t="s">
        <v>2926</v>
      </c>
      <c r="M775" s="49"/>
    </row>
    <row r="776" spans="6:13" x14ac:dyDescent="0.25">
      <c r="F776" t="s">
        <v>2949</v>
      </c>
      <c r="G776">
        <v>13359</v>
      </c>
      <c r="H776">
        <v>11000</v>
      </c>
      <c r="I776" s="25" t="s">
        <v>2925</v>
      </c>
      <c r="J776" t="s">
        <v>2926</v>
      </c>
      <c r="M776" s="49"/>
    </row>
    <row r="777" spans="6:13" x14ac:dyDescent="0.25">
      <c r="F777" t="s">
        <v>2949</v>
      </c>
      <c r="G777">
        <v>13357</v>
      </c>
      <c r="H777">
        <v>11000</v>
      </c>
      <c r="I777" s="25" t="s">
        <v>2925</v>
      </c>
      <c r="J777" t="s">
        <v>2926</v>
      </c>
      <c r="M777" s="49"/>
    </row>
    <row r="778" spans="6:13" x14ac:dyDescent="0.25">
      <c r="F778" t="s">
        <v>2950</v>
      </c>
      <c r="G778">
        <v>12353</v>
      </c>
      <c r="H778">
        <v>11000</v>
      </c>
      <c r="I778" s="25" t="s">
        <v>2925</v>
      </c>
      <c r="J778" t="s">
        <v>2926</v>
      </c>
      <c r="M778" s="49"/>
    </row>
    <row r="779" spans="6:13" x14ac:dyDescent="0.25">
      <c r="F779" t="s">
        <v>2951</v>
      </c>
      <c r="G779">
        <v>14193</v>
      </c>
      <c r="H779">
        <v>11000</v>
      </c>
      <c r="I779" s="25" t="s">
        <v>2925</v>
      </c>
      <c r="J779" t="s">
        <v>2926</v>
      </c>
      <c r="M779" s="49"/>
    </row>
    <row r="780" spans="6:13" x14ac:dyDescent="0.25">
      <c r="F780" t="s">
        <v>2952</v>
      </c>
      <c r="G780">
        <v>13587</v>
      </c>
      <c r="H780">
        <v>11000</v>
      </c>
      <c r="I780" s="25" t="s">
        <v>2925</v>
      </c>
      <c r="J780" t="s">
        <v>2926</v>
      </c>
      <c r="M780" s="49"/>
    </row>
    <row r="781" spans="6:13" x14ac:dyDescent="0.25">
      <c r="F781" t="s">
        <v>2953</v>
      </c>
      <c r="G781">
        <v>10711</v>
      </c>
      <c r="H781">
        <v>11000</v>
      </c>
      <c r="I781" s="25" t="s">
        <v>2925</v>
      </c>
      <c r="J781" t="s">
        <v>2926</v>
      </c>
      <c r="M781" s="49"/>
    </row>
    <row r="782" spans="6:13" x14ac:dyDescent="0.25">
      <c r="F782" t="s">
        <v>2954</v>
      </c>
      <c r="G782">
        <v>13599</v>
      </c>
      <c r="H782">
        <v>11000</v>
      </c>
      <c r="I782" s="25" t="s">
        <v>2925</v>
      </c>
      <c r="J782" t="s">
        <v>2926</v>
      </c>
      <c r="M782" s="49"/>
    </row>
    <row r="783" spans="6:13" x14ac:dyDescent="0.25">
      <c r="F783" t="s">
        <v>2955</v>
      </c>
      <c r="G783">
        <v>13089</v>
      </c>
      <c r="H783">
        <v>11000</v>
      </c>
      <c r="I783" s="25" t="s">
        <v>2925</v>
      </c>
      <c r="J783" t="s">
        <v>2926</v>
      </c>
      <c r="M783" s="49"/>
    </row>
    <row r="784" spans="6:13" x14ac:dyDescent="0.25">
      <c r="F784" t="s">
        <v>2956</v>
      </c>
      <c r="G784">
        <v>12627</v>
      </c>
      <c r="H784">
        <v>11000</v>
      </c>
      <c r="I784" s="25" t="s">
        <v>2925</v>
      </c>
      <c r="J784" t="s">
        <v>2926</v>
      </c>
      <c r="M784" s="49"/>
    </row>
    <row r="785" spans="6:13" x14ac:dyDescent="0.25">
      <c r="F785" t="s">
        <v>2957</v>
      </c>
      <c r="G785">
        <v>13467</v>
      </c>
      <c r="H785">
        <v>11000</v>
      </c>
      <c r="I785" s="25" t="s">
        <v>2925</v>
      </c>
      <c r="J785" t="s">
        <v>2926</v>
      </c>
      <c r="M785" s="49"/>
    </row>
    <row r="786" spans="6:13" x14ac:dyDescent="0.25">
      <c r="F786" t="s">
        <v>2958</v>
      </c>
      <c r="G786">
        <v>10318</v>
      </c>
      <c r="H786">
        <v>11000</v>
      </c>
      <c r="I786" s="25" t="s">
        <v>2925</v>
      </c>
      <c r="J786" t="s">
        <v>2926</v>
      </c>
      <c r="M786" s="49"/>
    </row>
    <row r="787" spans="6:13" x14ac:dyDescent="0.25">
      <c r="F787" t="s">
        <v>2959</v>
      </c>
      <c r="G787">
        <v>12621</v>
      </c>
      <c r="H787">
        <v>11000</v>
      </c>
      <c r="I787" s="25" t="s">
        <v>2925</v>
      </c>
      <c r="J787" t="s">
        <v>2926</v>
      </c>
      <c r="M787" s="49"/>
    </row>
    <row r="788" spans="6:13" x14ac:dyDescent="0.25">
      <c r="F788" t="s">
        <v>2960</v>
      </c>
      <c r="G788">
        <v>12559</v>
      </c>
      <c r="H788">
        <v>11000</v>
      </c>
      <c r="I788" s="25" t="s">
        <v>2925</v>
      </c>
      <c r="J788" t="s">
        <v>2926</v>
      </c>
      <c r="M788" s="49"/>
    </row>
    <row r="789" spans="6:13" x14ac:dyDescent="0.25">
      <c r="F789" t="s">
        <v>2960</v>
      </c>
      <c r="G789">
        <v>12559</v>
      </c>
      <c r="H789">
        <v>11000</v>
      </c>
      <c r="I789" s="25" t="s">
        <v>2925</v>
      </c>
      <c r="J789" t="s">
        <v>2926</v>
      </c>
      <c r="M789" s="49"/>
    </row>
    <row r="790" spans="6:13" x14ac:dyDescent="0.25">
      <c r="F790" t="s">
        <v>2961</v>
      </c>
      <c r="G790">
        <v>12555</v>
      </c>
      <c r="H790">
        <v>11000</v>
      </c>
      <c r="I790" s="25" t="s">
        <v>2925</v>
      </c>
      <c r="J790" t="s">
        <v>2926</v>
      </c>
      <c r="M790" s="49"/>
    </row>
    <row r="791" spans="6:13" x14ac:dyDescent="0.25">
      <c r="F791" t="s">
        <v>2962</v>
      </c>
      <c r="G791">
        <v>10963</v>
      </c>
      <c r="H791">
        <v>11000</v>
      </c>
      <c r="I791" s="25" t="s">
        <v>2925</v>
      </c>
      <c r="J791" t="s">
        <v>2926</v>
      </c>
      <c r="M791" s="49"/>
    </row>
    <row r="792" spans="6:13" x14ac:dyDescent="0.25">
      <c r="F792" t="s">
        <v>2962</v>
      </c>
      <c r="G792">
        <v>10997</v>
      </c>
      <c r="H792">
        <v>11000</v>
      </c>
      <c r="I792" s="25" t="s">
        <v>2925</v>
      </c>
      <c r="J792" t="s">
        <v>2926</v>
      </c>
      <c r="M792" s="49"/>
    </row>
    <row r="793" spans="6:13" x14ac:dyDescent="0.25">
      <c r="F793" t="s">
        <v>2962</v>
      </c>
      <c r="G793">
        <v>10969</v>
      </c>
      <c r="H793">
        <v>11000</v>
      </c>
      <c r="I793" s="25" t="s">
        <v>2925</v>
      </c>
      <c r="J793" t="s">
        <v>2926</v>
      </c>
      <c r="M793" s="49"/>
    </row>
    <row r="794" spans="6:13" x14ac:dyDescent="0.25">
      <c r="F794" t="s">
        <v>2962</v>
      </c>
      <c r="G794">
        <v>10961</v>
      </c>
      <c r="H794">
        <v>11000</v>
      </c>
      <c r="I794" s="25" t="s">
        <v>2925</v>
      </c>
      <c r="J794" t="s">
        <v>2926</v>
      </c>
      <c r="M794" s="49"/>
    </row>
    <row r="795" spans="6:13" x14ac:dyDescent="0.25">
      <c r="F795" t="s">
        <v>2962</v>
      </c>
      <c r="G795">
        <v>10965</v>
      </c>
      <c r="H795">
        <v>11000</v>
      </c>
      <c r="I795" s="25" t="s">
        <v>2925</v>
      </c>
      <c r="J795" t="s">
        <v>2926</v>
      </c>
      <c r="M795" s="49"/>
    </row>
    <row r="796" spans="6:13" x14ac:dyDescent="0.25">
      <c r="F796" t="s">
        <v>2962</v>
      </c>
      <c r="G796">
        <v>10967</v>
      </c>
      <c r="H796">
        <v>11000</v>
      </c>
      <c r="I796" s="25" t="s">
        <v>2925</v>
      </c>
      <c r="J796" t="s">
        <v>2926</v>
      </c>
      <c r="M796" s="49"/>
    </row>
    <row r="797" spans="6:13" x14ac:dyDescent="0.25">
      <c r="F797" t="s">
        <v>2962</v>
      </c>
      <c r="G797">
        <v>10999</v>
      </c>
      <c r="H797">
        <v>11000</v>
      </c>
      <c r="I797" s="25" t="s">
        <v>2925</v>
      </c>
      <c r="J797" t="s">
        <v>2926</v>
      </c>
      <c r="M797" s="49"/>
    </row>
    <row r="798" spans="6:13" x14ac:dyDescent="0.25">
      <c r="F798" t="s">
        <v>2962</v>
      </c>
      <c r="G798">
        <v>12047</v>
      </c>
      <c r="H798">
        <v>11000</v>
      </c>
      <c r="I798" s="25" t="s">
        <v>2925</v>
      </c>
      <c r="J798" t="s">
        <v>2926</v>
      </c>
      <c r="M798" s="49"/>
    </row>
    <row r="799" spans="6:13" x14ac:dyDescent="0.25">
      <c r="F799" t="s">
        <v>2963</v>
      </c>
      <c r="G799">
        <v>12247</v>
      </c>
      <c r="H799">
        <v>11000</v>
      </c>
      <c r="I799" s="25" t="s">
        <v>2925</v>
      </c>
      <c r="J799" t="s">
        <v>2926</v>
      </c>
      <c r="M799" s="49"/>
    </row>
    <row r="800" spans="6:13" x14ac:dyDescent="0.25">
      <c r="F800" t="s">
        <v>2963</v>
      </c>
      <c r="G800">
        <v>12249</v>
      </c>
      <c r="H800">
        <v>11000</v>
      </c>
      <c r="I800" s="25" t="s">
        <v>2925</v>
      </c>
      <c r="J800" t="s">
        <v>2926</v>
      </c>
      <c r="M800" s="49"/>
    </row>
    <row r="801" spans="6:13" x14ac:dyDescent="0.25">
      <c r="F801" t="s">
        <v>2964</v>
      </c>
      <c r="G801">
        <v>10369</v>
      </c>
      <c r="H801">
        <v>11000</v>
      </c>
      <c r="I801" s="25" t="s">
        <v>2925</v>
      </c>
      <c r="J801" t="s">
        <v>2926</v>
      </c>
      <c r="M801" s="49"/>
    </row>
    <row r="802" spans="6:13" x14ac:dyDescent="0.25">
      <c r="F802" t="s">
        <v>2964</v>
      </c>
      <c r="G802">
        <v>10367</v>
      </c>
      <c r="H802">
        <v>11000</v>
      </c>
      <c r="I802" s="25" t="s">
        <v>2925</v>
      </c>
      <c r="J802" t="s">
        <v>2926</v>
      </c>
      <c r="M802" s="49"/>
    </row>
    <row r="803" spans="6:13" x14ac:dyDescent="0.25">
      <c r="F803" t="s">
        <v>2964</v>
      </c>
      <c r="G803">
        <v>10365</v>
      </c>
      <c r="H803">
        <v>11000</v>
      </c>
      <c r="I803" s="25" t="s">
        <v>2925</v>
      </c>
      <c r="J803" t="s">
        <v>2926</v>
      </c>
      <c r="M803" s="49"/>
    </row>
    <row r="804" spans="6:13" x14ac:dyDescent="0.25">
      <c r="F804" t="s">
        <v>2965</v>
      </c>
      <c r="G804">
        <v>12207</v>
      </c>
      <c r="H804">
        <v>11000</v>
      </c>
      <c r="I804" s="25" t="s">
        <v>2925</v>
      </c>
      <c r="J804" t="s">
        <v>2926</v>
      </c>
      <c r="M804" s="49"/>
    </row>
    <row r="805" spans="6:13" x14ac:dyDescent="0.25">
      <c r="F805" t="s">
        <v>2965</v>
      </c>
      <c r="G805">
        <v>12203</v>
      </c>
      <c r="H805">
        <v>11000</v>
      </c>
      <c r="I805" s="25" t="s">
        <v>2925</v>
      </c>
      <c r="J805" t="s">
        <v>2926</v>
      </c>
      <c r="M805" s="49"/>
    </row>
    <row r="806" spans="6:13" x14ac:dyDescent="0.25">
      <c r="F806" t="s">
        <v>2965</v>
      </c>
      <c r="G806">
        <v>12205</v>
      </c>
      <c r="H806">
        <v>11000</v>
      </c>
      <c r="I806" s="25" t="s">
        <v>2925</v>
      </c>
      <c r="J806" t="s">
        <v>2926</v>
      </c>
      <c r="M806" s="49"/>
    </row>
    <row r="807" spans="6:13" x14ac:dyDescent="0.25">
      <c r="F807" t="s">
        <v>2966</v>
      </c>
      <c r="G807">
        <v>13469</v>
      </c>
      <c r="H807">
        <v>11000</v>
      </c>
      <c r="I807" s="25" t="s">
        <v>2925</v>
      </c>
      <c r="J807" t="s">
        <v>2926</v>
      </c>
      <c r="M807" s="49"/>
    </row>
    <row r="808" spans="6:13" x14ac:dyDescent="0.25">
      <c r="F808" t="s">
        <v>2967</v>
      </c>
      <c r="G808">
        <v>12623</v>
      </c>
      <c r="H808">
        <v>11000</v>
      </c>
      <c r="I808" s="25" t="s">
        <v>2925</v>
      </c>
      <c r="J808" t="s">
        <v>2926</v>
      </c>
      <c r="M808" s="49"/>
    </row>
    <row r="809" spans="6:13" x14ac:dyDescent="0.25">
      <c r="F809" t="s">
        <v>2967</v>
      </c>
      <c r="G809">
        <v>12623</v>
      </c>
      <c r="H809">
        <v>11000</v>
      </c>
      <c r="I809" s="25" t="s">
        <v>2925</v>
      </c>
      <c r="J809" t="s">
        <v>2926</v>
      </c>
      <c r="M809" s="49"/>
    </row>
    <row r="810" spans="6:13" x14ac:dyDescent="0.25">
      <c r="F810" t="s">
        <v>2968</v>
      </c>
      <c r="G810">
        <v>12105</v>
      </c>
      <c r="H810">
        <v>11000</v>
      </c>
      <c r="I810" s="25" t="s">
        <v>2925</v>
      </c>
      <c r="J810" t="s">
        <v>2926</v>
      </c>
      <c r="M810" s="49"/>
    </row>
    <row r="811" spans="6:13" x14ac:dyDescent="0.25">
      <c r="F811" t="s">
        <v>2968</v>
      </c>
      <c r="G811">
        <v>12109</v>
      </c>
      <c r="H811">
        <v>11000</v>
      </c>
      <c r="I811" s="25" t="s">
        <v>2925</v>
      </c>
      <c r="J811" t="s">
        <v>2926</v>
      </c>
      <c r="M811" s="49"/>
    </row>
    <row r="812" spans="6:13" x14ac:dyDescent="0.25">
      <c r="F812" t="s">
        <v>2968</v>
      </c>
      <c r="G812">
        <v>12107</v>
      </c>
      <c r="H812">
        <v>11000</v>
      </c>
      <c r="I812" s="25" t="s">
        <v>2925</v>
      </c>
      <c r="J812" t="s">
        <v>2926</v>
      </c>
      <c r="M812" s="49"/>
    </row>
    <row r="813" spans="6:13" x14ac:dyDescent="0.25">
      <c r="F813" t="s">
        <v>2968</v>
      </c>
      <c r="G813">
        <v>12107</v>
      </c>
      <c r="H813">
        <v>11000</v>
      </c>
      <c r="I813" s="25" t="s">
        <v>2925</v>
      </c>
      <c r="J813" t="s">
        <v>2926</v>
      </c>
      <c r="M813" s="49"/>
    </row>
    <row r="814" spans="6:13" x14ac:dyDescent="0.25">
      <c r="F814" t="s">
        <v>2969</v>
      </c>
      <c r="G814">
        <v>13439</v>
      </c>
      <c r="H814">
        <v>11000</v>
      </c>
      <c r="I814" s="25" t="s">
        <v>2925</v>
      </c>
      <c r="J814" t="s">
        <v>2926</v>
      </c>
      <c r="M814" s="49"/>
    </row>
    <row r="815" spans="6:13" x14ac:dyDescent="0.25">
      <c r="F815" t="s">
        <v>2969</v>
      </c>
      <c r="G815">
        <v>13435</v>
      </c>
      <c r="H815">
        <v>11000</v>
      </c>
      <c r="I815" s="25" t="s">
        <v>2925</v>
      </c>
      <c r="J815" t="s">
        <v>2926</v>
      </c>
      <c r="M815" s="49"/>
    </row>
    <row r="816" spans="6:13" x14ac:dyDescent="0.25">
      <c r="F816" t="s">
        <v>2970</v>
      </c>
      <c r="G816">
        <v>10178</v>
      </c>
      <c r="H816">
        <v>11000</v>
      </c>
      <c r="I816" s="25" t="s">
        <v>2925</v>
      </c>
      <c r="J816" t="s">
        <v>2926</v>
      </c>
      <c r="M816" s="49"/>
    </row>
    <row r="817" spans="6:13" x14ac:dyDescent="0.25">
      <c r="F817" t="s">
        <v>2970</v>
      </c>
      <c r="G817">
        <v>10115</v>
      </c>
      <c r="H817">
        <v>11000</v>
      </c>
      <c r="I817" s="25" t="s">
        <v>2925</v>
      </c>
      <c r="J817" t="s">
        <v>2926</v>
      </c>
      <c r="M817" s="49"/>
    </row>
    <row r="818" spans="6:13" x14ac:dyDescent="0.25">
      <c r="F818" t="s">
        <v>2970</v>
      </c>
      <c r="G818">
        <v>10119</v>
      </c>
      <c r="H818">
        <v>11000</v>
      </c>
      <c r="I818" s="25" t="s">
        <v>2925</v>
      </c>
      <c r="J818" t="s">
        <v>2926</v>
      </c>
      <c r="M818" s="49"/>
    </row>
    <row r="819" spans="6:13" x14ac:dyDescent="0.25">
      <c r="F819" t="s">
        <v>2970</v>
      </c>
      <c r="G819">
        <v>10179</v>
      </c>
      <c r="H819">
        <v>11000</v>
      </c>
      <c r="I819" s="25" t="s">
        <v>2925</v>
      </c>
      <c r="J819" t="s">
        <v>2926</v>
      </c>
      <c r="M819" s="49"/>
    </row>
    <row r="820" spans="6:13" x14ac:dyDescent="0.25">
      <c r="F820" t="s">
        <v>2970</v>
      </c>
      <c r="G820">
        <v>10117</v>
      </c>
      <c r="H820">
        <v>11000</v>
      </c>
      <c r="I820" s="25" t="s">
        <v>2925</v>
      </c>
      <c r="J820" t="s">
        <v>2926</v>
      </c>
      <c r="M820" s="49"/>
    </row>
    <row r="821" spans="6:13" x14ac:dyDescent="0.25">
      <c r="F821" t="s">
        <v>2971</v>
      </c>
      <c r="G821">
        <v>10553</v>
      </c>
      <c r="H821">
        <v>11000</v>
      </c>
      <c r="I821" s="25" t="s">
        <v>2925</v>
      </c>
      <c r="J821" t="s">
        <v>2926</v>
      </c>
      <c r="M821" s="49"/>
    </row>
    <row r="822" spans="6:13" x14ac:dyDescent="0.25">
      <c r="F822" t="s">
        <v>2971</v>
      </c>
      <c r="G822">
        <v>10555</v>
      </c>
      <c r="H822">
        <v>11000</v>
      </c>
      <c r="I822" s="25" t="s">
        <v>2925</v>
      </c>
      <c r="J822" t="s">
        <v>2926</v>
      </c>
      <c r="M822" s="49"/>
    </row>
    <row r="823" spans="6:13" x14ac:dyDescent="0.25">
      <c r="F823" t="s">
        <v>2971</v>
      </c>
      <c r="G823">
        <v>10559</v>
      </c>
      <c r="H823">
        <v>11000</v>
      </c>
      <c r="I823" s="25" t="s">
        <v>2925</v>
      </c>
      <c r="J823" t="s">
        <v>2926</v>
      </c>
      <c r="M823" s="49"/>
    </row>
    <row r="824" spans="6:13" x14ac:dyDescent="0.25">
      <c r="F824" t="s">
        <v>2971</v>
      </c>
      <c r="G824">
        <v>10557</v>
      </c>
      <c r="H824">
        <v>11000</v>
      </c>
      <c r="I824" s="25" t="s">
        <v>2925</v>
      </c>
      <c r="J824" t="s">
        <v>2926</v>
      </c>
      <c r="M824" s="49"/>
    </row>
    <row r="825" spans="6:13" x14ac:dyDescent="0.25">
      <c r="F825" t="s">
        <v>2971</v>
      </c>
      <c r="G825">
        <v>10551</v>
      </c>
      <c r="H825">
        <v>11000</v>
      </c>
      <c r="I825" s="25" t="s">
        <v>2925</v>
      </c>
      <c r="J825" t="s">
        <v>2926</v>
      </c>
      <c r="M825" s="49"/>
    </row>
    <row r="826" spans="6:13" x14ac:dyDescent="0.25">
      <c r="F826" t="s">
        <v>2972</v>
      </c>
      <c r="G826">
        <v>12053</v>
      </c>
      <c r="H826">
        <v>11000</v>
      </c>
      <c r="I826" s="25" t="s">
        <v>2925</v>
      </c>
      <c r="J826" t="s">
        <v>2926</v>
      </c>
      <c r="M826" s="49"/>
    </row>
    <row r="827" spans="6:13" x14ac:dyDescent="0.25">
      <c r="F827" t="s">
        <v>2972</v>
      </c>
      <c r="G827">
        <v>12059</v>
      </c>
      <c r="H827">
        <v>11000</v>
      </c>
      <c r="I827" s="25" t="s">
        <v>2925</v>
      </c>
      <c r="J827" t="s">
        <v>2926</v>
      </c>
      <c r="M827" s="49"/>
    </row>
    <row r="828" spans="6:13" x14ac:dyDescent="0.25">
      <c r="F828" t="s">
        <v>2972</v>
      </c>
      <c r="G828">
        <v>12049</v>
      </c>
      <c r="H828">
        <v>11000</v>
      </c>
      <c r="I828" s="25" t="s">
        <v>2925</v>
      </c>
      <c r="J828" t="s">
        <v>2926</v>
      </c>
      <c r="M828" s="49"/>
    </row>
    <row r="829" spans="6:13" x14ac:dyDescent="0.25">
      <c r="F829" t="s">
        <v>2972</v>
      </c>
      <c r="G829">
        <v>12045</v>
      </c>
      <c r="H829">
        <v>11000</v>
      </c>
      <c r="I829" s="25" t="s">
        <v>2925</v>
      </c>
      <c r="J829" t="s">
        <v>2926</v>
      </c>
      <c r="M829" s="49"/>
    </row>
    <row r="830" spans="6:13" x14ac:dyDescent="0.25">
      <c r="F830" t="s">
        <v>2972</v>
      </c>
      <c r="G830">
        <v>12057</v>
      </c>
      <c r="H830">
        <v>11000</v>
      </c>
      <c r="I830" s="25" t="s">
        <v>2925</v>
      </c>
      <c r="J830" t="s">
        <v>2926</v>
      </c>
      <c r="M830" s="49"/>
    </row>
    <row r="831" spans="6:13" x14ac:dyDescent="0.25">
      <c r="F831" t="s">
        <v>2972</v>
      </c>
      <c r="G831">
        <v>12051</v>
      </c>
      <c r="H831">
        <v>11000</v>
      </c>
      <c r="I831" s="25" t="s">
        <v>2925</v>
      </c>
      <c r="J831" t="s">
        <v>2926</v>
      </c>
      <c r="M831" s="49"/>
    </row>
    <row r="832" spans="6:13" x14ac:dyDescent="0.25">
      <c r="F832" t="s">
        <v>2972</v>
      </c>
      <c r="G832">
        <v>12059</v>
      </c>
      <c r="H832">
        <v>11000</v>
      </c>
      <c r="I832" s="25" t="s">
        <v>2925</v>
      </c>
      <c r="J832" t="s">
        <v>2926</v>
      </c>
      <c r="M832" s="49"/>
    </row>
    <row r="833" spans="6:13" x14ac:dyDescent="0.25">
      <c r="F833" t="s">
        <v>2972</v>
      </c>
      <c r="G833">
        <v>12043</v>
      </c>
      <c r="H833">
        <v>11000</v>
      </c>
      <c r="I833" s="25" t="s">
        <v>2925</v>
      </c>
      <c r="J833" t="s">
        <v>2926</v>
      </c>
      <c r="M833" s="49"/>
    </row>
    <row r="834" spans="6:13" x14ac:dyDescent="0.25">
      <c r="F834" t="s">
        <v>2972</v>
      </c>
      <c r="G834">
        <v>12055</v>
      </c>
      <c r="H834">
        <v>11000</v>
      </c>
      <c r="I834" s="25" t="s">
        <v>2925</v>
      </c>
      <c r="J834" t="s">
        <v>2926</v>
      </c>
      <c r="M834" s="49"/>
    </row>
    <row r="835" spans="6:13" x14ac:dyDescent="0.25">
      <c r="F835" t="s">
        <v>2973</v>
      </c>
      <c r="G835">
        <v>13051</v>
      </c>
      <c r="H835">
        <v>11000</v>
      </c>
      <c r="I835" s="25" t="s">
        <v>2925</v>
      </c>
      <c r="J835" t="s">
        <v>2926</v>
      </c>
      <c r="M835" s="49"/>
    </row>
    <row r="836" spans="6:13" x14ac:dyDescent="0.25">
      <c r="F836" t="s">
        <v>2974</v>
      </c>
      <c r="G836">
        <v>12439</v>
      </c>
      <c r="H836">
        <v>11000</v>
      </c>
      <c r="I836" s="25" t="s">
        <v>2925</v>
      </c>
      <c r="J836" t="s">
        <v>2926</v>
      </c>
      <c r="M836" s="49"/>
    </row>
    <row r="837" spans="6:13" x14ac:dyDescent="0.25">
      <c r="F837" t="s">
        <v>2975</v>
      </c>
      <c r="G837">
        <v>13156</v>
      </c>
      <c r="H837">
        <v>11000</v>
      </c>
      <c r="I837" s="25" t="s">
        <v>2925</v>
      </c>
      <c r="J837" t="s">
        <v>2926</v>
      </c>
      <c r="M837" s="49"/>
    </row>
    <row r="838" spans="6:13" x14ac:dyDescent="0.25">
      <c r="F838" t="s">
        <v>2976</v>
      </c>
      <c r="G838">
        <v>14129</v>
      </c>
      <c r="H838">
        <v>11000</v>
      </c>
      <c r="I838" s="25" t="s">
        <v>2925</v>
      </c>
      <c r="J838" t="s">
        <v>2926</v>
      </c>
      <c r="M838" s="49"/>
    </row>
    <row r="839" spans="6:13" x14ac:dyDescent="0.25">
      <c r="F839" t="s">
        <v>2977</v>
      </c>
      <c r="G839">
        <v>12459</v>
      </c>
      <c r="H839">
        <v>11000</v>
      </c>
      <c r="I839" s="25" t="s">
        <v>2925</v>
      </c>
      <c r="J839" t="s">
        <v>2926</v>
      </c>
      <c r="M839" s="49"/>
    </row>
    <row r="840" spans="6:13" x14ac:dyDescent="0.25">
      <c r="F840" t="s">
        <v>2978</v>
      </c>
      <c r="G840">
        <v>13189</v>
      </c>
      <c r="H840">
        <v>11000</v>
      </c>
      <c r="I840" s="25" t="s">
        <v>2925</v>
      </c>
      <c r="J840" t="s">
        <v>2926</v>
      </c>
      <c r="M840" s="49"/>
    </row>
    <row r="841" spans="6:13" x14ac:dyDescent="0.25">
      <c r="F841" t="s">
        <v>2978</v>
      </c>
      <c r="G841">
        <v>13187</v>
      </c>
      <c r="H841">
        <v>11000</v>
      </c>
      <c r="I841" s="25" t="s">
        <v>2925</v>
      </c>
      <c r="J841" t="s">
        <v>2926</v>
      </c>
      <c r="M841" s="49"/>
    </row>
    <row r="842" spans="6:13" x14ac:dyDescent="0.25">
      <c r="F842" t="s">
        <v>2979</v>
      </c>
      <c r="G842">
        <v>10439</v>
      </c>
      <c r="H842">
        <v>11000</v>
      </c>
      <c r="I842" s="25" t="s">
        <v>2925</v>
      </c>
      <c r="J842" t="s">
        <v>2926</v>
      </c>
      <c r="M842" s="49"/>
    </row>
    <row r="843" spans="6:13" x14ac:dyDescent="0.25">
      <c r="F843" t="s">
        <v>2979</v>
      </c>
      <c r="G843">
        <v>10409</v>
      </c>
      <c r="H843">
        <v>11000</v>
      </c>
      <c r="I843" s="25" t="s">
        <v>2925</v>
      </c>
      <c r="J843" t="s">
        <v>2926</v>
      </c>
      <c r="M843" s="49"/>
    </row>
    <row r="844" spans="6:13" x14ac:dyDescent="0.25">
      <c r="F844" t="s">
        <v>2979</v>
      </c>
      <c r="G844">
        <v>10407</v>
      </c>
      <c r="H844">
        <v>11000</v>
      </c>
      <c r="I844" s="25" t="s">
        <v>2925</v>
      </c>
      <c r="J844" t="s">
        <v>2926</v>
      </c>
      <c r="M844" s="49"/>
    </row>
    <row r="845" spans="6:13" x14ac:dyDescent="0.25">
      <c r="F845" t="s">
        <v>2979</v>
      </c>
      <c r="G845">
        <v>10435</v>
      </c>
      <c r="H845">
        <v>11000</v>
      </c>
      <c r="I845" s="25" t="s">
        <v>2925</v>
      </c>
      <c r="J845" t="s">
        <v>2926</v>
      </c>
      <c r="M845" s="49"/>
    </row>
    <row r="846" spans="6:13" x14ac:dyDescent="0.25">
      <c r="F846" t="s">
        <v>2979</v>
      </c>
      <c r="G846">
        <v>10437</v>
      </c>
      <c r="H846">
        <v>11000</v>
      </c>
      <c r="I846" s="25" t="s">
        <v>2925</v>
      </c>
      <c r="J846" t="s">
        <v>2926</v>
      </c>
      <c r="M846" s="49"/>
    </row>
    <row r="847" spans="6:13" x14ac:dyDescent="0.25">
      <c r="F847" t="s">
        <v>2979</v>
      </c>
      <c r="G847">
        <v>10405</v>
      </c>
      <c r="H847">
        <v>11000</v>
      </c>
      <c r="I847" s="25" t="s">
        <v>2925</v>
      </c>
      <c r="J847" t="s">
        <v>2926</v>
      </c>
      <c r="M847" s="49"/>
    </row>
    <row r="848" spans="6:13" x14ac:dyDescent="0.25">
      <c r="F848" t="s">
        <v>2980</v>
      </c>
      <c r="G848">
        <v>12589</v>
      </c>
      <c r="H848">
        <v>11000</v>
      </c>
      <c r="I848" s="25" t="s">
        <v>2925</v>
      </c>
      <c r="J848" t="s">
        <v>2926</v>
      </c>
      <c r="M848" s="49"/>
    </row>
    <row r="849" spans="6:13" x14ac:dyDescent="0.25">
      <c r="F849" t="s">
        <v>2981</v>
      </c>
      <c r="G849">
        <v>13509</v>
      </c>
      <c r="H849">
        <v>11000</v>
      </c>
      <c r="I849" s="25" t="s">
        <v>2925</v>
      </c>
      <c r="J849" t="s">
        <v>2926</v>
      </c>
      <c r="M849" s="49"/>
    </row>
    <row r="850" spans="6:13" x14ac:dyDescent="0.25">
      <c r="F850" t="s">
        <v>2981</v>
      </c>
      <c r="G850">
        <v>13403</v>
      </c>
      <c r="H850">
        <v>11000</v>
      </c>
      <c r="I850" s="25" t="s">
        <v>2925</v>
      </c>
      <c r="J850" t="s">
        <v>2926</v>
      </c>
      <c r="M850" s="49"/>
    </row>
    <row r="851" spans="6:13" x14ac:dyDescent="0.25">
      <c r="F851" t="s">
        <v>2981</v>
      </c>
      <c r="G851">
        <v>13437</v>
      </c>
      <c r="H851">
        <v>11000</v>
      </c>
      <c r="I851" s="25" t="s">
        <v>2925</v>
      </c>
      <c r="J851" t="s">
        <v>2926</v>
      </c>
      <c r="M851" s="49"/>
    </row>
    <row r="852" spans="6:13" x14ac:dyDescent="0.25">
      <c r="F852" t="s">
        <v>2982</v>
      </c>
      <c r="G852">
        <v>13158</v>
      </c>
      <c r="H852">
        <v>11000</v>
      </c>
      <c r="I852" s="25" t="s">
        <v>2925</v>
      </c>
      <c r="J852" t="s">
        <v>2926</v>
      </c>
      <c r="M852" s="49"/>
    </row>
    <row r="853" spans="6:13" x14ac:dyDescent="0.25">
      <c r="F853" t="s">
        <v>2983</v>
      </c>
      <c r="G853">
        <v>12355</v>
      </c>
      <c r="H853">
        <v>11000</v>
      </c>
      <c r="I853" s="25" t="s">
        <v>2925</v>
      </c>
      <c r="J853" t="s">
        <v>2926</v>
      </c>
      <c r="M853" s="49"/>
    </row>
    <row r="854" spans="6:13" x14ac:dyDescent="0.25">
      <c r="F854" t="s">
        <v>2983</v>
      </c>
      <c r="G854">
        <v>12357</v>
      </c>
      <c r="H854">
        <v>11000</v>
      </c>
      <c r="I854" s="25" t="s">
        <v>2925</v>
      </c>
      <c r="J854" t="s">
        <v>2926</v>
      </c>
      <c r="M854" s="49"/>
    </row>
    <row r="855" spans="6:13" x14ac:dyDescent="0.25">
      <c r="F855" t="s">
        <v>2984</v>
      </c>
      <c r="G855">
        <v>10317</v>
      </c>
      <c r="H855">
        <v>11000</v>
      </c>
      <c r="I855" s="25" t="s">
        <v>2925</v>
      </c>
      <c r="J855" t="s">
        <v>2926</v>
      </c>
      <c r="M855" s="49"/>
    </row>
    <row r="856" spans="6:13" x14ac:dyDescent="0.25">
      <c r="F856" t="s">
        <v>2985</v>
      </c>
      <c r="G856">
        <v>14199</v>
      </c>
      <c r="H856">
        <v>11000</v>
      </c>
      <c r="I856" s="25" t="s">
        <v>2925</v>
      </c>
      <c r="J856" t="s">
        <v>2926</v>
      </c>
      <c r="M856" s="49"/>
    </row>
    <row r="857" spans="6:13" x14ac:dyDescent="0.25">
      <c r="F857" t="s">
        <v>2986</v>
      </c>
      <c r="G857">
        <v>12527</v>
      </c>
      <c r="H857">
        <v>11000</v>
      </c>
      <c r="I857" s="25" t="s">
        <v>2925</v>
      </c>
      <c r="J857" t="s">
        <v>2926</v>
      </c>
      <c r="M857" s="49"/>
    </row>
    <row r="858" spans="6:13" x14ac:dyDescent="0.25">
      <c r="F858" t="s">
        <v>2987</v>
      </c>
      <c r="G858">
        <v>10779</v>
      </c>
      <c r="H858">
        <v>11000</v>
      </c>
      <c r="I858" s="25" t="s">
        <v>2925</v>
      </c>
      <c r="J858" t="s">
        <v>2926</v>
      </c>
      <c r="M858" s="49"/>
    </row>
    <row r="859" spans="6:13" x14ac:dyDescent="0.25">
      <c r="F859" t="s">
        <v>2987</v>
      </c>
      <c r="G859">
        <v>10789</v>
      </c>
      <c r="H859">
        <v>11000</v>
      </c>
      <c r="I859" s="25" t="s">
        <v>2925</v>
      </c>
      <c r="J859" t="s">
        <v>2926</v>
      </c>
      <c r="M859" s="49"/>
    </row>
    <row r="860" spans="6:13" x14ac:dyDescent="0.25">
      <c r="F860" t="s">
        <v>2987</v>
      </c>
      <c r="G860">
        <v>10781</v>
      </c>
      <c r="H860">
        <v>11000</v>
      </c>
      <c r="I860" s="25" t="s">
        <v>2925</v>
      </c>
      <c r="J860" t="s">
        <v>2926</v>
      </c>
      <c r="M860" s="49"/>
    </row>
    <row r="861" spans="6:13" x14ac:dyDescent="0.25">
      <c r="F861" t="s">
        <v>2987</v>
      </c>
      <c r="G861">
        <v>10783</v>
      </c>
      <c r="H861">
        <v>11000</v>
      </c>
      <c r="I861" s="25" t="s">
        <v>2925</v>
      </c>
      <c r="J861" t="s">
        <v>2926</v>
      </c>
      <c r="M861" s="49"/>
    </row>
    <row r="862" spans="6:13" x14ac:dyDescent="0.25">
      <c r="F862" t="s">
        <v>2987</v>
      </c>
      <c r="G862">
        <v>10829</v>
      </c>
      <c r="H862">
        <v>11000</v>
      </c>
      <c r="I862" s="25" t="s">
        <v>2925</v>
      </c>
      <c r="J862" t="s">
        <v>2926</v>
      </c>
      <c r="M862" s="49"/>
    </row>
    <row r="863" spans="6:13" x14ac:dyDescent="0.25">
      <c r="F863" t="s">
        <v>2987</v>
      </c>
      <c r="G863">
        <v>12157</v>
      </c>
      <c r="H863">
        <v>11000</v>
      </c>
      <c r="I863" s="25" t="s">
        <v>2925</v>
      </c>
      <c r="J863" t="s">
        <v>2926</v>
      </c>
      <c r="M863" s="49"/>
    </row>
    <row r="864" spans="6:13" x14ac:dyDescent="0.25">
      <c r="F864" t="s">
        <v>2988</v>
      </c>
      <c r="G864">
        <v>13629</v>
      </c>
      <c r="H864">
        <v>11000</v>
      </c>
      <c r="I864" s="25" t="s">
        <v>2925</v>
      </c>
      <c r="J864" t="s">
        <v>2926</v>
      </c>
      <c r="M864" s="49"/>
    </row>
    <row r="865" spans="6:13" x14ac:dyDescent="0.25">
      <c r="F865" t="s">
        <v>2989</v>
      </c>
      <c r="G865">
        <v>13585</v>
      </c>
      <c r="H865">
        <v>11000</v>
      </c>
      <c r="I865" s="25" t="s">
        <v>2925</v>
      </c>
      <c r="J865" t="s">
        <v>2926</v>
      </c>
      <c r="M865" s="49"/>
    </row>
    <row r="866" spans="6:13" x14ac:dyDescent="0.25">
      <c r="F866" t="s">
        <v>2989</v>
      </c>
      <c r="G866">
        <v>13581</v>
      </c>
      <c r="H866">
        <v>11000</v>
      </c>
      <c r="I866" s="25" t="s">
        <v>2925</v>
      </c>
      <c r="J866" t="s">
        <v>2926</v>
      </c>
      <c r="M866" s="49"/>
    </row>
    <row r="867" spans="6:13" x14ac:dyDescent="0.25">
      <c r="F867" t="s">
        <v>2989</v>
      </c>
      <c r="G867">
        <v>13597</v>
      </c>
      <c r="H867">
        <v>11000</v>
      </c>
      <c r="I867" s="25" t="s">
        <v>2925</v>
      </c>
      <c r="J867" t="s">
        <v>2926</v>
      </c>
      <c r="M867" s="49"/>
    </row>
    <row r="868" spans="6:13" x14ac:dyDescent="0.25">
      <c r="F868" t="s">
        <v>2989</v>
      </c>
      <c r="G868">
        <v>13583</v>
      </c>
      <c r="H868">
        <v>11000</v>
      </c>
      <c r="I868" s="25" t="s">
        <v>2925</v>
      </c>
      <c r="J868" t="s">
        <v>2926</v>
      </c>
      <c r="M868" s="49"/>
    </row>
    <row r="869" spans="6:13" x14ac:dyDescent="0.25">
      <c r="F869" t="s">
        <v>2990</v>
      </c>
      <c r="G869">
        <v>13591</v>
      </c>
      <c r="H869">
        <v>11000</v>
      </c>
      <c r="I869" s="25" t="s">
        <v>2925</v>
      </c>
      <c r="J869" t="s">
        <v>2926</v>
      </c>
      <c r="M869" s="49"/>
    </row>
    <row r="870" spans="6:13" x14ac:dyDescent="0.25">
      <c r="F870" t="s">
        <v>2991</v>
      </c>
      <c r="G870">
        <v>12165</v>
      </c>
      <c r="H870">
        <v>11000</v>
      </c>
      <c r="I870" s="25" t="s">
        <v>2925</v>
      </c>
      <c r="J870" t="s">
        <v>2926</v>
      </c>
      <c r="M870" s="49"/>
    </row>
    <row r="871" spans="6:13" x14ac:dyDescent="0.25">
      <c r="F871" t="s">
        <v>2991</v>
      </c>
      <c r="G871">
        <v>12167</v>
      </c>
      <c r="H871">
        <v>11000</v>
      </c>
      <c r="I871" s="25" t="s">
        <v>2925</v>
      </c>
      <c r="J871" t="s">
        <v>2926</v>
      </c>
      <c r="M871" s="49"/>
    </row>
    <row r="872" spans="6:13" x14ac:dyDescent="0.25">
      <c r="F872" t="s">
        <v>2991</v>
      </c>
      <c r="G872">
        <v>12169</v>
      </c>
      <c r="H872">
        <v>11000</v>
      </c>
      <c r="I872" s="25" t="s">
        <v>2925</v>
      </c>
      <c r="J872" t="s">
        <v>2926</v>
      </c>
      <c r="M872" s="49"/>
    </row>
    <row r="873" spans="6:13" x14ac:dyDescent="0.25">
      <c r="F873" t="s">
        <v>2991</v>
      </c>
      <c r="G873">
        <v>12163</v>
      </c>
      <c r="H873">
        <v>11000</v>
      </c>
      <c r="I873" s="25" t="s">
        <v>2925</v>
      </c>
      <c r="J873" t="s">
        <v>2926</v>
      </c>
      <c r="M873" s="49"/>
    </row>
    <row r="874" spans="6:13" x14ac:dyDescent="0.25">
      <c r="F874" t="s">
        <v>2992</v>
      </c>
      <c r="G874">
        <v>13503</v>
      </c>
      <c r="H874">
        <v>11000</v>
      </c>
      <c r="I874" s="25" t="s">
        <v>2925</v>
      </c>
      <c r="J874" t="s">
        <v>2926</v>
      </c>
      <c r="M874" s="49"/>
    </row>
    <row r="875" spans="6:13" x14ac:dyDescent="0.25">
      <c r="F875" t="s">
        <v>2992</v>
      </c>
      <c r="G875">
        <v>13507</v>
      </c>
      <c r="H875">
        <v>11000</v>
      </c>
      <c r="I875" s="25" t="s">
        <v>2925</v>
      </c>
      <c r="J875" t="s">
        <v>2926</v>
      </c>
      <c r="M875" s="49"/>
    </row>
    <row r="876" spans="6:13" x14ac:dyDescent="0.25">
      <c r="F876" t="s">
        <v>2992</v>
      </c>
      <c r="G876">
        <v>13505</v>
      </c>
      <c r="H876">
        <v>11000</v>
      </c>
      <c r="I876" s="25" t="s">
        <v>2925</v>
      </c>
      <c r="J876" t="s">
        <v>2926</v>
      </c>
      <c r="M876" s="49"/>
    </row>
    <row r="877" spans="6:13" x14ac:dyDescent="0.25">
      <c r="F877" t="s">
        <v>2993</v>
      </c>
      <c r="G877">
        <v>12489</v>
      </c>
      <c r="H877">
        <v>11000</v>
      </c>
      <c r="I877" s="25" t="s">
        <v>2925</v>
      </c>
      <c r="J877" t="s">
        <v>2926</v>
      </c>
      <c r="M877" s="49"/>
    </row>
    <row r="878" spans="6:13" x14ac:dyDescent="0.25">
      <c r="F878" t="s">
        <v>2994</v>
      </c>
      <c r="G878">
        <v>12099</v>
      </c>
      <c r="H878">
        <v>11000</v>
      </c>
      <c r="I878" s="25" t="s">
        <v>2925</v>
      </c>
      <c r="J878" t="s">
        <v>2926</v>
      </c>
      <c r="M878" s="49"/>
    </row>
    <row r="879" spans="6:13" x14ac:dyDescent="0.25">
      <c r="F879" t="s">
        <v>2994</v>
      </c>
      <c r="G879">
        <v>12101</v>
      </c>
      <c r="H879">
        <v>11000</v>
      </c>
      <c r="I879" s="25" t="s">
        <v>2925</v>
      </c>
      <c r="J879" t="s">
        <v>2926</v>
      </c>
      <c r="M879" s="49"/>
    </row>
    <row r="880" spans="6:13" x14ac:dyDescent="0.25">
      <c r="F880" t="s">
        <v>2994</v>
      </c>
      <c r="G880">
        <v>12103</v>
      </c>
      <c r="H880">
        <v>11000</v>
      </c>
      <c r="I880" s="25" t="s">
        <v>2925</v>
      </c>
      <c r="J880" t="s">
        <v>2926</v>
      </c>
      <c r="M880" s="49"/>
    </row>
    <row r="881" spans="6:13" x14ac:dyDescent="0.25">
      <c r="F881" t="s">
        <v>2995</v>
      </c>
      <c r="G881">
        <v>10787</v>
      </c>
      <c r="H881">
        <v>11000</v>
      </c>
      <c r="I881" s="25" t="s">
        <v>2925</v>
      </c>
      <c r="J881" t="s">
        <v>2926</v>
      </c>
      <c r="M881" s="49"/>
    </row>
    <row r="882" spans="6:13" x14ac:dyDescent="0.25">
      <c r="F882" t="s">
        <v>2995</v>
      </c>
      <c r="G882">
        <v>10785</v>
      </c>
      <c r="H882">
        <v>11000</v>
      </c>
      <c r="I882" s="25" t="s">
        <v>2925</v>
      </c>
      <c r="J882" t="s">
        <v>2926</v>
      </c>
      <c r="M882" s="49"/>
    </row>
    <row r="883" spans="6:13" x14ac:dyDescent="0.25">
      <c r="F883" t="s">
        <v>2996</v>
      </c>
      <c r="G883">
        <v>14109</v>
      </c>
      <c r="H883">
        <v>11000</v>
      </c>
      <c r="I883" s="25" t="s">
        <v>2925</v>
      </c>
      <c r="J883" t="s">
        <v>2926</v>
      </c>
      <c r="M883" s="49"/>
    </row>
    <row r="884" spans="6:13" x14ac:dyDescent="0.25">
      <c r="F884" t="s">
        <v>2997</v>
      </c>
      <c r="G884">
        <v>13059</v>
      </c>
      <c r="H884">
        <v>11000</v>
      </c>
      <c r="I884" s="25" t="s">
        <v>2925</v>
      </c>
      <c r="J884" t="s">
        <v>2926</v>
      </c>
      <c r="M884" s="49"/>
    </row>
    <row r="885" spans="6:13" x14ac:dyDescent="0.25">
      <c r="F885" t="s">
        <v>2998</v>
      </c>
      <c r="G885">
        <v>13349</v>
      </c>
      <c r="H885">
        <v>11000</v>
      </c>
      <c r="I885" s="25" t="s">
        <v>2925</v>
      </c>
      <c r="J885" t="s">
        <v>2926</v>
      </c>
      <c r="M885" s="49"/>
    </row>
    <row r="886" spans="6:13" x14ac:dyDescent="0.25">
      <c r="F886" t="s">
        <v>2998</v>
      </c>
      <c r="G886">
        <v>13347</v>
      </c>
      <c r="H886">
        <v>11000</v>
      </c>
      <c r="I886" s="25" t="s">
        <v>2925</v>
      </c>
      <c r="J886" t="s">
        <v>2926</v>
      </c>
      <c r="M886" s="49"/>
    </row>
    <row r="887" spans="6:13" x14ac:dyDescent="0.25">
      <c r="F887" t="s">
        <v>2998</v>
      </c>
      <c r="G887">
        <v>13405</v>
      </c>
      <c r="H887">
        <v>11000</v>
      </c>
      <c r="I887" s="25" t="s">
        <v>2925</v>
      </c>
      <c r="J887" t="s">
        <v>2926</v>
      </c>
      <c r="M887" s="49"/>
    </row>
    <row r="888" spans="6:13" x14ac:dyDescent="0.25">
      <c r="F888" t="s">
        <v>2998</v>
      </c>
      <c r="G888">
        <v>13351</v>
      </c>
      <c r="H888">
        <v>11000</v>
      </c>
      <c r="I888" s="25" t="s">
        <v>2925</v>
      </c>
      <c r="J888" t="s">
        <v>2926</v>
      </c>
      <c r="M888" s="49"/>
    </row>
    <row r="889" spans="6:13" x14ac:dyDescent="0.25">
      <c r="F889" t="s">
        <v>2998</v>
      </c>
      <c r="G889">
        <v>13353</v>
      </c>
      <c r="H889">
        <v>11000</v>
      </c>
      <c r="I889" s="25" t="s">
        <v>2925</v>
      </c>
      <c r="J889" t="s">
        <v>2926</v>
      </c>
      <c r="M889" s="49"/>
    </row>
    <row r="890" spans="6:13" x14ac:dyDescent="0.25">
      <c r="F890" t="s">
        <v>2998</v>
      </c>
      <c r="G890">
        <v>13355</v>
      </c>
      <c r="H890">
        <v>11000</v>
      </c>
      <c r="I890" s="25" t="s">
        <v>2925</v>
      </c>
      <c r="J890" t="s">
        <v>2926</v>
      </c>
      <c r="M890" s="49"/>
    </row>
    <row r="891" spans="6:13" x14ac:dyDescent="0.25">
      <c r="F891" t="s">
        <v>2999</v>
      </c>
      <c r="G891">
        <v>13088</v>
      </c>
      <c r="H891">
        <v>11000</v>
      </c>
      <c r="I891" s="25" t="s">
        <v>2925</v>
      </c>
      <c r="J891" t="s">
        <v>2926</v>
      </c>
      <c r="M891" s="49"/>
    </row>
    <row r="892" spans="6:13" x14ac:dyDescent="0.25">
      <c r="F892" t="s">
        <v>2999</v>
      </c>
      <c r="G892">
        <v>13086</v>
      </c>
      <c r="H892">
        <v>11000</v>
      </c>
      <c r="I892" s="25" t="s">
        <v>2925</v>
      </c>
      <c r="J892" t="s">
        <v>2926</v>
      </c>
      <c r="M892" s="49"/>
    </row>
    <row r="893" spans="6:13" x14ac:dyDescent="0.25">
      <c r="F893" t="s">
        <v>3000</v>
      </c>
      <c r="G893">
        <v>14050</v>
      </c>
      <c r="H893">
        <v>11000</v>
      </c>
      <c r="I893" s="25" t="s">
        <v>2925</v>
      </c>
      <c r="J893" t="s">
        <v>2926</v>
      </c>
      <c r="M893" s="49"/>
    </row>
    <row r="894" spans="6:13" x14ac:dyDescent="0.25">
      <c r="F894" t="s">
        <v>3000</v>
      </c>
      <c r="G894">
        <v>14052</v>
      </c>
      <c r="H894">
        <v>11000</v>
      </c>
      <c r="I894" s="25" t="s">
        <v>2925</v>
      </c>
      <c r="J894" t="s">
        <v>2926</v>
      </c>
      <c r="M894" s="49"/>
    </row>
    <row r="895" spans="6:13" x14ac:dyDescent="0.25">
      <c r="F895" t="s">
        <v>3000</v>
      </c>
      <c r="G895">
        <v>14055</v>
      </c>
      <c r="H895">
        <v>11000</v>
      </c>
      <c r="I895" s="25" t="s">
        <v>2925</v>
      </c>
      <c r="J895" t="s">
        <v>2926</v>
      </c>
      <c r="M895" s="49"/>
    </row>
    <row r="896" spans="6:13" x14ac:dyDescent="0.25">
      <c r="F896" t="s">
        <v>3000</v>
      </c>
      <c r="G896">
        <v>14053</v>
      </c>
      <c r="H896">
        <v>11000</v>
      </c>
      <c r="I896" s="25" t="s">
        <v>2925</v>
      </c>
      <c r="J896" t="s">
        <v>2926</v>
      </c>
      <c r="M896" s="49"/>
    </row>
    <row r="897" spans="6:13" x14ac:dyDescent="0.25">
      <c r="F897" t="s">
        <v>3001</v>
      </c>
      <c r="G897">
        <v>12587</v>
      </c>
      <c r="H897">
        <v>11000</v>
      </c>
      <c r="I897" s="25" t="s">
        <v>2925</v>
      </c>
      <c r="J897" t="s">
        <v>2926</v>
      </c>
      <c r="M897" s="49"/>
    </row>
    <row r="898" spans="6:13" x14ac:dyDescent="0.25">
      <c r="F898" t="s">
        <v>3002</v>
      </c>
      <c r="G898">
        <v>10715</v>
      </c>
      <c r="H898">
        <v>11000</v>
      </c>
      <c r="I898" s="25" t="s">
        <v>2925</v>
      </c>
      <c r="J898" t="s">
        <v>2926</v>
      </c>
      <c r="M898" s="49"/>
    </row>
    <row r="899" spans="6:13" x14ac:dyDescent="0.25">
      <c r="F899" t="s">
        <v>3003</v>
      </c>
      <c r="G899">
        <v>13593</v>
      </c>
      <c r="H899">
        <v>11000</v>
      </c>
      <c r="I899" s="25" t="s">
        <v>2925</v>
      </c>
      <c r="J899" t="s">
        <v>2926</v>
      </c>
      <c r="M899" s="49"/>
    </row>
    <row r="900" spans="6:13" x14ac:dyDescent="0.25">
      <c r="F900" t="s">
        <v>3004</v>
      </c>
      <c r="G900">
        <v>10713</v>
      </c>
      <c r="H900">
        <v>11000</v>
      </c>
      <c r="I900" s="25" t="s">
        <v>2925</v>
      </c>
      <c r="J900" t="s">
        <v>2926</v>
      </c>
      <c r="M900" s="49"/>
    </row>
    <row r="901" spans="6:13" x14ac:dyDescent="0.25">
      <c r="F901" t="s">
        <v>3004</v>
      </c>
      <c r="G901">
        <v>10717</v>
      </c>
      <c r="H901">
        <v>11000</v>
      </c>
      <c r="I901" s="25" t="s">
        <v>2925</v>
      </c>
      <c r="J901" t="s">
        <v>2926</v>
      </c>
      <c r="M901" s="49"/>
    </row>
    <row r="902" spans="6:13" x14ac:dyDescent="0.25">
      <c r="F902" t="s">
        <v>3004</v>
      </c>
      <c r="G902">
        <v>10707</v>
      </c>
      <c r="H902">
        <v>11000</v>
      </c>
      <c r="I902" s="25" t="s">
        <v>2925</v>
      </c>
      <c r="J902" t="s">
        <v>2926</v>
      </c>
      <c r="M902" s="49"/>
    </row>
    <row r="903" spans="6:13" x14ac:dyDescent="0.25">
      <c r="F903" t="s">
        <v>3004</v>
      </c>
      <c r="G903">
        <v>10719</v>
      </c>
      <c r="H903">
        <v>11000</v>
      </c>
      <c r="I903" s="25" t="s">
        <v>2925</v>
      </c>
      <c r="J903" t="s">
        <v>2926</v>
      </c>
      <c r="M903" s="49"/>
    </row>
    <row r="904" spans="6:13" x14ac:dyDescent="0.25">
      <c r="F904" t="s">
        <v>3004</v>
      </c>
      <c r="G904">
        <v>10777</v>
      </c>
      <c r="H904">
        <v>11000</v>
      </c>
      <c r="I904" s="25" t="s">
        <v>2925</v>
      </c>
      <c r="J904" t="s">
        <v>2926</v>
      </c>
      <c r="M904" s="49"/>
    </row>
    <row r="905" spans="6:13" x14ac:dyDescent="0.25">
      <c r="F905" t="s">
        <v>3004</v>
      </c>
      <c r="G905">
        <v>14197</v>
      </c>
      <c r="H905">
        <v>11000</v>
      </c>
      <c r="I905" s="25" t="s">
        <v>2925</v>
      </c>
      <c r="J905" t="s">
        <v>2926</v>
      </c>
      <c r="M905" s="49"/>
    </row>
    <row r="906" spans="6:13" x14ac:dyDescent="0.25">
      <c r="F906" t="s">
        <v>3004</v>
      </c>
      <c r="G906">
        <v>10709</v>
      </c>
      <c r="H906">
        <v>11000</v>
      </c>
      <c r="I906" s="25" t="s">
        <v>2925</v>
      </c>
      <c r="J906" t="s">
        <v>2926</v>
      </c>
      <c r="M906" s="49"/>
    </row>
    <row r="907" spans="6:13" x14ac:dyDescent="0.25">
      <c r="F907" t="s">
        <v>3005</v>
      </c>
      <c r="G907">
        <v>13595</v>
      </c>
      <c r="H907">
        <v>11000</v>
      </c>
      <c r="I907" s="25" t="s">
        <v>2925</v>
      </c>
      <c r="J907" t="s">
        <v>2926</v>
      </c>
      <c r="M907" s="49"/>
    </row>
    <row r="908" spans="6:13" x14ac:dyDescent="0.25">
      <c r="F908" t="s">
        <v>3006</v>
      </c>
      <c r="G908">
        <v>14167</v>
      </c>
      <c r="H908">
        <v>11000</v>
      </c>
      <c r="I908" s="25" t="s">
        <v>2925</v>
      </c>
      <c r="J908" t="s">
        <v>2926</v>
      </c>
      <c r="M908" s="49"/>
    </row>
    <row r="909" spans="6:13" x14ac:dyDescent="0.25">
      <c r="F909" t="s">
        <v>3006</v>
      </c>
      <c r="G909">
        <v>14163</v>
      </c>
      <c r="H909">
        <v>11000</v>
      </c>
      <c r="I909" s="25" t="s">
        <v>2925</v>
      </c>
      <c r="J909" t="s">
        <v>2926</v>
      </c>
      <c r="M909" s="49"/>
    </row>
    <row r="910" spans="6:13" x14ac:dyDescent="0.25">
      <c r="F910" t="s">
        <v>3006</v>
      </c>
      <c r="G910">
        <v>14169</v>
      </c>
      <c r="H910">
        <v>11000</v>
      </c>
      <c r="I910" s="25" t="s">
        <v>2925</v>
      </c>
      <c r="J910" t="s">
        <v>2926</v>
      </c>
      <c r="M910" s="49"/>
    </row>
    <row r="911" spans="6:13" x14ac:dyDescent="0.25">
      <c r="F911" t="s">
        <v>3006</v>
      </c>
      <c r="G911">
        <v>14165</v>
      </c>
      <c r="H911">
        <v>11000</v>
      </c>
      <c r="I911" s="25" t="s">
        <v>2925</v>
      </c>
      <c r="J911" t="s">
        <v>2926</v>
      </c>
      <c r="M911" s="49"/>
    </row>
    <row r="912" spans="6:13" x14ac:dyDescent="0.25">
      <c r="F912" t="s">
        <v>3007</v>
      </c>
      <c r="G912">
        <v>12209</v>
      </c>
      <c r="H912">
        <v>11000</v>
      </c>
      <c r="I912" s="25" t="s">
        <v>2925</v>
      </c>
      <c r="J912" t="s">
        <v>2926</v>
      </c>
      <c r="M912" s="49"/>
    </row>
    <row r="913" spans="6:13" x14ac:dyDescent="0.25">
      <c r="F913" t="s">
        <v>3008</v>
      </c>
      <c r="G913">
        <v>10823</v>
      </c>
      <c r="H913">
        <v>11000</v>
      </c>
      <c r="I913" s="25" t="s">
        <v>2925</v>
      </c>
      <c r="J913" t="s">
        <v>2926</v>
      </c>
      <c r="M913" s="49"/>
    </row>
    <row r="914" spans="6:13" x14ac:dyDescent="0.25">
      <c r="F914" t="s">
        <v>3008</v>
      </c>
      <c r="G914">
        <v>13407</v>
      </c>
      <c r="H914">
        <v>11000</v>
      </c>
      <c r="I914" s="25" t="s">
        <v>2925</v>
      </c>
      <c r="J914" t="s">
        <v>2926</v>
      </c>
      <c r="M914" s="49"/>
    </row>
    <row r="915" spans="6:13" x14ac:dyDescent="0.25">
      <c r="F915" t="s">
        <v>3008</v>
      </c>
      <c r="G915">
        <v>13409</v>
      </c>
      <c r="H915">
        <v>11000</v>
      </c>
      <c r="I915" s="25" t="s">
        <v>2925</v>
      </c>
      <c r="J915" t="s">
        <v>2926</v>
      </c>
      <c r="M915" s="49"/>
    </row>
    <row r="916" spans="6:13" x14ac:dyDescent="0.25">
      <c r="F916" t="s">
        <v>3009</v>
      </c>
      <c r="G916">
        <v>99439</v>
      </c>
      <c r="H916">
        <v>16071</v>
      </c>
      <c r="I916" s="25" t="s">
        <v>2384</v>
      </c>
      <c r="J916" t="s">
        <v>2508</v>
      </c>
      <c r="M916" s="49"/>
    </row>
    <row r="917" spans="6:13" x14ac:dyDescent="0.25">
      <c r="F917" t="s">
        <v>3010</v>
      </c>
      <c r="G917">
        <v>88697</v>
      </c>
      <c r="H917">
        <v>8435</v>
      </c>
      <c r="I917" s="25" t="s">
        <v>2018</v>
      </c>
      <c r="J917" t="s">
        <v>3011</v>
      </c>
      <c r="M917" s="49"/>
    </row>
    <row r="918" spans="6:13" x14ac:dyDescent="0.25">
      <c r="F918" t="s">
        <v>3012</v>
      </c>
      <c r="G918">
        <v>16321</v>
      </c>
      <c r="H918">
        <v>12060</v>
      </c>
      <c r="I918" s="25" t="s">
        <v>2356</v>
      </c>
      <c r="J918" t="s">
        <v>2040</v>
      </c>
      <c r="M918" s="49"/>
    </row>
    <row r="919" spans="6:13" x14ac:dyDescent="0.25">
      <c r="F919" t="s">
        <v>3013</v>
      </c>
      <c r="G919">
        <v>83233</v>
      </c>
      <c r="H919">
        <v>9187</v>
      </c>
      <c r="I919" s="25" t="s">
        <v>2050</v>
      </c>
      <c r="J919" t="s">
        <v>2245</v>
      </c>
      <c r="M919" s="49"/>
    </row>
    <row r="920" spans="6:13" x14ac:dyDescent="0.25">
      <c r="F920" t="s">
        <v>3014</v>
      </c>
      <c r="G920">
        <v>79872</v>
      </c>
      <c r="H920">
        <v>8337</v>
      </c>
      <c r="I920" s="25" t="s">
        <v>2018</v>
      </c>
      <c r="J920" t="s">
        <v>2248</v>
      </c>
      <c r="M920" s="49"/>
    </row>
    <row r="921" spans="6:13" x14ac:dyDescent="0.25">
      <c r="F921" t="s">
        <v>3015</v>
      </c>
      <c r="G921">
        <v>86975</v>
      </c>
      <c r="H921">
        <v>9190</v>
      </c>
      <c r="I921" s="25" t="s">
        <v>2050</v>
      </c>
      <c r="J921" t="s">
        <v>2417</v>
      </c>
      <c r="M921" s="49"/>
    </row>
    <row r="922" spans="6:13" x14ac:dyDescent="0.25">
      <c r="F922" t="s">
        <v>3016</v>
      </c>
      <c r="G922">
        <v>6406</v>
      </c>
      <c r="H922">
        <v>15089</v>
      </c>
      <c r="I922" s="25" t="s">
        <v>2241</v>
      </c>
      <c r="J922" t="s">
        <v>2351</v>
      </c>
      <c r="M922" s="49"/>
    </row>
    <row r="923" spans="6:13" x14ac:dyDescent="0.25">
      <c r="F923" t="s">
        <v>3017</v>
      </c>
      <c r="G923">
        <v>27804</v>
      </c>
      <c r="H923">
        <v>3461</v>
      </c>
      <c r="I923" s="25" t="s">
        <v>2074</v>
      </c>
      <c r="J923" t="s">
        <v>2426</v>
      </c>
      <c r="M923" s="49"/>
    </row>
    <row r="924" spans="6:13" x14ac:dyDescent="0.25">
      <c r="F924" t="s">
        <v>3018</v>
      </c>
      <c r="G924">
        <v>92361</v>
      </c>
      <c r="H924">
        <v>9373</v>
      </c>
      <c r="I924" s="25" t="s">
        <v>2050</v>
      </c>
      <c r="J924" t="s">
        <v>2891</v>
      </c>
      <c r="M924" s="49"/>
    </row>
    <row r="925" spans="6:13" x14ac:dyDescent="0.25">
      <c r="F925" t="s">
        <v>3019</v>
      </c>
      <c r="G925">
        <v>93170</v>
      </c>
      <c r="H925">
        <v>9375</v>
      </c>
      <c r="I925" s="25" t="s">
        <v>2050</v>
      </c>
      <c r="J925" t="s">
        <v>2365</v>
      </c>
      <c r="M925" s="49"/>
    </row>
    <row r="926" spans="6:13" x14ac:dyDescent="0.25">
      <c r="F926" t="s">
        <v>3020</v>
      </c>
      <c r="G926">
        <v>18249</v>
      </c>
      <c r="H926">
        <v>13072</v>
      </c>
      <c r="I926" s="25" t="s">
        <v>2191</v>
      </c>
      <c r="J926" t="s">
        <v>2036</v>
      </c>
      <c r="M926" s="49"/>
    </row>
    <row r="927" spans="6:13" x14ac:dyDescent="0.25">
      <c r="F927" t="s">
        <v>3021</v>
      </c>
      <c r="G927">
        <v>54470</v>
      </c>
      <c r="H927">
        <v>7231</v>
      </c>
      <c r="I927" s="25" t="s">
        <v>2123</v>
      </c>
      <c r="J927" t="s">
        <v>2043</v>
      </c>
      <c r="M927" s="49"/>
    </row>
    <row r="928" spans="6:13" x14ac:dyDescent="0.25">
      <c r="F928" t="s">
        <v>3022</v>
      </c>
      <c r="G928">
        <v>82347</v>
      </c>
      <c r="H928">
        <v>9190</v>
      </c>
      <c r="I928" s="25" t="s">
        <v>2050</v>
      </c>
      <c r="J928" t="s">
        <v>2417</v>
      </c>
      <c r="M928" s="49"/>
    </row>
    <row r="929" spans="6:13" x14ac:dyDescent="0.25">
      <c r="F929" t="s">
        <v>3022</v>
      </c>
      <c r="G929">
        <v>94505</v>
      </c>
      <c r="H929">
        <v>9271</v>
      </c>
      <c r="I929" s="25" t="s">
        <v>2050</v>
      </c>
      <c r="J929" t="s">
        <v>2172</v>
      </c>
      <c r="M929" s="49"/>
    </row>
    <row r="930" spans="6:13" x14ac:dyDescent="0.25">
      <c r="F930" t="s">
        <v>3023</v>
      </c>
      <c r="G930">
        <v>2994</v>
      </c>
      <c r="H930">
        <v>14625</v>
      </c>
      <c r="I930" s="25" t="s">
        <v>2135</v>
      </c>
      <c r="J930" t="s">
        <v>2041</v>
      </c>
      <c r="M930" s="49"/>
    </row>
    <row r="931" spans="6:13" x14ac:dyDescent="0.25">
      <c r="F931" t="s">
        <v>3024</v>
      </c>
      <c r="G931">
        <v>89182</v>
      </c>
      <c r="H931">
        <v>8425</v>
      </c>
      <c r="I931" s="25" t="s">
        <v>2018</v>
      </c>
      <c r="J931" t="s">
        <v>2027</v>
      </c>
      <c r="M931" s="49"/>
    </row>
    <row r="932" spans="6:13" x14ac:dyDescent="0.25">
      <c r="F932" t="s">
        <v>3025</v>
      </c>
      <c r="G932">
        <v>2748</v>
      </c>
      <c r="H932">
        <v>14626</v>
      </c>
      <c r="I932" s="25" t="s">
        <v>2135</v>
      </c>
      <c r="J932" t="s">
        <v>2150</v>
      </c>
      <c r="M932" s="49"/>
    </row>
    <row r="933" spans="6:13" x14ac:dyDescent="0.25">
      <c r="F933" t="s">
        <v>3026</v>
      </c>
      <c r="G933">
        <v>55777</v>
      </c>
      <c r="H933">
        <v>7134</v>
      </c>
      <c r="I933" s="25" t="s">
        <v>2123</v>
      </c>
      <c r="J933" t="s">
        <v>2048</v>
      </c>
      <c r="M933" s="49"/>
    </row>
    <row r="934" spans="6:13" x14ac:dyDescent="0.25">
      <c r="F934" t="s">
        <v>3027</v>
      </c>
      <c r="G934">
        <v>49593</v>
      </c>
      <c r="H934">
        <v>3459</v>
      </c>
      <c r="I934" s="25" t="s">
        <v>2074</v>
      </c>
      <c r="J934" t="s">
        <v>2292</v>
      </c>
      <c r="M934" s="49"/>
    </row>
    <row r="935" spans="6:13" x14ac:dyDescent="0.25">
      <c r="F935" t="s">
        <v>3028</v>
      </c>
      <c r="G935">
        <v>33333</v>
      </c>
      <c r="H935">
        <v>5754</v>
      </c>
      <c r="I935" s="25" t="s">
        <v>2023</v>
      </c>
      <c r="J935" t="s">
        <v>2165</v>
      </c>
      <c r="M935" s="49"/>
    </row>
    <row r="936" spans="6:13" x14ac:dyDescent="0.25">
      <c r="F936" t="s">
        <v>3029</v>
      </c>
      <c r="G936">
        <v>65614</v>
      </c>
      <c r="H936">
        <v>6533</v>
      </c>
      <c r="I936" s="25" t="s">
        <v>2046</v>
      </c>
      <c r="J936" t="s">
        <v>2629</v>
      </c>
      <c r="M936" s="49"/>
    </row>
    <row r="937" spans="6:13" x14ac:dyDescent="0.25">
      <c r="F937" t="s">
        <v>3030</v>
      </c>
      <c r="G937">
        <v>74354</v>
      </c>
      <c r="H937">
        <v>8118</v>
      </c>
      <c r="I937" s="25" t="s">
        <v>2018</v>
      </c>
      <c r="J937" t="s">
        <v>2142</v>
      </c>
      <c r="M937" s="49"/>
    </row>
    <row r="938" spans="6:13" x14ac:dyDescent="0.25">
      <c r="F938" t="s">
        <v>3030</v>
      </c>
      <c r="G938">
        <v>74354</v>
      </c>
      <c r="H938">
        <v>8118</v>
      </c>
      <c r="I938" s="25" t="s">
        <v>2018</v>
      </c>
      <c r="J938" t="s">
        <v>2142</v>
      </c>
      <c r="M938" s="49"/>
    </row>
    <row r="939" spans="6:13" x14ac:dyDescent="0.25">
      <c r="F939" t="s">
        <v>3031</v>
      </c>
      <c r="G939">
        <v>63856</v>
      </c>
      <c r="H939">
        <v>9671</v>
      </c>
      <c r="I939" s="25" t="s">
        <v>2050</v>
      </c>
      <c r="J939" t="s">
        <v>2453</v>
      </c>
      <c r="M939" s="49"/>
    </row>
    <row r="940" spans="6:13" x14ac:dyDescent="0.25">
      <c r="F940" t="s">
        <v>3032</v>
      </c>
      <c r="G940">
        <v>15741</v>
      </c>
      <c r="H940">
        <v>12061</v>
      </c>
      <c r="I940" s="25" t="s">
        <v>2356</v>
      </c>
      <c r="J940" t="s">
        <v>3033</v>
      </c>
      <c r="M940" s="49"/>
    </row>
    <row r="941" spans="6:13" x14ac:dyDescent="0.25">
      <c r="F941" t="s">
        <v>3034</v>
      </c>
      <c r="G941">
        <v>59909</v>
      </c>
      <c r="H941">
        <v>5958</v>
      </c>
      <c r="I941" s="25" t="s">
        <v>2023</v>
      </c>
      <c r="J941" t="s">
        <v>2199</v>
      </c>
      <c r="M941" s="49"/>
    </row>
    <row r="942" spans="6:13" x14ac:dyDescent="0.25">
      <c r="F942" t="s">
        <v>3035</v>
      </c>
      <c r="G942">
        <v>54533</v>
      </c>
      <c r="H942">
        <v>7231</v>
      </c>
      <c r="I942" s="25" t="s">
        <v>2123</v>
      </c>
      <c r="J942" t="s">
        <v>2043</v>
      </c>
      <c r="M942" s="49"/>
    </row>
    <row r="943" spans="6:13" x14ac:dyDescent="0.25">
      <c r="F943" t="s">
        <v>3035</v>
      </c>
      <c r="G943">
        <v>54533</v>
      </c>
      <c r="H943">
        <v>7231</v>
      </c>
      <c r="I943" s="25" t="s">
        <v>2123</v>
      </c>
      <c r="J943" t="s">
        <v>2043</v>
      </c>
      <c r="M943" s="49"/>
    </row>
    <row r="944" spans="6:13" x14ac:dyDescent="0.25">
      <c r="F944" t="s">
        <v>3035</v>
      </c>
      <c r="G944">
        <v>54533</v>
      </c>
      <c r="H944">
        <v>7232</v>
      </c>
      <c r="I944" s="25" t="s">
        <v>2123</v>
      </c>
      <c r="J944" t="s">
        <v>2112</v>
      </c>
      <c r="M944" s="49"/>
    </row>
    <row r="945" spans="6:13" x14ac:dyDescent="0.25">
      <c r="F945" t="s">
        <v>3035</v>
      </c>
      <c r="G945">
        <v>54533</v>
      </c>
      <c r="H945">
        <v>7232</v>
      </c>
      <c r="I945" s="25" t="s">
        <v>2123</v>
      </c>
      <c r="J945" t="s">
        <v>2112</v>
      </c>
      <c r="M945" s="49"/>
    </row>
    <row r="946" spans="6:13" x14ac:dyDescent="0.25">
      <c r="F946" t="s">
        <v>3036</v>
      </c>
      <c r="G946">
        <v>54646</v>
      </c>
      <c r="H946">
        <v>7232</v>
      </c>
      <c r="I946" s="25" t="s">
        <v>2123</v>
      </c>
      <c r="J946" t="s">
        <v>2112</v>
      </c>
      <c r="M946" s="49"/>
    </row>
    <row r="947" spans="6:13" x14ac:dyDescent="0.25">
      <c r="F947" t="s">
        <v>3037</v>
      </c>
      <c r="G947">
        <v>57518</v>
      </c>
      <c r="H947">
        <v>7132</v>
      </c>
      <c r="I947" s="25" t="s">
        <v>2123</v>
      </c>
      <c r="J947" t="s">
        <v>2401</v>
      </c>
      <c r="M947" s="49"/>
    </row>
    <row r="948" spans="6:13" x14ac:dyDescent="0.25">
      <c r="F948" t="s">
        <v>3038</v>
      </c>
      <c r="G948">
        <v>21386</v>
      </c>
      <c r="H948">
        <v>3355</v>
      </c>
      <c r="I948" s="25" t="s">
        <v>2074</v>
      </c>
      <c r="J948" t="s">
        <v>2129</v>
      </c>
      <c r="M948" s="49"/>
    </row>
    <row r="949" spans="6:13" x14ac:dyDescent="0.25">
      <c r="F949" t="s">
        <v>3039</v>
      </c>
      <c r="G949">
        <v>91282</v>
      </c>
      <c r="H949">
        <v>9472</v>
      </c>
      <c r="I949" s="25" t="s">
        <v>2050</v>
      </c>
      <c r="J949" t="s">
        <v>2180</v>
      </c>
      <c r="M949" s="49"/>
    </row>
    <row r="950" spans="6:13" x14ac:dyDescent="0.25">
      <c r="F950" t="s">
        <v>3040</v>
      </c>
      <c r="G950">
        <v>87488</v>
      </c>
      <c r="H950">
        <v>9780</v>
      </c>
      <c r="I950" s="25" t="s">
        <v>2050</v>
      </c>
      <c r="J950" t="s">
        <v>2278</v>
      </c>
      <c r="M950" s="49"/>
    </row>
    <row r="951" spans="6:13" x14ac:dyDescent="0.25">
      <c r="F951" t="s">
        <v>3041</v>
      </c>
      <c r="G951">
        <v>72660</v>
      </c>
      <c r="H951">
        <v>8116</v>
      </c>
      <c r="I951" s="25" t="s">
        <v>2018</v>
      </c>
      <c r="J951" t="s">
        <v>2213</v>
      </c>
      <c r="M951" s="49"/>
    </row>
    <row r="952" spans="6:13" x14ac:dyDescent="0.25">
      <c r="F952" t="s">
        <v>3042</v>
      </c>
      <c r="G952">
        <v>88631</v>
      </c>
      <c r="H952">
        <v>8437</v>
      </c>
      <c r="I952" s="25" t="s">
        <v>2018</v>
      </c>
      <c r="J952" t="s">
        <v>2720</v>
      </c>
      <c r="M952" s="49"/>
    </row>
    <row r="953" spans="6:13" x14ac:dyDescent="0.25">
      <c r="F953" t="s">
        <v>3043</v>
      </c>
      <c r="G953">
        <v>37639</v>
      </c>
      <c r="H953">
        <v>3255</v>
      </c>
      <c r="I953" s="25" t="s">
        <v>2074</v>
      </c>
      <c r="J953" t="s">
        <v>3044</v>
      </c>
      <c r="M953" s="49"/>
    </row>
    <row r="954" spans="6:13" x14ac:dyDescent="0.25">
      <c r="F954" t="s">
        <v>3045</v>
      </c>
      <c r="G954">
        <v>27616</v>
      </c>
      <c r="H954">
        <v>3352</v>
      </c>
      <c r="I954" s="25" t="s">
        <v>2074</v>
      </c>
      <c r="J954" t="s">
        <v>2079</v>
      </c>
      <c r="M954" s="49"/>
    </row>
    <row r="955" spans="6:13" x14ac:dyDescent="0.25">
      <c r="F955" t="s">
        <v>3046</v>
      </c>
      <c r="G955">
        <v>37688</v>
      </c>
      <c r="H955">
        <v>5762</v>
      </c>
      <c r="I955" s="25" t="s">
        <v>2023</v>
      </c>
      <c r="J955" t="s">
        <v>2203</v>
      </c>
      <c r="M955" s="49"/>
    </row>
    <row r="956" spans="6:13" x14ac:dyDescent="0.25">
      <c r="F956" t="s">
        <v>3047</v>
      </c>
      <c r="G956">
        <v>66450</v>
      </c>
      <c r="H956">
        <v>10045</v>
      </c>
      <c r="I956" s="25" t="s">
        <v>2849</v>
      </c>
      <c r="J956" t="s">
        <v>3048</v>
      </c>
      <c r="M956" s="49"/>
    </row>
    <row r="957" spans="6:13" x14ac:dyDescent="0.25">
      <c r="F957" t="s">
        <v>2081</v>
      </c>
      <c r="G957">
        <v>77781</v>
      </c>
      <c r="H957">
        <v>8317</v>
      </c>
      <c r="I957" s="25" t="s">
        <v>2018</v>
      </c>
      <c r="J957" t="s">
        <v>2071</v>
      </c>
      <c r="M957" s="49"/>
    </row>
    <row r="958" spans="6:13" x14ac:dyDescent="0.25">
      <c r="F958" t="s">
        <v>3049</v>
      </c>
      <c r="G958">
        <v>88400</v>
      </c>
      <c r="H958">
        <v>8426</v>
      </c>
      <c r="I958" s="25" t="s">
        <v>2018</v>
      </c>
      <c r="J958" t="s">
        <v>2081</v>
      </c>
      <c r="M958" s="49"/>
    </row>
    <row r="959" spans="6:13" x14ac:dyDescent="0.25">
      <c r="F959" t="s">
        <v>3050</v>
      </c>
      <c r="G959">
        <v>98666</v>
      </c>
      <c r="H959">
        <v>16069</v>
      </c>
      <c r="I959" s="25" t="s">
        <v>2384</v>
      </c>
      <c r="J959" t="s">
        <v>2631</v>
      </c>
      <c r="M959" s="49"/>
    </row>
    <row r="960" spans="6:13" x14ac:dyDescent="0.25">
      <c r="F960" t="s">
        <v>3051</v>
      </c>
      <c r="G960">
        <v>86485</v>
      </c>
      <c r="H960">
        <v>9772</v>
      </c>
      <c r="I960" s="25" t="s">
        <v>2050</v>
      </c>
      <c r="J960" t="s">
        <v>2117</v>
      </c>
      <c r="M960" s="49"/>
    </row>
    <row r="961" spans="6:13" x14ac:dyDescent="0.25">
      <c r="F961" t="s">
        <v>3052</v>
      </c>
      <c r="G961">
        <v>89346</v>
      </c>
      <c r="H961">
        <v>9774</v>
      </c>
      <c r="I961" s="25" t="s">
        <v>2050</v>
      </c>
      <c r="J961" t="s">
        <v>2205</v>
      </c>
      <c r="M961" s="49"/>
    </row>
    <row r="962" spans="6:13" x14ac:dyDescent="0.25">
      <c r="F962" t="s">
        <v>3053</v>
      </c>
      <c r="G962">
        <v>68647</v>
      </c>
      <c r="H962">
        <v>6431</v>
      </c>
      <c r="I962" s="25" t="s">
        <v>2046</v>
      </c>
      <c r="J962" t="s">
        <v>2065</v>
      </c>
      <c r="M962" s="49"/>
    </row>
    <row r="963" spans="6:13" x14ac:dyDescent="0.25">
      <c r="F963" t="s">
        <v>3054</v>
      </c>
      <c r="G963">
        <v>83673</v>
      </c>
      <c r="H963">
        <v>9173</v>
      </c>
      <c r="I963" s="25" t="s">
        <v>2050</v>
      </c>
      <c r="J963" t="s">
        <v>2659</v>
      </c>
      <c r="M963" s="49"/>
    </row>
    <row r="964" spans="6:13" x14ac:dyDescent="0.25">
      <c r="F964" t="s">
        <v>3055</v>
      </c>
      <c r="G964">
        <v>64404</v>
      </c>
      <c r="H964">
        <v>6432</v>
      </c>
      <c r="I964" s="25" t="s">
        <v>2046</v>
      </c>
      <c r="J964" t="s">
        <v>2338</v>
      </c>
      <c r="M964" s="49"/>
    </row>
    <row r="965" spans="6:13" x14ac:dyDescent="0.25">
      <c r="F965" t="s">
        <v>3056</v>
      </c>
      <c r="G965">
        <v>87651</v>
      </c>
      <c r="H965">
        <v>9777</v>
      </c>
      <c r="I965" s="25" t="s">
        <v>2050</v>
      </c>
      <c r="J965" t="s">
        <v>2237</v>
      </c>
      <c r="M965" s="49"/>
    </row>
    <row r="966" spans="6:13" x14ac:dyDescent="0.25">
      <c r="F966" t="s">
        <v>3057</v>
      </c>
      <c r="G966">
        <v>97243</v>
      </c>
      <c r="H966">
        <v>9679</v>
      </c>
      <c r="I966" s="25" t="s">
        <v>2050</v>
      </c>
      <c r="J966" t="s">
        <v>2428</v>
      </c>
      <c r="M966" s="49"/>
    </row>
    <row r="967" spans="6:13" x14ac:dyDescent="0.25">
      <c r="F967" t="s">
        <v>3058</v>
      </c>
      <c r="G967">
        <v>63599</v>
      </c>
      <c r="H967">
        <v>6435</v>
      </c>
      <c r="I967" s="25" t="s">
        <v>2046</v>
      </c>
      <c r="J967" t="s">
        <v>2703</v>
      </c>
      <c r="M967" s="49"/>
    </row>
    <row r="968" spans="6:13" x14ac:dyDescent="0.25">
      <c r="F968" t="s">
        <v>3059</v>
      </c>
      <c r="G968">
        <v>35444</v>
      </c>
      <c r="H968">
        <v>6531</v>
      </c>
      <c r="I968" s="25" t="s">
        <v>2046</v>
      </c>
      <c r="J968" t="s">
        <v>2306</v>
      </c>
      <c r="M968" s="49"/>
    </row>
    <row r="969" spans="6:13" x14ac:dyDescent="0.25">
      <c r="F969" t="s">
        <v>3060</v>
      </c>
      <c r="G969">
        <v>64584</v>
      </c>
      <c r="H969">
        <v>6433</v>
      </c>
      <c r="I969" s="25" t="s">
        <v>2046</v>
      </c>
      <c r="J969" t="s">
        <v>3061</v>
      </c>
      <c r="M969" s="49"/>
    </row>
    <row r="970" spans="6:13" x14ac:dyDescent="0.25">
      <c r="F970" t="s">
        <v>3062</v>
      </c>
      <c r="G970">
        <v>35216</v>
      </c>
      <c r="H970">
        <v>6534</v>
      </c>
      <c r="I970" s="25" t="s">
        <v>2046</v>
      </c>
      <c r="J970" t="s">
        <v>2471</v>
      </c>
      <c r="M970" s="49"/>
    </row>
    <row r="971" spans="6:13" x14ac:dyDescent="0.25">
      <c r="F971" t="s">
        <v>3063</v>
      </c>
      <c r="G971">
        <v>39175</v>
      </c>
      <c r="H971">
        <v>15086</v>
      </c>
      <c r="I971" s="25" t="s">
        <v>2241</v>
      </c>
      <c r="J971" t="s">
        <v>3064</v>
      </c>
      <c r="M971" s="49"/>
    </row>
    <row r="972" spans="6:13" x14ac:dyDescent="0.25">
      <c r="F972" t="s">
        <v>3063</v>
      </c>
      <c r="G972">
        <v>39175</v>
      </c>
      <c r="H972">
        <v>15086</v>
      </c>
      <c r="I972" s="25" t="s">
        <v>2241</v>
      </c>
      <c r="J972" t="s">
        <v>3064</v>
      </c>
      <c r="M972" s="49"/>
    </row>
    <row r="973" spans="6:13" x14ac:dyDescent="0.25">
      <c r="F973" t="s">
        <v>2044</v>
      </c>
      <c r="G973">
        <v>33729</v>
      </c>
      <c r="H973">
        <v>5711</v>
      </c>
      <c r="I973" s="25" t="s">
        <v>2023</v>
      </c>
      <c r="J973" t="s">
        <v>2044</v>
      </c>
      <c r="M973" s="49"/>
    </row>
    <row r="974" spans="6:13" x14ac:dyDescent="0.25">
      <c r="F974" t="s">
        <v>2044</v>
      </c>
      <c r="G974">
        <v>33719</v>
      </c>
      <c r="H974">
        <v>5711</v>
      </c>
      <c r="I974" s="25" t="s">
        <v>2023</v>
      </c>
      <c r="J974" t="s">
        <v>2044</v>
      </c>
      <c r="M974" s="49"/>
    </row>
    <row r="975" spans="6:13" x14ac:dyDescent="0.25">
      <c r="F975" t="s">
        <v>2044</v>
      </c>
      <c r="G975">
        <v>33605</v>
      </c>
      <c r="H975">
        <v>5711</v>
      </c>
      <c r="I975" s="25" t="s">
        <v>2023</v>
      </c>
      <c r="J975" t="s">
        <v>2044</v>
      </c>
      <c r="M975" s="49"/>
    </row>
    <row r="976" spans="6:13" x14ac:dyDescent="0.25">
      <c r="F976" t="s">
        <v>2044</v>
      </c>
      <c r="G976">
        <v>33609</v>
      </c>
      <c r="H976">
        <v>5711</v>
      </c>
      <c r="I976" s="25" t="s">
        <v>2023</v>
      </c>
      <c r="J976" t="s">
        <v>2044</v>
      </c>
      <c r="M976" s="49"/>
    </row>
    <row r="977" spans="6:13" x14ac:dyDescent="0.25">
      <c r="F977" t="s">
        <v>2044</v>
      </c>
      <c r="G977">
        <v>33689</v>
      </c>
      <c r="H977">
        <v>5711</v>
      </c>
      <c r="I977" s="25" t="s">
        <v>2023</v>
      </c>
      <c r="J977" t="s">
        <v>2044</v>
      </c>
      <c r="M977" s="49"/>
    </row>
    <row r="978" spans="6:13" x14ac:dyDescent="0.25">
      <c r="F978" t="s">
        <v>2044</v>
      </c>
      <c r="G978">
        <v>33649</v>
      </c>
      <c r="H978">
        <v>5711</v>
      </c>
      <c r="I978" s="25" t="s">
        <v>2023</v>
      </c>
      <c r="J978" t="s">
        <v>2044</v>
      </c>
      <c r="M978" s="49"/>
    </row>
    <row r="979" spans="6:13" x14ac:dyDescent="0.25">
      <c r="F979" t="s">
        <v>2044</v>
      </c>
      <c r="G979">
        <v>33609</v>
      </c>
      <c r="H979">
        <v>5711</v>
      </c>
      <c r="I979" s="25" t="s">
        <v>2023</v>
      </c>
      <c r="J979" t="s">
        <v>2044</v>
      </c>
      <c r="M979" s="49"/>
    </row>
    <row r="980" spans="6:13" x14ac:dyDescent="0.25">
      <c r="F980" t="s">
        <v>2044</v>
      </c>
      <c r="G980">
        <v>33647</v>
      </c>
      <c r="H980">
        <v>5711</v>
      </c>
      <c r="I980" s="25" t="s">
        <v>2023</v>
      </c>
      <c r="J980" t="s">
        <v>2044</v>
      </c>
      <c r="M980" s="49"/>
    </row>
    <row r="981" spans="6:13" x14ac:dyDescent="0.25">
      <c r="F981" t="s">
        <v>2044</v>
      </c>
      <c r="G981">
        <v>33739</v>
      </c>
      <c r="H981">
        <v>5711</v>
      </c>
      <c r="I981" s="25" t="s">
        <v>2023</v>
      </c>
      <c r="J981" t="s">
        <v>2044</v>
      </c>
      <c r="M981" s="49"/>
    </row>
    <row r="982" spans="6:13" x14ac:dyDescent="0.25">
      <c r="F982" t="s">
        <v>2044</v>
      </c>
      <c r="G982">
        <v>33619</v>
      </c>
      <c r="H982">
        <v>5711</v>
      </c>
      <c r="I982" s="25" t="s">
        <v>2023</v>
      </c>
      <c r="J982" t="s">
        <v>2044</v>
      </c>
      <c r="M982" s="49"/>
    </row>
    <row r="983" spans="6:13" x14ac:dyDescent="0.25">
      <c r="F983" t="s">
        <v>2044</v>
      </c>
      <c r="G983">
        <v>33615</v>
      </c>
      <c r="H983">
        <v>5711</v>
      </c>
      <c r="I983" s="25" t="s">
        <v>2023</v>
      </c>
      <c r="J983" t="s">
        <v>2044</v>
      </c>
      <c r="M983" s="49"/>
    </row>
    <row r="984" spans="6:13" x14ac:dyDescent="0.25">
      <c r="F984" t="s">
        <v>2044</v>
      </c>
      <c r="G984">
        <v>33611</v>
      </c>
      <c r="H984">
        <v>5711</v>
      </c>
      <c r="I984" s="25" t="s">
        <v>2023</v>
      </c>
      <c r="J984" t="s">
        <v>2044</v>
      </c>
      <c r="M984" s="49"/>
    </row>
    <row r="985" spans="6:13" x14ac:dyDescent="0.25">
      <c r="F985" t="s">
        <v>2044</v>
      </c>
      <c r="G985">
        <v>33699</v>
      </c>
      <c r="H985">
        <v>5711</v>
      </c>
      <c r="I985" s="25" t="s">
        <v>2023</v>
      </c>
      <c r="J985" t="s">
        <v>2044</v>
      </c>
      <c r="M985" s="49"/>
    </row>
    <row r="986" spans="6:13" x14ac:dyDescent="0.25">
      <c r="F986" t="s">
        <v>2044</v>
      </c>
      <c r="G986">
        <v>33659</v>
      </c>
      <c r="H986">
        <v>5711</v>
      </c>
      <c r="I986" s="25" t="s">
        <v>2023</v>
      </c>
      <c r="J986" t="s">
        <v>2044</v>
      </c>
      <c r="M986" s="49"/>
    </row>
    <row r="987" spans="6:13" x14ac:dyDescent="0.25">
      <c r="F987" t="s">
        <v>2044</v>
      </c>
      <c r="G987">
        <v>33602</v>
      </c>
      <c r="H987">
        <v>5711</v>
      </c>
      <c r="I987" s="25" t="s">
        <v>2023</v>
      </c>
      <c r="J987" t="s">
        <v>2044</v>
      </c>
      <c r="M987" s="49"/>
    </row>
    <row r="988" spans="6:13" x14ac:dyDescent="0.25">
      <c r="F988" t="s">
        <v>2044</v>
      </c>
      <c r="G988">
        <v>33604</v>
      </c>
      <c r="H988">
        <v>5711</v>
      </c>
      <c r="I988" s="25" t="s">
        <v>2023</v>
      </c>
      <c r="J988" t="s">
        <v>2044</v>
      </c>
      <c r="M988" s="49"/>
    </row>
    <row r="989" spans="6:13" x14ac:dyDescent="0.25">
      <c r="F989" t="s">
        <v>2044</v>
      </c>
      <c r="G989">
        <v>33607</v>
      </c>
      <c r="H989">
        <v>5711</v>
      </c>
      <c r="I989" s="25" t="s">
        <v>2023</v>
      </c>
      <c r="J989" t="s">
        <v>2044</v>
      </c>
      <c r="M989" s="49"/>
    </row>
    <row r="990" spans="6:13" x14ac:dyDescent="0.25">
      <c r="F990" t="s">
        <v>2044</v>
      </c>
      <c r="G990">
        <v>33613</v>
      </c>
      <c r="H990">
        <v>5711</v>
      </c>
      <c r="I990" s="25" t="s">
        <v>2023</v>
      </c>
      <c r="J990" t="s">
        <v>2044</v>
      </c>
      <c r="M990" s="49"/>
    </row>
    <row r="991" spans="6:13" x14ac:dyDescent="0.25">
      <c r="F991" t="s">
        <v>2044</v>
      </c>
      <c r="G991">
        <v>33617</v>
      </c>
      <c r="H991">
        <v>5711</v>
      </c>
      <c r="I991" s="25" t="s">
        <v>2023</v>
      </c>
      <c r="J991" t="s">
        <v>2044</v>
      </c>
      <c r="M991" s="49"/>
    </row>
    <row r="992" spans="6:13" x14ac:dyDescent="0.25">
      <c r="F992" t="s">
        <v>3065</v>
      </c>
      <c r="G992">
        <v>29553</v>
      </c>
      <c r="H992">
        <v>3360</v>
      </c>
      <c r="I992" s="25" t="s">
        <v>2074</v>
      </c>
      <c r="J992" t="s">
        <v>2400</v>
      </c>
      <c r="M992" s="49"/>
    </row>
    <row r="993" spans="6:13" x14ac:dyDescent="0.25">
      <c r="F993" t="s">
        <v>3066</v>
      </c>
      <c r="G993">
        <v>16306</v>
      </c>
      <c r="H993">
        <v>12073</v>
      </c>
      <c r="I993" s="25" t="s">
        <v>2356</v>
      </c>
      <c r="J993" t="s">
        <v>2397</v>
      </c>
      <c r="M993" s="49"/>
    </row>
    <row r="994" spans="6:13" x14ac:dyDescent="0.25">
      <c r="F994" t="s">
        <v>3066</v>
      </c>
      <c r="G994">
        <v>16306</v>
      </c>
      <c r="H994">
        <v>12073</v>
      </c>
      <c r="I994" s="25" t="s">
        <v>2356</v>
      </c>
      <c r="J994" t="s">
        <v>2397</v>
      </c>
      <c r="M994" s="49"/>
    </row>
    <row r="995" spans="6:13" x14ac:dyDescent="0.25">
      <c r="F995" t="s">
        <v>3067</v>
      </c>
      <c r="G995">
        <v>16359</v>
      </c>
      <c r="H995">
        <v>12060</v>
      </c>
      <c r="I995" s="25" t="s">
        <v>2356</v>
      </c>
      <c r="J995" t="s">
        <v>2040</v>
      </c>
      <c r="M995" s="49"/>
    </row>
    <row r="996" spans="6:13" x14ac:dyDescent="0.25">
      <c r="F996" t="s">
        <v>3068</v>
      </c>
      <c r="G996">
        <v>87640</v>
      </c>
      <c r="H996">
        <v>9777</v>
      </c>
      <c r="I996" s="25" t="s">
        <v>2050</v>
      </c>
      <c r="J996" t="s">
        <v>2237</v>
      </c>
      <c r="M996" s="49"/>
    </row>
    <row r="997" spans="6:13" x14ac:dyDescent="0.25">
      <c r="F997" t="s">
        <v>3069</v>
      </c>
      <c r="G997">
        <v>76467</v>
      </c>
      <c r="H997">
        <v>8216</v>
      </c>
      <c r="I997" s="25" t="s">
        <v>2018</v>
      </c>
      <c r="J997" t="s">
        <v>2564</v>
      </c>
      <c r="M997" s="49"/>
    </row>
    <row r="998" spans="6:13" x14ac:dyDescent="0.25">
      <c r="F998" t="s">
        <v>3070</v>
      </c>
      <c r="G998">
        <v>74321</v>
      </c>
      <c r="H998">
        <v>8118</v>
      </c>
      <c r="I998" s="25" t="s">
        <v>2018</v>
      </c>
      <c r="J998" t="s">
        <v>2142</v>
      </c>
      <c r="M998" s="49"/>
    </row>
    <row r="999" spans="6:13" x14ac:dyDescent="0.25">
      <c r="F999" t="s">
        <v>3070</v>
      </c>
      <c r="G999">
        <v>74321</v>
      </c>
      <c r="H999">
        <v>8118</v>
      </c>
      <c r="I999" s="25" t="s">
        <v>2018</v>
      </c>
      <c r="J999" t="s">
        <v>2142</v>
      </c>
      <c r="M999" s="49"/>
    </row>
    <row r="1000" spans="6:13" x14ac:dyDescent="0.25">
      <c r="F1000" t="s">
        <v>3071</v>
      </c>
      <c r="G1000">
        <v>48727</v>
      </c>
      <c r="H1000">
        <v>5558</v>
      </c>
      <c r="I1000" s="25" t="s">
        <v>2023</v>
      </c>
      <c r="J1000" t="s">
        <v>2076</v>
      </c>
      <c r="M1000" s="49"/>
    </row>
    <row r="1001" spans="6:13" x14ac:dyDescent="0.25">
      <c r="F1001" t="s">
        <v>3072</v>
      </c>
      <c r="G1001">
        <v>74842</v>
      </c>
      <c r="H1001">
        <v>8225</v>
      </c>
      <c r="I1001" s="25" t="s">
        <v>2018</v>
      </c>
      <c r="J1001" t="s">
        <v>2108</v>
      </c>
      <c r="M1001" s="49"/>
    </row>
    <row r="1002" spans="6:13" x14ac:dyDescent="0.25">
      <c r="F1002" t="s">
        <v>3073</v>
      </c>
      <c r="G1002">
        <v>76831</v>
      </c>
      <c r="H1002">
        <v>7337</v>
      </c>
      <c r="I1002" s="25" t="s">
        <v>2123</v>
      </c>
      <c r="J1002" t="s">
        <v>2256</v>
      </c>
      <c r="M1002" s="49"/>
    </row>
    <row r="1003" spans="6:13" x14ac:dyDescent="0.25">
      <c r="F1003" t="s">
        <v>3073</v>
      </c>
      <c r="G1003">
        <v>76831</v>
      </c>
      <c r="H1003">
        <v>7337</v>
      </c>
      <c r="I1003" s="25" t="s">
        <v>2123</v>
      </c>
      <c r="J1003" t="s">
        <v>2256</v>
      </c>
      <c r="M1003" s="49"/>
    </row>
    <row r="1004" spans="6:13" x14ac:dyDescent="0.25">
      <c r="F1004" t="s">
        <v>3074</v>
      </c>
      <c r="G1004">
        <v>6578</v>
      </c>
      <c r="H1004">
        <v>16065</v>
      </c>
      <c r="I1004" s="25" t="s">
        <v>2384</v>
      </c>
      <c r="J1004" t="s">
        <v>2532</v>
      </c>
      <c r="M1004" s="49"/>
    </row>
    <row r="1005" spans="6:13" x14ac:dyDescent="0.25">
      <c r="F1005" t="s">
        <v>3074</v>
      </c>
      <c r="G1005">
        <v>6578</v>
      </c>
      <c r="H1005">
        <v>16068</v>
      </c>
      <c r="I1005" s="25" t="s">
        <v>2384</v>
      </c>
      <c r="J1005" t="s">
        <v>3075</v>
      </c>
      <c r="M1005" s="49"/>
    </row>
    <row r="1006" spans="6:13" x14ac:dyDescent="0.25">
      <c r="F1006" t="s">
        <v>3076</v>
      </c>
      <c r="G1006">
        <v>74862</v>
      </c>
      <c r="H1006">
        <v>8225</v>
      </c>
      <c r="I1006" s="25" t="s">
        <v>2018</v>
      </c>
      <c r="J1006" t="s">
        <v>2108</v>
      </c>
      <c r="M1006" s="49"/>
    </row>
    <row r="1007" spans="6:13" x14ac:dyDescent="0.25">
      <c r="F1007" t="s">
        <v>3077</v>
      </c>
      <c r="G1007">
        <v>95463</v>
      </c>
      <c r="H1007">
        <v>9472</v>
      </c>
      <c r="I1007" s="25" t="s">
        <v>2050</v>
      </c>
      <c r="J1007" t="s">
        <v>2180</v>
      </c>
      <c r="M1007" s="49"/>
    </row>
    <row r="1008" spans="6:13" x14ac:dyDescent="0.25">
      <c r="F1008" t="s">
        <v>3078</v>
      </c>
      <c r="G1008">
        <v>72511</v>
      </c>
      <c r="H1008">
        <v>8437</v>
      </c>
      <c r="I1008" s="25" t="s">
        <v>2018</v>
      </c>
      <c r="J1008" t="s">
        <v>2720</v>
      </c>
      <c r="M1008" s="49"/>
    </row>
    <row r="1009" spans="6:13" x14ac:dyDescent="0.25">
      <c r="F1009" t="s">
        <v>3079</v>
      </c>
      <c r="G1009">
        <v>55411</v>
      </c>
      <c r="H1009">
        <v>7339</v>
      </c>
      <c r="I1009" s="25" t="s">
        <v>2123</v>
      </c>
      <c r="J1009" t="s">
        <v>2238</v>
      </c>
      <c r="M1009" s="49"/>
    </row>
    <row r="1010" spans="6:13" x14ac:dyDescent="0.25">
      <c r="F1010" t="s">
        <v>3079</v>
      </c>
      <c r="G1010">
        <v>55411</v>
      </c>
      <c r="H1010">
        <v>7339</v>
      </c>
      <c r="I1010" s="25" t="s">
        <v>2123</v>
      </c>
      <c r="J1010" t="s">
        <v>2238</v>
      </c>
      <c r="M1010" s="49"/>
    </row>
    <row r="1011" spans="6:13" x14ac:dyDescent="0.25">
      <c r="F1011" t="s">
        <v>3080</v>
      </c>
      <c r="G1011">
        <v>31619</v>
      </c>
      <c r="H1011">
        <v>3256</v>
      </c>
      <c r="I1011" s="25" t="s">
        <v>2074</v>
      </c>
      <c r="J1011" t="s">
        <v>2271</v>
      </c>
      <c r="M1011" s="49"/>
    </row>
    <row r="1012" spans="6:13" x14ac:dyDescent="0.25">
      <c r="F1012" t="s">
        <v>3081</v>
      </c>
      <c r="G1012">
        <v>56754</v>
      </c>
      <c r="H1012">
        <v>7135</v>
      </c>
      <c r="I1012" s="25" t="s">
        <v>2123</v>
      </c>
      <c r="J1012" t="s">
        <v>2072</v>
      </c>
      <c r="M1012" s="49"/>
    </row>
    <row r="1013" spans="6:13" x14ac:dyDescent="0.25">
      <c r="F1013" t="s">
        <v>3082</v>
      </c>
      <c r="G1013">
        <v>18609</v>
      </c>
      <c r="H1013">
        <v>13073</v>
      </c>
      <c r="I1013" s="25" t="s">
        <v>2191</v>
      </c>
      <c r="J1013" t="s">
        <v>2192</v>
      </c>
      <c r="M1013" s="49"/>
    </row>
    <row r="1014" spans="6:13" x14ac:dyDescent="0.25">
      <c r="F1014" t="s">
        <v>3083</v>
      </c>
      <c r="G1014">
        <v>79589</v>
      </c>
      <c r="H1014">
        <v>8336</v>
      </c>
      <c r="I1014" s="25" t="s">
        <v>2018</v>
      </c>
      <c r="J1014" t="s">
        <v>2227</v>
      </c>
      <c r="M1014" s="49"/>
    </row>
    <row r="1015" spans="6:13" x14ac:dyDescent="0.25">
      <c r="F1015" t="s">
        <v>3084</v>
      </c>
      <c r="G1015">
        <v>73102</v>
      </c>
      <c r="H1015">
        <v>8117</v>
      </c>
      <c r="I1015" s="25" t="s">
        <v>2018</v>
      </c>
      <c r="J1015" t="s">
        <v>2089</v>
      </c>
      <c r="M1015" s="49"/>
    </row>
    <row r="1016" spans="6:13" x14ac:dyDescent="0.25">
      <c r="F1016" t="s">
        <v>3085</v>
      </c>
      <c r="G1016">
        <v>92262</v>
      </c>
      <c r="H1016">
        <v>9371</v>
      </c>
      <c r="I1016" s="25" t="s">
        <v>2050</v>
      </c>
      <c r="J1016" t="s">
        <v>2469</v>
      </c>
      <c r="M1016" s="49"/>
    </row>
    <row r="1017" spans="6:13" x14ac:dyDescent="0.25">
      <c r="F1017" t="s">
        <v>3086</v>
      </c>
      <c r="G1017">
        <v>69488</v>
      </c>
      <c r="H1017">
        <v>6431</v>
      </c>
      <c r="I1017" s="25" t="s">
        <v>2046</v>
      </c>
      <c r="J1017" t="s">
        <v>2065</v>
      </c>
      <c r="M1017" s="49"/>
    </row>
    <row r="1018" spans="6:13" x14ac:dyDescent="0.25">
      <c r="F1018" t="s">
        <v>2048</v>
      </c>
      <c r="G1018">
        <v>75217</v>
      </c>
      <c r="H1018">
        <v>8236</v>
      </c>
      <c r="I1018" s="25" t="s">
        <v>2018</v>
      </c>
      <c r="J1018" t="s">
        <v>3087</v>
      </c>
      <c r="M1018" s="49"/>
    </row>
    <row r="1019" spans="6:13" x14ac:dyDescent="0.25">
      <c r="F1019" t="s">
        <v>2048</v>
      </c>
      <c r="G1019">
        <v>97834</v>
      </c>
      <c r="H1019">
        <v>9677</v>
      </c>
      <c r="I1019" s="25" t="s">
        <v>2050</v>
      </c>
      <c r="J1019" t="s">
        <v>2527</v>
      </c>
      <c r="M1019" s="49"/>
    </row>
    <row r="1020" spans="6:13" x14ac:dyDescent="0.25">
      <c r="F1020" t="s">
        <v>3088</v>
      </c>
      <c r="G1020">
        <v>55765</v>
      </c>
      <c r="H1020">
        <v>7134</v>
      </c>
      <c r="I1020" s="25" t="s">
        <v>2123</v>
      </c>
      <c r="J1020" t="s">
        <v>2048</v>
      </c>
      <c r="M1020" s="49"/>
    </row>
    <row r="1021" spans="6:13" x14ac:dyDescent="0.25">
      <c r="F1021" t="s">
        <v>3088</v>
      </c>
      <c r="G1021">
        <v>55765</v>
      </c>
      <c r="H1021">
        <v>7134</v>
      </c>
      <c r="I1021" s="25" t="s">
        <v>2123</v>
      </c>
      <c r="J1021" t="s">
        <v>2048</v>
      </c>
      <c r="M1021" s="49"/>
    </row>
    <row r="1022" spans="6:13" x14ac:dyDescent="0.25">
      <c r="F1022" t="s">
        <v>3089</v>
      </c>
      <c r="G1022">
        <v>67134</v>
      </c>
      <c r="H1022">
        <v>7338</v>
      </c>
      <c r="I1022" s="25" t="s">
        <v>2123</v>
      </c>
      <c r="J1022" t="s">
        <v>2448</v>
      </c>
      <c r="M1022" s="49"/>
    </row>
    <row r="1023" spans="6:13" x14ac:dyDescent="0.25">
      <c r="F1023" t="s">
        <v>3090</v>
      </c>
      <c r="G1023">
        <v>57587</v>
      </c>
      <c r="H1023">
        <v>7132</v>
      </c>
      <c r="I1023" s="25" t="s">
        <v>2123</v>
      </c>
      <c r="J1023" t="s">
        <v>2401</v>
      </c>
      <c r="M1023" s="49"/>
    </row>
    <row r="1024" spans="6:13" x14ac:dyDescent="0.25">
      <c r="F1024" t="s">
        <v>3091</v>
      </c>
      <c r="G1024">
        <v>16547</v>
      </c>
      <c r="H1024">
        <v>12065</v>
      </c>
      <c r="I1024" s="25" t="s">
        <v>2356</v>
      </c>
      <c r="J1024" t="s">
        <v>2283</v>
      </c>
      <c r="M1024" s="49"/>
    </row>
    <row r="1025" spans="6:13" x14ac:dyDescent="0.25">
      <c r="F1025" t="s">
        <v>3092</v>
      </c>
      <c r="G1025">
        <v>65626</v>
      </c>
      <c r="H1025">
        <v>7141</v>
      </c>
      <c r="I1025" s="25" t="s">
        <v>2123</v>
      </c>
      <c r="J1025" t="s">
        <v>2388</v>
      </c>
      <c r="M1025" s="49"/>
    </row>
    <row r="1026" spans="6:13" x14ac:dyDescent="0.25">
      <c r="F1026" t="s">
        <v>3093</v>
      </c>
      <c r="G1026">
        <v>57612</v>
      </c>
      <c r="H1026">
        <v>7132</v>
      </c>
      <c r="I1026" s="25" t="s">
        <v>2123</v>
      </c>
      <c r="J1026" t="s">
        <v>2401</v>
      </c>
      <c r="M1026" s="49"/>
    </row>
    <row r="1027" spans="6:13" x14ac:dyDescent="0.25">
      <c r="F1027" t="s">
        <v>3093</v>
      </c>
      <c r="G1027">
        <v>57612</v>
      </c>
      <c r="H1027">
        <v>7143</v>
      </c>
      <c r="I1027" s="25" t="s">
        <v>2123</v>
      </c>
      <c r="J1027" t="s">
        <v>2331</v>
      </c>
      <c r="M1027" s="49"/>
    </row>
    <row r="1028" spans="6:13" x14ac:dyDescent="0.25">
      <c r="F1028" t="s">
        <v>3094</v>
      </c>
      <c r="G1028">
        <v>54574</v>
      </c>
      <c r="H1028">
        <v>7233</v>
      </c>
      <c r="I1028" s="25" t="s">
        <v>2123</v>
      </c>
      <c r="J1028" t="s">
        <v>2416</v>
      </c>
      <c r="M1028" s="49"/>
    </row>
    <row r="1029" spans="6:13" x14ac:dyDescent="0.25">
      <c r="F1029" t="s">
        <v>3095</v>
      </c>
      <c r="G1029">
        <v>63633</v>
      </c>
      <c r="H1029">
        <v>6435</v>
      </c>
      <c r="I1029" s="25" t="s">
        <v>2046</v>
      </c>
      <c r="J1029" t="s">
        <v>2703</v>
      </c>
      <c r="M1029" s="49"/>
    </row>
    <row r="1030" spans="6:13" x14ac:dyDescent="0.25">
      <c r="F1030" t="s">
        <v>3096</v>
      </c>
      <c r="G1030">
        <v>96120</v>
      </c>
      <c r="H1030">
        <v>9471</v>
      </c>
      <c r="I1030" s="25" t="s">
        <v>2050</v>
      </c>
      <c r="J1030" t="s">
        <v>2392</v>
      </c>
      <c r="M1030" s="49"/>
    </row>
    <row r="1031" spans="6:13" x14ac:dyDescent="0.25">
      <c r="F1031" t="s">
        <v>3097</v>
      </c>
      <c r="G1031">
        <v>97836</v>
      </c>
      <c r="H1031">
        <v>9677</v>
      </c>
      <c r="I1031" s="25" t="s">
        <v>2050</v>
      </c>
      <c r="J1031" t="s">
        <v>2527</v>
      </c>
      <c r="M1031" s="49"/>
    </row>
    <row r="1032" spans="6:13" x14ac:dyDescent="0.25">
      <c r="F1032" t="s">
        <v>3098</v>
      </c>
      <c r="G1032">
        <v>67294</v>
      </c>
      <c r="H1032">
        <v>7331</v>
      </c>
      <c r="I1032" s="25" t="s">
        <v>2123</v>
      </c>
      <c r="J1032" t="s">
        <v>2029</v>
      </c>
      <c r="M1032" s="49"/>
    </row>
    <row r="1033" spans="6:13" x14ac:dyDescent="0.25">
      <c r="F1033" t="s">
        <v>3098</v>
      </c>
      <c r="G1033">
        <v>67294</v>
      </c>
      <c r="H1033">
        <v>7333</v>
      </c>
      <c r="I1033" s="25" t="s">
        <v>2123</v>
      </c>
      <c r="J1033" t="s">
        <v>2103</v>
      </c>
      <c r="M1033" s="49"/>
    </row>
    <row r="1034" spans="6:13" x14ac:dyDescent="0.25">
      <c r="F1034" t="s">
        <v>3099</v>
      </c>
      <c r="G1034">
        <v>35649</v>
      </c>
      <c r="H1034">
        <v>6532</v>
      </c>
      <c r="I1034" s="25" t="s">
        <v>2046</v>
      </c>
      <c r="J1034" t="s">
        <v>2555</v>
      </c>
      <c r="M1034" s="49"/>
    </row>
    <row r="1035" spans="6:13" x14ac:dyDescent="0.25">
      <c r="F1035" t="s">
        <v>3100</v>
      </c>
      <c r="G1035">
        <v>95493</v>
      </c>
      <c r="H1035">
        <v>9472</v>
      </c>
      <c r="I1035" s="25" t="s">
        <v>2050</v>
      </c>
      <c r="J1035" t="s">
        <v>2180</v>
      </c>
      <c r="M1035" s="49"/>
    </row>
    <row r="1036" spans="6:13" x14ac:dyDescent="0.25">
      <c r="F1036" t="s">
        <v>3101</v>
      </c>
      <c r="G1036">
        <v>65474</v>
      </c>
      <c r="H1036">
        <v>6433</v>
      </c>
      <c r="I1036" s="25" t="s">
        <v>2046</v>
      </c>
      <c r="J1036" t="s">
        <v>3061</v>
      </c>
      <c r="M1036" s="49"/>
    </row>
    <row r="1037" spans="6:13" x14ac:dyDescent="0.25">
      <c r="F1037" t="s">
        <v>3102</v>
      </c>
      <c r="G1037">
        <v>97653</v>
      </c>
      <c r="H1037">
        <v>9673</v>
      </c>
      <c r="I1037" s="25" t="s">
        <v>2050</v>
      </c>
      <c r="J1037" t="s">
        <v>2676</v>
      </c>
      <c r="M1037" s="49"/>
    </row>
    <row r="1038" spans="6:13" x14ac:dyDescent="0.25">
      <c r="F1038" t="s">
        <v>3103</v>
      </c>
      <c r="G1038">
        <v>94253</v>
      </c>
      <c r="H1038">
        <v>9276</v>
      </c>
      <c r="I1038" s="25" t="s">
        <v>2050</v>
      </c>
      <c r="J1038" t="s">
        <v>2078</v>
      </c>
      <c r="M1038" s="49"/>
    </row>
    <row r="1039" spans="6:13" x14ac:dyDescent="0.25">
      <c r="F1039" t="s">
        <v>3104</v>
      </c>
      <c r="G1039">
        <v>1877</v>
      </c>
      <c r="H1039">
        <v>14625</v>
      </c>
      <c r="I1039" s="25" t="s">
        <v>2135</v>
      </c>
      <c r="J1039" t="s">
        <v>2041</v>
      </c>
      <c r="M1039" s="49"/>
    </row>
    <row r="1040" spans="6:13" x14ac:dyDescent="0.25">
      <c r="F1040" t="s">
        <v>3105</v>
      </c>
      <c r="G1040">
        <v>83483</v>
      </c>
      <c r="H1040">
        <v>9172</v>
      </c>
      <c r="I1040" s="25" t="s">
        <v>2050</v>
      </c>
      <c r="J1040" t="s">
        <v>2042</v>
      </c>
      <c r="M1040" s="49"/>
    </row>
    <row r="1041" spans="6:13" x14ac:dyDescent="0.25">
      <c r="F1041" t="s">
        <v>3106</v>
      </c>
      <c r="G1041">
        <v>76476</v>
      </c>
      <c r="H1041">
        <v>8216</v>
      </c>
      <c r="I1041" s="25" t="s">
        <v>2018</v>
      </c>
      <c r="J1041" t="s">
        <v>2564</v>
      </c>
      <c r="M1041" s="49"/>
    </row>
    <row r="1042" spans="6:13" x14ac:dyDescent="0.25">
      <c r="F1042" t="s">
        <v>3107</v>
      </c>
      <c r="G1042">
        <v>72406</v>
      </c>
      <c r="H1042">
        <v>8417</v>
      </c>
      <c r="I1042" s="25" t="s">
        <v>2018</v>
      </c>
      <c r="J1042" t="s">
        <v>2269</v>
      </c>
      <c r="M1042" s="49"/>
    </row>
    <row r="1043" spans="6:13" x14ac:dyDescent="0.25">
      <c r="F1043" t="s">
        <v>3108</v>
      </c>
      <c r="G1043">
        <v>39629</v>
      </c>
      <c r="H1043">
        <v>15090</v>
      </c>
      <c r="I1043" s="25" t="s">
        <v>2241</v>
      </c>
      <c r="J1043" t="s">
        <v>2382</v>
      </c>
      <c r="M1043" s="49"/>
    </row>
    <row r="1044" spans="6:13" x14ac:dyDescent="0.25">
      <c r="F1044" t="s">
        <v>3108</v>
      </c>
      <c r="G1044">
        <v>39628</v>
      </c>
      <c r="H1044">
        <v>15090</v>
      </c>
      <c r="I1044" s="25" t="s">
        <v>2241</v>
      </c>
      <c r="J1044" t="s">
        <v>2382</v>
      </c>
      <c r="M1044" s="49"/>
    </row>
    <row r="1045" spans="6:13" x14ac:dyDescent="0.25">
      <c r="F1045" t="s">
        <v>3109</v>
      </c>
      <c r="G1045">
        <v>29646</v>
      </c>
      <c r="H1045">
        <v>3358</v>
      </c>
      <c r="I1045" s="25" t="s">
        <v>2074</v>
      </c>
      <c r="J1045" t="s">
        <v>2371</v>
      </c>
      <c r="M1045" s="49"/>
    </row>
    <row r="1046" spans="6:13" x14ac:dyDescent="0.25">
      <c r="F1046" t="s">
        <v>3110</v>
      </c>
      <c r="G1046">
        <v>49143</v>
      </c>
      <c r="H1046">
        <v>3459</v>
      </c>
      <c r="I1046" s="25" t="s">
        <v>2074</v>
      </c>
      <c r="J1046" t="s">
        <v>2292</v>
      </c>
      <c r="M1046" s="49"/>
    </row>
    <row r="1047" spans="6:13" x14ac:dyDescent="0.25">
      <c r="F1047" t="s">
        <v>3111</v>
      </c>
      <c r="G1047">
        <v>86657</v>
      </c>
      <c r="H1047">
        <v>9773</v>
      </c>
      <c r="I1047" s="25" t="s">
        <v>2050</v>
      </c>
      <c r="J1047" t="s">
        <v>2231</v>
      </c>
      <c r="M1047" s="49"/>
    </row>
    <row r="1048" spans="6:13" x14ac:dyDescent="0.25">
      <c r="F1048" t="s">
        <v>3112</v>
      </c>
      <c r="G1048">
        <v>73266</v>
      </c>
      <c r="H1048">
        <v>8116</v>
      </c>
      <c r="I1048" s="25" t="s">
        <v>2018</v>
      </c>
      <c r="J1048" t="s">
        <v>2213</v>
      </c>
      <c r="M1048" s="49"/>
    </row>
    <row r="1049" spans="6:13" x14ac:dyDescent="0.25">
      <c r="F1049" t="s">
        <v>3113</v>
      </c>
      <c r="G1049">
        <v>54634</v>
      </c>
      <c r="H1049">
        <v>7232</v>
      </c>
      <c r="I1049" s="25" t="s">
        <v>2123</v>
      </c>
      <c r="J1049" t="s">
        <v>2112</v>
      </c>
      <c r="M1049" s="49"/>
    </row>
    <row r="1050" spans="6:13" x14ac:dyDescent="0.25">
      <c r="F1050" t="s">
        <v>3114</v>
      </c>
      <c r="G1050">
        <v>6803</v>
      </c>
      <c r="H1050">
        <v>15082</v>
      </c>
      <c r="I1050" s="25" t="s">
        <v>2241</v>
      </c>
      <c r="J1050" t="s">
        <v>2242</v>
      </c>
      <c r="M1050" s="49"/>
    </row>
    <row r="1051" spans="6:13" x14ac:dyDescent="0.25">
      <c r="F1051" t="s">
        <v>3114</v>
      </c>
      <c r="G1051">
        <v>6808</v>
      </c>
      <c r="H1051">
        <v>15082</v>
      </c>
      <c r="I1051" s="25" t="s">
        <v>2241</v>
      </c>
      <c r="J1051" t="s">
        <v>2242</v>
      </c>
      <c r="M1051" s="49"/>
    </row>
    <row r="1052" spans="6:13" x14ac:dyDescent="0.25">
      <c r="F1052" t="s">
        <v>3114</v>
      </c>
      <c r="G1052">
        <v>6749</v>
      </c>
      <c r="H1052">
        <v>15082</v>
      </c>
      <c r="I1052" s="25" t="s">
        <v>2241</v>
      </c>
      <c r="J1052" t="s">
        <v>2242</v>
      </c>
      <c r="M1052" s="49"/>
    </row>
    <row r="1053" spans="6:13" x14ac:dyDescent="0.25">
      <c r="F1053" t="s">
        <v>3114</v>
      </c>
      <c r="G1053">
        <v>6766</v>
      </c>
      <c r="H1053">
        <v>15082</v>
      </c>
      <c r="I1053" s="25" t="s">
        <v>2241</v>
      </c>
      <c r="J1053" t="s">
        <v>2242</v>
      </c>
      <c r="M1053" s="49"/>
    </row>
    <row r="1054" spans="6:13" x14ac:dyDescent="0.25">
      <c r="F1054" t="s">
        <v>3115</v>
      </c>
      <c r="G1054">
        <v>72475</v>
      </c>
      <c r="H1054">
        <v>8417</v>
      </c>
      <c r="I1054" s="25" t="s">
        <v>2018</v>
      </c>
      <c r="J1054" t="s">
        <v>2269</v>
      </c>
      <c r="M1054" s="49"/>
    </row>
    <row r="1055" spans="6:13" x14ac:dyDescent="0.25">
      <c r="F1055" t="s">
        <v>3116</v>
      </c>
      <c r="G1055">
        <v>93476</v>
      </c>
      <c r="H1055">
        <v>9372</v>
      </c>
      <c r="I1055" s="25" t="s">
        <v>2050</v>
      </c>
      <c r="J1055" t="s">
        <v>2523</v>
      </c>
      <c r="M1055" s="49"/>
    </row>
    <row r="1056" spans="6:13" x14ac:dyDescent="0.25">
      <c r="F1056" t="s">
        <v>3117</v>
      </c>
      <c r="G1056">
        <v>87544</v>
      </c>
      <c r="H1056">
        <v>9780</v>
      </c>
      <c r="I1056" s="25" t="s">
        <v>2050</v>
      </c>
      <c r="J1056" t="s">
        <v>2278</v>
      </c>
      <c r="M1056" s="49"/>
    </row>
    <row r="1057" spans="6:13" x14ac:dyDescent="0.25">
      <c r="F1057" t="s">
        <v>3118</v>
      </c>
      <c r="G1057">
        <v>38889</v>
      </c>
      <c r="H1057">
        <v>15085</v>
      </c>
      <c r="I1057" s="25" t="s">
        <v>2241</v>
      </c>
      <c r="J1057" t="s">
        <v>2178</v>
      </c>
      <c r="M1057" s="49"/>
    </row>
    <row r="1058" spans="6:13" x14ac:dyDescent="0.25">
      <c r="F1058" t="s">
        <v>3119</v>
      </c>
      <c r="G1058">
        <v>15831</v>
      </c>
      <c r="H1058">
        <v>12072</v>
      </c>
      <c r="I1058" s="25" t="s">
        <v>2356</v>
      </c>
      <c r="J1058" t="s">
        <v>2456</v>
      </c>
      <c r="M1058" s="49"/>
    </row>
    <row r="1059" spans="6:13" x14ac:dyDescent="0.25">
      <c r="F1059" t="s">
        <v>3119</v>
      </c>
      <c r="G1059">
        <v>15831</v>
      </c>
      <c r="H1059">
        <v>12072</v>
      </c>
      <c r="I1059" s="25" t="s">
        <v>2356</v>
      </c>
      <c r="J1059" t="s">
        <v>2456</v>
      </c>
      <c r="M1059" s="49"/>
    </row>
    <row r="1060" spans="6:13" x14ac:dyDescent="0.25">
      <c r="F1060" t="s">
        <v>3119</v>
      </c>
      <c r="G1060">
        <v>15827</v>
      </c>
      <c r="H1060">
        <v>12072</v>
      </c>
      <c r="I1060" s="25" t="s">
        <v>2356</v>
      </c>
      <c r="J1060" t="s">
        <v>2456</v>
      </c>
      <c r="M1060" s="49"/>
    </row>
    <row r="1061" spans="6:13" x14ac:dyDescent="0.25">
      <c r="F1061" t="s">
        <v>3120</v>
      </c>
      <c r="G1061">
        <v>99444</v>
      </c>
      <c r="H1061">
        <v>16071</v>
      </c>
      <c r="I1061" s="25" t="s">
        <v>2384</v>
      </c>
      <c r="J1061" t="s">
        <v>2508</v>
      </c>
      <c r="M1061" s="49"/>
    </row>
    <row r="1062" spans="6:13" x14ac:dyDescent="0.25">
      <c r="F1062" t="s">
        <v>3121</v>
      </c>
      <c r="G1062">
        <v>53945</v>
      </c>
      <c r="H1062">
        <v>5366</v>
      </c>
      <c r="I1062" s="25" t="s">
        <v>2023</v>
      </c>
      <c r="J1062" t="s">
        <v>2127</v>
      </c>
      <c r="M1062" s="49"/>
    </row>
    <row r="1063" spans="6:13" x14ac:dyDescent="0.25">
      <c r="F1063" t="s">
        <v>3122</v>
      </c>
      <c r="G1063">
        <v>56865</v>
      </c>
      <c r="H1063">
        <v>7135</v>
      </c>
      <c r="I1063" s="25" t="s">
        <v>2123</v>
      </c>
      <c r="J1063" t="s">
        <v>2072</v>
      </c>
      <c r="M1063" s="49"/>
    </row>
    <row r="1064" spans="6:13" x14ac:dyDescent="0.25">
      <c r="F1064" t="s">
        <v>3123</v>
      </c>
      <c r="G1064">
        <v>17322</v>
      </c>
      <c r="H1064">
        <v>13075</v>
      </c>
      <c r="I1064" s="25" t="s">
        <v>2191</v>
      </c>
      <c r="J1064" t="s">
        <v>2160</v>
      </c>
      <c r="M1064" s="49"/>
    </row>
    <row r="1065" spans="6:13" x14ac:dyDescent="0.25">
      <c r="F1065" t="s">
        <v>3123</v>
      </c>
      <c r="G1065">
        <v>17322</v>
      </c>
      <c r="H1065">
        <v>13075</v>
      </c>
      <c r="I1065" s="25" t="s">
        <v>2191</v>
      </c>
      <c r="J1065" t="s">
        <v>2160</v>
      </c>
      <c r="M1065" s="49"/>
    </row>
    <row r="1066" spans="6:13" x14ac:dyDescent="0.25">
      <c r="F1066" t="s">
        <v>3123</v>
      </c>
      <c r="G1066">
        <v>17322</v>
      </c>
      <c r="H1066">
        <v>13075</v>
      </c>
      <c r="I1066" s="25" t="s">
        <v>2191</v>
      </c>
      <c r="J1066" t="s">
        <v>2160</v>
      </c>
      <c r="M1066" s="49"/>
    </row>
    <row r="1067" spans="6:13" x14ac:dyDescent="0.25">
      <c r="F1067" t="s">
        <v>3124</v>
      </c>
      <c r="G1067">
        <v>89143</v>
      </c>
      <c r="H1067">
        <v>8425</v>
      </c>
      <c r="I1067" s="25" t="s">
        <v>2018</v>
      </c>
      <c r="J1067" t="s">
        <v>2027</v>
      </c>
      <c r="M1067" s="49"/>
    </row>
    <row r="1068" spans="6:13" x14ac:dyDescent="0.25">
      <c r="F1068" t="s">
        <v>3125</v>
      </c>
      <c r="G1068">
        <v>74572</v>
      </c>
      <c r="H1068">
        <v>8127</v>
      </c>
      <c r="I1068" s="25" t="s">
        <v>2018</v>
      </c>
      <c r="J1068" t="s">
        <v>3126</v>
      </c>
      <c r="M1068" s="49"/>
    </row>
    <row r="1069" spans="6:13" x14ac:dyDescent="0.25">
      <c r="F1069" t="s">
        <v>3127</v>
      </c>
      <c r="G1069">
        <v>89134</v>
      </c>
      <c r="H1069">
        <v>8425</v>
      </c>
      <c r="I1069" s="25" t="s">
        <v>2018</v>
      </c>
      <c r="J1069" t="s">
        <v>2027</v>
      </c>
      <c r="M1069" s="49"/>
    </row>
    <row r="1070" spans="6:13" x14ac:dyDescent="0.25">
      <c r="F1070" t="s">
        <v>3128</v>
      </c>
      <c r="G1070">
        <v>21354</v>
      </c>
      <c r="H1070">
        <v>3355</v>
      </c>
      <c r="I1070" s="25" t="s">
        <v>2074</v>
      </c>
      <c r="J1070" t="s">
        <v>2129</v>
      </c>
      <c r="M1070" s="49"/>
    </row>
    <row r="1071" spans="6:13" x14ac:dyDescent="0.25">
      <c r="F1071" t="s">
        <v>3129</v>
      </c>
      <c r="G1071">
        <v>54608</v>
      </c>
      <c r="H1071">
        <v>7232</v>
      </c>
      <c r="I1071" s="25" t="s">
        <v>2123</v>
      </c>
      <c r="J1071" t="s">
        <v>2112</v>
      </c>
      <c r="M1071" s="49"/>
    </row>
    <row r="1072" spans="6:13" x14ac:dyDescent="0.25">
      <c r="F1072" t="s">
        <v>3130</v>
      </c>
      <c r="G1072">
        <v>99752</v>
      </c>
      <c r="H1072">
        <v>16062</v>
      </c>
      <c r="I1072" s="25" t="s">
        <v>2384</v>
      </c>
      <c r="J1072" t="s">
        <v>1489</v>
      </c>
      <c r="M1072" s="49"/>
    </row>
    <row r="1073" spans="6:13" x14ac:dyDescent="0.25">
      <c r="F1073" t="s">
        <v>3131</v>
      </c>
      <c r="G1073">
        <v>24327</v>
      </c>
      <c r="H1073">
        <v>1057</v>
      </c>
      <c r="I1073" s="25" t="s">
        <v>2085</v>
      </c>
      <c r="J1073" t="s">
        <v>2313</v>
      </c>
      <c r="M1073" s="49"/>
    </row>
    <row r="1074" spans="6:13" x14ac:dyDescent="0.25">
      <c r="F1074" t="s">
        <v>3132</v>
      </c>
      <c r="G1074">
        <v>27337</v>
      </c>
      <c r="H1074">
        <v>3361</v>
      </c>
      <c r="I1074" s="25" t="s">
        <v>2074</v>
      </c>
      <c r="J1074" t="s">
        <v>2075</v>
      </c>
      <c r="M1074" s="49"/>
    </row>
    <row r="1075" spans="6:13" x14ac:dyDescent="0.25">
      <c r="F1075" t="s">
        <v>3133</v>
      </c>
      <c r="G1075">
        <v>66440</v>
      </c>
      <c r="H1075">
        <v>10045</v>
      </c>
      <c r="I1075" s="25" t="s">
        <v>2849</v>
      </c>
      <c r="J1075" t="s">
        <v>3048</v>
      </c>
      <c r="M1075" s="49"/>
    </row>
    <row r="1076" spans="6:13" x14ac:dyDescent="0.25">
      <c r="F1076" t="s">
        <v>3134</v>
      </c>
      <c r="G1076">
        <v>89434</v>
      </c>
      <c r="H1076">
        <v>9773</v>
      </c>
      <c r="I1076" s="25" t="s">
        <v>2050</v>
      </c>
      <c r="J1076" t="s">
        <v>2231</v>
      </c>
      <c r="M1076" s="49"/>
    </row>
    <row r="1077" spans="6:13" x14ac:dyDescent="0.25">
      <c r="F1077" t="s">
        <v>3135</v>
      </c>
      <c r="G1077">
        <v>32825</v>
      </c>
      <c r="H1077">
        <v>5766</v>
      </c>
      <c r="I1077" s="25" t="s">
        <v>2023</v>
      </c>
      <c r="J1077" t="s">
        <v>2223</v>
      </c>
      <c r="M1077" s="49"/>
    </row>
    <row r="1078" spans="6:13" x14ac:dyDescent="0.25">
      <c r="F1078" t="s">
        <v>3136</v>
      </c>
      <c r="G1078">
        <v>26487</v>
      </c>
      <c r="H1078">
        <v>3462</v>
      </c>
      <c r="I1078" s="25" t="s">
        <v>2074</v>
      </c>
      <c r="J1078" t="s">
        <v>2433</v>
      </c>
      <c r="M1078" s="49"/>
    </row>
    <row r="1079" spans="6:13" x14ac:dyDescent="0.25">
      <c r="F1079" t="s">
        <v>3137</v>
      </c>
      <c r="G1079">
        <v>78176</v>
      </c>
      <c r="H1079">
        <v>8326</v>
      </c>
      <c r="I1079" s="25" t="s">
        <v>2018</v>
      </c>
      <c r="J1079" t="s">
        <v>2638</v>
      </c>
      <c r="M1079" s="49"/>
    </row>
    <row r="1080" spans="6:13" x14ac:dyDescent="0.25">
      <c r="F1080" t="s">
        <v>3138</v>
      </c>
      <c r="G1080">
        <v>24241</v>
      </c>
      <c r="H1080">
        <v>1058</v>
      </c>
      <c r="I1080" s="25" t="s">
        <v>2085</v>
      </c>
      <c r="J1080" t="s">
        <v>2086</v>
      </c>
      <c r="M1080" s="49"/>
    </row>
    <row r="1081" spans="6:13" x14ac:dyDescent="0.25">
      <c r="F1081" t="s">
        <v>3139</v>
      </c>
      <c r="G1081">
        <v>67240</v>
      </c>
      <c r="H1081">
        <v>7338</v>
      </c>
      <c r="I1081" s="25" t="s">
        <v>2123</v>
      </c>
      <c r="J1081" t="s">
        <v>2448</v>
      </c>
      <c r="M1081" s="49"/>
    </row>
    <row r="1082" spans="6:13" x14ac:dyDescent="0.25">
      <c r="F1082" t="s">
        <v>3140</v>
      </c>
      <c r="G1082">
        <v>82389</v>
      </c>
      <c r="H1082">
        <v>9190</v>
      </c>
      <c r="I1082" s="25" t="s">
        <v>2050</v>
      </c>
      <c r="J1082" t="s">
        <v>2417</v>
      </c>
      <c r="M1082" s="49"/>
    </row>
    <row r="1083" spans="6:13" x14ac:dyDescent="0.25">
      <c r="F1083" t="s">
        <v>3141</v>
      </c>
      <c r="G1083">
        <v>86399</v>
      </c>
      <c r="H1083">
        <v>9772</v>
      </c>
      <c r="I1083" s="25" t="s">
        <v>2050</v>
      </c>
      <c r="J1083" t="s">
        <v>2117</v>
      </c>
      <c r="M1083" s="49"/>
    </row>
    <row r="1084" spans="6:13" x14ac:dyDescent="0.25">
      <c r="F1084" t="s">
        <v>3142</v>
      </c>
      <c r="G1084">
        <v>73560</v>
      </c>
      <c r="H1084">
        <v>8136</v>
      </c>
      <c r="I1084" s="25" t="s">
        <v>2018</v>
      </c>
      <c r="J1084" t="s">
        <v>2039</v>
      </c>
      <c r="M1084" s="49"/>
    </row>
    <row r="1085" spans="6:13" x14ac:dyDescent="0.25">
      <c r="F1085" t="s">
        <v>2222</v>
      </c>
      <c r="G1085">
        <v>71034</v>
      </c>
      <c r="H1085">
        <v>8115</v>
      </c>
      <c r="I1085" s="25" t="s">
        <v>2018</v>
      </c>
      <c r="J1085" t="s">
        <v>2222</v>
      </c>
      <c r="M1085" s="49"/>
    </row>
    <row r="1086" spans="6:13" x14ac:dyDescent="0.25">
      <c r="F1086" t="s">
        <v>2222</v>
      </c>
      <c r="G1086">
        <v>71032</v>
      </c>
      <c r="H1086">
        <v>8115</v>
      </c>
      <c r="I1086" s="25" t="s">
        <v>2018</v>
      </c>
      <c r="J1086" t="s">
        <v>2222</v>
      </c>
      <c r="M1086" s="49"/>
    </row>
    <row r="1087" spans="6:13" x14ac:dyDescent="0.25">
      <c r="F1087" t="s">
        <v>3143</v>
      </c>
      <c r="G1087">
        <v>94255</v>
      </c>
      <c r="H1087">
        <v>9276</v>
      </c>
      <c r="I1087" s="25" t="s">
        <v>2050</v>
      </c>
      <c r="J1087" t="s">
        <v>2078</v>
      </c>
      <c r="M1087" s="49"/>
    </row>
    <row r="1088" spans="6:13" x14ac:dyDescent="0.25">
      <c r="F1088" t="s">
        <v>3144</v>
      </c>
      <c r="G1088">
        <v>9627</v>
      </c>
      <c r="H1088">
        <v>14522</v>
      </c>
      <c r="I1088" s="25" t="s">
        <v>2135</v>
      </c>
      <c r="J1088" t="s">
        <v>2100</v>
      </c>
      <c r="M1088" s="49"/>
    </row>
    <row r="1089" spans="6:13" x14ac:dyDescent="0.25">
      <c r="F1089" t="s">
        <v>3145</v>
      </c>
      <c r="G1089">
        <v>46395</v>
      </c>
      <c r="H1089">
        <v>5554</v>
      </c>
      <c r="I1089" s="25" t="s">
        <v>2023</v>
      </c>
      <c r="J1089" t="s">
        <v>2055</v>
      </c>
      <c r="M1089" s="49"/>
    </row>
    <row r="1090" spans="6:13" x14ac:dyDescent="0.25">
      <c r="F1090" t="s">
        <v>3145</v>
      </c>
      <c r="G1090">
        <v>46399</v>
      </c>
      <c r="H1090">
        <v>5554</v>
      </c>
      <c r="I1090" s="25" t="s">
        <v>2023</v>
      </c>
      <c r="J1090" t="s">
        <v>2055</v>
      </c>
      <c r="M1090" s="49"/>
    </row>
    <row r="1091" spans="6:13" x14ac:dyDescent="0.25">
      <c r="F1091" t="s">
        <v>3145</v>
      </c>
      <c r="G1091">
        <v>46397</v>
      </c>
      <c r="H1091">
        <v>5554</v>
      </c>
      <c r="I1091" s="25" t="s">
        <v>2023</v>
      </c>
      <c r="J1091" t="s">
        <v>2055</v>
      </c>
      <c r="M1091" s="49"/>
    </row>
    <row r="1092" spans="6:13" x14ac:dyDescent="0.25">
      <c r="F1092" t="s">
        <v>3146</v>
      </c>
      <c r="G1092">
        <v>44803</v>
      </c>
      <c r="H1092">
        <v>5911</v>
      </c>
      <c r="I1092" s="25" t="s">
        <v>2023</v>
      </c>
      <c r="J1092" t="s">
        <v>3147</v>
      </c>
      <c r="M1092" s="49"/>
    </row>
    <row r="1093" spans="6:13" x14ac:dyDescent="0.25">
      <c r="F1093" t="s">
        <v>3146</v>
      </c>
      <c r="G1093">
        <v>44801</v>
      </c>
      <c r="H1093">
        <v>5911</v>
      </c>
      <c r="I1093" s="25" t="s">
        <v>2023</v>
      </c>
      <c r="J1093" t="s">
        <v>3147</v>
      </c>
      <c r="M1093" s="49"/>
    </row>
    <row r="1094" spans="6:13" x14ac:dyDescent="0.25">
      <c r="F1094" t="s">
        <v>3146</v>
      </c>
      <c r="G1094">
        <v>44805</v>
      </c>
      <c r="H1094">
        <v>5911</v>
      </c>
      <c r="I1094" s="25" t="s">
        <v>2023</v>
      </c>
      <c r="J1094" t="s">
        <v>3147</v>
      </c>
      <c r="M1094" s="49"/>
    </row>
    <row r="1095" spans="6:13" x14ac:dyDescent="0.25">
      <c r="F1095" t="s">
        <v>3146</v>
      </c>
      <c r="G1095">
        <v>44892</v>
      </c>
      <c r="H1095">
        <v>5911</v>
      </c>
      <c r="I1095" s="25" t="s">
        <v>2023</v>
      </c>
      <c r="J1095" t="s">
        <v>3147</v>
      </c>
      <c r="M1095" s="49"/>
    </row>
    <row r="1096" spans="6:13" x14ac:dyDescent="0.25">
      <c r="F1096" t="s">
        <v>3146</v>
      </c>
      <c r="G1096">
        <v>44894</v>
      </c>
      <c r="H1096">
        <v>5911</v>
      </c>
      <c r="I1096" s="25" t="s">
        <v>2023</v>
      </c>
      <c r="J1096" t="s">
        <v>3147</v>
      </c>
      <c r="M1096" s="49"/>
    </row>
    <row r="1097" spans="6:13" x14ac:dyDescent="0.25">
      <c r="F1097" t="s">
        <v>3146</v>
      </c>
      <c r="G1097">
        <v>44879</v>
      </c>
      <c r="H1097">
        <v>5911</v>
      </c>
      <c r="I1097" s="25" t="s">
        <v>2023</v>
      </c>
      <c r="J1097" t="s">
        <v>3147</v>
      </c>
      <c r="M1097" s="49"/>
    </row>
    <row r="1098" spans="6:13" x14ac:dyDescent="0.25">
      <c r="F1098" t="s">
        <v>3146</v>
      </c>
      <c r="G1098">
        <v>44867</v>
      </c>
      <c r="H1098">
        <v>5911</v>
      </c>
      <c r="I1098" s="25" t="s">
        <v>2023</v>
      </c>
      <c r="J1098" t="s">
        <v>3147</v>
      </c>
      <c r="M1098" s="49"/>
    </row>
    <row r="1099" spans="6:13" x14ac:dyDescent="0.25">
      <c r="F1099" t="s">
        <v>3146</v>
      </c>
      <c r="G1099">
        <v>44869</v>
      </c>
      <c r="H1099">
        <v>5911</v>
      </c>
      <c r="I1099" s="25" t="s">
        <v>2023</v>
      </c>
      <c r="J1099" t="s">
        <v>3147</v>
      </c>
      <c r="M1099" s="49"/>
    </row>
    <row r="1100" spans="6:13" x14ac:dyDescent="0.25">
      <c r="F1100" t="s">
        <v>3146</v>
      </c>
      <c r="G1100">
        <v>44797</v>
      </c>
      <c r="H1100">
        <v>5911</v>
      </c>
      <c r="I1100" s="25" t="s">
        <v>2023</v>
      </c>
      <c r="J1100" t="s">
        <v>3147</v>
      </c>
      <c r="M1100" s="49"/>
    </row>
    <row r="1101" spans="6:13" x14ac:dyDescent="0.25">
      <c r="F1101" t="s">
        <v>3146</v>
      </c>
      <c r="G1101">
        <v>44791</v>
      </c>
      <c r="H1101">
        <v>5911</v>
      </c>
      <c r="I1101" s="25" t="s">
        <v>2023</v>
      </c>
      <c r="J1101" t="s">
        <v>3147</v>
      </c>
      <c r="M1101" s="49"/>
    </row>
    <row r="1102" spans="6:13" x14ac:dyDescent="0.25">
      <c r="F1102" t="s">
        <v>3146</v>
      </c>
      <c r="G1102">
        <v>44867</v>
      </c>
      <c r="H1102">
        <v>5911</v>
      </c>
      <c r="I1102" s="25" t="s">
        <v>2023</v>
      </c>
      <c r="J1102" t="s">
        <v>3147</v>
      </c>
      <c r="M1102" s="49"/>
    </row>
    <row r="1103" spans="6:13" x14ac:dyDescent="0.25">
      <c r="F1103" t="s">
        <v>3146</v>
      </c>
      <c r="G1103">
        <v>44807</v>
      </c>
      <c r="H1103">
        <v>5911</v>
      </c>
      <c r="I1103" s="25" t="s">
        <v>2023</v>
      </c>
      <c r="J1103" t="s">
        <v>3147</v>
      </c>
      <c r="M1103" s="49"/>
    </row>
    <row r="1104" spans="6:13" x14ac:dyDescent="0.25">
      <c r="F1104" t="s">
        <v>3146</v>
      </c>
      <c r="G1104">
        <v>44799</v>
      </c>
      <c r="H1104">
        <v>5911</v>
      </c>
      <c r="I1104" s="25" t="s">
        <v>2023</v>
      </c>
      <c r="J1104" t="s">
        <v>3147</v>
      </c>
      <c r="M1104" s="49"/>
    </row>
    <row r="1105" spans="6:13" x14ac:dyDescent="0.25">
      <c r="F1105" t="s">
        <v>3146</v>
      </c>
      <c r="G1105">
        <v>44799</v>
      </c>
      <c r="H1105">
        <v>5911</v>
      </c>
      <c r="I1105" s="25" t="s">
        <v>2023</v>
      </c>
      <c r="J1105" t="s">
        <v>3147</v>
      </c>
      <c r="M1105" s="49"/>
    </row>
    <row r="1106" spans="6:13" x14ac:dyDescent="0.25">
      <c r="F1106" t="s">
        <v>3146</v>
      </c>
      <c r="G1106">
        <v>44787</v>
      </c>
      <c r="H1106">
        <v>5911</v>
      </c>
      <c r="I1106" s="25" t="s">
        <v>2023</v>
      </c>
      <c r="J1106" t="s">
        <v>3147</v>
      </c>
      <c r="M1106" s="49"/>
    </row>
    <row r="1107" spans="6:13" x14ac:dyDescent="0.25">
      <c r="F1107" t="s">
        <v>3146</v>
      </c>
      <c r="G1107">
        <v>44866</v>
      </c>
      <c r="H1107">
        <v>5911</v>
      </c>
      <c r="I1107" s="25" t="s">
        <v>2023</v>
      </c>
      <c r="J1107" t="s">
        <v>3147</v>
      </c>
      <c r="M1107" s="49"/>
    </row>
    <row r="1108" spans="6:13" x14ac:dyDescent="0.25">
      <c r="F1108" t="s">
        <v>3146</v>
      </c>
      <c r="G1108">
        <v>44789</v>
      </c>
      <c r="H1108">
        <v>5911</v>
      </c>
      <c r="I1108" s="25" t="s">
        <v>2023</v>
      </c>
      <c r="J1108" t="s">
        <v>3147</v>
      </c>
      <c r="M1108" s="49"/>
    </row>
    <row r="1109" spans="6:13" x14ac:dyDescent="0.25">
      <c r="F1109" t="s">
        <v>3146</v>
      </c>
      <c r="G1109">
        <v>44795</v>
      </c>
      <c r="H1109">
        <v>5911</v>
      </c>
      <c r="I1109" s="25" t="s">
        <v>2023</v>
      </c>
      <c r="J1109" t="s">
        <v>3147</v>
      </c>
      <c r="M1109" s="49"/>
    </row>
    <row r="1110" spans="6:13" x14ac:dyDescent="0.25">
      <c r="F1110" t="s">
        <v>3146</v>
      </c>
      <c r="G1110">
        <v>44793</v>
      </c>
      <c r="H1110">
        <v>5911</v>
      </c>
      <c r="I1110" s="25" t="s">
        <v>2023</v>
      </c>
      <c r="J1110" t="s">
        <v>3147</v>
      </c>
      <c r="M1110" s="49"/>
    </row>
    <row r="1111" spans="6:13" x14ac:dyDescent="0.25">
      <c r="F1111" t="s">
        <v>3146</v>
      </c>
      <c r="G1111">
        <v>44809</v>
      </c>
      <c r="H1111">
        <v>5911</v>
      </c>
      <c r="I1111" s="25" t="s">
        <v>2023</v>
      </c>
      <c r="J1111" t="s">
        <v>3147</v>
      </c>
      <c r="M1111" s="49"/>
    </row>
    <row r="1112" spans="6:13" x14ac:dyDescent="0.25">
      <c r="F1112" t="s">
        <v>3146</v>
      </c>
      <c r="G1112">
        <v>44801</v>
      </c>
      <c r="H1112">
        <v>5911</v>
      </c>
      <c r="I1112" s="25" t="s">
        <v>2023</v>
      </c>
      <c r="J1112" t="s">
        <v>3147</v>
      </c>
      <c r="M1112" s="49"/>
    </row>
    <row r="1113" spans="6:13" x14ac:dyDescent="0.25">
      <c r="F1113" t="s">
        <v>3148</v>
      </c>
      <c r="G1113">
        <v>8324</v>
      </c>
      <c r="H1113">
        <v>14521</v>
      </c>
      <c r="I1113" s="25" t="s">
        <v>2135</v>
      </c>
      <c r="J1113" t="s">
        <v>2032</v>
      </c>
      <c r="M1113" s="49"/>
    </row>
    <row r="1114" spans="6:13" x14ac:dyDescent="0.25">
      <c r="F1114" t="s">
        <v>3149</v>
      </c>
      <c r="G1114">
        <v>31167</v>
      </c>
      <c r="H1114">
        <v>3254</v>
      </c>
      <c r="I1114" s="25" t="s">
        <v>2074</v>
      </c>
      <c r="J1114" t="s">
        <v>2196</v>
      </c>
      <c r="M1114" s="49"/>
    </row>
    <row r="1115" spans="6:13" x14ac:dyDescent="0.25">
      <c r="F1115" t="s">
        <v>3150</v>
      </c>
      <c r="G1115">
        <v>67278</v>
      </c>
      <c r="H1115">
        <v>7332</v>
      </c>
      <c r="I1115" s="25" t="s">
        <v>2123</v>
      </c>
      <c r="J1115" t="s">
        <v>2440</v>
      </c>
      <c r="M1115" s="49"/>
    </row>
    <row r="1116" spans="6:13" x14ac:dyDescent="0.25">
      <c r="F1116" t="s">
        <v>3151</v>
      </c>
      <c r="G1116">
        <v>26345</v>
      </c>
      <c r="H1116">
        <v>3455</v>
      </c>
      <c r="I1116" s="25" t="s">
        <v>2074</v>
      </c>
      <c r="J1116" t="s">
        <v>2143</v>
      </c>
      <c r="M1116" s="49"/>
    </row>
    <row r="1117" spans="6:13" x14ac:dyDescent="0.25">
      <c r="F1117" t="s">
        <v>3151</v>
      </c>
      <c r="G1117">
        <v>85461</v>
      </c>
      <c r="H1117">
        <v>9177</v>
      </c>
      <c r="I1117" s="25" t="s">
        <v>2050</v>
      </c>
      <c r="J1117" t="s">
        <v>2915</v>
      </c>
      <c r="M1117" s="49"/>
    </row>
    <row r="1118" spans="6:13" x14ac:dyDescent="0.25">
      <c r="F1118" t="s">
        <v>3152</v>
      </c>
      <c r="G1118">
        <v>72411</v>
      </c>
      <c r="H1118">
        <v>8416</v>
      </c>
      <c r="I1118" s="25" t="s">
        <v>2018</v>
      </c>
      <c r="J1118" t="s">
        <v>2464</v>
      </c>
      <c r="M1118" s="49"/>
    </row>
    <row r="1119" spans="6:13" x14ac:dyDescent="0.25">
      <c r="F1119" t="s">
        <v>3153</v>
      </c>
      <c r="G1119">
        <v>53539</v>
      </c>
      <c r="H1119">
        <v>7233</v>
      </c>
      <c r="I1119" s="25" t="s">
        <v>2123</v>
      </c>
      <c r="J1119" t="s">
        <v>2416</v>
      </c>
      <c r="M1119" s="49"/>
    </row>
    <row r="1120" spans="6:13" x14ac:dyDescent="0.25">
      <c r="F1120" t="s">
        <v>3154</v>
      </c>
      <c r="G1120">
        <v>37194</v>
      </c>
      <c r="H1120">
        <v>3155</v>
      </c>
      <c r="I1120" s="25" t="s">
        <v>2074</v>
      </c>
      <c r="J1120" t="s">
        <v>2653</v>
      </c>
      <c r="M1120" s="49"/>
    </row>
    <row r="1121" spans="6:13" x14ac:dyDescent="0.25">
      <c r="F1121" t="s">
        <v>3154</v>
      </c>
      <c r="G1121">
        <v>37194</v>
      </c>
      <c r="H1121">
        <v>6633</v>
      </c>
      <c r="I1121" s="25" t="s">
        <v>2046</v>
      </c>
      <c r="J1121" t="s">
        <v>2162</v>
      </c>
      <c r="M1121" s="49"/>
    </row>
    <row r="1122" spans="6:13" x14ac:dyDescent="0.25">
      <c r="F1122" t="s">
        <v>3155</v>
      </c>
      <c r="G1122">
        <v>55294</v>
      </c>
      <c r="H1122">
        <v>7339</v>
      </c>
      <c r="I1122" s="25" t="s">
        <v>2123</v>
      </c>
      <c r="J1122" t="s">
        <v>2238</v>
      </c>
      <c r="M1122" s="49"/>
    </row>
    <row r="1123" spans="6:13" x14ac:dyDescent="0.25">
      <c r="F1123" t="s">
        <v>3156</v>
      </c>
      <c r="G1123">
        <v>84155</v>
      </c>
      <c r="H1123">
        <v>9274</v>
      </c>
      <c r="I1123" s="25" t="s">
        <v>2050</v>
      </c>
      <c r="J1123" t="s">
        <v>2132</v>
      </c>
      <c r="M1123" s="49"/>
    </row>
    <row r="1124" spans="6:13" x14ac:dyDescent="0.25">
      <c r="F1124" t="s">
        <v>3157</v>
      </c>
      <c r="G1124">
        <v>94249</v>
      </c>
      <c r="H1124">
        <v>9276</v>
      </c>
      <c r="I1124" s="25" t="s">
        <v>2050</v>
      </c>
      <c r="J1124" t="s">
        <v>2078</v>
      </c>
      <c r="M1124" s="49"/>
    </row>
    <row r="1125" spans="6:13" x14ac:dyDescent="0.25">
      <c r="F1125" t="s">
        <v>3158</v>
      </c>
      <c r="G1125">
        <v>37619</v>
      </c>
      <c r="H1125">
        <v>3255</v>
      </c>
      <c r="I1125" s="25" t="s">
        <v>2074</v>
      </c>
      <c r="J1125" t="s">
        <v>3044</v>
      </c>
      <c r="M1125" s="49"/>
    </row>
    <row r="1126" spans="6:13" x14ac:dyDescent="0.25">
      <c r="F1126" t="s">
        <v>3159</v>
      </c>
      <c r="G1126">
        <v>92439</v>
      </c>
      <c r="H1126">
        <v>9376</v>
      </c>
      <c r="I1126" s="25" t="s">
        <v>2050</v>
      </c>
      <c r="J1126" t="s">
        <v>2390</v>
      </c>
      <c r="M1126" s="49"/>
    </row>
    <row r="1127" spans="6:13" x14ac:dyDescent="0.25">
      <c r="F1127" t="s">
        <v>3160</v>
      </c>
      <c r="G1127">
        <v>78351</v>
      </c>
      <c r="H1127">
        <v>8335</v>
      </c>
      <c r="I1127" s="25" t="s">
        <v>2018</v>
      </c>
      <c r="J1127" t="s">
        <v>2019</v>
      </c>
      <c r="M1127" s="49"/>
    </row>
    <row r="1128" spans="6:13" x14ac:dyDescent="0.25">
      <c r="F1128" t="s">
        <v>3161</v>
      </c>
      <c r="G1128">
        <v>88285</v>
      </c>
      <c r="H1128">
        <v>8436</v>
      </c>
      <c r="I1128" s="25" t="s">
        <v>2018</v>
      </c>
      <c r="J1128" t="s">
        <v>2068</v>
      </c>
      <c r="M1128" s="49"/>
    </row>
    <row r="1129" spans="6:13" x14ac:dyDescent="0.25">
      <c r="F1129" t="s">
        <v>3161</v>
      </c>
      <c r="G1129">
        <v>88285</v>
      </c>
      <c r="H1129">
        <v>8436</v>
      </c>
      <c r="I1129" s="25" t="s">
        <v>2018</v>
      </c>
      <c r="J1129" t="s">
        <v>2068</v>
      </c>
      <c r="M1129" s="49"/>
    </row>
    <row r="1130" spans="6:13" x14ac:dyDescent="0.25">
      <c r="F1130" t="s">
        <v>3162</v>
      </c>
      <c r="G1130">
        <v>24401</v>
      </c>
      <c r="H1130">
        <v>1059</v>
      </c>
      <c r="I1130" s="25" t="s">
        <v>2085</v>
      </c>
      <c r="J1130" t="s">
        <v>2354</v>
      </c>
      <c r="M1130" s="49"/>
    </row>
    <row r="1131" spans="6:13" x14ac:dyDescent="0.25">
      <c r="F1131" t="s">
        <v>3163</v>
      </c>
      <c r="G1131">
        <v>37691</v>
      </c>
      <c r="H1131">
        <v>3255</v>
      </c>
      <c r="I1131" s="25" t="s">
        <v>2074</v>
      </c>
      <c r="J1131" t="s">
        <v>3044</v>
      </c>
      <c r="M1131" s="49"/>
    </row>
    <row r="1132" spans="6:13" x14ac:dyDescent="0.25">
      <c r="F1132" t="s">
        <v>3163</v>
      </c>
      <c r="G1132">
        <v>37691</v>
      </c>
      <c r="H1132">
        <v>3255</v>
      </c>
      <c r="I1132" s="25" t="s">
        <v>2074</v>
      </c>
      <c r="J1132" t="s">
        <v>3044</v>
      </c>
      <c r="M1132" s="49"/>
    </row>
    <row r="1133" spans="6:13" x14ac:dyDescent="0.25">
      <c r="F1133" t="s">
        <v>3164</v>
      </c>
      <c r="G1133">
        <v>94327</v>
      </c>
      <c r="H1133">
        <v>9278</v>
      </c>
      <c r="I1133" s="25" t="s">
        <v>2050</v>
      </c>
      <c r="J1133" t="s">
        <v>2170</v>
      </c>
      <c r="M1133" s="49"/>
    </row>
    <row r="1134" spans="6:13" x14ac:dyDescent="0.25">
      <c r="F1134" t="s">
        <v>3165</v>
      </c>
      <c r="G1134">
        <v>87736</v>
      </c>
      <c r="H1134">
        <v>9778</v>
      </c>
      <c r="I1134" s="25" t="s">
        <v>2050</v>
      </c>
      <c r="J1134" t="s">
        <v>2460</v>
      </c>
      <c r="M1134" s="49"/>
    </row>
    <row r="1135" spans="6:13" x14ac:dyDescent="0.25">
      <c r="F1135" t="s">
        <v>3166</v>
      </c>
      <c r="G1135">
        <v>4564</v>
      </c>
      <c r="H1135">
        <v>14729</v>
      </c>
      <c r="I1135" s="25" t="s">
        <v>2135</v>
      </c>
      <c r="J1135" t="s">
        <v>2684</v>
      </c>
      <c r="M1135" s="49"/>
    </row>
    <row r="1136" spans="6:13" x14ac:dyDescent="0.25">
      <c r="F1136" t="s">
        <v>3167</v>
      </c>
      <c r="G1136">
        <v>67459</v>
      </c>
      <c r="H1136">
        <v>7338</v>
      </c>
      <c r="I1136" s="25" t="s">
        <v>2123</v>
      </c>
      <c r="J1136" t="s">
        <v>2448</v>
      </c>
      <c r="M1136" s="49"/>
    </row>
    <row r="1137" spans="6:13" x14ac:dyDescent="0.25">
      <c r="F1137" t="s">
        <v>3168</v>
      </c>
      <c r="G1137">
        <v>89558</v>
      </c>
      <c r="H1137">
        <v>8117</v>
      </c>
      <c r="I1137" s="25" t="s">
        <v>2018</v>
      </c>
      <c r="J1137" t="s">
        <v>2089</v>
      </c>
      <c r="M1137" s="49"/>
    </row>
    <row r="1138" spans="6:13" x14ac:dyDescent="0.25">
      <c r="F1138" t="s">
        <v>3169</v>
      </c>
      <c r="G1138">
        <v>85113</v>
      </c>
      <c r="H1138">
        <v>9176</v>
      </c>
      <c r="I1138" s="25" t="s">
        <v>2050</v>
      </c>
      <c r="J1138" t="s">
        <v>2102</v>
      </c>
      <c r="M1138" s="49"/>
    </row>
    <row r="1139" spans="6:13" x14ac:dyDescent="0.25">
      <c r="F1139" t="s">
        <v>3170</v>
      </c>
      <c r="G1139">
        <v>49163</v>
      </c>
      <c r="H1139">
        <v>3459</v>
      </c>
      <c r="I1139" s="25" t="s">
        <v>2074</v>
      </c>
      <c r="J1139" t="s">
        <v>2292</v>
      </c>
      <c r="M1139" s="49"/>
    </row>
    <row r="1140" spans="6:13" x14ac:dyDescent="0.25">
      <c r="F1140" t="s">
        <v>3171</v>
      </c>
      <c r="G1140">
        <v>19258</v>
      </c>
      <c r="H1140">
        <v>13076</v>
      </c>
      <c r="I1140" s="25" t="s">
        <v>2191</v>
      </c>
      <c r="J1140" t="s">
        <v>2234</v>
      </c>
      <c r="M1140" s="49"/>
    </row>
    <row r="1141" spans="6:13" x14ac:dyDescent="0.25">
      <c r="F1141" t="s">
        <v>3172</v>
      </c>
      <c r="G1141">
        <v>38556</v>
      </c>
      <c r="H1141">
        <v>3151</v>
      </c>
      <c r="I1141" s="25" t="s">
        <v>2074</v>
      </c>
      <c r="J1141" t="s">
        <v>2126</v>
      </c>
      <c r="M1141" s="49"/>
    </row>
    <row r="1142" spans="6:13" x14ac:dyDescent="0.25">
      <c r="F1142" t="s">
        <v>3173</v>
      </c>
      <c r="G1142">
        <v>24860</v>
      </c>
      <c r="H1142">
        <v>1059</v>
      </c>
      <c r="I1142" s="25" t="s">
        <v>2085</v>
      </c>
      <c r="J1142" t="s">
        <v>2354</v>
      </c>
      <c r="M1142" s="49"/>
    </row>
    <row r="1143" spans="6:13" x14ac:dyDescent="0.25">
      <c r="F1143" t="s">
        <v>3174</v>
      </c>
      <c r="G1143">
        <v>67295</v>
      </c>
      <c r="H1143">
        <v>7333</v>
      </c>
      <c r="I1143" s="25" t="s">
        <v>2123</v>
      </c>
      <c r="J1143" t="s">
        <v>2103</v>
      </c>
      <c r="M1143" s="49"/>
    </row>
    <row r="1144" spans="6:13" x14ac:dyDescent="0.25">
      <c r="F1144" t="s">
        <v>3175</v>
      </c>
      <c r="G1144">
        <v>54669</v>
      </c>
      <c r="H1144">
        <v>7232</v>
      </c>
      <c r="I1144" s="25" t="s">
        <v>2123</v>
      </c>
      <c r="J1144" t="s">
        <v>2112</v>
      </c>
      <c r="M1144" s="49"/>
    </row>
    <row r="1145" spans="6:13" x14ac:dyDescent="0.25">
      <c r="F1145" t="s">
        <v>3176</v>
      </c>
      <c r="G1145">
        <v>24855</v>
      </c>
      <c r="H1145">
        <v>1059</v>
      </c>
      <c r="I1145" s="25" t="s">
        <v>2085</v>
      </c>
      <c r="J1145" t="s">
        <v>2354</v>
      </c>
      <c r="M1145" s="49"/>
    </row>
    <row r="1146" spans="6:13" x14ac:dyDescent="0.25">
      <c r="F1146" t="s">
        <v>3177</v>
      </c>
      <c r="G1146">
        <v>79283</v>
      </c>
      <c r="H1146">
        <v>8315</v>
      </c>
      <c r="I1146" s="25" t="s">
        <v>2018</v>
      </c>
      <c r="J1146" t="s">
        <v>2061</v>
      </c>
      <c r="M1146" s="49"/>
    </row>
    <row r="1147" spans="6:13" x14ac:dyDescent="0.25">
      <c r="F1147" t="s">
        <v>3178</v>
      </c>
      <c r="G1147">
        <v>23946</v>
      </c>
      <c r="H1147">
        <v>13074</v>
      </c>
      <c r="I1147" s="25" t="s">
        <v>2191</v>
      </c>
      <c r="J1147" t="s">
        <v>2275</v>
      </c>
      <c r="M1147" s="49"/>
    </row>
    <row r="1148" spans="6:13" x14ac:dyDescent="0.25">
      <c r="F1148" t="s">
        <v>3178</v>
      </c>
      <c r="G1148">
        <v>23946</v>
      </c>
      <c r="H1148">
        <v>13074</v>
      </c>
      <c r="I1148" s="25" t="s">
        <v>2191</v>
      </c>
      <c r="J1148" t="s">
        <v>2275</v>
      </c>
      <c r="M1148" s="49"/>
    </row>
    <row r="1149" spans="6:13" x14ac:dyDescent="0.25">
      <c r="F1149" t="s">
        <v>3179</v>
      </c>
      <c r="G1149">
        <v>29699</v>
      </c>
      <c r="H1149">
        <v>3358</v>
      </c>
      <c r="I1149" s="25" t="s">
        <v>2074</v>
      </c>
      <c r="J1149" t="s">
        <v>2371</v>
      </c>
      <c r="M1149" s="49"/>
    </row>
    <row r="1150" spans="6:13" x14ac:dyDescent="0.25">
      <c r="F1150" t="s">
        <v>3180</v>
      </c>
      <c r="G1150">
        <v>71149</v>
      </c>
      <c r="H1150">
        <v>8115</v>
      </c>
      <c r="I1150" s="25" t="s">
        <v>2018</v>
      </c>
      <c r="J1150" t="s">
        <v>2222</v>
      </c>
      <c r="M1150" s="49"/>
    </row>
    <row r="1151" spans="6:13" x14ac:dyDescent="0.25">
      <c r="F1151" t="s">
        <v>3181</v>
      </c>
      <c r="G1151">
        <v>24620</v>
      </c>
      <c r="H1151">
        <v>1057</v>
      </c>
      <c r="I1151" s="25" t="s">
        <v>2085</v>
      </c>
      <c r="J1151" t="s">
        <v>2313</v>
      </c>
      <c r="M1151" s="49"/>
    </row>
    <row r="1152" spans="6:13" x14ac:dyDescent="0.25">
      <c r="F1152" t="s">
        <v>3182</v>
      </c>
      <c r="G1152">
        <v>59199</v>
      </c>
      <c r="H1152">
        <v>5978</v>
      </c>
      <c r="I1152" s="25" t="s">
        <v>2023</v>
      </c>
      <c r="J1152" t="s">
        <v>2402</v>
      </c>
      <c r="M1152" s="49"/>
    </row>
    <row r="1153" spans="6:13" x14ac:dyDescent="0.25">
      <c r="F1153" t="s">
        <v>3183</v>
      </c>
      <c r="G1153">
        <v>53125</v>
      </c>
      <c r="H1153">
        <v>5314</v>
      </c>
      <c r="I1153" s="25" t="s">
        <v>2023</v>
      </c>
      <c r="J1153" t="s">
        <v>3184</v>
      </c>
      <c r="M1153" s="49"/>
    </row>
    <row r="1154" spans="6:13" x14ac:dyDescent="0.25">
      <c r="F1154" t="s">
        <v>3183</v>
      </c>
      <c r="G1154">
        <v>53175</v>
      </c>
      <c r="H1154">
        <v>5314</v>
      </c>
      <c r="I1154" s="25" t="s">
        <v>2023</v>
      </c>
      <c r="J1154" t="s">
        <v>3184</v>
      </c>
      <c r="M1154" s="49"/>
    </row>
    <row r="1155" spans="6:13" x14ac:dyDescent="0.25">
      <c r="F1155" t="s">
        <v>3183</v>
      </c>
      <c r="G1155">
        <v>53113</v>
      </c>
      <c r="H1155">
        <v>5314</v>
      </c>
      <c r="I1155" s="25" t="s">
        <v>2023</v>
      </c>
      <c r="J1155" t="s">
        <v>3184</v>
      </c>
      <c r="M1155" s="49"/>
    </row>
    <row r="1156" spans="6:13" x14ac:dyDescent="0.25">
      <c r="F1156" t="s">
        <v>3183</v>
      </c>
      <c r="G1156">
        <v>53173</v>
      </c>
      <c r="H1156">
        <v>5314</v>
      </c>
      <c r="I1156" s="25" t="s">
        <v>2023</v>
      </c>
      <c r="J1156" t="s">
        <v>3184</v>
      </c>
      <c r="M1156" s="49"/>
    </row>
    <row r="1157" spans="6:13" x14ac:dyDescent="0.25">
      <c r="F1157" t="s">
        <v>3183</v>
      </c>
      <c r="G1157">
        <v>53123</v>
      </c>
      <c r="H1157">
        <v>5314</v>
      </c>
      <c r="I1157" s="25" t="s">
        <v>2023</v>
      </c>
      <c r="J1157" t="s">
        <v>3184</v>
      </c>
      <c r="M1157" s="49"/>
    </row>
    <row r="1158" spans="6:13" x14ac:dyDescent="0.25">
      <c r="F1158" t="s">
        <v>3183</v>
      </c>
      <c r="G1158">
        <v>53227</v>
      </c>
      <c r="H1158">
        <v>5314</v>
      </c>
      <c r="I1158" s="25" t="s">
        <v>2023</v>
      </c>
      <c r="J1158" t="s">
        <v>3184</v>
      </c>
      <c r="M1158" s="49"/>
    </row>
    <row r="1159" spans="6:13" x14ac:dyDescent="0.25">
      <c r="F1159" t="s">
        <v>3183</v>
      </c>
      <c r="G1159">
        <v>53225</v>
      </c>
      <c r="H1159">
        <v>5314</v>
      </c>
      <c r="I1159" s="25" t="s">
        <v>2023</v>
      </c>
      <c r="J1159" t="s">
        <v>3184</v>
      </c>
      <c r="M1159" s="49"/>
    </row>
    <row r="1160" spans="6:13" x14ac:dyDescent="0.25">
      <c r="F1160" t="s">
        <v>3183</v>
      </c>
      <c r="G1160">
        <v>53177</v>
      </c>
      <c r="H1160">
        <v>5314</v>
      </c>
      <c r="I1160" s="25" t="s">
        <v>2023</v>
      </c>
      <c r="J1160" t="s">
        <v>3184</v>
      </c>
      <c r="M1160" s="49"/>
    </row>
    <row r="1161" spans="6:13" x14ac:dyDescent="0.25">
      <c r="F1161" t="s">
        <v>3183</v>
      </c>
      <c r="G1161">
        <v>53179</v>
      </c>
      <c r="H1161">
        <v>5314</v>
      </c>
      <c r="I1161" s="25" t="s">
        <v>2023</v>
      </c>
      <c r="J1161" t="s">
        <v>3184</v>
      </c>
      <c r="M1161" s="49"/>
    </row>
    <row r="1162" spans="6:13" x14ac:dyDescent="0.25">
      <c r="F1162" t="s">
        <v>3183</v>
      </c>
      <c r="G1162">
        <v>53229</v>
      </c>
      <c r="H1162">
        <v>5314</v>
      </c>
      <c r="I1162" s="25" t="s">
        <v>2023</v>
      </c>
      <c r="J1162" t="s">
        <v>3184</v>
      </c>
      <c r="M1162" s="49"/>
    </row>
    <row r="1163" spans="6:13" x14ac:dyDescent="0.25">
      <c r="F1163" t="s">
        <v>3183</v>
      </c>
      <c r="G1163">
        <v>53115</v>
      </c>
      <c r="H1163">
        <v>5314</v>
      </c>
      <c r="I1163" s="25" t="s">
        <v>2023</v>
      </c>
      <c r="J1163" t="s">
        <v>3184</v>
      </c>
      <c r="M1163" s="49"/>
    </row>
    <row r="1164" spans="6:13" x14ac:dyDescent="0.25">
      <c r="F1164" t="s">
        <v>3183</v>
      </c>
      <c r="G1164">
        <v>53121</v>
      </c>
      <c r="H1164">
        <v>5314</v>
      </c>
      <c r="I1164" s="25" t="s">
        <v>2023</v>
      </c>
      <c r="J1164" t="s">
        <v>3184</v>
      </c>
      <c r="M1164" s="49"/>
    </row>
    <row r="1165" spans="6:13" x14ac:dyDescent="0.25">
      <c r="F1165" t="s">
        <v>3183</v>
      </c>
      <c r="G1165">
        <v>53127</v>
      </c>
      <c r="H1165">
        <v>5314</v>
      </c>
      <c r="I1165" s="25" t="s">
        <v>2023</v>
      </c>
      <c r="J1165" t="s">
        <v>3184</v>
      </c>
      <c r="M1165" s="49"/>
    </row>
    <row r="1166" spans="6:13" x14ac:dyDescent="0.25">
      <c r="F1166" t="s">
        <v>3183</v>
      </c>
      <c r="G1166">
        <v>53119</v>
      </c>
      <c r="H1166">
        <v>5314</v>
      </c>
      <c r="I1166" s="25" t="s">
        <v>2023</v>
      </c>
      <c r="J1166" t="s">
        <v>3184</v>
      </c>
      <c r="M1166" s="49"/>
    </row>
    <row r="1167" spans="6:13" x14ac:dyDescent="0.25">
      <c r="F1167" t="s">
        <v>3183</v>
      </c>
      <c r="G1167">
        <v>53129</v>
      </c>
      <c r="H1167">
        <v>5314</v>
      </c>
      <c r="I1167" s="25" t="s">
        <v>2023</v>
      </c>
      <c r="J1167" t="s">
        <v>3184</v>
      </c>
      <c r="M1167" s="49"/>
    </row>
    <row r="1168" spans="6:13" x14ac:dyDescent="0.25">
      <c r="F1168" t="s">
        <v>3183</v>
      </c>
      <c r="G1168">
        <v>53111</v>
      </c>
      <c r="H1168">
        <v>5314</v>
      </c>
      <c r="I1168" s="25" t="s">
        <v>2023</v>
      </c>
      <c r="J1168" t="s">
        <v>3184</v>
      </c>
      <c r="M1168" s="49"/>
    </row>
    <row r="1169" spans="6:13" x14ac:dyDescent="0.25">
      <c r="F1169" t="s">
        <v>3183</v>
      </c>
      <c r="G1169">
        <v>53117</v>
      </c>
      <c r="H1169">
        <v>5314</v>
      </c>
      <c r="I1169" s="25" t="s">
        <v>2023</v>
      </c>
      <c r="J1169" t="s">
        <v>3184</v>
      </c>
      <c r="M1169" s="49"/>
    </row>
    <row r="1170" spans="6:13" x14ac:dyDescent="0.25">
      <c r="F1170" t="s">
        <v>3185</v>
      </c>
      <c r="G1170">
        <v>79848</v>
      </c>
      <c r="H1170">
        <v>8337</v>
      </c>
      <c r="I1170" s="25" t="s">
        <v>2018</v>
      </c>
      <c r="J1170" t="s">
        <v>2248</v>
      </c>
      <c r="M1170" s="49"/>
    </row>
    <row r="1171" spans="6:13" x14ac:dyDescent="0.25">
      <c r="F1171" t="s">
        <v>3186</v>
      </c>
      <c r="G1171">
        <v>74357</v>
      </c>
      <c r="H1171">
        <v>8118</v>
      </c>
      <c r="I1171" s="25" t="s">
        <v>2018</v>
      </c>
      <c r="J1171" t="s">
        <v>2142</v>
      </c>
      <c r="M1171" s="49"/>
    </row>
    <row r="1172" spans="6:13" x14ac:dyDescent="0.25">
      <c r="F1172" t="s">
        <v>3187</v>
      </c>
      <c r="G1172">
        <v>86486</v>
      </c>
      <c r="H1172">
        <v>9772</v>
      </c>
      <c r="I1172" s="25" t="s">
        <v>2050</v>
      </c>
      <c r="J1172" t="s">
        <v>2117</v>
      </c>
      <c r="M1172" s="49"/>
    </row>
    <row r="1173" spans="6:13" x14ac:dyDescent="0.25">
      <c r="F1173" t="s">
        <v>3188</v>
      </c>
      <c r="G1173">
        <v>87737</v>
      </c>
      <c r="H1173">
        <v>9778</v>
      </c>
      <c r="I1173" s="25" t="s">
        <v>2050</v>
      </c>
      <c r="J1173" t="s">
        <v>2460</v>
      </c>
      <c r="M1173" s="49"/>
    </row>
    <row r="1174" spans="6:13" x14ac:dyDescent="0.25">
      <c r="F1174" t="s">
        <v>3189</v>
      </c>
      <c r="G1174">
        <v>24598</v>
      </c>
      <c r="H1174">
        <v>1060</v>
      </c>
      <c r="I1174" s="25" t="s">
        <v>2085</v>
      </c>
      <c r="J1174" t="s">
        <v>2363</v>
      </c>
      <c r="M1174" s="49"/>
    </row>
    <row r="1175" spans="6:13" x14ac:dyDescent="0.25">
      <c r="F1175" t="s">
        <v>3190</v>
      </c>
      <c r="G1175">
        <v>73441</v>
      </c>
      <c r="H1175">
        <v>8136</v>
      </c>
      <c r="I1175" s="25" t="s">
        <v>2018</v>
      </c>
      <c r="J1175" t="s">
        <v>2039</v>
      </c>
      <c r="M1175" s="49"/>
    </row>
    <row r="1176" spans="6:13" x14ac:dyDescent="0.25">
      <c r="F1176" t="s">
        <v>3191</v>
      </c>
      <c r="G1176">
        <v>56154</v>
      </c>
      <c r="H1176">
        <v>7140</v>
      </c>
      <c r="I1176" s="25" t="s">
        <v>2123</v>
      </c>
      <c r="J1176" t="s">
        <v>2329</v>
      </c>
      <c r="M1176" s="49"/>
    </row>
    <row r="1177" spans="6:13" x14ac:dyDescent="0.25">
      <c r="F1177" t="s">
        <v>3192</v>
      </c>
      <c r="G1177">
        <v>33178</v>
      </c>
      <c r="H1177">
        <v>5774</v>
      </c>
      <c r="I1177" s="25" t="s">
        <v>2023</v>
      </c>
      <c r="J1177" t="s">
        <v>2304</v>
      </c>
      <c r="M1177" s="49"/>
    </row>
    <row r="1178" spans="6:13" x14ac:dyDescent="0.25">
      <c r="F1178" t="s">
        <v>3193</v>
      </c>
      <c r="G1178">
        <v>39448</v>
      </c>
      <c r="H1178">
        <v>15089</v>
      </c>
      <c r="I1178" s="25" t="s">
        <v>2241</v>
      </c>
      <c r="J1178" t="s">
        <v>2351</v>
      </c>
      <c r="M1178" s="49"/>
    </row>
    <row r="1179" spans="6:13" x14ac:dyDescent="0.25">
      <c r="F1179" t="s">
        <v>3193</v>
      </c>
      <c r="G1179">
        <v>39448</v>
      </c>
      <c r="H1179">
        <v>15089</v>
      </c>
      <c r="I1179" s="25" t="s">
        <v>2241</v>
      </c>
      <c r="J1179" t="s">
        <v>2351</v>
      </c>
      <c r="M1179" s="49"/>
    </row>
    <row r="1180" spans="6:13" x14ac:dyDescent="0.25">
      <c r="F1180" t="s">
        <v>3193</v>
      </c>
      <c r="G1180">
        <v>39448</v>
      </c>
      <c r="H1180">
        <v>15089</v>
      </c>
      <c r="I1180" s="25" t="s">
        <v>2241</v>
      </c>
      <c r="J1180" t="s">
        <v>2351</v>
      </c>
      <c r="M1180" s="49"/>
    </row>
    <row r="1181" spans="6:13" x14ac:dyDescent="0.25">
      <c r="F1181" t="s">
        <v>3194</v>
      </c>
      <c r="G1181">
        <v>25852</v>
      </c>
      <c r="H1181">
        <v>1054</v>
      </c>
      <c r="I1181" s="25" t="s">
        <v>2085</v>
      </c>
      <c r="J1181" t="s">
        <v>2195</v>
      </c>
      <c r="M1181" s="49"/>
    </row>
    <row r="1182" spans="6:13" x14ac:dyDescent="0.25">
      <c r="F1182" t="s">
        <v>3195</v>
      </c>
      <c r="G1182">
        <v>24582</v>
      </c>
      <c r="H1182">
        <v>1058</v>
      </c>
      <c r="I1182" s="25" t="s">
        <v>2085</v>
      </c>
      <c r="J1182" t="s">
        <v>2086</v>
      </c>
      <c r="M1182" s="49"/>
    </row>
    <row r="1183" spans="6:13" x14ac:dyDescent="0.25">
      <c r="F1183" t="s">
        <v>3196</v>
      </c>
      <c r="G1183">
        <v>34434</v>
      </c>
      <c r="H1183">
        <v>5762</v>
      </c>
      <c r="I1183" s="25" t="s">
        <v>2023</v>
      </c>
      <c r="J1183" t="s">
        <v>2203</v>
      </c>
      <c r="M1183" s="49"/>
    </row>
    <row r="1184" spans="6:13" x14ac:dyDescent="0.25">
      <c r="F1184" t="s">
        <v>3197</v>
      </c>
      <c r="G1184">
        <v>26904</v>
      </c>
      <c r="H1184">
        <v>3454</v>
      </c>
      <c r="I1184" s="25" t="s">
        <v>2074</v>
      </c>
      <c r="J1184" t="s">
        <v>2118</v>
      </c>
      <c r="M1184" s="49"/>
    </row>
    <row r="1185" spans="6:13" x14ac:dyDescent="0.25">
      <c r="F1185" t="s">
        <v>3198</v>
      </c>
      <c r="G1185">
        <v>33829</v>
      </c>
      <c r="H1185">
        <v>5754</v>
      </c>
      <c r="I1185" s="25" t="s">
        <v>2023</v>
      </c>
      <c r="J1185" t="s">
        <v>2165</v>
      </c>
      <c r="M1185" s="49"/>
    </row>
    <row r="1186" spans="6:13" x14ac:dyDescent="0.25">
      <c r="F1186" t="s">
        <v>3199</v>
      </c>
      <c r="G1186">
        <v>16556</v>
      </c>
      <c r="H1186">
        <v>12065</v>
      </c>
      <c r="I1186" s="25" t="s">
        <v>2356</v>
      </c>
      <c r="J1186" t="s">
        <v>2283</v>
      </c>
      <c r="M1186" s="49"/>
    </row>
    <row r="1187" spans="6:13" x14ac:dyDescent="0.25">
      <c r="F1187" t="s">
        <v>3200</v>
      </c>
      <c r="G1187">
        <v>24794</v>
      </c>
      <c r="H1187">
        <v>1058</v>
      </c>
      <c r="I1187" s="25" t="s">
        <v>2085</v>
      </c>
      <c r="J1187" t="s">
        <v>2086</v>
      </c>
      <c r="M1187" s="49"/>
    </row>
    <row r="1188" spans="6:13" x14ac:dyDescent="0.25">
      <c r="F1188" t="s">
        <v>2055</v>
      </c>
      <c r="G1188">
        <v>46325</v>
      </c>
      <c r="H1188">
        <v>5554</v>
      </c>
      <c r="I1188" s="25" t="s">
        <v>2023</v>
      </c>
      <c r="J1188" t="s">
        <v>2055</v>
      </c>
      <c r="M1188" s="49"/>
    </row>
    <row r="1189" spans="6:13" x14ac:dyDescent="0.25">
      <c r="F1189" t="s">
        <v>2055</v>
      </c>
      <c r="G1189">
        <v>34582</v>
      </c>
      <c r="H1189">
        <v>6634</v>
      </c>
      <c r="I1189" s="25" t="s">
        <v>2046</v>
      </c>
      <c r="J1189" t="s">
        <v>2360</v>
      </c>
      <c r="M1189" s="49"/>
    </row>
    <row r="1190" spans="6:13" x14ac:dyDescent="0.25">
      <c r="F1190" t="s">
        <v>3201</v>
      </c>
      <c r="G1190">
        <v>26757</v>
      </c>
      <c r="H1190">
        <v>3457</v>
      </c>
      <c r="I1190" s="25" t="s">
        <v>2074</v>
      </c>
      <c r="J1190" t="s">
        <v>2220</v>
      </c>
      <c r="M1190" s="49"/>
    </row>
    <row r="1191" spans="6:13" x14ac:dyDescent="0.25">
      <c r="F1191" t="s">
        <v>3202</v>
      </c>
      <c r="G1191">
        <v>24863</v>
      </c>
      <c r="H1191">
        <v>1059</v>
      </c>
      <c r="I1191" s="25" t="s">
        <v>2085</v>
      </c>
      <c r="J1191" t="s">
        <v>2354</v>
      </c>
      <c r="M1191" s="49"/>
    </row>
    <row r="1192" spans="6:13" x14ac:dyDescent="0.25">
      <c r="F1192" t="s">
        <v>3203</v>
      </c>
      <c r="G1192">
        <v>4552</v>
      </c>
      <c r="H1192">
        <v>14729</v>
      </c>
      <c r="I1192" s="25" t="s">
        <v>2135</v>
      </c>
      <c r="J1192" t="s">
        <v>2684</v>
      </c>
      <c r="M1192" s="49"/>
    </row>
    <row r="1193" spans="6:13" x14ac:dyDescent="0.25">
      <c r="F1193" t="s">
        <v>3204</v>
      </c>
      <c r="G1193">
        <v>53332</v>
      </c>
      <c r="H1193">
        <v>5382</v>
      </c>
      <c r="I1193" s="25" t="s">
        <v>2023</v>
      </c>
      <c r="J1193" t="s">
        <v>2298</v>
      </c>
      <c r="M1193" s="49"/>
    </row>
    <row r="1194" spans="6:13" x14ac:dyDescent="0.25">
      <c r="F1194" t="s">
        <v>3205</v>
      </c>
      <c r="G1194">
        <v>24619</v>
      </c>
      <c r="H1194">
        <v>1057</v>
      </c>
      <c r="I1194" s="25" t="s">
        <v>2085</v>
      </c>
      <c r="J1194" t="s">
        <v>2313</v>
      </c>
      <c r="M1194" s="49"/>
    </row>
    <row r="1195" spans="6:13" x14ac:dyDescent="0.25">
      <c r="F1195" t="s">
        <v>3205</v>
      </c>
      <c r="G1195">
        <v>24619</v>
      </c>
      <c r="H1195">
        <v>1060</v>
      </c>
      <c r="I1195" s="25" t="s">
        <v>2085</v>
      </c>
      <c r="J1195" t="s">
        <v>2363</v>
      </c>
      <c r="M1195" s="49"/>
    </row>
    <row r="1196" spans="6:13" x14ac:dyDescent="0.25">
      <c r="F1196" t="s">
        <v>3206</v>
      </c>
      <c r="G1196">
        <v>56348</v>
      </c>
      <c r="H1196">
        <v>7141</v>
      </c>
      <c r="I1196" s="25" t="s">
        <v>2123</v>
      </c>
      <c r="J1196" t="s">
        <v>2388</v>
      </c>
      <c r="M1196" s="49"/>
    </row>
    <row r="1197" spans="6:13" x14ac:dyDescent="0.25">
      <c r="F1197" t="s">
        <v>3206</v>
      </c>
      <c r="G1197">
        <v>56348</v>
      </c>
      <c r="H1197">
        <v>7141</v>
      </c>
      <c r="I1197" s="25" t="s">
        <v>2123</v>
      </c>
      <c r="J1197" t="s">
        <v>2388</v>
      </c>
      <c r="M1197" s="49"/>
    </row>
    <row r="1198" spans="6:13" x14ac:dyDescent="0.25">
      <c r="F1198" t="s">
        <v>3206</v>
      </c>
      <c r="G1198">
        <v>56348</v>
      </c>
      <c r="H1198">
        <v>7141</v>
      </c>
      <c r="I1198" s="25" t="s">
        <v>2123</v>
      </c>
      <c r="J1198" t="s">
        <v>2388</v>
      </c>
      <c r="M1198" s="49"/>
    </row>
    <row r="1199" spans="6:13" x14ac:dyDescent="0.25">
      <c r="F1199" t="s">
        <v>3207</v>
      </c>
      <c r="G1199">
        <v>9437</v>
      </c>
      <c r="H1199">
        <v>14521</v>
      </c>
      <c r="I1199" s="25" t="s">
        <v>2135</v>
      </c>
      <c r="J1199" t="s">
        <v>2032</v>
      </c>
      <c r="M1199" s="49"/>
    </row>
    <row r="1200" spans="6:13" x14ac:dyDescent="0.25">
      <c r="F1200" t="s">
        <v>3207</v>
      </c>
      <c r="G1200">
        <v>9437</v>
      </c>
      <c r="H1200">
        <v>14521</v>
      </c>
      <c r="I1200" s="25" t="s">
        <v>2135</v>
      </c>
      <c r="J1200" t="s">
        <v>2032</v>
      </c>
      <c r="M1200" s="49"/>
    </row>
    <row r="1201" spans="6:13" x14ac:dyDescent="0.25">
      <c r="F1201" t="s">
        <v>3208</v>
      </c>
      <c r="G1201">
        <v>67725</v>
      </c>
      <c r="H1201">
        <v>7333</v>
      </c>
      <c r="I1201" s="25" t="s">
        <v>2123</v>
      </c>
      <c r="J1201" t="s">
        <v>2103</v>
      </c>
      <c r="M1201" s="49"/>
    </row>
    <row r="1202" spans="6:13" x14ac:dyDescent="0.25">
      <c r="F1202" t="s">
        <v>3209</v>
      </c>
      <c r="G1202">
        <v>4451</v>
      </c>
      <c r="H1202">
        <v>14729</v>
      </c>
      <c r="I1202" s="25" t="s">
        <v>2135</v>
      </c>
      <c r="J1202" t="s">
        <v>2684</v>
      </c>
      <c r="M1202" s="49"/>
    </row>
    <row r="1203" spans="6:13" x14ac:dyDescent="0.25">
      <c r="F1203" t="s">
        <v>3210</v>
      </c>
      <c r="G1203">
        <v>25376</v>
      </c>
      <c r="H1203">
        <v>1061</v>
      </c>
      <c r="I1203" s="25" t="s">
        <v>2085</v>
      </c>
      <c r="J1203" t="s">
        <v>2377</v>
      </c>
      <c r="M1203" s="49"/>
    </row>
    <row r="1204" spans="6:13" x14ac:dyDescent="0.25">
      <c r="F1204" t="s">
        <v>3211</v>
      </c>
      <c r="G1204">
        <v>27246</v>
      </c>
      <c r="H1204">
        <v>3251</v>
      </c>
      <c r="I1204" s="25" t="s">
        <v>2074</v>
      </c>
      <c r="J1204" t="s">
        <v>2094</v>
      </c>
      <c r="M1204" s="49"/>
    </row>
    <row r="1205" spans="6:13" x14ac:dyDescent="0.25">
      <c r="F1205" t="s">
        <v>3212</v>
      </c>
      <c r="G1205">
        <v>25494</v>
      </c>
      <c r="H1205">
        <v>1056</v>
      </c>
      <c r="I1205" s="25" t="s">
        <v>2085</v>
      </c>
      <c r="J1205" t="s">
        <v>2311</v>
      </c>
      <c r="M1205" s="49"/>
    </row>
    <row r="1206" spans="6:13" x14ac:dyDescent="0.25">
      <c r="F1206" t="s">
        <v>3213</v>
      </c>
      <c r="G1206">
        <v>73104</v>
      </c>
      <c r="H1206">
        <v>8117</v>
      </c>
      <c r="I1206" s="25" t="s">
        <v>2018</v>
      </c>
      <c r="J1206" t="s">
        <v>2089</v>
      </c>
      <c r="M1206" s="49"/>
    </row>
    <row r="1207" spans="6:13" x14ac:dyDescent="0.25">
      <c r="F1207" t="s">
        <v>3214</v>
      </c>
      <c r="G1207">
        <v>23715</v>
      </c>
      <c r="H1207">
        <v>1055</v>
      </c>
      <c r="I1207" s="25" t="s">
        <v>2085</v>
      </c>
      <c r="J1207" t="s">
        <v>2185</v>
      </c>
      <c r="M1207" s="49"/>
    </row>
    <row r="1208" spans="6:13" x14ac:dyDescent="0.25">
      <c r="F1208" t="s">
        <v>3215</v>
      </c>
      <c r="G1208">
        <v>26219</v>
      </c>
      <c r="H1208">
        <v>3453</v>
      </c>
      <c r="I1208" s="25" t="s">
        <v>2074</v>
      </c>
      <c r="J1208" t="s">
        <v>2069</v>
      </c>
      <c r="M1208" s="49"/>
    </row>
    <row r="1209" spans="6:13" x14ac:dyDescent="0.25">
      <c r="F1209" t="s">
        <v>3216</v>
      </c>
      <c r="G1209">
        <v>78662</v>
      </c>
      <c r="H1209">
        <v>8325</v>
      </c>
      <c r="I1209" s="25" t="s">
        <v>2018</v>
      </c>
      <c r="J1209" t="s">
        <v>2208</v>
      </c>
      <c r="M1209" s="49"/>
    </row>
    <row r="1210" spans="6:13" x14ac:dyDescent="0.25">
      <c r="F1210" t="s">
        <v>3217</v>
      </c>
      <c r="G1210">
        <v>27386</v>
      </c>
      <c r="H1210">
        <v>3357</v>
      </c>
      <c r="I1210" s="25" t="s">
        <v>2074</v>
      </c>
      <c r="J1210" t="s">
        <v>2339</v>
      </c>
      <c r="M1210" s="49"/>
    </row>
    <row r="1211" spans="6:13" x14ac:dyDescent="0.25">
      <c r="F1211" t="s">
        <v>3218</v>
      </c>
      <c r="G1211">
        <v>66504</v>
      </c>
      <c r="H1211">
        <v>7340</v>
      </c>
      <c r="I1211" s="25" t="s">
        <v>2123</v>
      </c>
      <c r="J1211" t="s">
        <v>2826</v>
      </c>
      <c r="M1211" s="49"/>
    </row>
    <row r="1212" spans="6:13" x14ac:dyDescent="0.25">
      <c r="F1212" t="s">
        <v>3219</v>
      </c>
      <c r="G1212">
        <v>78583</v>
      </c>
      <c r="H1212">
        <v>8327</v>
      </c>
      <c r="I1212" s="25" t="s">
        <v>2018</v>
      </c>
      <c r="J1212" t="s">
        <v>2277</v>
      </c>
      <c r="M1212" s="49"/>
    </row>
    <row r="1213" spans="6:13" x14ac:dyDescent="0.25">
      <c r="F1213" t="s">
        <v>2058</v>
      </c>
      <c r="G1213">
        <v>46238</v>
      </c>
      <c r="H1213">
        <v>5512</v>
      </c>
      <c r="I1213" s="25" t="s">
        <v>2023</v>
      </c>
      <c r="J1213" t="s">
        <v>2058</v>
      </c>
      <c r="M1213" s="49"/>
    </row>
    <row r="1214" spans="6:13" x14ac:dyDescent="0.25">
      <c r="F1214" t="s">
        <v>2058</v>
      </c>
      <c r="G1214">
        <v>46240</v>
      </c>
      <c r="H1214">
        <v>5512</v>
      </c>
      <c r="I1214" s="25" t="s">
        <v>2023</v>
      </c>
      <c r="J1214" t="s">
        <v>2058</v>
      </c>
      <c r="M1214" s="49"/>
    </row>
    <row r="1215" spans="6:13" x14ac:dyDescent="0.25">
      <c r="F1215" t="s">
        <v>2058</v>
      </c>
      <c r="G1215">
        <v>46242</v>
      </c>
      <c r="H1215">
        <v>5512</v>
      </c>
      <c r="I1215" s="25" t="s">
        <v>2023</v>
      </c>
      <c r="J1215" t="s">
        <v>2058</v>
      </c>
      <c r="M1215" s="49"/>
    </row>
    <row r="1216" spans="6:13" x14ac:dyDescent="0.25">
      <c r="F1216" t="s">
        <v>2058</v>
      </c>
      <c r="G1216">
        <v>46236</v>
      </c>
      <c r="H1216">
        <v>5512</v>
      </c>
      <c r="I1216" s="25" t="s">
        <v>2023</v>
      </c>
      <c r="J1216" t="s">
        <v>2058</v>
      </c>
      <c r="M1216" s="49"/>
    </row>
    <row r="1217" spans="6:13" x14ac:dyDescent="0.25">
      <c r="F1217" t="s">
        <v>2058</v>
      </c>
      <c r="G1217">
        <v>46244</v>
      </c>
      <c r="H1217">
        <v>5512</v>
      </c>
      <c r="I1217" s="25" t="s">
        <v>2023</v>
      </c>
      <c r="J1217" t="s">
        <v>2058</v>
      </c>
      <c r="M1217" s="49"/>
    </row>
    <row r="1218" spans="6:13" x14ac:dyDescent="0.25">
      <c r="F1218" t="s">
        <v>3220</v>
      </c>
      <c r="G1218">
        <v>79268</v>
      </c>
      <c r="H1218">
        <v>8315</v>
      </c>
      <c r="I1218" s="25" t="s">
        <v>2018</v>
      </c>
      <c r="J1218" t="s">
        <v>2061</v>
      </c>
      <c r="M1218" s="49"/>
    </row>
    <row r="1219" spans="6:13" x14ac:dyDescent="0.25">
      <c r="F1219" t="s">
        <v>3221</v>
      </c>
      <c r="G1219">
        <v>66359</v>
      </c>
      <c r="H1219">
        <v>10044</v>
      </c>
      <c r="I1219" s="25" t="s">
        <v>2849</v>
      </c>
      <c r="J1219" t="s">
        <v>3222</v>
      </c>
      <c r="M1219" s="49"/>
    </row>
    <row r="1220" spans="6:13" x14ac:dyDescent="0.25">
      <c r="F1220" t="s">
        <v>3223</v>
      </c>
      <c r="G1220">
        <v>37120</v>
      </c>
      <c r="H1220">
        <v>3159</v>
      </c>
      <c r="I1220" s="25" t="s">
        <v>2074</v>
      </c>
      <c r="J1220" t="s">
        <v>2093</v>
      </c>
      <c r="M1220" s="49"/>
    </row>
    <row r="1221" spans="6:13" x14ac:dyDescent="0.25">
      <c r="F1221" t="s">
        <v>3224</v>
      </c>
      <c r="G1221">
        <v>97944</v>
      </c>
      <c r="H1221">
        <v>8128</v>
      </c>
      <c r="I1221" s="25" t="s">
        <v>2018</v>
      </c>
      <c r="J1221" t="s">
        <v>2175</v>
      </c>
      <c r="M1221" s="49"/>
    </row>
    <row r="1222" spans="6:13" x14ac:dyDescent="0.25">
      <c r="F1222" t="s">
        <v>3225</v>
      </c>
      <c r="G1222">
        <v>63636</v>
      </c>
      <c r="H1222">
        <v>6435</v>
      </c>
      <c r="I1222" s="25" t="s">
        <v>2046</v>
      </c>
      <c r="J1222" t="s">
        <v>2703</v>
      </c>
      <c r="M1222" s="49"/>
    </row>
    <row r="1223" spans="6:13" x14ac:dyDescent="0.25">
      <c r="F1223" t="s">
        <v>3226</v>
      </c>
      <c r="G1223">
        <v>21438</v>
      </c>
      <c r="H1223">
        <v>3353</v>
      </c>
      <c r="I1223" s="25" t="s">
        <v>2074</v>
      </c>
      <c r="J1223" t="s">
        <v>2176</v>
      </c>
      <c r="M1223" s="49"/>
    </row>
    <row r="1224" spans="6:13" x14ac:dyDescent="0.25">
      <c r="F1224" t="s">
        <v>3227</v>
      </c>
      <c r="G1224">
        <v>74336</v>
      </c>
      <c r="H1224">
        <v>8125</v>
      </c>
      <c r="I1224" s="25" t="s">
        <v>2018</v>
      </c>
      <c r="J1224" t="s">
        <v>2060</v>
      </c>
      <c r="M1224" s="49"/>
    </row>
    <row r="1225" spans="6:13" x14ac:dyDescent="0.25">
      <c r="F1225" t="s">
        <v>3228</v>
      </c>
      <c r="G1225">
        <v>7554</v>
      </c>
      <c r="H1225">
        <v>16052</v>
      </c>
      <c r="I1225" s="25" t="s">
        <v>2384</v>
      </c>
      <c r="J1225" t="s">
        <v>3229</v>
      </c>
      <c r="M1225" s="49"/>
    </row>
    <row r="1226" spans="6:13" x14ac:dyDescent="0.25">
      <c r="F1226" t="s">
        <v>3228</v>
      </c>
      <c r="G1226">
        <v>7554</v>
      </c>
      <c r="H1226">
        <v>16076</v>
      </c>
      <c r="I1226" s="25" t="s">
        <v>2384</v>
      </c>
      <c r="J1226" t="s">
        <v>2583</v>
      </c>
      <c r="M1226" s="49"/>
    </row>
    <row r="1227" spans="6:13" x14ac:dyDescent="0.25">
      <c r="F1227" t="s">
        <v>3230</v>
      </c>
      <c r="G1227">
        <v>26919</v>
      </c>
      <c r="H1227">
        <v>3461</v>
      </c>
      <c r="I1227" s="25" t="s">
        <v>2074</v>
      </c>
      <c r="J1227" t="s">
        <v>2426</v>
      </c>
      <c r="M1227" s="49"/>
    </row>
    <row r="1228" spans="6:13" x14ac:dyDescent="0.25">
      <c r="F1228" t="s">
        <v>3231</v>
      </c>
      <c r="G1228">
        <v>33034</v>
      </c>
      <c r="H1228">
        <v>5762</v>
      </c>
      <c r="I1228" s="25" t="s">
        <v>2023</v>
      </c>
      <c r="J1228" t="s">
        <v>2203</v>
      </c>
      <c r="M1228" s="49"/>
    </row>
    <row r="1229" spans="6:13" x14ac:dyDescent="0.25">
      <c r="F1229" t="s">
        <v>3232</v>
      </c>
      <c r="G1229">
        <v>49565</v>
      </c>
      <c r="H1229">
        <v>3459</v>
      </c>
      <c r="I1229" s="25" t="s">
        <v>2074</v>
      </c>
      <c r="J1229" t="s">
        <v>2292</v>
      </c>
      <c r="M1229" s="49"/>
    </row>
    <row r="1230" spans="6:13" x14ac:dyDescent="0.25">
      <c r="F1230" t="s">
        <v>3233</v>
      </c>
      <c r="G1230">
        <v>95682</v>
      </c>
      <c r="H1230">
        <v>9377</v>
      </c>
      <c r="I1230" s="25" t="s">
        <v>2050</v>
      </c>
      <c r="J1230" t="s">
        <v>2393</v>
      </c>
      <c r="M1230" s="49"/>
    </row>
    <row r="1231" spans="6:13" x14ac:dyDescent="0.25">
      <c r="F1231" t="s">
        <v>3234</v>
      </c>
      <c r="G1231">
        <v>25364</v>
      </c>
      <c r="H1231">
        <v>1056</v>
      </c>
      <c r="I1231" s="25" t="s">
        <v>2085</v>
      </c>
      <c r="J1231" t="s">
        <v>2311</v>
      </c>
      <c r="M1231" s="49"/>
    </row>
    <row r="1232" spans="6:13" x14ac:dyDescent="0.25">
      <c r="F1232" t="s">
        <v>3235</v>
      </c>
      <c r="G1232">
        <v>14772</v>
      </c>
      <c r="H1232">
        <v>12051</v>
      </c>
      <c r="I1232" s="25" t="s">
        <v>2356</v>
      </c>
      <c r="J1232" t="s">
        <v>3236</v>
      </c>
      <c r="M1232" s="49"/>
    </row>
    <row r="1233" spans="6:13" x14ac:dyDescent="0.25">
      <c r="F1233" t="s">
        <v>3235</v>
      </c>
      <c r="G1233">
        <v>14770</v>
      </c>
      <c r="H1233">
        <v>12051</v>
      </c>
      <c r="I1233" s="25" t="s">
        <v>2356</v>
      </c>
      <c r="J1233" t="s">
        <v>3236</v>
      </c>
      <c r="M1233" s="49"/>
    </row>
    <row r="1234" spans="6:13" x14ac:dyDescent="0.25">
      <c r="F1234" t="s">
        <v>3235</v>
      </c>
      <c r="G1234">
        <v>14774</v>
      </c>
      <c r="H1234">
        <v>12051</v>
      </c>
      <c r="I1234" s="25" t="s">
        <v>2356</v>
      </c>
      <c r="J1234" t="s">
        <v>3236</v>
      </c>
      <c r="M1234" s="49"/>
    </row>
    <row r="1235" spans="6:13" x14ac:dyDescent="0.25">
      <c r="F1235" t="s">
        <v>3237</v>
      </c>
      <c r="G1235">
        <v>14776</v>
      </c>
      <c r="H1235">
        <v>12051</v>
      </c>
      <c r="I1235" s="25" t="s">
        <v>2356</v>
      </c>
      <c r="J1235" t="s">
        <v>3236</v>
      </c>
      <c r="M1235" s="49"/>
    </row>
    <row r="1236" spans="6:13" x14ac:dyDescent="0.25">
      <c r="F1236" t="s">
        <v>3238</v>
      </c>
      <c r="G1236">
        <v>9618</v>
      </c>
      <c r="H1236">
        <v>14522</v>
      </c>
      <c r="I1236" s="25" t="s">
        <v>2135</v>
      </c>
      <c r="J1236" t="s">
        <v>2100</v>
      </c>
      <c r="M1236" s="49"/>
    </row>
    <row r="1237" spans="6:13" x14ac:dyDescent="0.25">
      <c r="F1237" t="s">
        <v>3239</v>
      </c>
      <c r="G1237">
        <v>4821</v>
      </c>
      <c r="H1237">
        <v>14729</v>
      </c>
      <c r="I1237" s="25" t="s">
        <v>2135</v>
      </c>
      <c r="J1237" t="s">
        <v>2684</v>
      </c>
      <c r="M1237" s="49"/>
    </row>
    <row r="1238" spans="6:13" x14ac:dyDescent="0.25">
      <c r="F1238" t="s">
        <v>3239</v>
      </c>
      <c r="G1238">
        <v>4824</v>
      </c>
      <c r="H1238">
        <v>14729</v>
      </c>
      <c r="I1238" s="25" t="s">
        <v>2135</v>
      </c>
      <c r="J1238" t="s">
        <v>2684</v>
      </c>
      <c r="M1238" s="49"/>
    </row>
    <row r="1239" spans="6:13" x14ac:dyDescent="0.25">
      <c r="F1239" t="s">
        <v>3240</v>
      </c>
      <c r="G1239">
        <v>83098</v>
      </c>
      <c r="H1239">
        <v>9187</v>
      </c>
      <c r="I1239" s="25" t="s">
        <v>2050</v>
      </c>
      <c r="J1239" t="s">
        <v>2245</v>
      </c>
      <c r="M1239" s="49"/>
    </row>
    <row r="1240" spans="6:13" x14ac:dyDescent="0.25">
      <c r="F1240" t="s">
        <v>3241</v>
      </c>
      <c r="G1240">
        <v>56338</v>
      </c>
      <c r="H1240">
        <v>7141</v>
      </c>
      <c r="I1240" s="25" t="s">
        <v>2123</v>
      </c>
      <c r="J1240" t="s">
        <v>2388</v>
      </c>
      <c r="M1240" s="49"/>
    </row>
    <row r="1241" spans="6:13" x14ac:dyDescent="0.25">
      <c r="F1241" t="s">
        <v>3241</v>
      </c>
      <c r="G1241">
        <v>56338</v>
      </c>
      <c r="H1241">
        <v>7141</v>
      </c>
      <c r="I1241" s="25" t="s">
        <v>2123</v>
      </c>
      <c r="J1241" t="s">
        <v>2388</v>
      </c>
      <c r="M1241" s="49"/>
    </row>
    <row r="1242" spans="6:13" x14ac:dyDescent="0.25">
      <c r="F1242" t="s">
        <v>3242</v>
      </c>
      <c r="G1242">
        <v>35619</v>
      </c>
      <c r="H1242">
        <v>6532</v>
      </c>
      <c r="I1242" s="25" t="s">
        <v>2046</v>
      </c>
      <c r="J1242" t="s">
        <v>2555</v>
      </c>
      <c r="M1242" s="49"/>
    </row>
    <row r="1243" spans="6:13" x14ac:dyDescent="0.25">
      <c r="F1243" t="s">
        <v>3243</v>
      </c>
      <c r="G1243">
        <v>38700</v>
      </c>
      <c r="H1243">
        <v>3153</v>
      </c>
      <c r="I1243" s="25" t="s">
        <v>2074</v>
      </c>
      <c r="J1243" t="s">
        <v>2152</v>
      </c>
      <c r="M1243" s="49"/>
    </row>
    <row r="1244" spans="6:13" x14ac:dyDescent="0.25">
      <c r="F1244" t="s">
        <v>3243</v>
      </c>
      <c r="G1244">
        <v>37444</v>
      </c>
      <c r="H1244">
        <v>3153</v>
      </c>
      <c r="I1244" s="25" t="s">
        <v>2074</v>
      </c>
      <c r="J1244" t="s">
        <v>2152</v>
      </c>
      <c r="M1244" s="49"/>
    </row>
    <row r="1245" spans="6:13" x14ac:dyDescent="0.25">
      <c r="F1245" t="s">
        <v>3244</v>
      </c>
      <c r="G1245">
        <v>78199</v>
      </c>
      <c r="H1245">
        <v>8326</v>
      </c>
      <c r="I1245" s="25" t="s">
        <v>2018</v>
      </c>
      <c r="J1245" t="s">
        <v>2638</v>
      </c>
      <c r="M1245" s="49"/>
    </row>
    <row r="1246" spans="6:13" x14ac:dyDescent="0.25">
      <c r="F1246" t="s">
        <v>3245</v>
      </c>
      <c r="G1246">
        <v>74542</v>
      </c>
      <c r="H1246">
        <v>8127</v>
      </c>
      <c r="I1246" s="25" t="s">
        <v>2018</v>
      </c>
      <c r="J1246" t="s">
        <v>3126</v>
      </c>
      <c r="M1246" s="49"/>
    </row>
    <row r="1247" spans="6:13" x14ac:dyDescent="0.25">
      <c r="F1247" t="s">
        <v>3246</v>
      </c>
      <c r="G1247">
        <v>6242</v>
      </c>
      <c r="H1247">
        <v>15088</v>
      </c>
      <c r="I1247" s="25" t="s">
        <v>2241</v>
      </c>
      <c r="J1247" t="s">
        <v>2344</v>
      </c>
      <c r="M1247" s="49"/>
    </row>
    <row r="1248" spans="6:13" x14ac:dyDescent="0.25">
      <c r="F1248" t="s">
        <v>3247</v>
      </c>
      <c r="G1248">
        <v>38114</v>
      </c>
      <c r="H1248">
        <v>3101</v>
      </c>
      <c r="I1248" s="25" t="s">
        <v>2074</v>
      </c>
      <c r="J1248" t="s">
        <v>3248</v>
      </c>
      <c r="M1248" s="49"/>
    </row>
    <row r="1249" spans="6:13" x14ac:dyDescent="0.25">
      <c r="F1249" t="s">
        <v>3247</v>
      </c>
      <c r="G1249">
        <v>38102</v>
      </c>
      <c r="H1249">
        <v>3101</v>
      </c>
      <c r="I1249" s="25" t="s">
        <v>2074</v>
      </c>
      <c r="J1249" t="s">
        <v>3248</v>
      </c>
      <c r="M1249" s="49"/>
    </row>
    <row r="1250" spans="6:13" x14ac:dyDescent="0.25">
      <c r="F1250" t="s">
        <v>3247</v>
      </c>
      <c r="G1250">
        <v>38106</v>
      </c>
      <c r="H1250">
        <v>3101</v>
      </c>
      <c r="I1250" s="25" t="s">
        <v>2074</v>
      </c>
      <c r="J1250" t="s">
        <v>3248</v>
      </c>
      <c r="M1250" s="49"/>
    </row>
    <row r="1251" spans="6:13" x14ac:dyDescent="0.25">
      <c r="F1251" t="s">
        <v>3247</v>
      </c>
      <c r="G1251">
        <v>38124</v>
      </c>
      <c r="H1251">
        <v>3101</v>
      </c>
      <c r="I1251" s="25" t="s">
        <v>2074</v>
      </c>
      <c r="J1251" t="s">
        <v>3248</v>
      </c>
      <c r="M1251" s="49"/>
    </row>
    <row r="1252" spans="6:13" x14ac:dyDescent="0.25">
      <c r="F1252" t="s">
        <v>3247</v>
      </c>
      <c r="G1252">
        <v>38116</v>
      </c>
      <c r="H1252">
        <v>3101</v>
      </c>
      <c r="I1252" s="25" t="s">
        <v>2074</v>
      </c>
      <c r="J1252" t="s">
        <v>3248</v>
      </c>
      <c r="M1252" s="49"/>
    </row>
    <row r="1253" spans="6:13" x14ac:dyDescent="0.25">
      <c r="F1253" t="s">
        <v>3247</v>
      </c>
      <c r="G1253">
        <v>38118</v>
      </c>
      <c r="H1253">
        <v>3101</v>
      </c>
      <c r="I1253" s="25" t="s">
        <v>2074</v>
      </c>
      <c r="J1253" t="s">
        <v>3248</v>
      </c>
      <c r="M1253" s="49"/>
    </row>
    <row r="1254" spans="6:13" x14ac:dyDescent="0.25">
      <c r="F1254" t="s">
        <v>3247</v>
      </c>
      <c r="G1254">
        <v>38122</v>
      </c>
      <c r="H1254">
        <v>3101</v>
      </c>
      <c r="I1254" s="25" t="s">
        <v>2074</v>
      </c>
      <c r="J1254" t="s">
        <v>3248</v>
      </c>
      <c r="M1254" s="49"/>
    </row>
    <row r="1255" spans="6:13" x14ac:dyDescent="0.25">
      <c r="F1255" t="s">
        <v>3247</v>
      </c>
      <c r="G1255">
        <v>38108</v>
      </c>
      <c r="H1255">
        <v>3101</v>
      </c>
      <c r="I1255" s="25" t="s">
        <v>2074</v>
      </c>
      <c r="J1255" t="s">
        <v>3248</v>
      </c>
      <c r="M1255" s="49"/>
    </row>
    <row r="1256" spans="6:13" x14ac:dyDescent="0.25">
      <c r="F1256" t="s">
        <v>3247</v>
      </c>
      <c r="G1256">
        <v>38100</v>
      </c>
      <c r="H1256">
        <v>3101</v>
      </c>
      <c r="I1256" s="25" t="s">
        <v>2074</v>
      </c>
      <c r="J1256" t="s">
        <v>3248</v>
      </c>
      <c r="M1256" s="49"/>
    </row>
    <row r="1257" spans="6:13" x14ac:dyDescent="0.25">
      <c r="F1257" t="s">
        <v>3247</v>
      </c>
      <c r="G1257">
        <v>38112</v>
      </c>
      <c r="H1257">
        <v>3101</v>
      </c>
      <c r="I1257" s="25" t="s">
        <v>2074</v>
      </c>
      <c r="J1257" t="s">
        <v>3248</v>
      </c>
      <c r="M1257" s="49"/>
    </row>
    <row r="1258" spans="6:13" x14ac:dyDescent="0.25">
      <c r="F1258" t="s">
        <v>3247</v>
      </c>
      <c r="G1258">
        <v>38110</v>
      </c>
      <c r="H1258">
        <v>3101</v>
      </c>
      <c r="I1258" s="25" t="s">
        <v>2074</v>
      </c>
      <c r="J1258" t="s">
        <v>3248</v>
      </c>
      <c r="M1258" s="49"/>
    </row>
    <row r="1259" spans="6:13" x14ac:dyDescent="0.25">
      <c r="F1259" t="s">
        <v>3247</v>
      </c>
      <c r="G1259">
        <v>38120</v>
      </c>
      <c r="H1259">
        <v>3101</v>
      </c>
      <c r="I1259" s="25" t="s">
        <v>2074</v>
      </c>
      <c r="J1259" t="s">
        <v>3248</v>
      </c>
      <c r="M1259" s="49"/>
    </row>
    <row r="1260" spans="6:13" x14ac:dyDescent="0.25">
      <c r="F1260" t="s">
        <v>3247</v>
      </c>
      <c r="G1260">
        <v>38104</v>
      </c>
      <c r="H1260">
        <v>3101</v>
      </c>
      <c r="I1260" s="25" t="s">
        <v>2074</v>
      </c>
      <c r="J1260" t="s">
        <v>3248</v>
      </c>
      <c r="M1260" s="49"/>
    </row>
    <row r="1261" spans="6:13" x14ac:dyDescent="0.25">
      <c r="F1261" t="s">
        <v>3247</v>
      </c>
      <c r="G1261">
        <v>38126</v>
      </c>
      <c r="H1261">
        <v>3101</v>
      </c>
      <c r="I1261" s="25" t="s">
        <v>2074</v>
      </c>
      <c r="J1261" t="s">
        <v>3248</v>
      </c>
      <c r="M1261" s="49"/>
    </row>
    <row r="1262" spans="6:13" x14ac:dyDescent="0.25">
      <c r="F1262" t="s">
        <v>3249</v>
      </c>
      <c r="G1262">
        <v>65611</v>
      </c>
      <c r="H1262">
        <v>6533</v>
      </c>
      <c r="I1262" s="25" t="s">
        <v>2046</v>
      </c>
      <c r="J1262" t="s">
        <v>2629</v>
      </c>
      <c r="M1262" s="49"/>
    </row>
    <row r="1263" spans="6:13" x14ac:dyDescent="0.25">
      <c r="F1263" t="s">
        <v>3250</v>
      </c>
      <c r="G1263">
        <v>58339</v>
      </c>
      <c r="H1263">
        <v>5954</v>
      </c>
      <c r="I1263" s="25" t="s">
        <v>2023</v>
      </c>
      <c r="J1263" t="s">
        <v>2124</v>
      </c>
      <c r="M1263" s="49"/>
    </row>
    <row r="1264" spans="6:13" x14ac:dyDescent="0.25">
      <c r="F1264" t="s">
        <v>3251</v>
      </c>
      <c r="G1264">
        <v>24796</v>
      </c>
      <c r="H1264">
        <v>1058</v>
      </c>
      <c r="I1264" s="25" t="s">
        <v>2085</v>
      </c>
      <c r="J1264" t="s">
        <v>2086</v>
      </c>
      <c r="M1264" s="49"/>
    </row>
    <row r="1265" spans="6:13" x14ac:dyDescent="0.25">
      <c r="F1265" t="s">
        <v>3252</v>
      </c>
      <c r="G1265">
        <v>25821</v>
      </c>
      <c r="H1265">
        <v>1054</v>
      </c>
      <c r="I1265" s="25" t="s">
        <v>2085</v>
      </c>
      <c r="J1265" t="s">
        <v>2195</v>
      </c>
      <c r="M1265" s="49"/>
    </row>
    <row r="1266" spans="6:13" x14ac:dyDescent="0.25">
      <c r="F1266" t="s">
        <v>3252</v>
      </c>
      <c r="G1266">
        <v>25821</v>
      </c>
      <c r="H1266">
        <v>1054</v>
      </c>
      <c r="I1266" s="25" t="s">
        <v>2085</v>
      </c>
      <c r="J1266" t="s">
        <v>2195</v>
      </c>
      <c r="M1266" s="49"/>
    </row>
    <row r="1267" spans="6:13" x14ac:dyDescent="0.25">
      <c r="F1267" t="s">
        <v>3253</v>
      </c>
      <c r="G1267">
        <v>35236</v>
      </c>
      <c r="H1267">
        <v>6534</v>
      </c>
      <c r="I1267" s="25" t="s">
        <v>2046</v>
      </c>
      <c r="J1267" t="s">
        <v>2471</v>
      </c>
      <c r="M1267" s="49"/>
    </row>
    <row r="1268" spans="6:13" x14ac:dyDescent="0.25">
      <c r="F1268" t="s">
        <v>3254</v>
      </c>
      <c r="G1268">
        <v>24797</v>
      </c>
      <c r="H1268">
        <v>1058</v>
      </c>
      <c r="I1268" s="25" t="s">
        <v>2085</v>
      </c>
      <c r="J1268" t="s">
        <v>2086</v>
      </c>
      <c r="M1268" s="49"/>
    </row>
    <row r="1269" spans="6:13" x14ac:dyDescent="0.25">
      <c r="F1269" t="s">
        <v>3255</v>
      </c>
      <c r="G1269">
        <v>79206</v>
      </c>
      <c r="H1269">
        <v>8315</v>
      </c>
      <c r="I1269" s="25" t="s">
        <v>2018</v>
      </c>
      <c r="J1269" t="s">
        <v>2061</v>
      </c>
      <c r="M1269" s="49"/>
    </row>
    <row r="1270" spans="6:13" x14ac:dyDescent="0.25">
      <c r="F1270" t="s">
        <v>3256</v>
      </c>
      <c r="G1270">
        <v>96151</v>
      </c>
      <c r="H1270">
        <v>9674</v>
      </c>
      <c r="I1270" s="25" t="s">
        <v>2050</v>
      </c>
      <c r="J1270" t="s">
        <v>2218</v>
      </c>
      <c r="M1270" s="49"/>
    </row>
    <row r="1271" spans="6:13" x14ac:dyDescent="0.25">
      <c r="F1271" t="s">
        <v>3257</v>
      </c>
      <c r="G1271">
        <v>83254</v>
      </c>
      <c r="H1271">
        <v>9187</v>
      </c>
      <c r="I1271" s="25" t="s">
        <v>2050</v>
      </c>
      <c r="J1271" t="s">
        <v>2245</v>
      </c>
      <c r="M1271" s="49"/>
    </row>
    <row r="1272" spans="6:13" x14ac:dyDescent="0.25">
      <c r="F1272" t="s">
        <v>3258</v>
      </c>
      <c r="G1272">
        <v>66916</v>
      </c>
      <c r="H1272">
        <v>7336</v>
      </c>
      <c r="I1272" s="25" t="s">
        <v>2123</v>
      </c>
      <c r="J1272" t="s">
        <v>2216</v>
      </c>
      <c r="M1272" s="49"/>
    </row>
    <row r="1273" spans="6:13" x14ac:dyDescent="0.25">
      <c r="F1273" t="s">
        <v>3259</v>
      </c>
      <c r="G1273">
        <v>36287</v>
      </c>
      <c r="H1273">
        <v>6632</v>
      </c>
      <c r="I1273" s="25" t="s">
        <v>2046</v>
      </c>
      <c r="J1273" t="s">
        <v>2303</v>
      </c>
      <c r="M1273" s="49"/>
    </row>
    <row r="1274" spans="6:13" x14ac:dyDescent="0.25">
      <c r="F1274" t="s">
        <v>3260</v>
      </c>
      <c r="G1274">
        <v>94139</v>
      </c>
      <c r="H1274">
        <v>9275</v>
      </c>
      <c r="I1274" s="25" t="s">
        <v>2050</v>
      </c>
      <c r="J1274" t="s">
        <v>2198</v>
      </c>
      <c r="M1274" s="49"/>
    </row>
    <row r="1275" spans="6:13" x14ac:dyDescent="0.25">
      <c r="F1275" t="s">
        <v>3261</v>
      </c>
      <c r="G1275">
        <v>92363</v>
      </c>
      <c r="H1275">
        <v>9373</v>
      </c>
      <c r="I1275" s="25" t="s">
        <v>2050</v>
      </c>
      <c r="J1275" t="s">
        <v>2891</v>
      </c>
      <c r="M1275" s="49"/>
    </row>
    <row r="1276" spans="6:13" x14ac:dyDescent="0.25">
      <c r="F1276" t="s">
        <v>3261</v>
      </c>
      <c r="G1276">
        <v>87739</v>
      </c>
      <c r="H1276">
        <v>9778</v>
      </c>
      <c r="I1276" s="25" t="s">
        <v>2050</v>
      </c>
      <c r="J1276" t="s">
        <v>2460</v>
      </c>
      <c r="M1276" s="49"/>
    </row>
    <row r="1277" spans="6:13" x14ac:dyDescent="0.25">
      <c r="F1277" t="s">
        <v>3262</v>
      </c>
      <c r="G1277">
        <v>8359</v>
      </c>
      <c r="H1277">
        <v>14521</v>
      </c>
      <c r="I1277" s="25" t="s">
        <v>2135</v>
      </c>
      <c r="J1277" t="s">
        <v>2032</v>
      </c>
      <c r="M1277" s="49"/>
    </row>
    <row r="1278" spans="6:13" x14ac:dyDescent="0.25">
      <c r="F1278" t="s">
        <v>3263</v>
      </c>
      <c r="G1278">
        <v>23881</v>
      </c>
      <c r="H1278">
        <v>1053</v>
      </c>
      <c r="I1278" s="25" t="s">
        <v>2085</v>
      </c>
      <c r="J1278" t="s">
        <v>2193</v>
      </c>
      <c r="M1278" s="49"/>
    </row>
    <row r="1279" spans="6:13" x14ac:dyDescent="0.25">
      <c r="F1279" t="s">
        <v>3263</v>
      </c>
      <c r="G1279">
        <v>23881</v>
      </c>
      <c r="H1279">
        <v>1053</v>
      </c>
      <c r="I1279" s="25" t="s">
        <v>2085</v>
      </c>
      <c r="J1279" t="s">
        <v>2193</v>
      </c>
      <c r="M1279" s="49"/>
    </row>
    <row r="1280" spans="6:13" x14ac:dyDescent="0.25">
      <c r="F1280" t="s">
        <v>3264</v>
      </c>
      <c r="G1280">
        <v>96149</v>
      </c>
      <c r="H1280">
        <v>9471</v>
      </c>
      <c r="I1280" s="25" t="s">
        <v>2050</v>
      </c>
      <c r="J1280" t="s">
        <v>2392</v>
      </c>
      <c r="M1280" s="49"/>
    </row>
    <row r="1281" spans="6:13" x14ac:dyDescent="0.25">
      <c r="F1281" t="s">
        <v>3265</v>
      </c>
      <c r="G1281">
        <v>86488</v>
      </c>
      <c r="H1281">
        <v>9774</v>
      </c>
      <c r="I1281" s="25" t="s">
        <v>2050</v>
      </c>
      <c r="J1281" t="s">
        <v>2205</v>
      </c>
      <c r="M1281" s="49"/>
    </row>
    <row r="1282" spans="6:13" x14ac:dyDescent="0.25">
      <c r="F1282" t="s">
        <v>3266</v>
      </c>
      <c r="G1282">
        <v>89183</v>
      </c>
      <c r="H1282">
        <v>8425</v>
      </c>
      <c r="I1282" s="25" t="s">
        <v>2018</v>
      </c>
      <c r="J1282" t="s">
        <v>2027</v>
      </c>
      <c r="M1282" s="49"/>
    </row>
    <row r="1283" spans="6:13" x14ac:dyDescent="0.25">
      <c r="F1283" t="s">
        <v>3267</v>
      </c>
      <c r="G1283">
        <v>79874</v>
      </c>
      <c r="H1283">
        <v>8315</v>
      </c>
      <c r="I1283" s="25" t="s">
        <v>2018</v>
      </c>
      <c r="J1283" t="s">
        <v>2061</v>
      </c>
      <c r="M1283" s="49"/>
    </row>
    <row r="1284" spans="6:13" x14ac:dyDescent="0.25">
      <c r="F1284" t="s">
        <v>3268</v>
      </c>
      <c r="G1284">
        <v>35767</v>
      </c>
      <c r="H1284">
        <v>6532</v>
      </c>
      <c r="I1284" s="25" t="s">
        <v>2046</v>
      </c>
      <c r="J1284" t="s">
        <v>2555</v>
      </c>
      <c r="M1284" s="49"/>
    </row>
    <row r="1285" spans="6:13" x14ac:dyDescent="0.25">
      <c r="F1285" t="s">
        <v>3269</v>
      </c>
      <c r="G1285">
        <v>53547</v>
      </c>
      <c r="H1285">
        <v>7138</v>
      </c>
      <c r="I1285" s="25" t="s">
        <v>2123</v>
      </c>
      <c r="J1285" t="s">
        <v>2489</v>
      </c>
      <c r="M1285" s="49"/>
    </row>
    <row r="1286" spans="6:13" x14ac:dyDescent="0.25">
      <c r="F1286" t="s">
        <v>3269</v>
      </c>
      <c r="G1286">
        <v>53547</v>
      </c>
      <c r="H1286">
        <v>7138</v>
      </c>
      <c r="I1286" s="25" t="s">
        <v>2123</v>
      </c>
      <c r="J1286" t="s">
        <v>2489</v>
      </c>
      <c r="M1286" s="49"/>
    </row>
    <row r="1287" spans="6:13" x14ac:dyDescent="0.25">
      <c r="F1287" t="s">
        <v>3270</v>
      </c>
      <c r="G1287">
        <v>98597</v>
      </c>
      <c r="H1287">
        <v>16066</v>
      </c>
      <c r="I1287" s="25" t="s">
        <v>2384</v>
      </c>
      <c r="J1287" t="s">
        <v>2358</v>
      </c>
      <c r="M1287" s="49"/>
    </row>
    <row r="1288" spans="6:13" x14ac:dyDescent="0.25">
      <c r="F1288" t="s">
        <v>3271</v>
      </c>
      <c r="G1288">
        <v>28719</v>
      </c>
      <c r="H1288">
        <v>4011</v>
      </c>
      <c r="I1288" s="25" t="s">
        <v>3271</v>
      </c>
      <c r="J1288" t="s">
        <v>2063</v>
      </c>
      <c r="M1288" s="49"/>
    </row>
    <row r="1289" spans="6:13" x14ac:dyDescent="0.25">
      <c r="F1289" t="s">
        <v>3271</v>
      </c>
      <c r="G1289">
        <v>28325</v>
      </c>
      <c r="H1289">
        <v>4011</v>
      </c>
      <c r="I1289" s="25" t="s">
        <v>3271</v>
      </c>
      <c r="J1289" t="s">
        <v>2063</v>
      </c>
      <c r="M1289" s="49"/>
    </row>
    <row r="1290" spans="6:13" x14ac:dyDescent="0.25">
      <c r="F1290" t="s">
        <v>3271</v>
      </c>
      <c r="G1290">
        <v>28205</v>
      </c>
      <c r="H1290">
        <v>4011</v>
      </c>
      <c r="I1290" s="25" t="s">
        <v>3271</v>
      </c>
      <c r="J1290" t="s">
        <v>2063</v>
      </c>
      <c r="M1290" s="49"/>
    </row>
    <row r="1291" spans="6:13" x14ac:dyDescent="0.25">
      <c r="F1291" t="s">
        <v>3271</v>
      </c>
      <c r="G1291">
        <v>28355</v>
      </c>
      <c r="H1291">
        <v>4011</v>
      </c>
      <c r="I1291" s="25" t="s">
        <v>3271</v>
      </c>
      <c r="J1291" t="s">
        <v>2063</v>
      </c>
      <c r="M1291" s="49"/>
    </row>
    <row r="1292" spans="6:13" x14ac:dyDescent="0.25">
      <c r="F1292" t="s">
        <v>3271</v>
      </c>
      <c r="G1292">
        <v>28239</v>
      </c>
      <c r="H1292">
        <v>4011</v>
      </c>
      <c r="I1292" s="25" t="s">
        <v>3271</v>
      </c>
      <c r="J1292" t="s">
        <v>2063</v>
      </c>
      <c r="M1292" s="49"/>
    </row>
    <row r="1293" spans="6:13" x14ac:dyDescent="0.25">
      <c r="F1293" t="s">
        <v>3271</v>
      </c>
      <c r="G1293">
        <v>28717</v>
      </c>
      <c r="H1293">
        <v>4011</v>
      </c>
      <c r="I1293" s="25" t="s">
        <v>3271</v>
      </c>
      <c r="J1293" t="s">
        <v>2063</v>
      </c>
      <c r="M1293" s="49"/>
    </row>
    <row r="1294" spans="6:13" x14ac:dyDescent="0.25">
      <c r="F1294" t="s">
        <v>3271</v>
      </c>
      <c r="G1294">
        <v>28329</v>
      </c>
      <c r="H1294">
        <v>4011</v>
      </c>
      <c r="I1294" s="25" t="s">
        <v>3271</v>
      </c>
      <c r="J1294" t="s">
        <v>2063</v>
      </c>
      <c r="M1294" s="49"/>
    </row>
    <row r="1295" spans="6:13" x14ac:dyDescent="0.25">
      <c r="F1295" t="s">
        <v>3271</v>
      </c>
      <c r="G1295">
        <v>28201</v>
      </c>
      <c r="H1295">
        <v>4011</v>
      </c>
      <c r="I1295" s="25" t="s">
        <v>3271</v>
      </c>
      <c r="J1295" t="s">
        <v>2063</v>
      </c>
      <c r="M1295" s="49"/>
    </row>
    <row r="1296" spans="6:13" x14ac:dyDescent="0.25">
      <c r="F1296" t="s">
        <v>3271</v>
      </c>
      <c r="G1296">
        <v>28307</v>
      </c>
      <c r="H1296">
        <v>4011</v>
      </c>
      <c r="I1296" s="25" t="s">
        <v>3271</v>
      </c>
      <c r="J1296" t="s">
        <v>2063</v>
      </c>
      <c r="M1296" s="49"/>
    </row>
    <row r="1297" spans="6:13" x14ac:dyDescent="0.25">
      <c r="F1297" t="s">
        <v>3271</v>
      </c>
      <c r="G1297">
        <v>28213</v>
      </c>
      <c r="H1297">
        <v>4011</v>
      </c>
      <c r="I1297" s="25" t="s">
        <v>3271</v>
      </c>
      <c r="J1297" t="s">
        <v>2063</v>
      </c>
      <c r="M1297" s="49"/>
    </row>
    <row r="1298" spans="6:13" x14ac:dyDescent="0.25">
      <c r="F1298" t="s">
        <v>3271</v>
      </c>
      <c r="G1298">
        <v>28777</v>
      </c>
      <c r="H1298">
        <v>4011</v>
      </c>
      <c r="I1298" s="25" t="s">
        <v>3271</v>
      </c>
      <c r="J1298" t="s">
        <v>2063</v>
      </c>
      <c r="M1298" s="49"/>
    </row>
    <row r="1299" spans="6:13" x14ac:dyDescent="0.25">
      <c r="F1299" t="s">
        <v>3271</v>
      </c>
      <c r="G1299">
        <v>28237</v>
      </c>
      <c r="H1299">
        <v>4011</v>
      </c>
      <c r="I1299" s="25" t="s">
        <v>3271</v>
      </c>
      <c r="J1299" t="s">
        <v>2063</v>
      </c>
      <c r="M1299" s="49"/>
    </row>
    <row r="1300" spans="6:13" x14ac:dyDescent="0.25">
      <c r="F1300" t="s">
        <v>3271</v>
      </c>
      <c r="G1300">
        <v>28309</v>
      </c>
      <c r="H1300">
        <v>4011</v>
      </c>
      <c r="I1300" s="25" t="s">
        <v>3271</v>
      </c>
      <c r="J1300" t="s">
        <v>2063</v>
      </c>
      <c r="M1300" s="49"/>
    </row>
    <row r="1301" spans="6:13" x14ac:dyDescent="0.25">
      <c r="F1301" t="s">
        <v>3271</v>
      </c>
      <c r="G1301">
        <v>28279</v>
      </c>
      <c r="H1301">
        <v>4011</v>
      </c>
      <c r="I1301" s="25" t="s">
        <v>3271</v>
      </c>
      <c r="J1301" t="s">
        <v>2063</v>
      </c>
      <c r="M1301" s="49"/>
    </row>
    <row r="1302" spans="6:13" x14ac:dyDescent="0.25">
      <c r="F1302" t="s">
        <v>3271</v>
      </c>
      <c r="G1302">
        <v>28359</v>
      </c>
      <c r="H1302">
        <v>4011</v>
      </c>
      <c r="I1302" s="25" t="s">
        <v>3271</v>
      </c>
      <c r="J1302" t="s">
        <v>2063</v>
      </c>
      <c r="M1302" s="49"/>
    </row>
    <row r="1303" spans="6:13" x14ac:dyDescent="0.25">
      <c r="F1303" t="s">
        <v>3271</v>
      </c>
      <c r="G1303">
        <v>28277</v>
      </c>
      <c r="H1303">
        <v>4011</v>
      </c>
      <c r="I1303" s="25" t="s">
        <v>3271</v>
      </c>
      <c r="J1303" t="s">
        <v>2063</v>
      </c>
      <c r="M1303" s="49"/>
    </row>
    <row r="1304" spans="6:13" x14ac:dyDescent="0.25">
      <c r="F1304" t="s">
        <v>3271</v>
      </c>
      <c r="G1304">
        <v>28759</v>
      </c>
      <c r="H1304">
        <v>4011</v>
      </c>
      <c r="I1304" s="25" t="s">
        <v>3271</v>
      </c>
      <c r="J1304" t="s">
        <v>2063</v>
      </c>
      <c r="M1304" s="49"/>
    </row>
    <row r="1305" spans="6:13" x14ac:dyDescent="0.25">
      <c r="F1305" t="s">
        <v>3271</v>
      </c>
      <c r="G1305">
        <v>28327</v>
      </c>
      <c r="H1305">
        <v>4011</v>
      </c>
      <c r="I1305" s="25" t="s">
        <v>3271</v>
      </c>
      <c r="J1305" t="s">
        <v>2063</v>
      </c>
      <c r="M1305" s="49"/>
    </row>
    <row r="1306" spans="6:13" x14ac:dyDescent="0.25">
      <c r="F1306" t="s">
        <v>3271</v>
      </c>
      <c r="G1306">
        <v>28209</v>
      </c>
      <c r="H1306">
        <v>4011</v>
      </c>
      <c r="I1306" s="25" t="s">
        <v>3271</v>
      </c>
      <c r="J1306" t="s">
        <v>2063</v>
      </c>
      <c r="M1306" s="49"/>
    </row>
    <row r="1307" spans="6:13" x14ac:dyDescent="0.25">
      <c r="F1307" t="s">
        <v>3271</v>
      </c>
      <c r="G1307">
        <v>28197</v>
      </c>
      <c r="H1307">
        <v>4011</v>
      </c>
      <c r="I1307" s="25" t="s">
        <v>3271</v>
      </c>
      <c r="J1307" t="s">
        <v>2063</v>
      </c>
      <c r="M1307" s="49"/>
    </row>
    <row r="1308" spans="6:13" x14ac:dyDescent="0.25">
      <c r="F1308" t="s">
        <v>3271</v>
      </c>
      <c r="G1308">
        <v>28259</v>
      </c>
      <c r="H1308">
        <v>4011</v>
      </c>
      <c r="I1308" s="25" t="s">
        <v>3271</v>
      </c>
      <c r="J1308" t="s">
        <v>2063</v>
      </c>
      <c r="M1308" s="49"/>
    </row>
    <row r="1309" spans="6:13" x14ac:dyDescent="0.25">
      <c r="F1309" t="s">
        <v>3271</v>
      </c>
      <c r="G1309">
        <v>28199</v>
      </c>
      <c r="H1309">
        <v>4011</v>
      </c>
      <c r="I1309" s="25" t="s">
        <v>3271</v>
      </c>
      <c r="J1309" t="s">
        <v>2063</v>
      </c>
      <c r="M1309" s="49"/>
    </row>
    <row r="1310" spans="6:13" x14ac:dyDescent="0.25">
      <c r="F1310" t="s">
        <v>3271</v>
      </c>
      <c r="G1310">
        <v>28755</v>
      </c>
      <c r="H1310">
        <v>4011</v>
      </c>
      <c r="I1310" s="25" t="s">
        <v>3271</v>
      </c>
      <c r="J1310" t="s">
        <v>2063</v>
      </c>
      <c r="M1310" s="49"/>
    </row>
    <row r="1311" spans="6:13" x14ac:dyDescent="0.25">
      <c r="F1311" t="s">
        <v>3271</v>
      </c>
      <c r="G1311">
        <v>28211</v>
      </c>
      <c r="H1311">
        <v>4011</v>
      </c>
      <c r="I1311" s="25" t="s">
        <v>3271</v>
      </c>
      <c r="J1311" t="s">
        <v>2063</v>
      </c>
      <c r="M1311" s="49"/>
    </row>
    <row r="1312" spans="6:13" x14ac:dyDescent="0.25">
      <c r="F1312" t="s">
        <v>3271</v>
      </c>
      <c r="G1312">
        <v>28217</v>
      </c>
      <c r="H1312">
        <v>4011</v>
      </c>
      <c r="I1312" s="25" t="s">
        <v>3271</v>
      </c>
      <c r="J1312" t="s">
        <v>2063</v>
      </c>
      <c r="M1312" s="49"/>
    </row>
    <row r="1313" spans="6:13" x14ac:dyDescent="0.25">
      <c r="F1313" t="s">
        <v>3271</v>
      </c>
      <c r="G1313">
        <v>28207</v>
      </c>
      <c r="H1313">
        <v>4011</v>
      </c>
      <c r="I1313" s="25" t="s">
        <v>3271</v>
      </c>
      <c r="J1313" t="s">
        <v>2063</v>
      </c>
      <c r="M1313" s="49"/>
    </row>
    <row r="1314" spans="6:13" x14ac:dyDescent="0.25">
      <c r="F1314" t="s">
        <v>3271</v>
      </c>
      <c r="G1314">
        <v>28329</v>
      </c>
      <c r="H1314">
        <v>4011</v>
      </c>
      <c r="I1314" s="25" t="s">
        <v>3271</v>
      </c>
      <c r="J1314" t="s">
        <v>2063</v>
      </c>
      <c r="M1314" s="49"/>
    </row>
    <row r="1315" spans="6:13" x14ac:dyDescent="0.25">
      <c r="F1315" t="s">
        <v>3271</v>
      </c>
      <c r="G1315">
        <v>28219</v>
      </c>
      <c r="H1315">
        <v>4011</v>
      </c>
      <c r="I1315" s="25" t="s">
        <v>3271</v>
      </c>
      <c r="J1315" t="s">
        <v>2063</v>
      </c>
      <c r="M1315" s="49"/>
    </row>
    <row r="1316" spans="6:13" x14ac:dyDescent="0.25">
      <c r="F1316" t="s">
        <v>3271</v>
      </c>
      <c r="G1316">
        <v>28755</v>
      </c>
      <c r="H1316">
        <v>4011</v>
      </c>
      <c r="I1316" s="25" t="s">
        <v>3271</v>
      </c>
      <c r="J1316" t="s">
        <v>2063</v>
      </c>
      <c r="M1316" s="49"/>
    </row>
    <row r="1317" spans="6:13" x14ac:dyDescent="0.25">
      <c r="F1317" t="s">
        <v>3271</v>
      </c>
      <c r="G1317">
        <v>28357</v>
      </c>
      <c r="H1317">
        <v>4011</v>
      </c>
      <c r="I1317" s="25" t="s">
        <v>3271</v>
      </c>
      <c r="J1317" t="s">
        <v>2063</v>
      </c>
      <c r="M1317" s="49"/>
    </row>
    <row r="1318" spans="6:13" x14ac:dyDescent="0.25">
      <c r="F1318" t="s">
        <v>3271</v>
      </c>
      <c r="G1318">
        <v>28757</v>
      </c>
      <c r="H1318">
        <v>4011</v>
      </c>
      <c r="I1318" s="25" t="s">
        <v>3271</v>
      </c>
      <c r="J1318" t="s">
        <v>2063</v>
      </c>
      <c r="M1318" s="49"/>
    </row>
    <row r="1319" spans="6:13" x14ac:dyDescent="0.25">
      <c r="F1319" t="s">
        <v>3271</v>
      </c>
      <c r="G1319">
        <v>28203</v>
      </c>
      <c r="H1319">
        <v>4011</v>
      </c>
      <c r="I1319" s="25" t="s">
        <v>3271</v>
      </c>
      <c r="J1319" t="s">
        <v>2063</v>
      </c>
      <c r="M1319" s="49"/>
    </row>
    <row r="1320" spans="6:13" x14ac:dyDescent="0.25">
      <c r="F1320" t="s">
        <v>3271</v>
      </c>
      <c r="G1320">
        <v>28779</v>
      </c>
      <c r="H1320">
        <v>4011</v>
      </c>
      <c r="I1320" s="25" t="s">
        <v>3271</v>
      </c>
      <c r="J1320" t="s">
        <v>2063</v>
      </c>
      <c r="M1320" s="49"/>
    </row>
    <row r="1321" spans="6:13" x14ac:dyDescent="0.25">
      <c r="F1321" t="s">
        <v>3271</v>
      </c>
      <c r="G1321">
        <v>28195</v>
      </c>
      <c r="H1321">
        <v>4011</v>
      </c>
      <c r="I1321" s="25" t="s">
        <v>3271</v>
      </c>
      <c r="J1321" t="s">
        <v>2063</v>
      </c>
      <c r="M1321" s="49"/>
    </row>
    <row r="1322" spans="6:13" x14ac:dyDescent="0.25">
      <c r="F1322" t="s">
        <v>3271</v>
      </c>
      <c r="G1322">
        <v>28215</v>
      </c>
      <c r="H1322">
        <v>4011</v>
      </c>
      <c r="I1322" s="25" t="s">
        <v>3271</v>
      </c>
      <c r="J1322" t="s">
        <v>2063</v>
      </c>
      <c r="M1322" s="49"/>
    </row>
    <row r="1323" spans="6:13" x14ac:dyDescent="0.25">
      <c r="F1323" t="s">
        <v>3272</v>
      </c>
      <c r="G1323">
        <v>27580</v>
      </c>
      <c r="H1323">
        <v>4012</v>
      </c>
      <c r="I1323" s="25" t="s">
        <v>3271</v>
      </c>
      <c r="J1323" t="s">
        <v>2066</v>
      </c>
      <c r="M1323" s="49"/>
    </row>
    <row r="1324" spans="6:13" x14ac:dyDescent="0.25">
      <c r="F1324" t="s">
        <v>3272</v>
      </c>
      <c r="G1324">
        <v>27574</v>
      </c>
      <c r="H1324">
        <v>4012</v>
      </c>
      <c r="I1324" s="25" t="s">
        <v>3271</v>
      </c>
      <c r="J1324" t="s">
        <v>2066</v>
      </c>
      <c r="M1324" s="49"/>
    </row>
    <row r="1325" spans="6:13" x14ac:dyDescent="0.25">
      <c r="F1325" t="s">
        <v>3272</v>
      </c>
      <c r="G1325">
        <v>27572</v>
      </c>
      <c r="H1325">
        <v>4012</v>
      </c>
      <c r="I1325" s="25" t="s">
        <v>3271</v>
      </c>
      <c r="J1325" t="s">
        <v>2066</v>
      </c>
      <c r="M1325" s="49"/>
    </row>
    <row r="1326" spans="6:13" x14ac:dyDescent="0.25">
      <c r="F1326" t="s">
        <v>3272</v>
      </c>
      <c r="G1326">
        <v>27576</v>
      </c>
      <c r="H1326">
        <v>4012</v>
      </c>
      <c r="I1326" s="25" t="s">
        <v>3271</v>
      </c>
      <c r="J1326" t="s">
        <v>2066</v>
      </c>
      <c r="M1326" s="49"/>
    </row>
    <row r="1327" spans="6:13" x14ac:dyDescent="0.25">
      <c r="F1327" t="s">
        <v>3272</v>
      </c>
      <c r="G1327">
        <v>27570</v>
      </c>
      <c r="H1327">
        <v>4012</v>
      </c>
      <c r="I1327" s="25" t="s">
        <v>3271</v>
      </c>
      <c r="J1327" t="s">
        <v>2066</v>
      </c>
      <c r="M1327" s="49"/>
    </row>
    <row r="1328" spans="6:13" x14ac:dyDescent="0.25">
      <c r="F1328" t="s">
        <v>3272</v>
      </c>
      <c r="G1328">
        <v>27578</v>
      </c>
      <c r="H1328">
        <v>4012</v>
      </c>
      <c r="I1328" s="25" t="s">
        <v>3271</v>
      </c>
      <c r="J1328" t="s">
        <v>2066</v>
      </c>
      <c r="M1328" s="49"/>
    </row>
    <row r="1329" spans="6:13" x14ac:dyDescent="0.25">
      <c r="F1329" t="s">
        <v>3272</v>
      </c>
      <c r="G1329">
        <v>27578</v>
      </c>
      <c r="H1329">
        <v>4012</v>
      </c>
      <c r="I1329" s="25" t="s">
        <v>3271</v>
      </c>
      <c r="J1329" t="s">
        <v>2066</v>
      </c>
      <c r="M1329" s="49"/>
    </row>
    <row r="1330" spans="6:13" x14ac:dyDescent="0.25">
      <c r="F1330" t="s">
        <v>3273</v>
      </c>
      <c r="G1330">
        <v>27568</v>
      </c>
      <c r="H1330">
        <v>4011</v>
      </c>
      <c r="I1330" s="25" t="s">
        <v>3271</v>
      </c>
      <c r="J1330" t="s">
        <v>2063</v>
      </c>
      <c r="M1330" s="49"/>
    </row>
    <row r="1331" spans="6:13" x14ac:dyDescent="0.25">
      <c r="F1331" t="s">
        <v>3273</v>
      </c>
      <c r="G1331">
        <v>27568</v>
      </c>
      <c r="H1331">
        <v>4012</v>
      </c>
      <c r="I1331" s="25" t="s">
        <v>3271</v>
      </c>
      <c r="J1331" t="s">
        <v>2066</v>
      </c>
      <c r="M1331" s="49"/>
    </row>
    <row r="1332" spans="6:13" x14ac:dyDescent="0.25">
      <c r="F1332" t="s">
        <v>3274</v>
      </c>
      <c r="G1332">
        <v>27432</v>
      </c>
      <c r="H1332">
        <v>3357</v>
      </c>
      <c r="I1332" s="25" t="s">
        <v>2074</v>
      </c>
      <c r="J1332" t="s">
        <v>2339</v>
      </c>
      <c r="M1332" s="49"/>
    </row>
    <row r="1333" spans="6:13" x14ac:dyDescent="0.25">
      <c r="F1333" t="s">
        <v>3275</v>
      </c>
      <c r="G1333">
        <v>93179</v>
      </c>
      <c r="H1333">
        <v>9375</v>
      </c>
      <c r="I1333" s="25" t="s">
        <v>2050</v>
      </c>
      <c r="J1333" t="s">
        <v>2365</v>
      </c>
      <c r="M1333" s="49"/>
    </row>
    <row r="1334" spans="6:13" x14ac:dyDescent="0.25">
      <c r="F1334" t="s">
        <v>3276</v>
      </c>
      <c r="G1334">
        <v>64395</v>
      </c>
      <c r="H1334">
        <v>6432</v>
      </c>
      <c r="I1334" s="25" t="s">
        <v>2046</v>
      </c>
      <c r="J1334" t="s">
        <v>2338</v>
      </c>
      <c r="M1334" s="49"/>
    </row>
    <row r="1335" spans="6:13" x14ac:dyDescent="0.25">
      <c r="F1335" t="s">
        <v>3276</v>
      </c>
      <c r="G1335">
        <v>64395</v>
      </c>
      <c r="H1335">
        <v>6437</v>
      </c>
      <c r="I1335" s="25" t="s">
        <v>2046</v>
      </c>
      <c r="J1335" t="s">
        <v>2674</v>
      </c>
      <c r="M1335" s="49"/>
    </row>
    <row r="1336" spans="6:13" x14ac:dyDescent="0.25">
      <c r="F1336" t="s">
        <v>3277</v>
      </c>
      <c r="G1336">
        <v>75015</v>
      </c>
      <c r="H1336">
        <v>8215</v>
      </c>
      <c r="I1336" s="25" t="s">
        <v>2018</v>
      </c>
      <c r="J1336" t="s">
        <v>2724</v>
      </c>
      <c r="M1336" s="49"/>
    </row>
    <row r="1337" spans="6:13" x14ac:dyDescent="0.25">
      <c r="F1337" t="s">
        <v>3278</v>
      </c>
      <c r="G1337">
        <v>55559</v>
      </c>
      <c r="H1337">
        <v>7133</v>
      </c>
      <c r="I1337" s="25" t="s">
        <v>2123</v>
      </c>
      <c r="J1337" t="s">
        <v>2037</v>
      </c>
      <c r="M1337" s="49"/>
    </row>
    <row r="1338" spans="6:13" x14ac:dyDescent="0.25">
      <c r="F1338" t="s">
        <v>3279</v>
      </c>
      <c r="G1338">
        <v>74626</v>
      </c>
      <c r="H1338">
        <v>8126</v>
      </c>
      <c r="I1338" s="25" t="s">
        <v>2018</v>
      </c>
      <c r="J1338" t="s">
        <v>3280</v>
      </c>
      <c r="M1338" s="49"/>
    </row>
    <row r="1339" spans="6:13" x14ac:dyDescent="0.25">
      <c r="F1339" t="s">
        <v>3281</v>
      </c>
      <c r="G1339">
        <v>64747</v>
      </c>
      <c r="H1339">
        <v>6437</v>
      </c>
      <c r="I1339" s="25" t="s">
        <v>2046</v>
      </c>
      <c r="J1339" t="s">
        <v>2674</v>
      </c>
      <c r="M1339" s="49"/>
    </row>
    <row r="1340" spans="6:13" x14ac:dyDescent="0.25">
      <c r="F1340" t="s">
        <v>3282</v>
      </c>
      <c r="G1340">
        <v>34479</v>
      </c>
      <c r="H1340">
        <v>6633</v>
      </c>
      <c r="I1340" s="25" t="s">
        <v>2046</v>
      </c>
      <c r="J1340" t="s">
        <v>2162</v>
      </c>
      <c r="M1340" s="49"/>
    </row>
    <row r="1341" spans="6:13" x14ac:dyDescent="0.25">
      <c r="F1341" t="s">
        <v>3283</v>
      </c>
      <c r="G1341">
        <v>37647</v>
      </c>
      <c r="H1341">
        <v>3255</v>
      </c>
      <c r="I1341" s="25" t="s">
        <v>2074</v>
      </c>
      <c r="J1341" t="s">
        <v>3044</v>
      </c>
      <c r="M1341" s="49"/>
    </row>
    <row r="1342" spans="6:13" x14ac:dyDescent="0.25">
      <c r="F1342" t="s">
        <v>3284</v>
      </c>
      <c r="G1342">
        <v>56867</v>
      </c>
      <c r="H1342">
        <v>7135</v>
      </c>
      <c r="I1342" s="25" t="s">
        <v>2123</v>
      </c>
      <c r="J1342" t="s">
        <v>2072</v>
      </c>
      <c r="M1342" s="49"/>
    </row>
    <row r="1343" spans="6:13" x14ac:dyDescent="0.25">
      <c r="F1343" t="s">
        <v>3284</v>
      </c>
      <c r="G1343">
        <v>56867</v>
      </c>
      <c r="H1343">
        <v>7135</v>
      </c>
      <c r="I1343" s="25" t="s">
        <v>2123</v>
      </c>
      <c r="J1343" t="s">
        <v>2072</v>
      </c>
      <c r="M1343" s="49"/>
    </row>
    <row r="1344" spans="6:13" x14ac:dyDescent="0.25">
      <c r="F1344" t="s">
        <v>3285</v>
      </c>
      <c r="G1344">
        <v>14656</v>
      </c>
      <c r="H1344">
        <v>12063</v>
      </c>
      <c r="I1344" s="25" t="s">
        <v>2356</v>
      </c>
      <c r="J1344" t="s">
        <v>2181</v>
      </c>
      <c r="M1344" s="49"/>
    </row>
    <row r="1345" spans="6:13" x14ac:dyDescent="0.25">
      <c r="F1345" t="s">
        <v>3286</v>
      </c>
      <c r="G1345">
        <v>15518</v>
      </c>
      <c r="H1345">
        <v>12067</v>
      </c>
      <c r="I1345" s="25" t="s">
        <v>2356</v>
      </c>
      <c r="J1345" t="s">
        <v>2711</v>
      </c>
      <c r="M1345" s="49"/>
    </row>
    <row r="1346" spans="6:13" x14ac:dyDescent="0.25">
      <c r="F1346" t="s">
        <v>3286</v>
      </c>
      <c r="G1346">
        <v>15518</v>
      </c>
      <c r="H1346">
        <v>12067</v>
      </c>
      <c r="I1346" s="25" t="s">
        <v>2356</v>
      </c>
      <c r="J1346" t="s">
        <v>2711</v>
      </c>
      <c r="M1346" s="49"/>
    </row>
    <row r="1347" spans="6:13" x14ac:dyDescent="0.25">
      <c r="F1347" t="s">
        <v>3286</v>
      </c>
      <c r="G1347">
        <v>15518</v>
      </c>
      <c r="H1347">
        <v>12067</v>
      </c>
      <c r="I1347" s="25" t="s">
        <v>2356</v>
      </c>
      <c r="J1347" t="s">
        <v>2711</v>
      </c>
      <c r="M1347" s="49"/>
    </row>
    <row r="1348" spans="6:13" x14ac:dyDescent="0.25">
      <c r="F1348" t="s">
        <v>3287</v>
      </c>
      <c r="G1348">
        <v>15295</v>
      </c>
      <c r="H1348">
        <v>12067</v>
      </c>
      <c r="I1348" s="25" t="s">
        <v>2356</v>
      </c>
      <c r="J1348" t="s">
        <v>2711</v>
      </c>
      <c r="M1348" s="49"/>
    </row>
    <row r="1349" spans="6:13" x14ac:dyDescent="0.25">
      <c r="F1349" t="s">
        <v>3288</v>
      </c>
      <c r="G1349">
        <v>21382</v>
      </c>
      <c r="H1349">
        <v>3355</v>
      </c>
      <c r="I1349" s="25" t="s">
        <v>2074</v>
      </c>
      <c r="J1349" t="s">
        <v>2129</v>
      </c>
      <c r="M1349" s="49"/>
    </row>
    <row r="1350" spans="6:13" x14ac:dyDescent="0.25">
      <c r="F1350" t="s">
        <v>3289</v>
      </c>
      <c r="G1350">
        <v>78086</v>
      </c>
      <c r="H1350">
        <v>8326</v>
      </c>
      <c r="I1350" s="25" t="s">
        <v>2018</v>
      </c>
      <c r="J1350" t="s">
        <v>2638</v>
      </c>
      <c r="M1350" s="49"/>
    </row>
    <row r="1351" spans="6:13" x14ac:dyDescent="0.25">
      <c r="F1351" t="s">
        <v>3290</v>
      </c>
      <c r="G1351">
        <v>59929</v>
      </c>
      <c r="H1351">
        <v>5958</v>
      </c>
      <c r="I1351" s="25" t="s">
        <v>2023</v>
      </c>
      <c r="J1351" t="s">
        <v>2199</v>
      </c>
      <c r="M1351" s="49"/>
    </row>
    <row r="1352" spans="6:13" x14ac:dyDescent="0.25">
      <c r="F1352" t="s">
        <v>3291</v>
      </c>
      <c r="G1352">
        <v>29356</v>
      </c>
      <c r="H1352">
        <v>3351</v>
      </c>
      <c r="I1352" s="25" t="s">
        <v>2074</v>
      </c>
      <c r="J1352" t="s">
        <v>2096</v>
      </c>
      <c r="M1352" s="49"/>
    </row>
    <row r="1353" spans="6:13" x14ac:dyDescent="0.25">
      <c r="F1353" t="s">
        <v>3292</v>
      </c>
      <c r="G1353">
        <v>24864</v>
      </c>
      <c r="H1353">
        <v>1059</v>
      </c>
      <c r="I1353" s="25" t="s">
        <v>2085</v>
      </c>
      <c r="J1353" t="s">
        <v>2354</v>
      </c>
      <c r="M1353" s="49"/>
    </row>
    <row r="1354" spans="6:13" x14ac:dyDescent="0.25">
      <c r="F1354" t="s">
        <v>3293</v>
      </c>
      <c r="G1354">
        <v>56656</v>
      </c>
      <c r="H1354">
        <v>7131</v>
      </c>
      <c r="I1354" s="25" t="s">
        <v>2123</v>
      </c>
      <c r="J1354" t="s">
        <v>2022</v>
      </c>
      <c r="M1354" s="49"/>
    </row>
    <row r="1355" spans="6:13" x14ac:dyDescent="0.25">
      <c r="F1355" t="s">
        <v>3294</v>
      </c>
      <c r="G1355">
        <v>25576</v>
      </c>
      <c r="H1355">
        <v>1061</v>
      </c>
      <c r="I1355" s="25" t="s">
        <v>2085</v>
      </c>
      <c r="J1355" t="s">
        <v>2377</v>
      </c>
      <c r="M1355" s="49"/>
    </row>
    <row r="1356" spans="6:13" x14ac:dyDescent="0.25">
      <c r="F1356" t="s">
        <v>3295</v>
      </c>
      <c r="G1356">
        <v>24616</v>
      </c>
      <c r="H1356">
        <v>1060</v>
      </c>
      <c r="I1356" s="25" t="s">
        <v>2085</v>
      </c>
      <c r="J1356" t="s">
        <v>2363</v>
      </c>
      <c r="M1356" s="49"/>
    </row>
    <row r="1357" spans="6:13" x14ac:dyDescent="0.25">
      <c r="F1357" t="s">
        <v>3295</v>
      </c>
      <c r="G1357">
        <v>24616</v>
      </c>
      <c r="H1357">
        <v>1061</v>
      </c>
      <c r="I1357" s="25" t="s">
        <v>2085</v>
      </c>
      <c r="J1357" t="s">
        <v>2377</v>
      </c>
      <c r="M1357" s="49"/>
    </row>
    <row r="1358" spans="6:13" x14ac:dyDescent="0.25">
      <c r="F1358" t="s">
        <v>3296</v>
      </c>
      <c r="G1358">
        <v>64753</v>
      </c>
      <c r="H1358">
        <v>6437</v>
      </c>
      <c r="I1358" s="25" t="s">
        <v>2046</v>
      </c>
      <c r="J1358" t="s">
        <v>2674</v>
      </c>
      <c r="M1358" s="49"/>
    </row>
    <row r="1359" spans="6:13" x14ac:dyDescent="0.25">
      <c r="F1359" t="s">
        <v>3297</v>
      </c>
      <c r="G1359">
        <v>38465</v>
      </c>
      <c r="H1359">
        <v>3151</v>
      </c>
      <c r="I1359" s="25" t="s">
        <v>2074</v>
      </c>
      <c r="J1359" t="s">
        <v>2126</v>
      </c>
      <c r="M1359" s="49"/>
    </row>
    <row r="1360" spans="6:13" x14ac:dyDescent="0.25">
      <c r="F1360" t="s">
        <v>3298</v>
      </c>
      <c r="G1360">
        <v>59969</v>
      </c>
      <c r="H1360">
        <v>5958</v>
      </c>
      <c r="I1360" s="25" t="s">
        <v>2023</v>
      </c>
      <c r="J1360" t="s">
        <v>2199</v>
      </c>
      <c r="M1360" s="49"/>
    </row>
    <row r="1361" spans="6:13" x14ac:dyDescent="0.25">
      <c r="F1361" t="s">
        <v>3298</v>
      </c>
      <c r="G1361">
        <v>59969</v>
      </c>
      <c r="H1361">
        <v>6635</v>
      </c>
      <c r="I1361" s="25" t="s">
        <v>2046</v>
      </c>
      <c r="J1361" t="s">
        <v>2308</v>
      </c>
      <c r="M1361" s="49"/>
    </row>
    <row r="1362" spans="6:13" x14ac:dyDescent="0.25">
      <c r="F1362" t="s">
        <v>3299</v>
      </c>
      <c r="G1362">
        <v>21514</v>
      </c>
      <c r="H1362">
        <v>1053</v>
      </c>
      <c r="I1362" s="25" t="s">
        <v>2085</v>
      </c>
      <c r="J1362" t="s">
        <v>2193</v>
      </c>
      <c r="M1362" s="49"/>
    </row>
    <row r="1363" spans="6:13" x14ac:dyDescent="0.25">
      <c r="F1363" t="s">
        <v>3300</v>
      </c>
      <c r="G1363">
        <v>98596</v>
      </c>
      <c r="H1363">
        <v>16066</v>
      </c>
      <c r="I1363" s="25" t="s">
        <v>2384</v>
      </c>
      <c r="J1363" t="s">
        <v>2358</v>
      </c>
      <c r="M1363" s="49"/>
    </row>
    <row r="1364" spans="6:13" x14ac:dyDescent="0.25">
      <c r="F1364" t="s">
        <v>3301</v>
      </c>
      <c r="G1364">
        <v>53572</v>
      </c>
      <c r="H1364">
        <v>7138</v>
      </c>
      <c r="I1364" s="25" t="s">
        <v>2123</v>
      </c>
      <c r="J1364" t="s">
        <v>2489</v>
      </c>
      <c r="M1364" s="49"/>
    </row>
    <row r="1365" spans="6:13" x14ac:dyDescent="0.25">
      <c r="F1365" t="s">
        <v>3302</v>
      </c>
      <c r="G1365">
        <v>27305</v>
      </c>
      <c r="H1365">
        <v>3251</v>
      </c>
      <c r="I1365" s="25" t="s">
        <v>2074</v>
      </c>
      <c r="J1365" t="s">
        <v>2094</v>
      </c>
      <c r="M1365" s="49"/>
    </row>
    <row r="1366" spans="6:13" x14ac:dyDescent="0.25">
      <c r="F1366" t="s">
        <v>3303</v>
      </c>
      <c r="G1366">
        <v>63486</v>
      </c>
      <c r="H1366">
        <v>6435</v>
      </c>
      <c r="I1366" s="25" t="s">
        <v>2046</v>
      </c>
      <c r="J1366" t="s">
        <v>2703</v>
      </c>
      <c r="M1366" s="49"/>
    </row>
    <row r="1367" spans="6:13" x14ac:dyDescent="0.25">
      <c r="F1367" t="s">
        <v>3304</v>
      </c>
      <c r="G1367">
        <v>66892</v>
      </c>
      <c r="H1367">
        <v>7335</v>
      </c>
      <c r="I1367" s="25" t="s">
        <v>2123</v>
      </c>
      <c r="J1367" t="s">
        <v>2843</v>
      </c>
      <c r="M1367" s="49"/>
    </row>
    <row r="1368" spans="6:13" x14ac:dyDescent="0.25">
      <c r="F1368" t="s">
        <v>3305</v>
      </c>
      <c r="G1368">
        <v>76646</v>
      </c>
      <c r="H1368">
        <v>8215</v>
      </c>
      <c r="I1368" s="25" t="s">
        <v>2018</v>
      </c>
      <c r="J1368" t="s">
        <v>2724</v>
      </c>
      <c r="M1368" s="49"/>
    </row>
    <row r="1369" spans="6:13" x14ac:dyDescent="0.25">
      <c r="F1369" t="s">
        <v>3305</v>
      </c>
      <c r="G1369">
        <v>76646</v>
      </c>
      <c r="H1369">
        <v>8215</v>
      </c>
      <c r="I1369" s="25" t="s">
        <v>2018</v>
      </c>
      <c r="J1369" t="s">
        <v>2724</v>
      </c>
      <c r="M1369" s="49"/>
    </row>
    <row r="1370" spans="6:13" x14ac:dyDescent="0.25">
      <c r="F1370" t="s">
        <v>3306</v>
      </c>
      <c r="G1370">
        <v>76891</v>
      </c>
      <c r="H1370">
        <v>7340</v>
      </c>
      <c r="I1370" s="25" t="s">
        <v>2123</v>
      </c>
      <c r="J1370" t="s">
        <v>2826</v>
      </c>
      <c r="M1370" s="49"/>
    </row>
    <row r="1371" spans="6:13" x14ac:dyDescent="0.25">
      <c r="F1371" t="s">
        <v>3307</v>
      </c>
      <c r="G1371">
        <v>92436</v>
      </c>
      <c r="H1371">
        <v>9376</v>
      </c>
      <c r="I1371" s="25" t="s">
        <v>2050</v>
      </c>
      <c r="J1371" t="s">
        <v>2390</v>
      </c>
      <c r="M1371" s="49"/>
    </row>
    <row r="1372" spans="6:13" x14ac:dyDescent="0.25">
      <c r="F1372" t="s">
        <v>3308</v>
      </c>
      <c r="G1372">
        <v>14822</v>
      </c>
      <c r="H1372">
        <v>12069</v>
      </c>
      <c r="I1372" s="25" t="s">
        <v>2356</v>
      </c>
      <c r="J1372" t="s">
        <v>2857</v>
      </c>
      <c r="M1372" s="49"/>
    </row>
    <row r="1373" spans="6:13" x14ac:dyDescent="0.25">
      <c r="F1373" t="s">
        <v>3309</v>
      </c>
      <c r="G1373">
        <v>84079</v>
      </c>
      <c r="H1373">
        <v>9274</v>
      </c>
      <c r="I1373" s="25" t="s">
        <v>2050</v>
      </c>
      <c r="J1373" t="s">
        <v>2132</v>
      </c>
      <c r="M1373" s="49"/>
    </row>
    <row r="1374" spans="6:13" x14ac:dyDescent="0.25">
      <c r="F1374" t="s">
        <v>3309</v>
      </c>
      <c r="G1374">
        <v>91590</v>
      </c>
      <c r="H1374">
        <v>9571</v>
      </c>
      <c r="I1374" s="25" t="s">
        <v>2050</v>
      </c>
      <c r="J1374" t="s">
        <v>2113</v>
      </c>
      <c r="M1374" s="49"/>
    </row>
    <row r="1375" spans="6:13" x14ac:dyDescent="0.25">
      <c r="F1375" t="s">
        <v>3310</v>
      </c>
      <c r="G1375">
        <v>66904</v>
      </c>
      <c r="H1375">
        <v>7336</v>
      </c>
      <c r="I1375" s="25" t="s">
        <v>2123</v>
      </c>
      <c r="J1375" t="s">
        <v>2216</v>
      </c>
      <c r="M1375" s="49"/>
    </row>
    <row r="1376" spans="6:13" x14ac:dyDescent="0.25">
      <c r="F1376" t="s">
        <v>3311</v>
      </c>
      <c r="G1376">
        <v>55767</v>
      </c>
      <c r="H1376">
        <v>7134</v>
      </c>
      <c r="I1376" s="25" t="s">
        <v>2123</v>
      </c>
      <c r="J1376" t="s">
        <v>2048</v>
      </c>
      <c r="M1376" s="49"/>
    </row>
    <row r="1377" spans="6:13" x14ac:dyDescent="0.25">
      <c r="F1377" t="s">
        <v>3311</v>
      </c>
      <c r="G1377">
        <v>55767</v>
      </c>
      <c r="H1377">
        <v>7134</v>
      </c>
      <c r="I1377" s="25" t="s">
        <v>2123</v>
      </c>
      <c r="J1377" t="s">
        <v>2048</v>
      </c>
      <c r="M1377" s="49"/>
    </row>
    <row r="1378" spans="6:13" x14ac:dyDescent="0.25">
      <c r="F1378" t="s">
        <v>3312</v>
      </c>
      <c r="G1378">
        <v>83052</v>
      </c>
      <c r="H1378">
        <v>9187</v>
      </c>
      <c r="I1378" s="25" t="s">
        <v>2050</v>
      </c>
      <c r="J1378" t="s">
        <v>2245</v>
      </c>
      <c r="M1378" s="49"/>
    </row>
    <row r="1379" spans="6:13" x14ac:dyDescent="0.25">
      <c r="F1379" t="s">
        <v>3313</v>
      </c>
      <c r="G1379">
        <v>19412</v>
      </c>
      <c r="H1379">
        <v>13076</v>
      </c>
      <c r="I1379" s="25" t="s">
        <v>2191</v>
      </c>
      <c r="J1379" t="s">
        <v>2234</v>
      </c>
      <c r="M1379" s="49"/>
    </row>
    <row r="1380" spans="6:13" x14ac:dyDescent="0.25">
      <c r="F1380" t="s">
        <v>3314</v>
      </c>
      <c r="G1380">
        <v>41379</v>
      </c>
      <c r="H1380">
        <v>5166</v>
      </c>
      <c r="I1380" s="25" t="s">
        <v>2023</v>
      </c>
      <c r="J1380" t="s">
        <v>2412</v>
      </c>
      <c r="M1380" s="49"/>
    </row>
    <row r="1381" spans="6:13" x14ac:dyDescent="0.25">
      <c r="F1381" t="s">
        <v>3315</v>
      </c>
      <c r="G1381">
        <v>50321</v>
      </c>
      <c r="H1381">
        <v>5362</v>
      </c>
      <c r="I1381" s="25" t="s">
        <v>2023</v>
      </c>
      <c r="J1381" t="s">
        <v>2326</v>
      </c>
      <c r="M1381" s="49"/>
    </row>
    <row r="1382" spans="6:13" x14ac:dyDescent="0.25">
      <c r="F1382" t="s">
        <v>3315</v>
      </c>
      <c r="G1382">
        <v>68782</v>
      </c>
      <c r="H1382">
        <v>8226</v>
      </c>
      <c r="I1382" s="25" t="s">
        <v>2018</v>
      </c>
      <c r="J1382" t="s">
        <v>2442</v>
      </c>
      <c r="M1382" s="49"/>
    </row>
    <row r="1383" spans="6:13" x14ac:dyDescent="0.25">
      <c r="F1383" t="s">
        <v>3316</v>
      </c>
      <c r="G1383">
        <v>86564</v>
      </c>
      <c r="H1383">
        <v>9185</v>
      </c>
      <c r="I1383" s="25" t="s">
        <v>2050</v>
      </c>
      <c r="J1383" t="s">
        <v>2515</v>
      </c>
      <c r="M1383" s="49"/>
    </row>
    <row r="1384" spans="6:13" x14ac:dyDescent="0.25">
      <c r="F1384" t="s">
        <v>3317</v>
      </c>
      <c r="G1384">
        <v>85649</v>
      </c>
      <c r="H1384">
        <v>9184</v>
      </c>
      <c r="I1384" s="25" t="s">
        <v>2050</v>
      </c>
      <c r="J1384" t="s">
        <v>2547</v>
      </c>
      <c r="M1384" s="49"/>
    </row>
    <row r="1385" spans="6:13" x14ac:dyDescent="0.25">
      <c r="F1385" t="s">
        <v>3318</v>
      </c>
      <c r="G1385">
        <v>25541</v>
      </c>
      <c r="H1385">
        <v>1051</v>
      </c>
      <c r="I1385" s="25" t="s">
        <v>2085</v>
      </c>
      <c r="J1385" t="s">
        <v>2097</v>
      </c>
      <c r="M1385" s="49"/>
    </row>
    <row r="1386" spans="6:13" x14ac:dyDescent="0.25">
      <c r="F1386" t="s">
        <v>3319</v>
      </c>
      <c r="G1386">
        <v>21524</v>
      </c>
      <c r="H1386">
        <v>1053</v>
      </c>
      <c r="I1386" s="25" t="s">
        <v>2085</v>
      </c>
      <c r="J1386" t="s">
        <v>2193</v>
      </c>
      <c r="M1386" s="49"/>
    </row>
    <row r="1387" spans="6:13" x14ac:dyDescent="0.25">
      <c r="F1387" t="s">
        <v>3320</v>
      </c>
      <c r="G1387">
        <v>19071</v>
      </c>
      <c r="H1387">
        <v>13074</v>
      </c>
      <c r="I1387" s="25" t="s">
        <v>2191</v>
      </c>
      <c r="J1387" t="s">
        <v>2275</v>
      </c>
      <c r="M1387" s="49"/>
    </row>
    <row r="1388" spans="6:13" x14ac:dyDescent="0.25">
      <c r="F1388" t="s">
        <v>3321</v>
      </c>
      <c r="G1388">
        <v>17326</v>
      </c>
      <c r="H1388">
        <v>12073</v>
      </c>
      <c r="I1388" s="25" t="s">
        <v>2356</v>
      </c>
      <c r="J1388" t="s">
        <v>2397</v>
      </c>
      <c r="M1388" s="49"/>
    </row>
    <row r="1389" spans="6:13" x14ac:dyDescent="0.25">
      <c r="F1389" t="s">
        <v>3322</v>
      </c>
      <c r="G1389">
        <v>91088</v>
      </c>
      <c r="H1389">
        <v>9572</v>
      </c>
      <c r="I1389" s="25" t="s">
        <v>2050</v>
      </c>
      <c r="J1389" t="s">
        <v>2105</v>
      </c>
      <c r="M1389" s="49"/>
    </row>
    <row r="1390" spans="6:13" x14ac:dyDescent="0.25">
      <c r="F1390" t="s">
        <v>3323</v>
      </c>
      <c r="G1390">
        <v>89347</v>
      </c>
      <c r="H1390">
        <v>9774</v>
      </c>
      <c r="I1390" s="25" t="s">
        <v>2050</v>
      </c>
      <c r="J1390" t="s">
        <v>2205</v>
      </c>
      <c r="M1390" s="49"/>
    </row>
    <row r="1391" spans="6:13" x14ac:dyDescent="0.25">
      <c r="F1391" t="s">
        <v>3324</v>
      </c>
      <c r="G1391">
        <v>78585</v>
      </c>
      <c r="H1391">
        <v>8327</v>
      </c>
      <c r="I1391" s="25" t="s">
        <v>2018</v>
      </c>
      <c r="J1391" t="s">
        <v>2277</v>
      </c>
      <c r="M1391" s="49"/>
    </row>
    <row r="1392" spans="6:13" x14ac:dyDescent="0.25">
      <c r="F1392" t="s">
        <v>3325</v>
      </c>
      <c r="G1392">
        <v>89290</v>
      </c>
      <c r="H1392">
        <v>9775</v>
      </c>
      <c r="I1392" s="25" t="s">
        <v>2050</v>
      </c>
      <c r="J1392" t="s">
        <v>2418</v>
      </c>
      <c r="M1392" s="49"/>
    </row>
    <row r="1393" spans="6:13" x14ac:dyDescent="0.25">
      <c r="F1393" t="s">
        <v>3326</v>
      </c>
      <c r="G1393">
        <v>85656</v>
      </c>
      <c r="H1393">
        <v>9177</v>
      </c>
      <c r="I1393" s="25" t="s">
        <v>2050</v>
      </c>
      <c r="J1393" t="s">
        <v>2915</v>
      </c>
      <c r="M1393" s="49"/>
    </row>
    <row r="1394" spans="6:13" x14ac:dyDescent="0.25">
      <c r="F1394" t="s">
        <v>3327</v>
      </c>
      <c r="G1394">
        <v>84172</v>
      </c>
      <c r="H1394">
        <v>9274</v>
      </c>
      <c r="I1394" s="25" t="s">
        <v>2050</v>
      </c>
      <c r="J1394" t="s">
        <v>2132</v>
      </c>
      <c r="M1394" s="49"/>
    </row>
    <row r="1395" spans="6:13" x14ac:dyDescent="0.25">
      <c r="F1395" t="s">
        <v>3328</v>
      </c>
      <c r="G1395">
        <v>91592</v>
      </c>
      <c r="H1395">
        <v>9571</v>
      </c>
      <c r="I1395" s="25" t="s">
        <v>2050</v>
      </c>
      <c r="J1395" t="s">
        <v>2113</v>
      </c>
      <c r="M1395" s="49"/>
    </row>
    <row r="1396" spans="6:13" x14ac:dyDescent="0.25">
      <c r="F1396" t="s">
        <v>3329</v>
      </c>
      <c r="G1396">
        <v>84428</v>
      </c>
      <c r="H1396">
        <v>9183</v>
      </c>
      <c r="I1396" s="25" t="s">
        <v>2050</v>
      </c>
      <c r="J1396" t="s">
        <v>2474</v>
      </c>
      <c r="M1396" s="49"/>
    </row>
    <row r="1397" spans="6:13" x14ac:dyDescent="0.25">
      <c r="F1397" t="s">
        <v>3330</v>
      </c>
      <c r="G1397">
        <v>86675</v>
      </c>
      <c r="H1397">
        <v>9779</v>
      </c>
      <c r="I1397" s="25" t="s">
        <v>2050</v>
      </c>
      <c r="J1397" t="s">
        <v>2280</v>
      </c>
      <c r="M1397" s="49"/>
    </row>
    <row r="1398" spans="6:13" x14ac:dyDescent="0.25">
      <c r="F1398" t="s">
        <v>3331</v>
      </c>
      <c r="G1398">
        <v>56823</v>
      </c>
      <c r="H1398">
        <v>7135</v>
      </c>
      <c r="I1398" s="25" t="s">
        <v>2123</v>
      </c>
      <c r="J1398" t="s">
        <v>2072</v>
      </c>
      <c r="M1398" s="49"/>
    </row>
    <row r="1399" spans="6:13" x14ac:dyDescent="0.25">
      <c r="F1399" t="s">
        <v>3332</v>
      </c>
      <c r="G1399">
        <v>74722</v>
      </c>
      <c r="H1399">
        <v>8225</v>
      </c>
      <c r="I1399" s="25" t="s">
        <v>2018</v>
      </c>
      <c r="J1399" t="s">
        <v>2108</v>
      </c>
      <c r="M1399" s="49"/>
    </row>
    <row r="1400" spans="6:13" x14ac:dyDescent="0.25">
      <c r="F1400" t="s">
        <v>3333</v>
      </c>
      <c r="G1400">
        <v>79256</v>
      </c>
      <c r="H1400">
        <v>8315</v>
      </c>
      <c r="I1400" s="25" t="s">
        <v>2018</v>
      </c>
      <c r="J1400" t="s">
        <v>2061</v>
      </c>
      <c r="M1400" s="49"/>
    </row>
    <row r="1401" spans="6:13" x14ac:dyDescent="0.25">
      <c r="F1401" t="s">
        <v>3334</v>
      </c>
      <c r="G1401">
        <v>91186</v>
      </c>
      <c r="H1401">
        <v>9576</v>
      </c>
      <c r="I1401" s="25" t="s">
        <v>2050</v>
      </c>
      <c r="J1401" t="s">
        <v>2051</v>
      </c>
      <c r="M1401" s="49"/>
    </row>
    <row r="1402" spans="6:13" x14ac:dyDescent="0.25">
      <c r="F1402" t="s">
        <v>3335</v>
      </c>
      <c r="G1402">
        <v>87474</v>
      </c>
      <c r="H1402">
        <v>9780</v>
      </c>
      <c r="I1402" s="25" t="s">
        <v>2050</v>
      </c>
      <c r="J1402" t="s">
        <v>2278</v>
      </c>
      <c r="M1402" s="49"/>
    </row>
    <row r="1403" spans="6:13" x14ac:dyDescent="0.25">
      <c r="F1403" t="s">
        <v>3336</v>
      </c>
      <c r="G1403">
        <v>55491</v>
      </c>
      <c r="H1403">
        <v>7140</v>
      </c>
      <c r="I1403" s="25" t="s">
        <v>2123</v>
      </c>
      <c r="J1403" t="s">
        <v>2329</v>
      </c>
      <c r="M1403" s="49"/>
    </row>
    <row r="1404" spans="6:13" x14ac:dyDescent="0.25">
      <c r="F1404" t="s">
        <v>3337</v>
      </c>
      <c r="G1404">
        <v>94533</v>
      </c>
      <c r="H1404">
        <v>9271</v>
      </c>
      <c r="I1404" s="25" t="s">
        <v>2050</v>
      </c>
      <c r="J1404" t="s">
        <v>2172</v>
      </c>
      <c r="M1404" s="49"/>
    </row>
    <row r="1405" spans="6:13" x14ac:dyDescent="0.25">
      <c r="F1405" t="s">
        <v>3338</v>
      </c>
      <c r="G1405">
        <v>31710</v>
      </c>
      <c r="H1405">
        <v>3257</v>
      </c>
      <c r="I1405" s="25" t="s">
        <v>2074</v>
      </c>
      <c r="J1405" t="s">
        <v>2167</v>
      </c>
      <c r="M1405" s="49"/>
    </row>
    <row r="1406" spans="6:13" x14ac:dyDescent="0.25">
      <c r="F1406" t="s">
        <v>3339</v>
      </c>
      <c r="G1406">
        <v>21244</v>
      </c>
      <c r="H1406">
        <v>3353</v>
      </c>
      <c r="I1406" s="25" t="s">
        <v>2074</v>
      </c>
      <c r="J1406" t="s">
        <v>2176</v>
      </c>
      <c r="M1406" s="49"/>
    </row>
    <row r="1407" spans="6:13" x14ac:dyDescent="0.25">
      <c r="F1407" t="s">
        <v>3339</v>
      </c>
      <c r="G1407">
        <v>21244</v>
      </c>
      <c r="H1407">
        <v>3353</v>
      </c>
      <c r="I1407" s="25" t="s">
        <v>2074</v>
      </c>
      <c r="J1407" t="s">
        <v>2176</v>
      </c>
      <c r="M1407" s="49"/>
    </row>
    <row r="1408" spans="6:13" x14ac:dyDescent="0.25">
      <c r="F1408" t="s">
        <v>3340</v>
      </c>
      <c r="G1408">
        <v>94124</v>
      </c>
      <c r="H1408">
        <v>9275</v>
      </c>
      <c r="I1408" s="25" t="s">
        <v>2050</v>
      </c>
      <c r="J1408" t="s">
        <v>2198</v>
      </c>
      <c r="M1408" s="49"/>
    </row>
    <row r="1409" spans="6:13" x14ac:dyDescent="0.25">
      <c r="F1409" t="s">
        <v>3341</v>
      </c>
      <c r="G1409">
        <v>86807</v>
      </c>
      <c r="H1409">
        <v>9777</v>
      </c>
      <c r="I1409" s="25" t="s">
        <v>2050</v>
      </c>
      <c r="J1409" t="s">
        <v>2237</v>
      </c>
      <c r="M1409" s="49"/>
    </row>
    <row r="1410" spans="6:13" x14ac:dyDescent="0.25">
      <c r="F1410" t="s">
        <v>3342</v>
      </c>
      <c r="G1410">
        <v>31675</v>
      </c>
      <c r="H1410">
        <v>3257</v>
      </c>
      <c r="I1410" s="25" t="s">
        <v>2074</v>
      </c>
      <c r="J1410" t="s">
        <v>2167</v>
      </c>
      <c r="M1410" s="49"/>
    </row>
    <row r="1411" spans="6:13" x14ac:dyDescent="0.25">
      <c r="F1411" t="s">
        <v>3343</v>
      </c>
      <c r="G1411">
        <v>38372</v>
      </c>
      <c r="H1411">
        <v>3154</v>
      </c>
      <c r="I1411" s="25" t="s">
        <v>2074</v>
      </c>
      <c r="J1411" t="s">
        <v>2186</v>
      </c>
      <c r="M1411" s="49"/>
    </row>
    <row r="1412" spans="6:13" x14ac:dyDescent="0.25">
      <c r="F1412" t="s">
        <v>3344</v>
      </c>
      <c r="G1412">
        <v>24782</v>
      </c>
      <c r="H1412">
        <v>1058</v>
      </c>
      <c r="I1412" s="25" t="s">
        <v>2085</v>
      </c>
      <c r="J1412" t="s">
        <v>2086</v>
      </c>
      <c r="M1412" s="49"/>
    </row>
    <row r="1413" spans="6:13" x14ac:dyDescent="0.25">
      <c r="F1413" t="s">
        <v>3345</v>
      </c>
      <c r="G1413">
        <v>55257</v>
      </c>
      <c r="H1413">
        <v>7339</v>
      </c>
      <c r="I1413" s="25" t="s">
        <v>2123</v>
      </c>
      <c r="J1413" t="s">
        <v>2238</v>
      </c>
      <c r="M1413" s="49"/>
    </row>
    <row r="1414" spans="6:13" x14ac:dyDescent="0.25">
      <c r="F1414" t="s">
        <v>3346</v>
      </c>
      <c r="G1414">
        <v>54610</v>
      </c>
      <c r="H1414">
        <v>7232</v>
      </c>
      <c r="I1414" s="25" t="s">
        <v>2123</v>
      </c>
      <c r="J1414" t="s">
        <v>2112</v>
      </c>
      <c r="M1414" s="49"/>
    </row>
    <row r="1415" spans="6:13" x14ac:dyDescent="0.25">
      <c r="F1415" t="s">
        <v>3347</v>
      </c>
      <c r="G1415">
        <v>63654</v>
      </c>
      <c r="H1415">
        <v>6440</v>
      </c>
      <c r="I1415" s="25" t="s">
        <v>2046</v>
      </c>
      <c r="J1415" t="s">
        <v>2415</v>
      </c>
      <c r="M1415" s="49"/>
    </row>
    <row r="1416" spans="6:13" x14ac:dyDescent="0.25">
      <c r="F1416" t="s">
        <v>3348</v>
      </c>
      <c r="G1416">
        <v>79426</v>
      </c>
      <c r="H1416">
        <v>8315</v>
      </c>
      <c r="I1416" s="25" t="s">
        <v>2018</v>
      </c>
      <c r="J1416" t="s">
        <v>2061</v>
      </c>
      <c r="M1416" s="49"/>
    </row>
    <row r="1417" spans="6:13" x14ac:dyDescent="0.25">
      <c r="F1417" t="s">
        <v>3349</v>
      </c>
      <c r="G1417">
        <v>77815</v>
      </c>
      <c r="H1417">
        <v>8216</v>
      </c>
      <c r="I1417" s="25" t="s">
        <v>2018</v>
      </c>
      <c r="J1417" t="s">
        <v>2564</v>
      </c>
      <c r="M1417" s="49"/>
    </row>
    <row r="1418" spans="6:13" x14ac:dyDescent="0.25">
      <c r="F1418" t="s">
        <v>3350</v>
      </c>
      <c r="G1418">
        <v>77830</v>
      </c>
      <c r="H1418">
        <v>8216</v>
      </c>
      <c r="I1418" s="25" t="s">
        <v>2018</v>
      </c>
      <c r="J1418" t="s">
        <v>2564</v>
      </c>
      <c r="M1418" s="49"/>
    </row>
    <row r="1419" spans="6:13" x14ac:dyDescent="0.25">
      <c r="F1419" t="s">
        <v>3351</v>
      </c>
      <c r="G1419">
        <v>74424</v>
      </c>
      <c r="H1419">
        <v>8127</v>
      </c>
      <c r="I1419" s="25" t="s">
        <v>2018</v>
      </c>
      <c r="J1419" t="s">
        <v>3126</v>
      </c>
      <c r="M1419" s="49"/>
    </row>
    <row r="1420" spans="6:13" x14ac:dyDescent="0.25">
      <c r="F1420" t="s">
        <v>3352</v>
      </c>
      <c r="G1420">
        <v>74426</v>
      </c>
      <c r="H1420">
        <v>8127</v>
      </c>
      <c r="I1420" s="25" t="s">
        <v>2018</v>
      </c>
      <c r="J1420" t="s">
        <v>3126</v>
      </c>
      <c r="M1420" s="49"/>
    </row>
    <row r="1421" spans="6:13" x14ac:dyDescent="0.25">
      <c r="F1421" t="s">
        <v>3352</v>
      </c>
      <c r="G1421">
        <v>74426</v>
      </c>
      <c r="H1421">
        <v>8127</v>
      </c>
      <c r="I1421" s="25" t="s">
        <v>2018</v>
      </c>
      <c r="J1421" t="s">
        <v>3126</v>
      </c>
      <c r="M1421" s="49"/>
    </row>
    <row r="1422" spans="6:13" x14ac:dyDescent="0.25">
      <c r="F1422" t="s">
        <v>3353</v>
      </c>
      <c r="G1422">
        <v>21782</v>
      </c>
      <c r="H1422">
        <v>3352</v>
      </c>
      <c r="I1422" s="25" t="s">
        <v>2074</v>
      </c>
      <c r="J1422" t="s">
        <v>2079</v>
      </c>
      <c r="M1422" s="49"/>
    </row>
    <row r="1423" spans="6:13" x14ac:dyDescent="0.25">
      <c r="F1423" t="s">
        <v>3354</v>
      </c>
      <c r="G1423">
        <v>56859</v>
      </c>
      <c r="H1423">
        <v>7135</v>
      </c>
      <c r="I1423" s="25" t="s">
        <v>2123</v>
      </c>
      <c r="J1423" t="s">
        <v>2072</v>
      </c>
      <c r="M1423" s="49"/>
    </row>
    <row r="1424" spans="6:13" x14ac:dyDescent="0.25">
      <c r="F1424" t="s">
        <v>3354</v>
      </c>
      <c r="G1424">
        <v>56859</v>
      </c>
      <c r="H1424">
        <v>7135</v>
      </c>
      <c r="I1424" s="25" t="s">
        <v>2123</v>
      </c>
      <c r="J1424" t="s">
        <v>2072</v>
      </c>
      <c r="M1424" s="49"/>
    </row>
    <row r="1425" spans="6:13" x14ac:dyDescent="0.25">
      <c r="F1425" t="s">
        <v>3355</v>
      </c>
      <c r="G1425">
        <v>26831</v>
      </c>
      <c r="H1425">
        <v>3457</v>
      </c>
      <c r="I1425" s="25" t="s">
        <v>2074</v>
      </c>
      <c r="J1425" t="s">
        <v>2220</v>
      </c>
      <c r="M1425" s="49"/>
    </row>
    <row r="1426" spans="6:13" x14ac:dyDescent="0.25">
      <c r="F1426" t="s">
        <v>3356</v>
      </c>
      <c r="G1426">
        <v>32257</v>
      </c>
      <c r="H1426">
        <v>5758</v>
      </c>
      <c r="I1426" s="25" t="s">
        <v>2023</v>
      </c>
      <c r="J1426" t="s">
        <v>2189</v>
      </c>
      <c r="M1426" s="49"/>
    </row>
    <row r="1427" spans="6:13" x14ac:dyDescent="0.25">
      <c r="F1427" t="s">
        <v>3357</v>
      </c>
      <c r="G1427">
        <v>55626</v>
      </c>
      <c r="H1427">
        <v>7134</v>
      </c>
      <c r="I1427" s="25" t="s">
        <v>2123</v>
      </c>
      <c r="J1427" t="s">
        <v>2048</v>
      </c>
      <c r="M1427" s="49"/>
    </row>
    <row r="1428" spans="6:13" x14ac:dyDescent="0.25">
      <c r="F1428" t="s">
        <v>3358</v>
      </c>
      <c r="G1428">
        <v>97494</v>
      </c>
      <c r="H1428">
        <v>9674</v>
      </c>
      <c r="I1428" s="25" t="s">
        <v>2050</v>
      </c>
      <c r="J1428" t="s">
        <v>2218</v>
      </c>
      <c r="M1428" s="49"/>
    </row>
    <row r="1429" spans="6:13" x14ac:dyDescent="0.25">
      <c r="F1429" t="s">
        <v>3359</v>
      </c>
      <c r="G1429">
        <v>57299</v>
      </c>
      <c r="H1429">
        <v>5970</v>
      </c>
      <c r="I1429" s="25" t="s">
        <v>2023</v>
      </c>
      <c r="J1429" t="s">
        <v>2366</v>
      </c>
      <c r="M1429" s="49"/>
    </row>
    <row r="1430" spans="6:13" x14ac:dyDescent="0.25">
      <c r="F1430" t="s">
        <v>3360</v>
      </c>
      <c r="G1430">
        <v>33142</v>
      </c>
      <c r="H1430">
        <v>5774</v>
      </c>
      <c r="I1430" s="25" t="s">
        <v>2023</v>
      </c>
      <c r="J1430" t="s">
        <v>2304</v>
      </c>
      <c r="M1430" s="49"/>
    </row>
    <row r="1431" spans="6:13" x14ac:dyDescent="0.25">
      <c r="F1431" t="s">
        <v>3361</v>
      </c>
      <c r="G1431">
        <v>39288</v>
      </c>
      <c r="H1431">
        <v>15086</v>
      </c>
      <c r="I1431" s="25" t="s">
        <v>2241</v>
      </c>
      <c r="J1431" t="s">
        <v>3064</v>
      </c>
      <c r="M1431" s="49"/>
    </row>
    <row r="1432" spans="6:13" x14ac:dyDescent="0.25">
      <c r="F1432" t="s">
        <v>3362</v>
      </c>
      <c r="G1432">
        <v>25712</v>
      </c>
      <c r="H1432">
        <v>1051</v>
      </c>
      <c r="I1432" s="25" t="s">
        <v>2085</v>
      </c>
      <c r="J1432" t="s">
        <v>2097</v>
      </c>
      <c r="M1432" s="49"/>
    </row>
    <row r="1433" spans="6:13" x14ac:dyDescent="0.25">
      <c r="F1433" t="s">
        <v>3363</v>
      </c>
      <c r="G1433">
        <v>3096</v>
      </c>
      <c r="H1433">
        <v>12071</v>
      </c>
      <c r="I1433" s="25" t="s">
        <v>2356</v>
      </c>
      <c r="J1433" t="s">
        <v>3364</v>
      </c>
      <c r="M1433" s="49"/>
    </row>
    <row r="1434" spans="6:13" x14ac:dyDescent="0.25">
      <c r="F1434" t="s">
        <v>3365</v>
      </c>
      <c r="G1434">
        <v>89331</v>
      </c>
      <c r="H1434">
        <v>9774</v>
      </c>
      <c r="I1434" s="25" t="s">
        <v>2050</v>
      </c>
      <c r="J1434" t="s">
        <v>2205</v>
      </c>
      <c r="M1434" s="49"/>
    </row>
    <row r="1435" spans="6:13" x14ac:dyDescent="0.25">
      <c r="F1435" t="s">
        <v>3366</v>
      </c>
      <c r="G1435">
        <v>87545</v>
      </c>
      <c r="H1435">
        <v>9780</v>
      </c>
      <c r="I1435" s="25" t="s">
        <v>2050</v>
      </c>
      <c r="J1435" t="s">
        <v>2278</v>
      </c>
      <c r="M1435" s="49"/>
    </row>
    <row r="1436" spans="6:13" x14ac:dyDescent="0.25">
      <c r="F1436" t="s">
        <v>3367</v>
      </c>
      <c r="G1436">
        <v>91593</v>
      </c>
      <c r="H1436">
        <v>9575</v>
      </c>
      <c r="I1436" s="25" t="s">
        <v>2050</v>
      </c>
      <c r="J1436" t="s">
        <v>2749</v>
      </c>
      <c r="M1436" s="49"/>
    </row>
    <row r="1437" spans="6:13" x14ac:dyDescent="0.25">
      <c r="F1437" t="s">
        <v>3368</v>
      </c>
      <c r="G1437">
        <v>56659</v>
      </c>
      <c r="H1437">
        <v>7131</v>
      </c>
      <c r="I1437" s="25" t="s">
        <v>2123</v>
      </c>
      <c r="J1437" t="s">
        <v>2022</v>
      </c>
      <c r="M1437" s="49"/>
    </row>
    <row r="1438" spans="6:13" x14ac:dyDescent="0.25">
      <c r="F1438" t="s">
        <v>3369</v>
      </c>
      <c r="G1438">
        <v>38272</v>
      </c>
      <c r="H1438">
        <v>3158</v>
      </c>
      <c r="I1438" s="25" t="s">
        <v>2074</v>
      </c>
      <c r="J1438" t="s">
        <v>2434</v>
      </c>
      <c r="M1438" s="49"/>
    </row>
    <row r="1439" spans="6:13" x14ac:dyDescent="0.25">
      <c r="F1439" t="s">
        <v>3369</v>
      </c>
      <c r="G1439">
        <v>31303</v>
      </c>
      <c r="H1439">
        <v>3241</v>
      </c>
      <c r="I1439" s="25" t="s">
        <v>2074</v>
      </c>
      <c r="J1439" t="s">
        <v>2321</v>
      </c>
      <c r="M1439" s="49"/>
    </row>
    <row r="1440" spans="6:13" x14ac:dyDescent="0.25">
      <c r="F1440" t="s">
        <v>3370</v>
      </c>
      <c r="G1440">
        <v>96138</v>
      </c>
      <c r="H1440">
        <v>9471</v>
      </c>
      <c r="I1440" s="25" t="s">
        <v>2050</v>
      </c>
      <c r="J1440" t="s">
        <v>2392</v>
      </c>
      <c r="M1440" s="49"/>
    </row>
    <row r="1441" spans="6:13" x14ac:dyDescent="0.25">
      <c r="F1441" t="s">
        <v>3371</v>
      </c>
      <c r="G1441">
        <v>7616</v>
      </c>
      <c r="H1441">
        <v>16074</v>
      </c>
      <c r="I1441" s="25" t="s">
        <v>2384</v>
      </c>
      <c r="J1441" t="s">
        <v>2671</v>
      </c>
      <c r="M1441" s="49"/>
    </row>
    <row r="1442" spans="6:13" x14ac:dyDescent="0.25">
      <c r="F1442" t="s">
        <v>3372</v>
      </c>
      <c r="G1442">
        <v>86977</v>
      </c>
      <c r="H1442">
        <v>9190</v>
      </c>
      <c r="I1442" s="25" t="s">
        <v>2050</v>
      </c>
      <c r="J1442" t="s">
        <v>2417</v>
      </c>
      <c r="M1442" s="49"/>
    </row>
    <row r="1443" spans="6:13" x14ac:dyDescent="0.25">
      <c r="F1443" t="s">
        <v>3373</v>
      </c>
      <c r="G1443">
        <v>96152</v>
      </c>
      <c r="H1443">
        <v>9575</v>
      </c>
      <c r="I1443" s="25" t="s">
        <v>2050</v>
      </c>
      <c r="J1443" t="s">
        <v>2749</v>
      </c>
      <c r="M1443" s="49"/>
    </row>
    <row r="1444" spans="6:13" x14ac:dyDescent="0.25">
      <c r="F1444" t="s">
        <v>3374</v>
      </c>
      <c r="G1444">
        <v>36151</v>
      </c>
      <c r="H1444">
        <v>6631</v>
      </c>
      <c r="I1444" s="25" t="s">
        <v>2046</v>
      </c>
      <c r="J1444" t="s">
        <v>2145</v>
      </c>
      <c r="M1444" s="49"/>
    </row>
    <row r="1445" spans="6:13" x14ac:dyDescent="0.25">
      <c r="F1445" t="s">
        <v>3375</v>
      </c>
      <c r="G1445">
        <v>84489</v>
      </c>
      <c r="H1445">
        <v>9171</v>
      </c>
      <c r="I1445" s="25" t="s">
        <v>2050</v>
      </c>
      <c r="J1445" t="s">
        <v>2446</v>
      </c>
      <c r="M1445" s="49"/>
    </row>
    <row r="1446" spans="6:13" x14ac:dyDescent="0.25">
      <c r="F1446" t="s">
        <v>3376</v>
      </c>
      <c r="G1446">
        <v>86666</v>
      </c>
      <c r="H1446">
        <v>9185</v>
      </c>
      <c r="I1446" s="25" t="s">
        <v>2050</v>
      </c>
      <c r="J1446" t="s">
        <v>2515</v>
      </c>
      <c r="M1446" s="49"/>
    </row>
    <row r="1447" spans="6:13" x14ac:dyDescent="0.25">
      <c r="F1447" t="s">
        <v>3377</v>
      </c>
      <c r="G1447">
        <v>84508</v>
      </c>
      <c r="H1447">
        <v>9171</v>
      </c>
      <c r="I1447" s="25" t="s">
        <v>2050</v>
      </c>
      <c r="J1447" t="s">
        <v>2446</v>
      </c>
      <c r="M1447" s="49"/>
    </row>
    <row r="1448" spans="6:13" x14ac:dyDescent="0.25">
      <c r="F1448" t="s">
        <v>3378</v>
      </c>
      <c r="G1448">
        <v>96224</v>
      </c>
      <c r="H1448">
        <v>9478</v>
      </c>
      <c r="I1448" s="25" t="s">
        <v>2050</v>
      </c>
      <c r="J1448" t="s">
        <v>2404</v>
      </c>
      <c r="M1448" s="49"/>
    </row>
    <row r="1449" spans="6:13" x14ac:dyDescent="0.25">
      <c r="F1449" t="s">
        <v>3379</v>
      </c>
      <c r="G1449">
        <v>97724</v>
      </c>
      <c r="H1449">
        <v>9673</v>
      </c>
      <c r="I1449" s="25" t="s">
        <v>2050</v>
      </c>
      <c r="J1449" t="s">
        <v>2676</v>
      </c>
      <c r="M1449" s="49"/>
    </row>
    <row r="1450" spans="6:13" x14ac:dyDescent="0.25">
      <c r="F1450" t="s">
        <v>3380</v>
      </c>
      <c r="G1450">
        <v>93133</v>
      </c>
      <c r="H1450">
        <v>9376</v>
      </c>
      <c r="I1450" s="25" t="s">
        <v>2050</v>
      </c>
      <c r="J1450" t="s">
        <v>2390</v>
      </c>
      <c r="M1450" s="49"/>
    </row>
    <row r="1451" spans="6:13" x14ac:dyDescent="0.25">
      <c r="F1451" t="s">
        <v>3381</v>
      </c>
      <c r="G1451">
        <v>91595</v>
      </c>
      <c r="H1451">
        <v>9571</v>
      </c>
      <c r="I1451" s="25" t="s">
        <v>2050</v>
      </c>
      <c r="J1451" t="s">
        <v>2113</v>
      </c>
      <c r="M1451" s="49"/>
    </row>
    <row r="1452" spans="6:13" x14ac:dyDescent="0.25">
      <c r="F1452" t="s">
        <v>3382</v>
      </c>
      <c r="G1452">
        <v>97496</v>
      </c>
      <c r="H1452">
        <v>9674</v>
      </c>
      <c r="I1452" s="25" t="s">
        <v>2050</v>
      </c>
      <c r="J1452" t="s">
        <v>2218</v>
      </c>
      <c r="M1452" s="49"/>
    </row>
    <row r="1453" spans="6:13" x14ac:dyDescent="0.25">
      <c r="F1453" t="s">
        <v>3383</v>
      </c>
      <c r="G1453">
        <v>88483</v>
      </c>
      <c r="H1453">
        <v>8426</v>
      </c>
      <c r="I1453" s="25" t="s">
        <v>2018</v>
      </c>
      <c r="J1453" t="s">
        <v>2081</v>
      </c>
      <c r="M1453" s="49"/>
    </row>
    <row r="1454" spans="6:13" x14ac:dyDescent="0.25">
      <c r="F1454" t="s">
        <v>3384</v>
      </c>
      <c r="G1454">
        <v>65558</v>
      </c>
      <c r="H1454">
        <v>7141</v>
      </c>
      <c r="I1454" s="25" t="s">
        <v>2123</v>
      </c>
      <c r="J1454" t="s">
        <v>2388</v>
      </c>
      <c r="M1454" s="49"/>
    </row>
    <row r="1455" spans="6:13" x14ac:dyDescent="0.25">
      <c r="F1455" t="s">
        <v>3384</v>
      </c>
      <c r="G1455">
        <v>65558</v>
      </c>
      <c r="H1455">
        <v>7141</v>
      </c>
      <c r="I1455" s="25" t="s">
        <v>2123</v>
      </c>
      <c r="J1455" t="s">
        <v>2388</v>
      </c>
      <c r="M1455" s="49"/>
    </row>
    <row r="1456" spans="6:13" x14ac:dyDescent="0.25">
      <c r="F1456" t="s">
        <v>3384</v>
      </c>
      <c r="G1456">
        <v>65558</v>
      </c>
      <c r="H1456">
        <v>7141</v>
      </c>
      <c r="I1456" s="25" t="s">
        <v>2123</v>
      </c>
      <c r="J1456" t="s">
        <v>2388</v>
      </c>
      <c r="M1456" s="49"/>
    </row>
    <row r="1457" spans="6:13" x14ac:dyDescent="0.25">
      <c r="F1457" t="s">
        <v>3384</v>
      </c>
      <c r="G1457">
        <v>65558</v>
      </c>
      <c r="H1457">
        <v>7141</v>
      </c>
      <c r="I1457" s="25" t="s">
        <v>2123</v>
      </c>
      <c r="J1457" t="s">
        <v>2388</v>
      </c>
      <c r="M1457" s="49"/>
    </row>
    <row r="1458" spans="6:13" x14ac:dyDescent="0.25">
      <c r="F1458" t="s">
        <v>3384</v>
      </c>
      <c r="G1458">
        <v>65558</v>
      </c>
      <c r="H1458">
        <v>7141</v>
      </c>
      <c r="I1458" s="25" t="s">
        <v>2123</v>
      </c>
      <c r="J1458" t="s">
        <v>2388</v>
      </c>
      <c r="M1458" s="49"/>
    </row>
    <row r="1459" spans="6:13" x14ac:dyDescent="0.25">
      <c r="F1459" t="s">
        <v>3385</v>
      </c>
      <c r="G1459">
        <v>97775</v>
      </c>
      <c r="H1459">
        <v>9677</v>
      </c>
      <c r="I1459" s="25" t="s">
        <v>2050</v>
      </c>
      <c r="J1459" t="s">
        <v>2527</v>
      </c>
      <c r="M1459" s="49"/>
    </row>
    <row r="1460" spans="6:13" x14ac:dyDescent="0.25">
      <c r="F1460" t="s">
        <v>3386</v>
      </c>
      <c r="G1460">
        <v>9217</v>
      </c>
      <c r="H1460">
        <v>14522</v>
      </c>
      <c r="I1460" s="25" t="s">
        <v>2135</v>
      </c>
      <c r="J1460" t="s">
        <v>2100</v>
      </c>
      <c r="M1460" s="49"/>
    </row>
    <row r="1461" spans="6:13" x14ac:dyDescent="0.25">
      <c r="F1461" t="s">
        <v>3387</v>
      </c>
      <c r="G1461">
        <v>63927</v>
      </c>
      <c r="H1461">
        <v>9676</v>
      </c>
      <c r="I1461" s="25" t="s">
        <v>2050</v>
      </c>
      <c r="J1461" t="s">
        <v>2381</v>
      </c>
      <c r="M1461" s="49"/>
    </row>
    <row r="1462" spans="6:13" x14ac:dyDescent="0.25">
      <c r="F1462" t="s">
        <v>3388</v>
      </c>
      <c r="G1462">
        <v>71576</v>
      </c>
      <c r="H1462">
        <v>8119</v>
      </c>
      <c r="I1462" s="25" t="s">
        <v>2018</v>
      </c>
      <c r="J1462" t="s">
        <v>2287</v>
      </c>
      <c r="M1462" s="49"/>
    </row>
    <row r="1463" spans="6:13" x14ac:dyDescent="0.25">
      <c r="F1463" t="s">
        <v>3389</v>
      </c>
      <c r="G1463">
        <v>90559</v>
      </c>
      <c r="H1463">
        <v>9574</v>
      </c>
      <c r="I1463" s="25" t="s">
        <v>2050</v>
      </c>
      <c r="J1463" t="s">
        <v>2291</v>
      </c>
      <c r="M1463" s="49"/>
    </row>
    <row r="1464" spans="6:13" x14ac:dyDescent="0.25">
      <c r="F1464" t="s">
        <v>3390</v>
      </c>
      <c r="G1464">
        <v>35099</v>
      </c>
      <c r="H1464">
        <v>6635</v>
      </c>
      <c r="I1464" s="25" t="s">
        <v>2046</v>
      </c>
      <c r="J1464" t="s">
        <v>2308</v>
      </c>
      <c r="M1464" s="49"/>
    </row>
    <row r="1465" spans="6:13" x14ac:dyDescent="0.25">
      <c r="F1465" t="s">
        <v>3391</v>
      </c>
      <c r="G1465">
        <v>30938</v>
      </c>
      <c r="H1465">
        <v>3241</v>
      </c>
      <c r="I1465" s="25" t="s">
        <v>2074</v>
      </c>
      <c r="J1465" t="s">
        <v>2321</v>
      </c>
      <c r="M1465" s="49"/>
    </row>
    <row r="1466" spans="6:13" x14ac:dyDescent="0.25">
      <c r="F1466" t="s">
        <v>3392</v>
      </c>
      <c r="G1466">
        <v>96154</v>
      </c>
      <c r="H1466">
        <v>9471</v>
      </c>
      <c r="I1466" s="25" t="s">
        <v>2050</v>
      </c>
      <c r="J1466" t="s">
        <v>2392</v>
      </c>
      <c r="M1466" s="49"/>
    </row>
    <row r="1467" spans="6:13" x14ac:dyDescent="0.25">
      <c r="F1467" t="s">
        <v>3393</v>
      </c>
      <c r="G1467">
        <v>91596</v>
      </c>
      <c r="H1467">
        <v>9571</v>
      </c>
      <c r="I1467" s="25" t="s">
        <v>2050</v>
      </c>
      <c r="J1467" t="s">
        <v>2113</v>
      </c>
      <c r="M1467" s="49"/>
    </row>
    <row r="1468" spans="6:13" x14ac:dyDescent="0.25">
      <c r="F1468" t="s">
        <v>3394</v>
      </c>
      <c r="G1468">
        <v>97705</v>
      </c>
      <c r="H1468">
        <v>9672</v>
      </c>
      <c r="I1468" s="25" t="s">
        <v>2050</v>
      </c>
      <c r="J1468" t="s">
        <v>2620</v>
      </c>
      <c r="M1468" s="49"/>
    </row>
    <row r="1469" spans="6:13" x14ac:dyDescent="0.25">
      <c r="F1469" t="s">
        <v>3395</v>
      </c>
      <c r="G1469">
        <v>1906</v>
      </c>
      <c r="H1469">
        <v>14625</v>
      </c>
      <c r="I1469" s="25" t="s">
        <v>2135</v>
      </c>
      <c r="J1469" t="s">
        <v>2041</v>
      </c>
      <c r="M1469" s="49"/>
    </row>
    <row r="1470" spans="6:13" x14ac:dyDescent="0.25">
      <c r="F1470" t="s">
        <v>3396</v>
      </c>
      <c r="G1470">
        <v>9235</v>
      </c>
      <c r="H1470">
        <v>14521</v>
      </c>
      <c r="I1470" s="25" t="s">
        <v>2135</v>
      </c>
      <c r="J1470" t="s">
        <v>2032</v>
      </c>
      <c r="M1470" s="49"/>
    </row>
    <row r="1471" spans="6:13" x14ac:dyDescent="0.25">
      <c r="F1471" t="s">
        <v>3397</v>
      </c>
      <c r="G1471">
        <v>72393</v>
      </c>
      <c r="H1471">
        <v>8417</v>
      </c>
      <c r="I1471" s="25" t="s">
        <v>2018</v>
      </c>
      <c r="J1471" t="s">
        <v>2269</v>
      </c>
      <c r="M1471" s="49"/>
    </row>
    <row r="1472" spans="6:13" x14ac:dyDescent="0.25">
      <c r="F1472" t="s">
        <v>3398</v>
      </c>
      <c r="G1472">
        <v>17089</v>
      </c>
      <c r="H1472">
        <v>13071</v>
      </c>
      <c r="I1472" s="25" t="s">
        <v>2191</v>
      </c>
      <c r="J1472" t="s">
        <v>2091</v>
      </c>
      <c r="M1472" s="49"/>
    </row>
    <row r="1473" spans="6:13" x14ac:dyDescent="0.25">
      <c r="F1473" t="s">
        <v>3399</v>
      </c>
      <c r="G1473">
        <v>51399</v>
      </c>
      <c r="H1473">
        <v>5378</v>
      </c>
      <c r="I1473" s="25" t="s">
        <v>2023</v>
      </c>
      <c r="J1473" t="s">
        <v>2909</v>
      </c>
      <c r="M1473" s="49"/>
    </row>
    <row r="1474" spans="6:13" x14ac:dyDescent="0.25">
      <c r="F1474" t="s">
        <v>3400</v>
      </c>
      <c r="G1474">
        <v>68642</v>
      </c>
      <c r="H1474">
        <v>6431</v>
      </c>
      <c r="I1474" s="25" t="s">
        <v>2046</v>
      </c>
      <c r="J1474" t="s">
        <v>2065</v>
      </c>
      <c r="M1474" s="49"/>
    </row>
    <row r="1475" spans="6:13" x14ac:dyDescent="0.25">
      <c r="F1475" t="s">
        <v>3401</v>
      </c>
      <c r="G1475">
        <v>89349</v>
      </c>
      <c r="H1475">
        <v>9774</v>
      </c>
      <c r="I1475" s="25" t="s">
        <v>2050</v>
      </c>
      <c r="J1475" t="s">
        <v>2205</v>
      </c>
      <c r="M1475" s="49"/>
    </row>
    <row r="1476" spans="6:13" x14ac:dyDescent="0.25">
      <c r="F1476" t="s">
        <v>3402</v>
      </c>
      <c r="G1476">
        <v>24866</v>
      </c>
      <c r="H1476">
        <v>1059</v>
      </c>
      <c r="I1476" s="25" t="s">
        <v>2085</v>
      </c>
      <c r="J1476" t="s">
        <v>2354</v>
      </c>
      <c r="M1476" s="49"/>
    </row>
    <row r="1477" spans="6:13" x14ac:dyDescent="0.25">
      <c r="F1477" t="s">
        <v>3403</v>
      </c>
      <c r="G1477">
        <v>35418</v>
      </c>
      <c r="H1477">
        <v>6531</v>
      </c>
      <c r="I1477" s="25" t="s">
        <v>2046</v>
      </c>
      <c r="J1477" t="s">
        <v>2306</v>
      </c>
      <c r="M1477" s="49"/>
    </row>
    <row r="1478" spans="6:13" x14ac:dyDescent="0.25">
      <c r="F1478" t="s">
        <v>3404</v>
      </c>
      <c r="G1478">
        <v>78266</v>
      </c>
      <c r="H1478">
        <v>8335</v>
      </c>
      <c r="I1478" s="25" t="s">
        <v>2018</v>
      </c>
      <c r="J1478" t="s">
        <v>2019</v>
      </c>
      <c r="M1478" s="49"/>
    </row>
    <row r="1479" spans="6:13" x14ac:dyDescent="0.25">
      <c r="F1479" t="s">
        <v>3405</v>
      </c>
      <c r="G1479">
        <v>25761</v>
      </c>
      <c r="H1479">
        <v>1051</v>
      </c>
      <c r="I1479" s="25" t="s">
        <v>2085</v>
      </c>
      <c r="J1479" t="s">
        <v>2097</v>
      </c>
      <c r="M1479" s="49"/>
    </row>
    <row r="1480" spans="6:13" x14ac:dyDescent="0.25">
      <c r="F1480" t="s">
        <v>3406</v>
      </c>
      <c r="G1480">
        <v>26969</v>
      </c>
      <c r="H1480">
        <v>3461</v>
      </c>
      <c r="I1480" s="25" t="s">
        <v>2074</v>
      </c>
      <c r="J1480" t="s">
        <v>2426</v>
      </c>
      <c r="M1480" s="49"/>
    </row>
    <row r="1481" spans="6:13" x14ac:dyDescent="0.25">
      <c r="F1481" t="s">
        <v>3407</v>
      </c>
      <c r="G1481">
        <v>64572</v>
      </c>
      <c r="H1481">
        <v>6433</v>
      </c>
      <c r="I1481" s="25" t="s">
        <v>2046</v>
      </c>
      <c r="J1481" t="s">
        <v>3061</v>
      </c>
      <c r="M1481" s="49"/>
    </row>
    <row r="1482" spans="6:13" x14ac:dyDescent="0.25">
      <c r="F1482" t="s">
        <v>3408</v>
      </c>
      <c r="G1482">
        <v>96155</v>
      </c>
      <c r="H1482">
        <v>9471</v>
      </c>
      <c r="I1482" s="25" t="s">
        <v>2050</v>
      </c>
      <c r="J1482" t="s">
        <v>2392</v>
      </c>
      <c r="M1482" s="49"/>
    </row>
    <row r="1483" spans="6:13" x14ac:dyDescent="0.25">
      <c r="F1483" t="s">
        <v>3409</v>
      </c>
      <c r="G1483">
        <v>86647</v>
      </c>
      <c r="H1483">
        <v>9773</v>
      </c>
      <c r="I1483" s="25" t="s">
        <v>2050</v>
      </c>
      <c r="J1483" t="s">
        <v>2231</v>
      </c>
      <c r="M1483" s="49"/>
    </row>
    <row r="1484" spans="6:13" x14ac:dyDescent="0.25">
      <c r="F1484" t="s">
        <v>3410</v>
      </c>
      <c r="G1484">
        <v>97244</v>
      </c>
      <c r="H1484">
        <v>9679</v>
      </c>
      <c r="I1484" s="25" t="s">
        <v>2050</v>
      </c>
      <c r="J1484" t="s">
        <v>2428</v>
      </c>
      <c r="M1484" s="49"/>
    </row>
    <row r="1485" spans="6:13" x14ac:dyDescent="0.25">
      <c r="F1485" t="s">
        <v>3411</v>
      </c>
      <c r="G1485">
        <v>99628</v>
      </c>
      <c r="H1485">
        <v>16068</v>
      </c>
      <c r="I1485" s="25" t="s">
        <v>2384</v>
      </c>
      <c r="J1485" t="s">
        <v>3075</v>
      </c>
      <c r="M1485" s="49"/>
    </row>
    <row r="1486" spans="6:13" x14ac:dyDescent="0.25">
      <c r="F1486" t="s">
        <v>3412</v>
      </c>
      <c r="G1486">
        <v>35510</v>
      </c>
      <c r="H1486">
        <v>6440</v>
      </c>
      <c r="I1486" s="25" t="s">
        <v>2046</v>
      </c>
      <c r="J1486" t="s">
        <v>2415</v>
      </c>
      <c r="M1486" s="49"/>
    </row>
    <row r="1487" spans="6:13" x14ac:dyDescent="0.25">
      <c r="F1487" t="s">
        <v>3413</v>
      </c>
      <c r="G1487">
        <v>18246</v>
      </c>
      <c r="H1487">
        <v>13072</v>
      </c>
      <c r="I1487" s="25" t="s">
        <v>2191</v>
      </c>
      <c r="J1487" t="s">
        <v>2036</v>
      </c>
      <c r="M1487" s="49"/>
    </row>
    <row r="1488" spans="6:13" x14ac:dyDescent="0.25">
      <c r="F1488" t="s">
        <v>3414</v>
      </c>
      <c r="G1488">
        <v>85114</v>
      </c>
      <c r="H1488">
        <v>9176</v>
      </c>
      <c r="I1488" s="25" t="s">
        <v>2050</v>
      </c>
      <c r="J1488" t="s">
        <v>2102</v>
      </c>
      <c r="M1488" s="49"/>
    </row>
    <row r="1489" spans="6:13" x14ac:dyDescent="0.25">
      <c r="F1489" t="s">
        <v>3414</v>
      </c>
      <c r="G1489">
        <v>87740</v>
      </c>
      <c r="H1489">
        <v>9778</v>
      </c>
      <c r="I1489" s="25" t="s">
        <v>2050</v>
      </c>
      <c r="J1489" t="s">
        <v>2460</v>
      </c>
      <c r="M1489" s="49"/>
    </row>
    <row r="1490" spans="6:13" x14ac:dyDescent="0.25">
      <c r="F1490" t="s">
        <v>3415</v>
      </c>
      <c r="G1490">
        <v>21614</v>
      </c>
      <c r="H1490">
        <v>3359</v>
      </c>
      <c r="I1490" s="25" t="s">
        <v>2074</v>
      </c>
      <c r="J1490" t="s">
        <v>2158</v>
      </c>
      <c r="M1490" s="49"/>
    </row>
    <row r="1491" spans="6:13" x14ac:dyDescent="0.25">
      <c r="F1491" t="s">
        <v>3416</v>
      </c>
      <c r="G1491">
        <v>21781</v>
      </c>
      <c r="H1491">
        <v>3352</v>
      </c>
      <c r="I1491" s="25" t="s">
        <v>2074</v>
      </c>
      <c r="J1491" t="s">
        <v>2079</v>
      </c>
      <c r="M1491" s="49"/>
    </row>
    <row r="1492" spans="6:13" x14ac:dyDescent="0.25">
      <c r="F1492" t="s">
        <v>3417</v>
      </c>
      <c r="G1492">
        <v>90556</v>
      </c>
      <c r="H1492">
        <v>9573</v>
      </c>
      <c r="I1492" s="25" t="s">
        <v>2050</v>
      </c>
      <c r="J1492" t="s">
        <v>2466</v>
      </c>
      <c r="M1492" s="49"/>
    </row>
    <row r="1493" spans="6:13" x14ac:dyDescent="0.25">
      <c r="F1493" t="s">
        <v>3418</v>
      </c>
      <c r="G1493">
        <v>3205</v>
      </c>
      <c r="H1493">
        <v>12066</v>
      </c>
      <c r="I1493" s="25" t="s">
        <v>2356</v>
      </c>
      <c r="J1493" t="s">
        <v>2357</v>
      </c>
      <c r="M1493" s="49"/>
    </row>
    <row r="1494" spans="6:13" x14ac:dyDescent="0.25">
      <c r="F1494" t="s">
        <v>3419</v>
      </c>
      <c r="G1494">
        <v>39240</v>
      </c>
      <c r="H1494">
        <v>15089</v>
      </c>
      <c r="I1494" s="25" t="s">
        <v>2241</v>
      </c>
      <c r="J1494" t="s">
        <v>2351</v>
      </c>
      <c r="M1494" s="49"/>
    </row>
    <row r="1495" spans="6:13" x14ac:dyDescent="0.25">
      <c r="F1495" t="s">
        <v>3420</v>
      </c>
      <c r="G1495">
        <v>38547</v>
      </c>
      <c r="H1495">
        <v>3151</v>
      </c>
      <c r="I1495" s="25" t="s">
        <v>2074</v>
      </c>
      <c r="J1495" t="s">
        <v>2126</v>
      </c>
      <c r="M1495" s="49"/>
    </row>
    <row r="1496" spans="6:13" x14ac:dyDescent="0.25">
      <c r="F1496" t="s">
        <v>3421</v>
      </c>
      <c r="G1496">
        <v>34379</v>
      </c>
      <c r="H1496">
        <v>6633</v>
      </c>
      <c r="I1496" s="25" t="s">
        <v>2046</v>
      </c>
      <c r="J1496" t="s">
        <v>2162</v>
      </c>
      <c r="M1496" s="49"/>
    </row>
    <row r="1497" spans="6:13" x14ac:dyDescent="0.25">
      <c r="F1497" t="s">
        <v>3422</v>
      </c>
      <c r="G1497">
        <v>67829</v>
      </c>
      <c r="H1497">
        <v>7133</v>
      </c>
      <c r="I1497" s="25" t="s">
        <v>2123</v>
      </c>
      <c r="J1497" t="s">
        <v>2037</v>
      </c>
      <c r="M1497" s="49"/>
    </row>
    <row r="1498" spans="6:13" x14ac:dyDescent="0.25">
      <c r="F1498" t="s">
        <v>3423</v>
      </c>
      <c r="G1498">
        <v>9337</v>
      </c>
      <c r="H1498">
        <v>14524</v>
      </c>
      <c r="I1498" s="25" t="s">
        <v>2135</v>
      </c>
      <c r="J1498" t="s">
        <v>3424</v>
      </c>
      <c r="M1498" s="49"/>
    </row>
    <row r="1499" spans="6:13" x14ac:dyDescent="0.25">
      <c r="F1499" t="s">
        <v>2422</v>
      </c>
      <c r="G1499">
        <v>75365</v>
      </c>
      <c r="H1499">
        <v>8235</v>
      </c>
      <c r="I1499" s="25" t="s">
        <v>2018</v>
      </c>
      <c r="J1499" t="s">
        <v>2422</v>
      </c>
      <c r="M1499" s="49"/>
    </row>
    <row r="1500" spans="6:13" x14ac:dyDescent="0.25">
      <c r="F1500" t="s">
        <v>3425</v>
      </c>
      <c r="G1500">
        <v>49692</v>
      </c>
      <c r="H1500">
        <v>3453</v>
      </c>
      <c r="I1500" s="25" t="s">
        <v>2074</v>
      </c>
      <c r="J1500" t="s">
        <v>2069</v>
      </c>
      <c r="M1500" s="49"/>
    </row>
    <row r="1501" spans="6:13" x14ac:dyDescent="0.25">
      <c r="F1501" t="s">
        <v>3426</v>
      </c>
      <c r="G1501">
        <v>67316</v>
      </c>
      <c r="H1501">
        <v>7332</v>
      </c>
      <c r="I1501" s="25" t="s">
        <v>2123</v>
      </c>
      <c r="J1501" t="s">
        <v>2440</v>
      </c>
      <c r="M1501" s="49"/>
    </row>
    <row r="1502" spans="6:13" x14ac:dyDescent="0.25">
      <c r="F1502" t="s">
        <v>3427</v>
      </c>
      <c r="G1502">
        <v>44579</v>
      </c>
      <c r="H1502">
        <v>5562</v>
      </c>
      <c r="I1502" s="25" t="s">
        <v>2023</v>
      </c>
      <c r="J1502" t="s">
        <v>2318</v>
      </c>
      <c r="M1502" s="49"/>
    </row>
    <row r="1503" spans="6:13" x14ac:dyDescent="0.25">
      <c r="F1503" t="s">
        <v>3427</v>
      </c>
      <c r="G1503">
        <v>44575</v>
      </c>
      <c r="H1503">
        <v>5562</v>
      </c>
      <c r="I1503" s="25" t="s">
        <v>2023</v>
      </c>
      <c r="J1503" t="s">
        <v>2318</v>
      </c>
      <c r="M1503" s="49"/>
    </row>
    <row r="1504" spans="6:13" x14ac:dyDescent="0.25">
      <c r="F1504" t="s">
        <v>3427</v>
      </c>
      <c r="G1504">
        <v>44581</v>
      </c>
      <c r="H1504">
        <v>5562</v>
      </c>
      <c r="I1504" s="25" t="s">
        <v>2023</v>
      </c>
      <c r="J1504" t="s">
        <v>2318</v>
      </c>
      <c r="M1504" s="49"/>
    </row>
    <row r="1505" spans="6:13" x14ac:dyDescent="0.25">
      <c r="F1505" t="s">
        <v>3427</v>
      </c>
      <c r="G1505">
        <v>44577</v>
      </c>
      <c r="H1505">
        <v>5562</v>
      </c>
      <c r="I1505" s="25" t="s">
        <v>2023</v>
      </c>
      <c r="J1505" t="s">
        <v>2318</v>
      </c>
      <c r="M1505" s="49"/>
    </row>
    <row r="1506" spans="6:13" x14ac:dyDescent="0.25">
      <c r="F1506" t="s">
        <v>3427</v>
      </c>
      <c r="G1506">
        <v>44577</v>
      </c>
      <c r="H1506">
        <v>5562</v>
      </c>
      <c r="I1506" s="25" t="s">
        <v>2023</v>
      </c>
      <c r="J1506" t="s">
        <v>2318</v>
      </c>
      <c r="M1506" s="49"/>
    </row>
    <row r="1507" spans="6:13" x14ac:dyDescent="0.25">
      <c r="F1507" t="s">
        <v>3427</v>
      </c>
      <c r="G1507">
        <v>44577</v>
      </c>
      <c r="H1507">
        <v>5562</v>
      </c>
      <c r="I1507" s="25" t="s">
        <v>2023</v>
      </c>
      <c r="J1507" t="s">
        <v>2318</v>
      </c>
      <c r="M1507" s="49"/>
    </row>
    <row r="1508" spans="6:13" x14ac:dyDescent="0.25">
      <c r="F1508" t="s">
        <v>2096</v>
      </c>
      <c r="G1508">
        <v>29227</v>
      </c>
      <c r="H1508">
        <v>3351</v>
      </c>
      <c r="I1508" s="25" t="s">
        <v>2074</v>
      </c>
      <c r="J1508" t="s">
        <v>2096</v>
      </c>
      <c r="M1508" s="49"/>
    </row>
    <row r="1509" spans="6:13" x14ac:dyDescent="0.25">
      <c r="F1509" t="s">
        <v>2096</v>
      </c>
      <c r="G1509">
        <v>29221</v>
      </c>
      <c r="H1509">
        <v>3351</v>
      </c>
      <c r="I1509" s="25" t="s">
        <v>2074</v>
      </c>
      <c r="J1509" t="s">
        <v>2096</v>
      </c>
      <c r="M1509" s="49"/>
    </row>
    <row r="1510" spans="6:13" x14ac:dyDescent="0.25">
      <c r="F1510" t="s">
        <v>2096</v>
      </c>
      <c r="G1510">
        <v>29223</v>
      </c>
      <c r="H1510">
        <v>3351</v>
      </c>
      <c r="I1510" s="25" t="s">
        <v>2074</v>
      </c>
      <c r="J1510" t="s">
        <v>2096</v>
      </c>
      <c r="M1510" s="49"/>
    </row>
    <row r="1511" spans="6:13" x14ac:dyDescent="0.25">
      <c r="F1511" t="s">
        <v>2096</v>
      </c>
      <c r="G1511">
        <v>29225</v>
      </c>
      <c r="H1511">
        <v>3351</v>
      </c>
      <c r="I1511" s="25" t="s">
        <v>2074</v>
      </c>
      <c r="J1511" t="s">
        <v>2096</v>
      </c>
      <c r="M1511" s="49"/>
    </row>
    <row r="1512" spans="6:13" x14ac:dyDescent="0.25">
      <c r="F1512" t="s">
        <v>3428</v>
      </c>
      <c r="G1512">
        <v>29229</v>
      </c>
      <c r="H1512">
        <v>3351</v>
      </c>
      <c r="I1512" s="25" t="s">
        <v>2074</v>
      </c>
      <c r="J1512" t="s">
        <v>2096</v>
      </c>
      <c r="M1512" s="49"/>
    </row>
    <row r="1513" spans="6:13" x14ac:dyDescent="0.25">
      <c r="F1513" t="s">
        <v>2523</v>
      </c>
      <c r="G1513">
        <v>93413</v>
      </c>
      <c r="H1513">
        <v>9372</v>
      </c>
      <c r="I1513" s="25" t="s">
        <v>2050</v>
      </c>
      <c r="J1513" t="s">
        <v>2523</v>
      </c>
      <c r="M1513" s="49"/>
    </row>
    <row r="1514" spans="6:13" x14ac:dyDescent="0.25">
      <c r="F1514" t="s">
        <v>3429</v>
      </c>
      <c r="G1514">
        <v>93466</v>
      </c>
      <c r="H1514">
        <v>9372</v>
      </c>
      <c r="I1514" s="25" t="s">
        <v>2050</v>
      </c>
      <c r="J1514" t="s">
        <v>2523</v>
      </c>
      <c r="M1514" s="49"/>
    </row>
    <row r="1515" spans="6:13" x14ac:dyDescent="0.25">
      <c r="F1515" t="s">
        <v>3430</v>
      </c>
      <c r="G1515">
        <v>9224</v>
      </c>
      <c r="H1515">
        <v>14511</v>
      </c>
      <c r="I1515" s="25" t="s">
        <v>2135</v>
      </c>
      <c r="J1515" t="s">
        <v>3431</v>
      </c>
      <c r="M1515" s="49"/>
    </row>
    <row r="1516" spans="6:13" x14ac:dyDescent="0.25">
      <c r="F1516" t="s">
        <v>3430</v>
      </c>
      <c r="G1516">
        <v>9117</v>
      </c>
      <c r="H1516">
        <v>14511</v>
      </c>
      <c r="I1516" s="25" t="s">
        <v>2135</v>
      </c>
      <c r="J1516" t="s">
        <v>3431</v>
      </c>
      <c r="M1516" s="49"/>
    </row>
    <row r="1517" spans="6:13" x14ac:dyDescent="0.25">
      <c r="F1517" t="s">
        <v>3430</v>
      </c>
      <c r="G1517">
        <v>9122</v>
      </c>
      <c r="H1517">
        <v>14511</v>
      </c>
      <c r="I1517" s="25" t="s">
        <v>2135</v>
      </c>
      <c r="J1517" t="s">
        <v>3431</v>
      </c>
      <c r="M1517" s="49"/>
    </row>
    <row r="1518" spans="6:13" x14ac:dyDescent="0.25">
      <c r="F1518" t="s">
        <v>3430</v>
      </c>
      <c r="G1518">
        <v>9116</v>
      </c>
      <c r="H1518">
        <v>14511</v>
      </c>
      <c r="I1518" s="25" t="s">
        <v>2135</v>
      </c>
      <c r="J1518" t="s">
        <v>3431</v>
      </c>
      <c r="M1518" s="49"/>
    </row>
    <row r="1519" spans="6:13" x14ac:dyDescent="0.25">
      <c r="F1519" t="s">
        <v>3430</v>
      </c>
      <c r="G1519">
        <v>9120</v>
      </c>
      <c r="H1519">
        <v>14511</v>
      </c>
      <c r="I1519" s="25" t="s">
        <v>2135</v>
      </c>
      <c r="J1519" t="s">
        <v>3431</v>
      </c>
      <c r="M1519" s="49"/>
    </row>
    <row r="1520" spans="6:13" x14ac:dyDescent="0.25">
      <c r="F1520" t="s">
        <v>3430</v>
      </c>
      <c r="G1520">
        <v>9228</v>
      </c>
      <c r="H1520">
        <v>14511</v>
      </c>
      <c r="I1520" s="25" t="s">
        <v>2135</v>
      </c>
      <c r="J1520" t="s">
        <v>3431</v>
      </c>
      <c r="M1520" s="49"/>
    </row>
    <row r="1521" spans="6:13" x14ac:dyDescent="0.25">
      <c r="F1521" t="s">
        <v>3430</v>
      </c>
      <c r="G1521">
        <v>9131</v>
      </c>
      <c r="H1521">
        <v>14511</v>
      </c>
      <c r="I1521" s="25" t="s">
        <v>2135</v>
      </c>
      <c r="J1521" t="s">
        <v>3431</v>
      </c>
      <c r="M1521" s="49"/>
    </row>
    <row r="1522" spans="6:13" x14ac:dyDescent="0.25">
      <c r="F1522" t="s">
        <v>3430</v>
      </c>
      <c r="G1522">
        <v>9117</v>
      </c>
      <c r="H1522">
        <v>14511</v>
      </c>
      <c r="I1522" s="25" t="s">
        <v>2135</v>
      </c>
      <c r="J1522" t="s">
        <v>3431</v>
      </c>
      <c r="M1522" s="49"/>
    </row>
    <row r="1523" spans="6:13" x14ac:dyDescent="0.25">
      <c r="F1523" t="s">
        <v>3430</v>
      </c>
      <c r="G1523">
        <v>9125</v>
      </c>
      <c r="H1523">
        <v>14511</v>
      </c>
      <c r="I1523" s="25" t="s">
        <v>2135</v>
      </c>
      <c r="J1523" t="s">
        <v>3431</v>
      </c>
      <c r="M1523" s="49"/>
    </row>
    <row r="1524" spans="6:13" x14ac:dyDescent="0.25">
      <c r="F1524" t="s">
        <v>3430</v>
      </c>
      <c r="G1524">
        <v>9130</v>
      </c>
      <c r="H1524">
        <v>14511</v>
      </c>
      <c r="I1524" s="25" t="s">
        <v>2135</v>
      </c>
      <c r="J1524" t="s">
        <v>3431</v>
      </c>
      <c r="M1524" s="49"/>
    </row>
    <row r="1525" spans="6:13" x14ac:dyDescent="0.25">
      <c r="F1525" t="s">
        <v>3430</v>
      </c>
      <c r="G1525">
        <v>9114</v>
      </c>
      <c r="H1525">
        <v>14511</v>
      </c>
      <c r="I1525" s="25" t="s">
        <v>2135</v>
      </c>
      <c r="J1525" t="s">
        <v>3431</v>
      </c>
      <c r="M1525" s="49"/>
    </row>
    <row r="1526" spans="6:13" x14ac:dyDescent="0.25">
      <c r="F1526" t="s">
        <v>3430</v>
      </c>
      <c r="G1526">
        <v>9113</v>
      </c>
      <c r="H1526">
        <v>14511</v>
      </c>
      <c r="I1526" s="25" t="s">
        <v>2135</v>
      </c>
      <c r="J1526" t="s">
        <v>3431</v>
      </c>
      <c r="M1526" s="49"/>
    </row>
    <row r="1527" spans="6:13" x14ac:dyDescent="0.25">
      <c r="F1527" t="s">
        <v>3430</v>
      </c>
      <c r="G1527">
        <v>9123</v>
      </c>
      <c r="H1527">
        <v>14511</v>
      </c>
      <c r="I1527" s="25" t="s">
        <v>2135</v>
      </c>
      <c r="J1527" t="s">
        <v>3431</v>
      </c>
      <c r="M1527" s="49"/>
    </row>
    <row r="1528" spans="6:13" x14ac:dyDescent="0.25">
      <c r="F1528" t="s">
        <v>3430</v>
      </c>
      <c r="G1528">
        <v>9127</v>
      </c>
      <c r="H1528">
        <v>14511</v>
      </c>
      <c r="I1528" s="25" t="s">
        <v>2135</v>
      </c>
      <c r="J1528" t="s">
        <v>3431</v>
      </c>
      <c r="M1528" s="49"/>
    </row>
    <row r="1529" spans="6:13" x14ac:dyDescent="0.25">
      <c r="F1529" t="s">
        <v>3430</v>
      </c>
      <c r="G1529">
        <v>9126</v>
      </c>
      <c r="H1529">
        <v>14511</v>
      </c>
      <c r="I1529" s="25" t="s">
        <v>2135</v>
      </c>
      <c r="J1529" t="s">
        <v>3431</v>
      </c>
      <c r="M1529" s="49"/>
    </row>
    <row r="1530" spans="6:13" x14ac:dyDescent="0.25">
      <c r="F1530" t="s">
        <v>3430</v>
      </c>
      <c r="G1530">
        <v>9119</v>
      </c>
      <c r="H1530">
        <v>14511</v>
      </c>
      <c r="I1530" s="25" t="s">
        <v>2135</v>
      </c>
      <c r="J1530" t="s">
        <v>3431</v>
      </c>
      <c r="M1530" s="49"/>
    </row>
    <row r="1531" spans="6:13" x14ac:dyDescent="0.25">
      <c r="F1531" t="s">
        <v>3430</v>
      </c>
      <c r="G1531">
        <v>9112</v>
      </c>
      <c r="H1531">
        <v>14511</v>
      </c>
      <c r="I1531" s="25" t="s">
        <v>2135</v>
      </c>
      <c r="J1531" t="s">
        <v>3431</v>
      </c>
      <c r="M1531" s="49"/>
    </row>
    <row r="1532" spans="6:13" x14ac:dyDescent="0.25">
      <c r="F1532" t="s">
        <v>3430</v>
      </c>
      <c r="G1532">
        <v>9111</v>
      </c>
      <c r="H1532">
        <v>14511</v>
      </c>
      <c r="I1532" s="25" t="s">
        <v>2135</v>
      </c>
      <c r="J1532" t="s">
        <v>3431</v>
      </c>
      <c r="M1532" s="49"/>
    </row>
    <row r="1533" spans="6:13" x14ac:dyDescent="0.25">
      <c r="F1533" t="s">
        <v>3430</v>
      </c>
      <c r="G1533">
        <v>9128</v>
      </c>
      <c r="H1533">
        <v>14511</v>
      </c>
      <c r="I1533" s="25" t="s">
        <v>2135</v>
      </c>
      <c r="J1533" t="s">
        <v>3431</v>
      </c>
      <c r="M1533" s="49"/>
    </row>
    <row r="1534" spans="6:13" x14ac:dyDescent="0.25">
      <c r="F1534" t="s">
        <v>3432</v>
      </c>
      <c r="G1534">
        <v>83339</v>
      </c>
      <c r="H1534">
        <v>9189</v>
      </c>
      <c r="I1534" s="25" t="s">
        <v>2050</v>
      </c>
      <c r="J1534" t="s">
        <v>2407</v>
      </c>
      <c r="M1534" s="49"/>
    </row>
    <row r="1535" spans="6:13" x14ac:dyDescent="0.25">
      <c r="F1535" t="s">
        <v>3433</v>
      </c>
      <c r="G1535">
        <v>83256</v>
      </c>
      <c r="H1535">
        <v>9187</v>
      </c>
      <c r="I1535" s="25" t="s">
        <v>2050</v>
      </c>
      <c r="J1535" t="s">
        <v>2245</v>
      </c>
      <c r="M1535" s="49"/>
    </row>
    <row r="1536" spans="6:13" x14ac:dyDescent="0.25">
      <c r="F1536" t="s">
        <v>3434</v>
      </c>
      <c r="G1536">
        <v>66978</v>
      </c>
      <c r="H1536">
        <v>7340</v>
      </c>
      <c r="I1536" s="25" t="s">
        <v>2123</v>
      </c>
      <c r="J1536" t="s">
        <v>2826</v>
      </c>
      <c r="M1536" s="49"/>
    </row>
    <row r="1537" spans="6:13" x14ac:dyDescent="0.25">
      <c r="F1537" t="s">
        <v>3435</v>
      </c>
      <c r="G1537">
        <v>9236</v>
      </c>
      <c r="H1537">
        <v>14522</v>
      </c>
      <c r="I1537" s="25" t="s">
        <v>2135</v>
      </c>
      <c r="J1537" t="s">
        <v>2100</v>
      </c>
      <c r="M1537" s="49"/>
    </row>
    <row r="1538" spans="6:13" x14ac:dyDescent="0.25">
      <c r="F1538" t="s">
        <v>3436</v>
      </c>
      <c r="G1538">
        <v>38678</v>
      </c>
      <c r="H1538">
        <v>3153</v>
      </c>
      <c r="I1538" s="25" t="s">
        <v>2074</v>
      </c>
      <c r="J1538" t="s">
        <v>2152</v>
      </c>
      <c r="M1538" s="49"/>
    </row>
    <row r="1539" spans="6:13" x14ac:dyDescent="0.25">
      <c r="F1539" t="s">
        <v>3437</v>
      </c>
      <c r="G1539">
        <v>74389</v>
      </c>
      <c r="H1539">
        <v>8125</v>
      </c>
      <c r="I1539" s="25" t="s">
        <v>2018</v>
      </c>
      <c r="J1539" t="s">
        <v>2060</v>
      </c>
      <c r="M1539" s="49"/>
    </row>
    <row r="1540" spans="6:13" x14ac:dyDescent="0.25">
      <c r="F1540" t="s">
        <v>3438</v>
      </c>
      <c r="G1540">
        <v>29459</v>
      </c>
      <c r="H1540">
        <v>3354</v>
      </c>
      <c r="I1540" s="25" t="s">
        <v>2074</v>
      </c>
      <c r="J1540" t="s">
        <v>2232</v>
      </c>
      <c r="M1540" s="49"/>
    </row>
    <row r="1541" spans="6:13" x14ac:dyDescent="0.25">
      <c r="F1541" t="s">
        <v>2069</v>
      </c>
      <c r="G1541">
        <v>49661</v>
      </c>
      <c r="H1541">
        <v>3453</v>
      </c>
      <c r="I1541" s="25" t="s">
        <v>2074</v>
      </c>
      <c r="J1541" t="s">
        <v>2069</v>
      </c>
      <c r="M1541" s="49"/>
    </row>
    <row r="1542" spans="6:13" x14ac:dyDescent="0.25">
      <c r="F1542" t="s">
        <v>2177</v>
      </c>
      <c r="G1542">
        <v>96450</v>
      </c>
      <c r="H1542">
        <v>9463</v>
      </c>
      <c r="I1542" s="25" t="s">
        <v>2050</v>
      </c>
      <c r="J1542" t="s">
        <v>3439</v>
      </c>
      <c r="M1542" s="49"/>
    </row>
    <row r="1543" spans="6:13" x14ac:dyDescent="0.25">
      <c r="F1543" t="s">
        <v>3440</v>
      </c>
      <c r="G1543">
        <v>56812</v>
      </c>
      <c r="H1543">
        <v>7135</v>
      </c>
      <c r="I1543" s="25" t="s">
        <v>2123</v>
      </c>
      <c r="J1543" t="s">
        <v>2072</v>
      </c>
      <c r="M1543" s="49"/>
    </row>
    <row r="1544" spans="6:13" x14ac:dyDescent="0.25">
      <c r="F1544" t="s">
        <v>2076</v>
      </c>
      <c r="G1544">
        <v>48653</v>
      </c>
      <c r="H1544">
        <v>5558</v>
      </c>
      <c r="I1544" s="25" t="s">
        <v>2023</v>
      </c>
      <c r="J1544" t="s">
        <v>2076</v>
      </c>
      <c r="M1544" s="49"/>
    </row>
    <row r="1545" spans="6:13" x14ac:dyDescent="0.25">
      <c r="F1545" t="s">
        <v>3441</v>
      </c>
      <c r="G1545">
        <v>35091</v>
      </c>
      <c r="H1545">
        <v>6534</v>
      </c>
      <c r="I1545" s="25" t="s">
        <v>2046</v>
      </c>
      <c r="J1545" t="s">
        <v>2471</v>
      </c>
      <c r="M1545" s="49"/>
    </row>
    <row r="1546" spans="6:13" x14ac:dyDescent="0.25">
      <c r="F1546" t="s">
        <v>3442</v>
      </c>
      <c r="G1546">
        <v>4680</v>
      </c>
      <c r="H1546">
        <v>14729</v>
      </c>
      <c r="I1546" s="25" t="s">
        <v>2135</v>
      </c>
      <c r="J1546" t="s">
        <v>2684</v>
      </c>
      <c r="M1546" s="49"/>
    </row>
    <row r="1547" spans="6:13" x14ac:dyDescent="0.25">
      <c r="F1547" t="s">
        <v>3443</v>
      </c>
      <c r="G1547">
        <v>97903</v>
      </c>
      <c r="H1547">
        <v>9676</v>
      </c>
      <c r="I1547" s="25" t="s">
        <v>2050</v>
      </c>
      <c r="J1547" t="s">
        <v>2381</v>
      </c>
      <c r="M1547" s="49"/>
    </row>
    <row r="1548" spans="6:13" x14ac:dyDescent="0.25">
      <c r="F1548" t="s">
        <v>3444</v>
      </c>
      <c r="G1548">
        <v>91598</v>
      </c>
      <c r="H1548">
        <v>9571</v>
      </c>
      <c r="I1548" s="25" t="s">
        <v>2050</v>
      </c>
      <c r="J1548" t="s">
        <v>2113</v>
      </c>
      <c r="M1548" s="49"/>
    </row>
    <row r="1549" spans="6:13" x14ac:dyDescent="0.25">
      <c r="F1549" t="s">
        <v>3445</v>
      </c>
      <c r="G1549">
        <v>17094</v>
      </c>
      <c r="H1549">
        <v>13071</v>
      </c>
      <c r="I1549" s="25" t="s">
        <v>2191</v>
      </c>
      <c r="J1549" t="s">
        <v>2091</v>
      </c>
      <c r="M1549" s="49"/>
    </row>
    <row r="1550" spans="6:13" x14ac:dyDescent="0.25">
      <c r="F1550" t="s">
        <v>3446</v>
      </c>
      <c r="G1550">
        <v>66497</v>
      </c>
      <c r="H1550">
        <v>7340</v>
      </c>
      <c r="I1550" s="25" t="s">
        <v>2123</v>
      </c>
      <c r="J1550" t="s">
        <v>2826</v>
      </c>
      <c r="M1550" s="49"/>
    </row>
    <row r="1551" spans="6:13" x14ac:dyDescent="0.25">
      <c r="F1551" t="s">
        <v>3447</v>
      </c>
      <c r="G1551">
        <v>31863</v>
      </c>
      <c r="H1551">
        <v>3252</v>
      </c>
      <c r="I1551" s="25" t="s">
        <v>2074</v>
      </c>
      <c r="J1551" t="s">
        <v>2139</v>
      </c>
      <c r="M1551" s="49"/>
    </row>
    <row r="1552" spans="6:13" x14ac:dyDescent="0.25">
      <c r="F1552" t="s">
        <v>3448</v>
      </c>
      <c r="G1552">
        <v>36219</v>
      </c>
      <c r="H1552">
        <v>6632</v>
      </c>
      <c r="I1552" s="25" t="s">
        <v>2046</v>
      </c>
      <c r="J1552" t="s">
        <v>2303</v>
      </c>
      <c r="M1552" s="49"/>
    </row>
    <row r="1553" spans="6:13" x14ac:dyDescent="0.25">
      <c r="F1553" t="s">
        <v>3449</v>
      </c>
      <c r="G1553">
        <v>1640</v>
      </c>
      <c r="H1553">
        <v>14627</v>
      </c>
      <c r="I1553" s="25" t="s">
        <v>2135</v>
      </c>
      <c r="J1553" t="s">
        <v>2251</v>
      </c>
      <c r="M1553" s="49"/>
    </row>
    <row r="1554" spans="6:13" x14ac:dyDescent="0.25">
      <c r="F1554" t="s">
        <v>3450</v>
      </c>
      <c r="G1554">
        <v>6869</v>
      </c>
      <c r="H1554">
        <v>15091</v>
      </c>
      <c r="I1554" s="25" t="s">
        <v>2241</v>
      </c>
      <c r="J1554" t="s">
        <v>1509</v>
      </c>
      <c r="M1554" s="49"/>
    </row>
    <row r="1555" spans="6:13" x14ac:dyDescent="0.25">
      <c r="F1555" t="s">
        <v>3450</v>
      </c>
      <c r="G1555">
        <v>6868</v>
      </c>
      <c r="H1555">
        <v>15091</v>
      </c>
      <c r="I1555" s="25" t="s">
        <v>2241</v>
      </c>
      <c r="J1555" t="s">
        <v>1509</v>
      </c>
      <c r="M1555" s="49"/>
    </row>
    <row r="1556" spans="6:13" x14ac:dyDescent="0.25">
      <c r="F1556" t="s">
        <v>3451</v>
      </c>
      <c r="G1556">
        <v>3046</v>
      </c>
      <c r="H1556">
        <v>12052</v>
      </c>
      <c r="I1556" s="25" t="s">
        <v>2356</v>
      </c>
      <c r="J1556" t="s">
        <v>3452</v>
      </c>
      <c r="M1556" s="49"/>
    </row>
    <row r="1557" spans="6:13" x14ac:dyDescent="0.25">
      <c r="F1557" t="s">
        <v>3451</v>
      </c>
      <c r="G1557">
        <v>3053</v>
      </c>
      <c r="H1557">
        <v>12052</v>
      </c>
      <c r="I1557" s="25" t="s">
        <v>2356</v>
      </c>
      <c r="J1557" t="s">
        <v>3452</v>
      </c>
      <c r="M1557" s="49"/>
    </row>
    <row r="1558" spans="6:13" x14ac:dyDescent="0.25">
      <c r="F1558" t="s">
        <v>3451</v>
      </c>
      <c r="G1558">
        <v>3044</v>
      </c>
      <c r="H1558">
        <v>12052</v>
      </c>
      <c r="I1558" s="25" t="s">
        <v>2356</v>
      </c>
      <c r="J1558" t="s">
        <v>3452</v>
      </c>
      <c r="M1558" s="49"/>
    </row>
    <row r="1559" spans="6:13" x14ac:dyDescent="0.25">
      <c r="F1559" t="s">
        <v>3451</v>
      </c>
      <c r="G1559">
        <v>3051</v>
      </c>
      <c r="H1559">
        <v>12052</v>
      </c>
      <c r="I1559" s="25" t="s">
        <v>2356</v>
      </c>
      <c r="J1559" t="s">
        <v>3452</v>
      </c>
      <c r="M1559" s="49"/>
    </row>
    <row r="1560" spans="6:13" x14ac:dyDescent="0.25">
      <c r="F1560" t="s">
        <v>3451</v>
      </c>
      <c r="G1560">
        <v>3055</v>
      </c>
      <c r="H1560">
        <v>12052</v>
      </c>
      <c r="I1560" s="25" t="s">
        <v>2356</v>
      </c>
      <c r="J1560" t="s">
        <v>3452</v>
      </c>
      <c r="M1560" s="49"/>
    </row>
    <row r="1561" spans="6:13" x14ac:dyDescent="0.25">
      <c r="F1561" t="s">
        <v>3451</v>
      </c>
      <c r="G1561">
        <v>3048</v>
      </c>
      <c r="H1561">
        <v>12052</v>
      </c>
      <c r="I1561" s="25" t="s">
        <v>2356</v>
      </c>
      <c r="J1561" t="s">
        <v>3452</v>
      </c>
      <c r="M1561" s="49"/>
    </row>
    <row r="1562" spans="6:13" x14ac:dyDescent="0.25">
      <c r="F1562" t="s">
        <v>3451</v>
      </c>
      <c r="G1562">
        <v>3052</v>
      </c>
      <c r="H1562">
        <v>12052</v>
      </c>
      <c r="I1562" s="25" t="s">
        <v>2356</v>
      </c>
      <c r="J1562" t="s">
        <v>3452</v>
      </c>
      <c r="M1562" s="49"/>
    </row>
    <row r="1563" spans="6:13" x14ac:dyDescent="0.25">
      <c r="F1563" t="s">
        <v>3451</v>
      </c>
      <c r="G1563">
        <v>3054</v>
      </c>
      <c r="H1563">
        <v>12052</v>
      </c>
      <c r="I1563" s="25" t="s">
        <v>2356</v>
      </c>
      <c r="J1563" t="s">
        <v>3452</v>
      </c>
      <c r="M1563" s="49"/>
    </row>
    <row r="1564" spans="6:13" x14ac:dyDescent="0.25">
      <c r="F1564" t="s">
        <v>3451</v>
      </c>
      <c r="G1564">
        <v>3042</v>
      </c>
      <c r="H1564">
        <v>12052</v>
      </c>
      <c r="I1564" s="25" t="s">
        <v>2356</v>
      </c>
      <c r="J1564" t="s">
        <v>3452</v>
      </c>
      <c r="M1564" s="49"/>
    </row>
    <row r="1565" spans="6:13" x14ac:dyDescent="0.25">
      <c r="F1565" t="s">
        <v>3451</v>
      </c>
      <c r="G1565">
        <v>3050</v>
      </c>
      <c r="H1565">
        <v>12052</v>
      </c>
      <c r="I1565" s="25" t="s">
        <v>2356</v>
      </c>
      <c r="J1565" t="s">
        <v>3452</v>
      </c>
      <c r="M1565" s="49"/>
    </row>
    <row r="1566" spans="6:13" x14ac:dyDescent="0.25">
      <c r="F1566" t="s">
        <v>3453</v>
      </c>
      <c r="G1566">
        <v>74564</v>
      </c>
      <c r="H1566">
        <v>8127</v>
      </c>
      <c r="I1566" s="25" t="s">
        <v>2018</v>
      </c>
      <c r="J1566" t="s">
        <v>3126</v>
      </c>
      <c r="M1566" s="49"/>
    </row>
    <row r="1567" spans="6:13" x14ac:dyDescent="0.25">
      <c r="F1567" t="s">
        <v>3454</v>
      </c>
      <c r="G1567">
        <v>97993</v>
      </c>
      <c r="H1567">
        <v>8128</v>
      </c>
      <c r="I1567" s="25" t="s">
        <v>2018</v>
      </c>
      <c r="J1567" t="s">
        <v>2175</v>
      </c>
      <c r="M1567" s="49"/>
    </row>
    <row r="1568" spans="6:13" x14ac:dyDescent="0.25">
      <c r="F1568" t="s">
        <v>3455</v>
      </c>
      <c r="G1568">
        <v>38162</v>
      </c>
      <c r="H1568">
        <v>3158</v>
      </c>
      <c r="I1568" s="25" t="s">
        <v>2074</v>
      </c>
      <c r="J1568" t="s">
        <v>2434</v>
      </c>
      <c r="M1568" s="49"/>
    </row>
    <row r="1569" spans="6:13" x14ac:dyDescent="0.25">
      <c r="F1569" t="s">
        <v>3456</v>
      </c>
      <c r="G1569">
        <v>95473</v>
      </c>
      <c r="H1569">
        <v>9472</v>
      </c>
      <c r="I1569" s="25" t="s">
        <v>2050</v>
      </c>
      <c r="J1569" t="s">
        <v>2180</v>
      </c>
      <c r="M1569" s="49"/>
    </row>
    <row r="1570" spans="6:13" x14ac:dyDescent="0.25">
      <c r="F1570" t="s">
        <v>3457</v>
      </c>
      <c r="G1570">
        <v>99831</v>
      </c>
      <c r="H1570">
        <v>16063</v>
      </c>
      <c r="I1570" s="25" t="s">
        <v>2384</v>
      </c>
      <c r="J1570" t="s">
        <v>2687</v>
      </c>
      <c r="M1570" s="49"/>
    </row>
    <row r="1571" spans="6:13" x14ac:dyDescent="0.25">
      <c r="F1571" t="s">
        <v>3458</v>
      </c>
      <c r="G1571">
        <v>8451</v>
      </c>
      <c r="H1571">
        <v>14524</v>
      </c>
      <c r="I1571" s="25" t="s">
        <v>2135</v>
      </c>
      <c r="J1571" t="s">
        <v>3424</v>
      </c>
      <c r="M1571" s="49"/>
    </row>
    <row r="1572" spans="6:13" x14ac:dyDescent="0.25">
      <c r="F1572" t="s">
        <v>3459</v>
      </c>
      <c r="G1572">
        <v>3246</v>
      </c>
      <c r="H1572">
        <v>12062</v>
      </c>
      <c r="I1572" s="25" t="s">
        <v>2356</v>
      </c>
      <c r="J1572" t="s">
        <v>2689</v>
      </c>
      <c r="M1572" s="49"/>
    </row>
    <row r="1573" spans="6:13" x14ac:dyDescent="0.25">
      <c r="F1573" t="s">
        <v>3460</v>
      </c>
      <c r="G1573">
        <v>8147</v>
      </c>
      <c r="H1573">
        <v>14524</v>
      </c>
      <c r="I1573" s="25" t="s">
        <v>2135</v>
      </c>
      <c r="J1573" t="s">
        <v>3424</v>
      </c>
      <c r="M1573" s="49"/>
    </row>
    <row r="1574" spans="6:13" x14ac:dyDescent="0.25">
      <c r="F1574" t="s">
        <v>3461</v>
      </c>
      <c r="G1574">
        <v>19089</v>
      </c>
      <c r="H1574">
        <v>13076</v>
      </c>
      <c r="I1574" s="25" t="s">
        <v>2191</v>
      </c>
      <c r="J1574" t="s">
        <v>2234</v>
      </c>
      <c r="M1574" s="49"/>
    </row>
    <row r="1575" spans="6:13" x14ac:dyDescent="0.25">
      <c r="F1575" t="s">
        <v>3462</v>
      </c>
      <c r="G1575">
        <v>7613</v>
      </c>
      <c r="H1575">
        <v>16074</v>
      </c>
      <c r="I1575" s="25" t="s">
        <v>2384</v>
      </c>
      <c r="J1575" t="s">
        <v>2671</v>
      </c>
      <c r="M1575" s="49"/>
    </row>
    <row r="1576" spans="6:13" x14ac:dyDescent="0.25">
      <c r="F1576" t="s">
        <v>3463</v>
      </c>
      <c r="G1576">
        <v>9474</v>
      </c>
      <c r="H1576">
        <v>14521</v>
      </c>
      <c r="I1576" s="25" t="s">
        <v>2135</v>
      </c>
      <c r="J1576" t="s">
        <v>2032</v>
      </c>
      <c r="M1576" s="49"/>
    </row>
    <row r="1577" spans="6:13" x14ac:dyDescent="0.25">
      <c r="F1577" t="s">
        <v>3464</v>
      </c>
      <c r="G1577">
        <v>2733</v>
      </c>
      <c r="H1577">
        <v>14625</v>
      </c>
      <c r="I1577" s="25" t="s">
        <v>2135</v>
      </c>
      <c r="J1577" t="s">
        <v>2041</v>
      </c>
      <c r="M1577" s="49"/>
    </row>
    <row r="1578" spans="6:13" x14ac:dyDescent="0.25">
      <c r="F1578" t="s">
        <v>2079</v>
      </c>
      <c r="G1578">
        <v>27476</v>
      </c>
      <c r="H1578">
        <v>3352</v>
      </c>
      <c r="I1578" s="25" t="s">
        <v>2074</v>
      </c>
      <c r="J1578" t="s">
        <v>2079</v>
      </c>
      <c r="M1578" s="49"/>
    </row>
    <row r="1579" spans="6:13" x14ac:dyDescent="0.25">
      <c r="F1579" t="s">
        <v>2079</v>
      </c>
      <c r="G1579">
        <v>27478</v>
      </c>
      <c r="H1579">
        <v>3352</v>
      </c>
      <c r="I1579" s="25" t="s">
        <v>2074</v>
      </c>
      <c r="J1579" t="s">
        <v>2079</v>
      </c>
      <c r="M1579" s="49"/>
    </row>
    <row r="1580" spans="6:13" x14ac:dyDescent="0.25">
      <c r="F1580" t="s">
        <v>2079</v>
      </c>
      <c r="G1580">
        <v>27472</v>
      </c>
      <c r="H1580">
        <v>3352</v>
      </c>
      <c r="I1580" s="25" t="s">
        <v>2074</v>
      </c>
      <c r="J1580" t="s">
        <v>2079</v>
      </c>
      <c r="M1580" s="49"/>
    </row>
    <row r="1581" spans="6:13" x14ac:dyDescent="0.25">
      <c r="F1581" t="s">
        <v>2079</v>
      </c>
      <c r="G1581">
        <v>27474</v>
      </c>
      <c r="H1581">
        <v>3352</v>
      </c>
      <c r="I1581" s="25" t="s">
        <v>2074</v>
      </c>
      <c r="J1581" t="s">
        <v>2079</v>
      </c>
      <c r="M1581" s="49"/>
    </row>
    <row r="1582" spans="6:13" x14ac:dyDescent="0.25">
      <c r="F1582" t="s">
        <v>3465</v>
      </c>
      <c r="G1582">
        <v>57567</v>
      </c>
      <c r="H1582">
        <v>7132</v>
      </c>
      <c r="I1582" s="25" t="s">
        <v>2123</v>
      </c>
      <c r="J1582" t="s">
        <v>2401</v>
      </c>
      <c r="M1582" s="49"/>
    </row>
    <row r="1583" spans="6:13" x14ac:dyDescent="0.25">
      <c r="F1583" t="s">
        <v>2445</v>
      </c>
      <c r="G1583">
        <v>85221</v>
      </c>
      <c r="H1583">
        <v>9174</v>
      </c>
      <c r="I1583" s="25" t="s">
        <v>2050</v>
      </c>
      <c r="J1583" t="s">
        <v>2445</v>
      </c>
      <c r="M1583" s="49"/>
    </row>
    <row r="1584" spans="6:13" x14ac:dyDescent="0.25">
      <c r="F1584" t="s">
        <v>3466</v>
      </c>
      <c r="G1584">
        <v>91462</v>
      </c>
      <c r="H1584">
        <v>9575</v>
      </c>
      <c r="I1584" s="25" t="s">
        <v>2050</v>
      </c>
      <c r="J1584" t="s">
        <v>2749</v>
      </c>
      <c r="M1584" s="49"/>
    </row>
    <row r="1585" spans="6:13" x14ac:dyDescent="0.25">
      <c r="F1585" t="s">
        <v>3467</v>
      </c>
      <c r="G1585">
        <v>79875</v>
      </c>
      <c r="H1585">
        <v>8337</v>
      </c>
      <c r="I1585" s="25" t="s">
        <v>2018</v>
      </c>
      <c r="J1585" t="s">
        <v>2248</v>
      </c>
      <c r="M1585" s="49"/>
    </row>
    <row r="1586" spans="6:13" x14ac:dyDescent="0.25">
      <c r="F1586" t="s">
        <v>3468</v>
      </c>
      <c r="G1586">
        <v>25578</v>
      </c>
      <c r="H1586">
        <v>1061</v>
      </c>
      <c r="I1586" s="25" t="s">
        <v>2085</v>
      </c>
      <c r="J1586" t="s">
        <v>2377</v>
      </c>
      <c r="M1586" s="49"/>
    </row>
    <row r="1587" spans="6:13" x14ac:dyDescent="0.25">
      <c r="F1587" t="s">
        <v>3469</v>
      </c>
      <c r="G1587">
        <v>53949</v>
      </c>
      <c r="H1587">
        <v>5366</v>
      </c>
      <c r="I1587" s="25" t="s">
        <v>2023</v>
      </c>
      <c r="J1587" t="s">
        <v>2127</v>
      </c>
      <c r="M1587" s="49"/>
    </row>
    <row r="1588" spans="6:13" x14ac:dyDescent="0.25">
      <c r="F1588" t="s">
        <v>3470</v>
      </c>
      <c r="G1588">
        <v>4774</v>
      </c>
      <c r="H1588">
        <v>14730</v>
      </c>
      <c r="I1588" s="25" t="s">
        <v>2135</v>
      </c>
      <c r="J1588" t="s">
        <v>2083</v>
      </c>
      <c r="M1588" s="49"/>
    </row>
    <row r="1589" spans="6:13" x14ac:dyDescent="0.25">
      <c r="F1589" t="s">
        <v>3471</v>
      </c>
      <c r="G1589">
        <v>21368</v>
      </c>
      <c r="H1589">
        <v>3355</v>
      </c>
      <c r="I1589" s="25" t="s">
        <v>2074</v>
      </c>
      <c r="J1589" t="s">
        <v>2129</v>
      </c>
      <c r="M1589" s="49"/>
    </row>
    <row r="1590" spans="6:13" x14ac:dyDescent="0.25">
      <c r="F1590" t="s">
        <v>3472</v>
      </c>
      <c r="G1590">
        <v>23747</v>
      </c>
      <c r="H1590">
        <v>1055</v>
      </c>
      <c r="I1590" s="25" t="s">
        <v>2085</v>
      </c>
      <c r="J1590" t="s">
        <v>2185</v>
      </c>
      <c r="M1590" s="49"/>
    </row>
    <row r="1591" spans="6:13" x14ac:dyDescent="0.25">
      <c r="F1591" t="s">
        <v>3473</v>
      </c>
      <c r="G1591">
        <v>15936</v>
      </c>
      <c r="H1591">
        <v>12072</v>
      </c>
      <c r="I1591" s="25" t="s">
        <v>2356</v>
      </c>
      <c r="J1591" t="s">
        <v>2456</v>
      </c>
      <c r="M1591" s="49"/>
    </row>
    <row r="1592" spans="6:13" x14ac:dyDescent="0.25">
      <c r="F1592" t="s">
        <v>3474</v>
      </c>
      <c r="G1592">
        <v>17166</v>
      </c>
      <c r="H1592">
        <v>13072</v>
      </c>
      <c r="I1592" s="25" t="s">
        <v>2191</v>
      </c>
      <c r="J1592" t="s">
        <v>2036</v>
      </c>
      <c r="M1592" s="49"/>
    </row>
    <row r="1593" spans="6:13" x14ac:dyDescent="0.25">
      <c r="F1593" t="s">
        <v>3475</v>
      </c>
      <c r="G1593">
        <v>66994</v>
      </c>
      <c r="H1593">
        <v>7340</v>
      </c>
      <c r="I1593" s="25" t="s">
        <v>2123</v>
      </c>
      <c r="J1593" t="s">
        <v>2826</v>
      </c>
      <c r="M1593" s="49"/>
    </row>
    <row r="1594" spans="6:13" x14ac:dyDescent="0.25">
      <c r="F1594" t="s">
        <v>3476</v>
      </c>
      <c r="G1594">
        <v>29413</v>
      </c>
      <c r="H1594">
        <v>15081</v>
      </c>
      <c r="I1594" s="25" t="s">
        <v>2241</v>
      </c>
      <c r="J1594" t="s">
        <v>2028</v>
      </c>
      <c r="M1594" s="49"/>
    </row>
    <row r="1595" spans="6:13" x14ac:dyDescent="0.25">
      <c r="F1595" t="s">
        <v>3477</v>
      </c>
      <c r="G1595">
        <v>88718</v>
      </c>
      <c r="H1595">
        <v>8435</v>
      </c>
      <c r="I1595" s="25" t="s">
        <v>2018</v>
      </c>
      <c r="J1595" t="s">
        <v>3011</v>
      </c>
      <c r="M1595" s="49"/>
    </row>
    <row r="1596" spans="6:13" x14ac:dyDescent="0.25">
      <c r="F1596" t="s">
        <v>3478</v>
      </c>
      <c r="G1596">
        <v>54689</v>
      </c>
      <c r="H1596">
        <v>7232</v>
      </c>
      <c r="I1596" s="25" t="s">
        <v>2123</v>
      </c>
      <c r="J1596" t="s">
        <v>2112</v>
      </c>
      <c r="M1596" s="49"/>
    </row>
    <row r="1597" spans="6:13" x14ac:dyDescent="0.25">
      <c r="F1597" t="s">
        <v>3479</v>
      </c>
      <c r="G1597">
        <v>14624</v>
      </c>
      <c r="H1597">
        <v>12063</v>
      </c>
      <c r="I1597" s="25" t="s">
        <v>2356</v>
      </c>
      <c r="J1597" t="s">
        <v>2181</v>
      </c>
      <c r="M1597" s="49"/>
    </row>
    <row r="1598" spans="6:13" x14ac:dyDescent="0.25">
      <c r="F1598" t="s">
        <v>3480</v>
      </c>
      <c r="G1598">
        <v>63874</v>
      </c>
      <c r="H1598">
        <v>9671</v>
      </c>
      <c r="I1598" s="25" t="s">
        <v>2050</v>
      </c>
      <c r="J1598" t="s">
        <v>2453</v>
      </c>
      <c r="M1598" s="49"/>
    </row>
    <row r="1599" spans="6:13" x14ac:dyDescent="0.25">
      <c r="F1599" t="s">
        <v>3481</v>
      </c>
      <c r="G1599">
        <v>49401</v>
      </c>
      <c r="H1599">
        <v>3460</v>
      </c>
      <c r="I1599" s="25" t="s">
        <v>2074</v>
      </c>
      <c r="J1599" t="s">
        <v>2408</v>
      </c>
      <c r="M1599" s="49"/>
    </row>
    <row r="1600" spans="6:13" x14ac:dyDescent="0.25">
      <c r="F1600" t="s">
        <v>3482</v>
      </c>
      <c r="G1600">
        <v>29472</v>
      </c>
      <c r="H1600">
        <v>3354</v>
      </c>
      <c r="I1600" s="25" t="s">
        <v>2074</v>
      </c>
      <c r="J1600" t="s">
        <v>2232</v>
      </c>
      <c r="M1600" s="49"/>
    </row>
    <row r="1601" spans="6:13" x14ac:dyDescent="0.25">
      <c r="F1601" t="s">
        <v>3483</v>
      </c>
      <c r="G1601">
        <v>24351</v>
      </c>
      <c r="H1601">
        <v>1058</v>
      </c>
      <c r="I1601" s="25" t="s">
        <v>2085</v>
      </c>
      <c r="J1601" t="s">
        <v>2086</v>
      </c>
      <c r="M1601" s="49"/>
    </row>
    <row r="1602" spans="6:13" x14ac:dyDescent="0.25">
      <c r="F1602" t="s">
        <v>3484</v>
      </c>
      <c r="G1602">
        <v>24229</v>
      </c>
      <c r="H1602">
        <v>1058</v>
      </c>
      <c r="I1602" s="25" t="s">
        <v>2085</v>
      </c>
      <c r="J1602" t="s">
        <v>2086</v>
      </c>
      <c r="M1602" s="49"/>
    </row>
    <row r="1603" spans="6:13" x14ac:dyDescent="0.25">
      <c r="F1603" t="s">
        <v>3485</v>
      </c>
      <c r="G1603">
        <v>38461</v>
      </c>
      <c r="H1603">
        <v>3154</v>
      </c>
      <c r="I1603" s="25" t="s">
        <v>2074</v>
      </c>
      <c r="J1603" t="s">
        <v>2186</v>
      </c>
      <c r="M1603" s="49"/>
    </row>
    <row r="1604" spans="6:13" x14ac:dyDescent="0.25">
      <c r="F1604" t="s">
        <v>3486</v>
      </c>
      <c r="G1604">
        <v>29451</v>
      </c>
      <c r="H1604">
        <v>3354</v>
      </c>
      <c r="I1604" s="25" t="s">
        <v>2074</v>
      </c>
      <c r="J1604" t="s">
        <v>2232</v>
      </c>
      <c r="M1604" s="49"/>
    </row>
    <row r="1605" spans="6:13" x14ac:dyDescent="0.25">
      <c r="F1605" t="s">
        <v>3487</v>
      </c>
      <c r="G1605">
        <v>67814</v>
      </c>
      <c r="H1605">
        <v>7333</v>
      </c>
      <c r="I1605" s="25" t="s">
        <v>2123</v>
      </c>
      <c r="J1605" t="s">
        <v>2103</v>
      </c>
      <c r="M1605" s="49"/>
    </row>
    <row r="1606" spans="6:13" x14ac:dyDescent="0.25">
      <c r="F1606" t="s">
        <v>3488</v>
      </c>
      <c r="G1606">
        <v>24867</v>
      </c>
      <c r="H1606">
        <v>1059</v>
      </c>
      <c r="I1606" s="25" t="s">
        <v>2085</v>
      </c>
      <c r="J1606" t="s">
        <v>2354</v>
      </c>
      <c r="M1606" s="49"/>
    </row>
    <row r="1607" spans="6:13" x14ac:dyDescent="0.25">
      <c r="F1607" t="s">
        <v>3489</v>
      </c>
      <c r="G1607">
        <v>67125</v>
      </c>
      <c r="H1607">
        <v>7338</v>
      </c>
      <c r="I1607" s="25" t="s">
        <v>2123</v>
      </c>
      <c r="J1607" t="s">
        <v>2448</v>
      </c>
      <c r="M1607" s="49"/>
    </row>
    <row r="1608" spans="6:13" x14ac:dyDescent="0.25">
      <c r="F1608" t="s">
        <v>3490</v>
      </c>
      <c r="G1608">
        <v>17159</v>
      </c>
      <c r="H1608">
        <v>13071</v>
      </c>
      <c r="I1608" s="25" t="s">
        <v>2191</v>
      </c>
      <c r="J1608" t="s">
        <v>2091</v>
      </c>
      <c r="M1608" s="49"/>
    </row>
    <row r="1609" spans="6:13" x14ac:dyDescent="0.25">
      <c r="F1609" t="s">
        <v>3491</v>
      </c>
      <c r="G1609">
        <v>64285</v>
      </c>
      <c r="H1609">
        <v>6411</v>
      </c>
      <c r="I1609" s="25" t="s">
        <v>2046</v>
      </c>
      <c r="J1609" t="s">
        <v>3492</v>
      </c>
      <c r="M1609" s="49"/>
    </row>
    <row r="1610" spans="6:13" x14ac:dyDescent="0.25">
      <c r="F1610" t="s">
        <v>3491</v>
      </c>
      <c r="G1610">
        <v>64297</v>
      </c>
      <c r="H1610">
        <v>6411</v>
      </c>
      <c r="I1610" s="25" t="s">
        <v>2046</v>
      </c>
      <c r="J1610" t="s">
        <v>3492</v>
      </c>
      <c r="M1610" s="49"/>
    </row>
    <row r="1611" spans="6:13" x14ac:dyDescent="0.25">
      <c r="F1611" t="s">
        <v>3491</v>
      </c>
      <c r="G1611">
        <v>64283</v>
      </c>
      <c r="H1611">
        <v>6411</v>
      </c>
      <c r="I1611" s="25" t="s">
        <v>2046</v>
      </c>
      <c r="J1611" t="s">
        <v>3492</v>
      </c>
      <c r="M1611" s="49"/>
    </row>
    <row r="1612" spans="6:13" x14ac:dyDescent="0.25">
      <c r="F1612" t="s">
        <v>3491</v>
      </c>
      <c r="G1612">
        <v>64291</v>
      </c>
      <c r="H1612">
        <v>6411</v>
      </c>
      <c r="I1612" s="25" t="s">
        <v>2046</v>
      </c>
      <c r="J1612" t="s">
        <v>3492</v>
      </c>
      <c r="M1612" s="49"/>
    </row>
    <row r="1613" spans="6:13" x14ac:dyDescent="0.25">
      <c r="F1613" t="s">
        <v>3491</v>
      </c>
      <c r="G1613">
        <v>64287</v>
      </c>
      <c r="H1613">
        <v>6411</v>
      </c>
      <c r="I1613" s="25" t="s">
        <v>2046</v>
      </c>
      <c r="J1613" t="s">
        <v>3492</v>
      </c>
      <c r="M1613" s="49"/>
    </row>
    <row r="1614" spans="6:13" x14ac:dyDescent="0.25">
      <c r="F1614" t="s">
        <v>3491</v>
      </c>
      <c r="G1614">
        <v>64295</v>
      </c>
      <c r="H1614">
        <v>6411</v>
      </c>
      <c r="I1614" s="25" t="s">
        <v>2046</v>
      </c>
      <c r="J1614" t="s">
        <v>3492</v>
      </c>
      <c r="M1614" s="49"/>
    </row>
    <row r="1615" spans="6:13" x14ac:dyDescent="0.25">
      <c r="F1615" t="s">
        <v>3491</v>
      </c>
      <c r="G1615">
        <v>64289</v>
      </c>
      <c r="H1615">
        <v>6411</v>
      </c>
      <c r="I1615" s="25" t="s">
        <v>2046</v>
      </c>
      <c r="J1615" t="s">
        <v>3492</v>
      </c>
      <c r="M1615" s="49"/>
    </row>
    <row r="1616" spans="6:13" x14ac:dyDescent="0.25">
      <c r="F1616" t="s">
        <v>3491</v>
      </c>
      <c r="G1616">
        <v>64293</v>
      </c>
      <c r="H1616">
        <v>6411</v>
      </c>
      <c r="I1616" s="25" t="s">
        <v>2046</v>
      </c>
      <c r="J1616" t="s">
        <v>3492</v>
      </c>
      <c r="M1616" s="49"/>
    </row>
    <row r="1617" spans="6:13" x14ac:dyDescent="0.25">
      <c r="F1617" t="s">
        <v>3493</v>
      </c>
      <c r="G1617">
        <v>86453</v>
      </c>
      <c r="H1617">
        <v>9771</v>
      </c>
      <c r="I1617" s="25" t="s">
        <v>2050</v>
      </c>
      <c r="J1617" t="s">
        <v>2120</v>
      </c>
      <c r="M1617" s="49"/>
    </row>
    <row r="1618" spans="6:13" x14ac:dyDescent="0.25">
      <c r="F1618" t="s">
        <v>3494</v>
      </c>
      <c r="G1618">
        <v>37586</v>
      </c>
      <c r="H1618">
        <v>3155</v>
      </c>
      <c r="I1618" s="25" t="s">
        <v>2074</v>
      </c>
      <c r="J1618" t="s">
        <v>2653</v>
      </c>
      <c r="M1618" s="49"/>
    </row>
    <row r="1619" spans="6:13" x14ac:dyDescent="0.25">
      <c r="F1619" t="s">
        <v>3495</v>
      </c>
      <c r="G1619">
        <v>23942</v>
      </c>
      <c r="H1619">
        <v>13074</v>
      </c>
      <c r="I1619" s="25" t="s">
        <v>2191</v>
      </c>
      <c r="J1619" t="s">
        <v>2275</v>
      </c>
      <c r="M1619" s="49"/>
    </row>
    <row r="1620" spans="6:13" x14ac:dyDescent="0.25">
      <c r="F1620" t="s">
        <v>3496</v>
      </c>
      <c r="G1620">
        <v>45711</v>
      </c>
      <c r="H1620">
        <v>5562</v>
      </c>
      <c r="I1620" s="25" t="s">
        <v>2023</v>
      </c>
      <c r="J1620" t="s">
        <v>2318</v>
      </c>
      <c r="M1620" s="49"/>
    </row>
    <row r="1621" spans="6:13" x14ac:dyDescent="0.25">
      <c r="F1621" t="s">
        <v>3497</v>
      </c>
      <c r="G1621">
        <v>78083</v>
      </c>
      <c r="H1621">
        <v>8326</v>
      </c>
      <c r="I1621" s="25" t="s">
        <v>2018</v>
      </c>
      <c r="J1621" t="s">
        <v>2638</v>
      </c>
      <c r="M1621" s="49"/>
    </row>
    <row r="1622" spans="6:13" x14ac:dyDescent="0.25">
      <c r="F1622" t="s">
        <v>3498</v>
      </c>
      <c r="G1622">
        <v>54550</v>
      </c>
      <c r="H1622">
        <v>7233</v>
      </c>
      <c r="I1622" s="25" t="s">
        <v>2123</v>
      </c>
      <c r="J1622" t="s">
        <v>2416</v>
      </c>
      <c r="M1622" s="49"/>
    </row>
    <row r="1623" spans="6:13" x14ac:dyDescent="0.25">
      <c r="F1623" t="s">
        <v>3499</v>
      </c>
      <c r="G1623">
        <v>72356</v>
      </c>
      <c r="H1623">
        <v>8417</v>
      </c>
      <c r="I1623" s="25" t="s">
        <v>2018</v>
      </c>
      <c r="J1623" t="s">
        <v>2269</v>
      </c>
      <c r="M1623" s="49"/>
    </row>
    <row r="1624" spans="6:13" x14ac:dyDescent="0.25">
      <c r="F1624" t="s">
        <v>3500</v>
      </c>
      <c r="G1624">
        <v>35232</v>
      </c>
      <c r="H1624">
        <v>6534</v>
      </c>
      <c r="I1624" s="25" t="s">
        <v>2046</v>
      </c>
      <c r="J1624" t="s">
        <v>2471</v>
      </c>
      <c r="M1624" s="49"/>
    </row>
    <row r="1625" spans="6:13" x14ac:dyDescent="0.25">
      <c r="F1625" t="s">
        <v>3501</v>
      </c>
      <c r="G1625">
        <v>75392</v>
      </c>
      <c r="H1625">
        <v>8115</v>
      </c>
      <c r="I1625" s="25" t="s">
        <v>2018</v>
      </c>
      <c r="J1625" t="s">
        <v>2222</v>
      </c>
      <c r="M1625" s="49"/>
    </row>
    <row r="1626" spans="6:13" x14ac:dyDescent="0.25">
      <c r="F1626" t="s">
        <v>2172</v>
      </c>
      <c r="G1626">
        <v>94469</v>
      </c>
      <c r="H1626">
        <v>9271</v>
      </c>
      <c r="I1626" s="25" t="s">
        <v>2050</v>
      </c>
      <c r="J1626" t="s">
        <v>2172</v>
      </c>
      <c r="M1626" s="49"/>
    </row>
    <row r="1627" spans="6:13" x14ac:dyDescent="0.25">
      <c r="F1627" t="s">
        <v>3502</v>
      </c>
      <c r="G1627">
        <v>88693</v>
      </c>
      <c r="H1627">
        <v>8435</v>
      </c>
      <c r="I1627" s="25" t="s">
        <v>2018</v>
      </c>
      <c r="J1627" t="s">
        <v>3011</v>
      </c>
      <c r="M1627" s="49"/>
    </row>
    <row r="1628" spans="6:13" x14ac:dyDescent="0.25">
      <c r="F1628" t="s">
        <v>3503</v>
      </c>
      <c r="G1628">
        <v>73326</v>
      </c>
      <c r="H1628">
        <v>8117</v>
      </c>
      <c r="I1628" s="25" t="s">
        <v>2018</v>
      </c>
      <c r="J1628" t="s">
        <v>2089</v>
      </c>
      <c r="M1628" s="49"/>
    </row>
    <row r="1629" spans="6:13" x14ac:dyDescent="0.25">
      <c r="F1629" t="s">
        <v>3504</v>
      </c>
      <c r="G1629">
        <v>67146</v>
      </c>
      <c r="H1629">
        <v>7332</v>
      </c>
      <c r="I1629" s="25" t="s">
        <v>2123</v>
      </c>
      <c r="J1629" t="s">
        <v>2440</v>
      </c>
      <c r="M1629" s="49"/>
    </row>
    <row r="1630" spans="6:13" x14ac:dyDescent="0.25">
      <c r="F1630" t="s">
        <v>3505</v>
      </c>
      <c r="G1630">
        <v>78586</v>
      </c>
      <c r="H1630">
        <v>8327</v>
      </c>
      <c r="I1630" s="25" t="s">
        <v>2018</v>
      </c>
      <c r="J1630" t="s">
        <v>2277</v>
      </c>
      <c r="M1630" s="49"/>
    </row>
    <row r="1631" spans="6:13" x14ac:dyDescent="0.25">
      <c r="F1631" t="s">
        <v>3506</v>
      </c>
      <c r="G1631">
        <v>92364</v>
      </c>
      <c r="H1631">
        <v>9373</v>
      </c>
      <c r="I1631" s="25" t="s">
        <v>2050</v>
      </c>
      <c r="J1631" t="s">
        <v>2891</v>
      </c>
      <c r="M1631" s="49"/>
    </row>
    <row r="1632" spans="6:13" x14ac:dyDescent="0.25">
      <c r="F1632" t="s">
        <v>3507</v>
      </c>
      <c r="G1632">
        <v>86738</v>
      </c>
      <c r="H1632">
        <v>9779</v>
      </c>
      <c r="I1632" s="25" t="s">
        <v>2050</v>
      </c>
      <c r="J1632" t="s">
        <v>2280</v>
      </c>
      <c r="M1632" s="49"/>
    </row>
    <row r="1633" spans="6:13" x14ac:dyDescent="0.25">
      <c r="F1633" t="s">
        <v>3508</v>
      </c>
      <c r="G1633">
        <v>86489</v>
      </c>
      <c r="H1633">
        <v>9774</v>
      </c>
      <c r="I1633" s="25" t="s">
        <v>2050</v>
      </c>
      <c r="J1633" t="s">
        <v>2205</v>
      </c>
      <c r="M1633" s="49"/>
    </row>
    <row r="1634" spans="6:13" x14ac:dyDescent="0.25">
      <c r="F1634" t="s">
        <v>3509</v>
      </c>
      <c r="G1634">
        <v>78652</v>
      </c>
      <c r="H1634">
        <v>8325</v>
      </c>
      <c r="I1634" s="25" t="s">
        <v>2018</v>
      </c>
      <c r="J1634" t="s">
        <v>2208</v>
      </c>
      <c r="M1634" s="49"/>
    </row>
    <row r="1635" spans="6:13" x14ac:dyDescent="0.25">
      <c r="F1635" t="s">
        <v>3510</v>
      </c>
      <c r="G1635">
        <v>73779</v>
      </c>
      <c r="H1635">
        <v>8116</v>
      </c>
      <c r="I1635" s="25" t="s">
        <v>2018</v>
      </c>
      <c r="J1635" t="s">
        <v>2213</v>
      </c>
      <c r="M1635" s="49"/>
    </row>
    <row r="1636" spans="6:13" x14ac:dyDescent="0.25">
      <c r="F1636" t="s">
        <v>3511</v>
      </c>
      <c r="G1636">
        <v>33129</v>
      </c>
      <c r="H1636">
        <v>5774</v>
      </c>
      <c r="I1636" s="25" t="s">
        <v>2023</v>
      </c>
      <c r="J1636" t="s">
        <v>2304</v>
      </c>
      <c r="M1636" s="49"/>
    </row>
    <row r="1637" spans="6:13" x14ac:dyDescent="0.25">
      <c r="F1637" t="s">
        <v>3512</v>
      </c>
      <c r="G1637">
        <v>4509</v>
      </c>
      <c r="H1637">
        <v>14730</v>
      </c>
      <c r="I1637" s="25" t="s">
        <v>2135</v>
      </c>
      <c r="J1637" t="s">
        <v>2083</v>
      </c>
      <c r="M1637" s="49"/>
    </row>
    <row r="1638" spans="6:13" x14ac:dyDescent="0.25">
      <c r="F1638" t="s">
        <v>3513</v>
      </c>
      <c r="G1638">
        <v>66503</v>
      </c>
      <c r="H1638">
        <v>7340</v>
      </c>
      <c r="I1638" s="25" t="s">
        <v>2123</v>
      </c>
      <c r="J1638" t="s">
        <v>2826</v>
      </c>
      <c r="M1638" s="49"/>
    </row>
    <row r="1639" spans="6:13" x14ac:dyDescent="0.25">
      <c r="F1639" t="s">
        <v>3514</v>
      </c>
      <c r="G1639">
        <v>25786</v>
      </c>
      <c r="H1639">
        <v>1051</v>
      </c>
      <c r="I1639" s="25" t="s">
        <v>2085</v>
      </c>
      <c r="J1639" t="s">
        <v>2097</v>
      </c>
      <c r="M1639" s="49"/>
    </row>
    <row r="1640" spans="6:13" x14ac:dyDescent="0.25">
      <c r="F1640" t="s">
        <v>3515</v>
      </c>
      <c r="G1640">
        <v>27755</v>
      </c>
      <c r="H1640">
        <v>3401</v>
      </c>
      <c r="I1640" s="25" t="s">
        <v>2074</v>
      </c>
      <c r="J1640" t="s">
        <v>2087</v>
      </c>
      <c r="M1640" s="49"/>
    </row>
    <row r="1641" spans="6:13" x14ac:dyDescent="0.25">
      <c r="F1641" t="s">
        <v>3515</v>
      </c>
      <c r="G1641">
        <v>27753</v>
      </c>
      <c r="H1641">
        <v>3401</v>
      </c>
      <c r="I1641" s="25" t="s">
        <v>2074</v>
      </c>
      <c r="J1641" t="s">
        <v>2087</v>
      </c>
      <c r="M1641" s="49"/>
    </row>
    <row r="1642" spans="6:13" x14ac:dyDescent="0.25">
      <c r="F1642" t="s">
        <v>3515</v>
      </c>
      <c r="G1642">
        <v>27755</v>
      </c>
      <c r="H1642">
        <v>3401</v>
      </c>
      <c r="I1642" s="25" t="s">
        <v>2074</v>
      </c>
      <c r="J1642" t="s">
        <v>2087</v>
      </c>
      <c r="M1642" s="49"/>
    </row>
    <row r="1643" spans="6:13" x14ac:dyDescent="0.25">
      <c r="F1643" t="s">
        <v>3515</v>
      </c>
      <c r="G1643">
        <v>27749</v>
      </c>
      <c r="H1643">
        <v>3401</v>
      </c>
      <c r="I1643" s="25" t="s">
        <v>2074</v>
      </c>
      <c r="J1643" t="s">
        <v>2087</v>
      </c>
      <c r="M1643" s="49"/>
    </row>
    <row r="1644" spans="6:13" x14ac:dyDescent="0.25">
      <c r="F1644" t="s">
        <v>3515</v>
      </c>
      <c r="G1644">
        <v>27755</v>
      </c>
      <c r="H1644">
        <v>3401</v>
      </c>
      <c r="I1644" s="25" t="s">
        <v>2074</v>
      </c>
      <c r="J1644" t="s">
        <v>2087</v>
      </c>
      <c r="M1644" s="49"/>
    </row>
    <row r="1645" spans="6:13" x14ac:dyDescent="0.25">
      <c r="F1645" t="s">
        <v>3515</v>
      </c>
      <c r="G1645">
        <v>27751</v>
      </c>
      <c r="H1645">
        <v>3401</v>
      </c>
      <c r="I1645" s="25" t="s">
        <v>2074</v>
      </c>
      <c r="J1645" t="s">
        <v>2087</v>
      </c>
      <c r="M1645" s="49"/>
    </row>
    <row r="1646" spans="6:13" x14ac:dyDescent="0.25">
      <c r="F1646" t="s">
        <v>3516</v>
      </c>
      <c r="G1646">
        <v>25788</v>
      </c>
      <c r="H1646">
        <v>1051</v>
      </c>
      <c r="I1646" s="25" t="s">
        <v>2085</v>
      </c>
      <c r="J1646" t="s">
        <v>2097</v>
      </c>
      <c r="M1646" s="49"/>
    </row>
    <row r="1647" spans="6:13" x14ac:dyDescent="0.25">
      <c r="F1647" t="s">
        <v>2090</v>
      </c>
      <c r="G1647">
        <v>17109</v>
      </c>
      <c r="H1647">
        <v>13071</v>
      </c>
      <c r="I1647" s="25" t="s">
        <v>2191</v>
      </c>
      <c r="J1647" t="s">
        <v>2091</v>
      </c>
      <c r="M1647" s="49"/>
    </row>
    <row r="1648" spans="6:13" x14ac:dyDescent="0.25">
      <c r="F1648" t="s">
        <v>3517</v>
      </c>
      <c r="G1648">
        <v>17111</v>
      </c>
      <c r="H1648">
        <v>13071</v>
      </c>
      <c r="I1648" s="25" t="s">
        <v>2191</v>
      </c>
      <c r="J1648" t="s">
        <v>2091</v>
      </c>
      <c r="M1648" s="49"/>
    </row>
    <row r="1649" spans="6:13" x14ac:dyDescent="0.25">
      <c r="F1649" t="s">
        <v>3518</v>
      </c>
      <c r="G1649">
        <v>73770</v>
      </c>
      <c r="H1649">
        <v>8116</v>
      </c>
      <c r="I1649" s="25" t="s">
        <v>2018</v>
      </c>
      <c r="J1649" t="s">
        <v>2213</v>
      </c>
      <c r="M1649" s="49"/>
    </row>
    <row r="1650" spans="6:13" x14ac:dyDescent="0.25">
      <c r="F1650" t="s">
        <v>3518</v>
      </c>
      <c r="G1650">
        <v>85095</v>
      </c>
      <c r="H1650">
        <v>9176</v>
      </c>
      <c r="I1650" s="25" t="s">
        <v>2050</v>
      </c>
      <c r="J1650" t="s">
        <v>2102</v>
      </c>
      <c r="M1650" s="49"/>
    </row>
    <row r="1651" spans="6:13" x14ac:dyDescent="0.25">
      <c r="F1651" t="s">
        <v>3519</v>
      </c>
      <c r="G1651">
        <v>78588</v>
      </c>
      <c r="H1651">
        <v>8327</v>
      </c>
      <c r="I1651" s="25" t="s">
        <v>2018</v>
      </c>
      <c r="J1651" t="s">
        <v>2277</v>
      </c>
      <c r="M1651" s="49"/>
    </row>
    <row r="1652" spans="6:13" x14ac:dyDescent="0.25">
      <c r="F1652" t="s">
        <v>3520</v>
      </c>
      <c r="G1652">
        <v>86920</v>
      </c>
      <c r="H1652">
        <v>9181</v>
      </c>
      <c r="I1652" s="25" t="s">
        <v>2050</v>
      </c>
      <c r="J1652" t="s">
        <v>2505</v>
      </c>
      <c r="M1652" s="49"/>
    </row>
    <row r="1653" spans="6:13" x14ac:dyDescent="0.25">
      <c r="F1653" t="s">
        <v>3521</v>
      </c>
      <c r="G1653">
        <v>38321</v>
      </c>
      <c r="H1653">
        <v>3158</v>
      </c>
      <c r="I1653" s="25" t="s">
        <v>2074</v>
      </c>
      <c r="J1653" t="s">
        <v>2434</v>
      </c>
      <c r="M1653" s="49"/>
    </row>
    <row r="1654" spans="6:13" x14ac:dyDescent="0.25">
      <c r="F1654" t="s">
        <v>3522</v>
      </c>
      <c r="G1654">
        <v>91599</v>
      </c>
      <c r="H1654">
        <v>9571</v>
      </c>
      <c r="I1654" s="25" t="s">
        <v>2050</v>
      </c>
      <c r="J1654" t="s">
        <v>2113</v>
      </c>
      <c r="M1654" s="49"/>
    </row>
    <row r="1655" spans="6:13" x14ac:dyDescent="0.25">
      <c r="F1655" t="s">
        <v>3523</v>
      </c>
      <c r="G1655">
        <v>79211</v>
      </c>
      <c r="H1655">
        <v>8316</v>
      </c>
      <c r="I1655" s="25" t="s">
        <v>2018</v>
      </c>
      <c r="J1655" t="s">
        <v>2764</v>
      </c>
      <c r="M1655" s="49"/>
    </row>
    <row r="1656" spans="6:13" x14ac:dyDescent="0.25">
      <c r="F1656" t="s">
        <v>3524</v>
      </c>
      <c r="G1656">
        <v>36466</v>
      </c>
      <c r="H1656">
        <v>16063</v>
      </c>
      <c r="I1656" s="25" t="s">
        <v>2384</v>
      </c>
      <c r="J1656" t="s">
        <v>2687</v>
      </c>
      <c r="M1656" s="49"/>
    </row>
    <row r="1657" spans="6:13" x14ac:dyDescent="0.25">
      <c r="F1657" t="s">
        <v>3525</v>
      </c>
      <c r="G1657">
        <v>53507</v>
      </c>
      <c r="H1657">
        <v>7131</v>
      </c>
      <c r="I1657" s="25" t="s">
        <v>2123</v>
      </c>
      <c r="J1657" t="s">
        <v>2022</v>
      </c>
      <c r="M1657" s="49"/>
    </row>
    <row r="1658" spans="6:13" x14ac:dyDescent="0.25">
      <c r="F1658" t="s">
        <v>3526</v>
      </c>
      <c r="G1658">
        <v>56428</v>
      </c>
      <c r="H1658">
        <v>7143</v>
      </c>
      <c r="I1658" s="25" t="s">
        <v>2123</v>
      </c>
      <c r="J1658" t="s">
        <v>2331</v>
      </c>
      <c r="M1658" s="49"/>
    </row>
    <row r="1659" spans="6:13" x14ac:dyDescent="0.25">
      <c r="F1659" t="s">
        <v>3527</v>
      </c>
      <c r="G1659">
        <v>26906</v>
      </c>
      <c r="H1659">
        <v>3454</v>
      </c>
      <c r="I1659" s="25" t="s">
        <v>2074</v>
      </c>
      <c r="J1659" t="s">
        <v>2118</v>
      </c>
      <c r="M1659" s="49"/>
    </row>
    <row r="1660" spans="6:13" x14ac:dyDescent="0.25">
      <c r="F1660" t="s">
        <v>3528</v>
      </c>
      <c r="G1660">
        <v>6842</v>
      </c>
      <c r="H1660">
        <v>15001</v>
      </c>
      <c r="I1660" s="25" t="s">
        <v>2241</v>
      </c>
      <c r="J1660" t="s">
        <v>3529</v>
      </c>
      <c r="M1660" s="49"/>
    </row>
    <row r="1661" spans="6:13" x14ac:dyDescent="0.25">
      <c r="F1661" t="s">
        <v>3528</v>
      </c>
      <c r="G1661">
        <v>6847</v>
      </c>
      <c r="H1661">
        <v>15001</v>
      </c>
      <c r="I1661" s="25" t="s">
        <v>2241</v>
      </c>
      <c r="J1661" t="s">
        <v>3529</v>
      </c>
      <c r="M1661" s="49"/>
    </row>
    <row r="1662" spans="6:13" x14ac:dyDescent="0.25">
      <c r="F1662" t="s">
        <v>3528</v>
      </c>
      <c r="G1662">
        <v>6842</v>
      </c>
      <c r="H1662">
        <v>15001</v>
      </c>
      <c r="I1662" s="25" t="s">
        <v>2241</v>
      </c>
      <c r="J1662" t="s">
        <v>3529</v>
      </c>
      <c r="M1662" s="49"/>
    </row>
    <row r="1663" spans="6:13" x14ac:dyDescent="0.25">
      <c r="F1663" t="s">
        <v>3528</v>
      </c>
      <c r="G1663">
        <v>6862</v>
      </c>
      <c r="H1663">
        <v>15001</v>
      </c>
      <c r="I1663" s="25" t="s">
        <v>2241</v>
      </c>
      <c r="J1663" t="s">
        <v>3529</v>
      </c>
      <c r="M1663" s="49"/>
    </row>
    <row r="1664" spans="6:13" x14ac:dyDescent="0.25">
      <c r="F1664" t="s">
        <v>3528</v>
      </c>
      <c r="G1664">
        <v>6844</v>
      </c>
      <c r="H1664">
        <v>15001</v>
      </c>
      <c r="I1664" s="25" t="s">
        <v>2241</v>
      </c>
      <c r="J1664" t="s">
        <v>3529</v>
      </c>
      <c r="M1664" s="49"/>
    </row>
    <row r="1665" spans="6:13" x14ac:dyDescent="0.25">
      <c r="F1665" t="s">
        <v>3528</v>
      </c>
      <c r="G1665">
        <v>6861</v>
      </c>
      <c r="H1665">
        <v>15001</v>
      </c>
      <c r="I1665" s="25" t="s">
        <v>2241</v>
      </c>
      <c r="J1665" t="s">
        <v>3529</v>
      </c>
      <c r="M1665" s="49"/>
    </row>
    <row r="1666" spans="6:13" x14ac:dyDescent="0.25">
      <c r="F1666" t="s">
        <v>3528</v>
      </c>
      <c r="G1666">
        <v>6849</v>
      </c>
      <c r="H1666">
        <v>15001</v>
      </c>
      <c r="I1666" s="25" t="s">
        <v>2241</v>
      </c>
      <c r="J1666" t="s">
        <v>3529</v>
      </c>
      <c r="M1666" s="49"/>
    </row>
    <row r="1667" spans="6:13" x14ac:dyDescent="0.25">
      <c r="F1667" t="s">
        <v>3528</v>
      </c>
      <c r="G1667">
        <v>6846</v>
      </c>
      <c r="H1667">
        <v>15001</v>
      </c>
      <c r="I1667" s="25" t="s">
        <v>2241</v>
      </c>
      <c r="J1667" t="s">
        <v>3529</v>
      </c>
      <c r="M1667" s="49"/>
    </row>
    <row r="1668" spans="6:13" x14ac:dyDescent="0.25">
      <c r="F1668" t="s">
        <v>3528</v>
      </c>
      <c r="G1668">
        <v>6862</v>
      </c>
      <c r="H1668">
        <v>15001</v>
      </c>
      <c r="I1668" s="25" t="s">
        <v>2241</v>
      </c>
      <c r="J1668" t="s">
        <v>3529</v>
      </c>
      <c r="M1668" s="49"/>
    </row>
    <row r="1669" spans="6:13" x14ac:dyDescent="0.25">
      <c r="F1669" t="s">
        <v>3530</v>
      </c>
      <c r="G1669">
        <v>26847</v>
      </c>
      <c r="H1669">
        <v>3457</v>
      </c>
      <c r="I1669" s="25" t="s">
        <v>2074</v>
      </c>
      <c r="J1669" t="s">
        <v>2220</v>
      </c>
      <c r="M1669" s="49"/>
    </row>
    <row r="1670" spans="6:13" x14ac:dyDescent="0.25">
      <c r="F1670" t="s">
        <v>3531</v>
      </c>
      <c r="G1670">
        <v>32758</v>
      </c>
      <c r="H1670">
        <v>5766</v>
      </c>
      <c r="I1670" s="25" t="s">
        <v>2023</v>
      </c>
      <c r="J1670" t="s">
        <v>2223</v>
      </c>
      <c r="M1670" s="49"/>
    </row>
    <row r="1671" spans="6:13" x14ac:dyDescent="0.25">
      <c r="F1671" t="s">
        <v>3531</v>
      </c>
      <c r="G1671">
        <v>32760</v>
      </c>
      <c r="H1671">
        <v>5766</v>
      </c>
      <c r="I1671" s="25" t="s">
        <v>2023</v>
      </c>
      <c r="J1671" t="s">
        <v>2223</v>
      </c>
      <c r="M1671" s="49"/>
    </row>
    <row r="1672" spans="6:13" x14ac:dyDescent="0.25">
      <c r="F1672" t="s">
        <v>3531</v>
      </c>
      <c r="G1672">
        <v>32756</v>
      </c>
      <c r="H1672">
        <v>5766</v>
      </c>
      <c r="I1672" s="25" t="s">
        <v>2023</v>
      </c>
      <c r="J1672" t="s">
        <v>2223</v>
      </c>
      <c r="M1672" s="49"/>
    </row>
    <row r="1673" spans="6:13" x14ac:dyDescent="0.25">
      <c r="F1673" t="s">
        <v>3532</v>
      </c>
      <c r="G1673">
        <v>97337</v>
      </c>
      <c r="H1673">
        <v>9675</v>
      </c>
      <c r="I1673" s="25" t="s">
        <v>2050</v>
      </c>
      <c r="J1673" t="s">
        <v>2259</v>
      </c>
      <c r="M1673" s="49"/>
    </row>
    <row r="1674" spans="6:13" x14ac:dyDescent="0.25">
      <c r="F1674" t="s">
        <v>3533</v>
      </c>
      <c r="G1674">
        <v>72135</v>
      </c>
      <c r="H1674">
        <v>8416</v>
      </c>
      <c r="I1674" s="25" t="s">
        <v>2018</v>
      </c>
      <c r="J1674" t="s">
        <v>2464</v>
      </c>
      <c r="M1674" s="49"/>
    </row>
    <row r="1675" spans="6:13" x14ac:dyDescent="0.25">
      <c r="F1675" t="s">
        <v>3534</v>
      </c>
      <c r="G1675">
        <v>76706</v>
      </c>
      <c r="H1675">
        <v>8215</v>
      </c>
      <c r="I1675" s="25" t="s">
        <v>2018</v>
      </c>
      <c r="J1675" t="s">
        <v>2724</v>
      </c>
      <c r="M1675" s="49"/>
    </row>
    <row r="1676" spans="6:13" x14ac:dyDescent="0.25">
      <c r="F1676" t="s">
        <v>3535</v>
      </c>
      <c r="G1676">
        <v>79802</v>
      </c>
      <c r="H1676">
        <v>8337</v>
      </c>
      <c r="I1676" s="25" t="s">
        <v>2018</v>
      </c>
      <c r="J1676" t="s">
        <v>2248</v>
      </c>
      <c r="M1676" s="49"/>
    </row>
    <row r="1677" spans="6:13" x14ac:dyDescent="0.25">
      <c r="F1677" t="s">
        <v>3536</v>
      </c>
      <c r="G1677">
        <v>72581</v>
      </c>
      <c r="H1677">
        <v>8415</v>
      </c>
      <c r="I1677" s="25" t="s">
        <v>2018</v>
      </c>
      <c r="J1677" t="s">
        <v>2325</v>
      </c>
      <c r="M1677" s="49"/>
    </row>
    <row r="1678" spans="6:13" x14ac:dyDescent="0.25">
      <c r="F1678" t="s">
        <v>3537</v>
      </c>
      <c r="G1678">
        <v>88451</v>
      </c>
      <c r="H1678">
        <v>8426</v>
      </c>
      <c r="I1678" s="25" t="s">
        <v>2018</v>
      </c>
      <c r="J1678" t="s">
        <v>2081</v>
      </c>
      <c r="M1678" s="49"/>
    </row>
    <row r="1679" spans="6:13" x14ac:dyDescent="0.25">
      <c r="F1679" t="s">
        <v>3538</v>
      </c>
      <c r="G1679">
        <v>73265</v>
      </c>
      <c r="H1679">
        <v>8116</v>
      </c>
      <c r="I1679" s="25" t="s">
        <v>2018</v>
      </c>
      <c r="J1679" t="s">
        <v>2213</v>
      </c>
      <c r="M1679" s="49"/>
    </row>
    <row r="1680" spans="6:13" x14ac:dyDescent="0.25">
      <c r="F1680" t="s">
        <v>3539</v>
      </c>
      <c r="G1680">
        <v>93180</v>
      </c>
      <c r="H1680">
        <v>9375</v>
      </c>
      <c r="I1680" s="25" t="s">
        <v>2050</v>
      </c>
      <c r="J1680" t="s">
        <v>2365</v>
      </c>
      <c r="M1680" s="49"/>
    </row>
    <row r="1681" spans="6:13" x14ac:dyDescent="0.25">
      <c r="F1681" t="s">
        <v>3540</v>
      </c>
      <c r="G1681">
        <v>54411</v>
      </c>
      <c r="H1681">
        <v>7231</v>
      </c>
      <c r="I1681" s="25" t="s">
        <v>2123</v>
      </c>
      <c r="J1681" t="s">
        <v>2043</v>
      </c>
      <c r="M1681" s="49"/>
    </row>
    <row r="1682" spans="6:13" x14ac:dyDescent="0.25">
      <c r="F1682" t="s">
        <v>3540</v>
      </c>
      <c r="G1682">
        <v>54411</v>
      </c>
      <c r="H1682">
        <v>7231</v>
      </c>
      <c r="I1682" s="25" t="s">
        <v>2123</v>
      </c>
      <c r="J1682" t="s">
        <v>2043</v>
      </c>
      <c r="M1682" s="49"/>
    </row>
    <row r="1683" spans="6:13" x14ac:dyDescent="0.25">
      <c r="F1683" t="s">
        <v>3540</v>
      </c>
      <c r="G1683">
        <v>54411</v>
      </c>
      <c r="H1683">
        <v>7235</v>
      </c>
      <c r="I1683" s="25" t="s">
        <v>2123</v>
      </c>
      <c r="J1683" t="s">
        <v>2395</v>
      </c>
      <c r="M1683" s="49"/>
    </row>
    <row r="1684" spans="6:13" x14ac:dyDescent="0.25">
      <c r="F1684" t="s">
        <v>3540</v>
      </c>
      <c r="G1684">
        <v>54411</v>
      </c>
      <c r="H1684">
        <v>7235</v>
      </c>
      <c r="I1684" s="25" t="s">
        <v>2123</v>
      </c>
      <c r="J1684" t="s">
        <v>2395</v>
      </c>
      <c r="M1684" s="49"/>
    </row>
    <row r="1685" spans="6:13" x14ac:dyDescent="0.25">
      <c r="F1685" t="s">
        <v>3541</v>
      </c>
      <c r="G1685">
        <v>21407</v>
      </c>
      <c r="H1685">
        <v>3355</v>
      </c>
      <c r="I1685" s="25" t="s">
        <v>2074</v>
      </c>
      <c r="J1685" t="s">
        <v>2129</v>
      </c>
      <c r="M1685" s="49"/>
    </row>
    <row r="1686" spans="6:13" x14ac:dyDescent="0.25">
      <c r="F1686" t="s">
        <v>3542</v>
      </c>
      <c r="G1686">
        <v>55483</v>
      </c>
      <c r="H1686">
        <v>7134</v>
      </c>
      <c r="I1686" s="25" t="s">
        <v>2123</v>
      </c>
      <c r="J1686" t="s">
        <v>2048</v>
      </c>
      <c r="M1686" s="49"/>
    </row>
    <row r="1687" spans="6:13" x14ac:dyDescent="0.25">
      <c r="F1687" t="s">
        <v>3542</v>
      </c>
      <c r="G1687">
        <v>55483</v>
      </c>
      <c r="H1687">
        <v>7134</v>
      </c>
      <c r="I1687" s="25" t="s">
        <v>2123</v>
      </c>
      <c r="J1687" t="s">
        <v>2048</v>
      </c>
      <c r="M1687" s="49"/>
    </row>
    <row r="1688" spans="6:13" x14ac:dyDescent="0.25">
      <c r="F1688" t="s">
        <v>3542</v>
      </c>
      <c r="G1688">
        <v>55483</v>
      </c>
      <c r="H1688">
        <v>7134</v>
      </c>
      <c r="I1688" s="25" t="s">
        <v>2123</v>
      </c>
      <c r="J1688" t="s">
        <v>2048</v>
      </c>
      <c r="M1688" s="49"/>
    </row>
    <row r="1689" spans="6:13" x14ac:dyDescent="0.25">
      <c r="F1689" t="s">
        <v>3542</v>
      </c>
      <c r="G1689">
        <v>55483</v>
      </c>
      <c r="H1689">
        <v>7134</v>
      </c>
      <c r="I1689" s="25" t="s">
        <v>2123</v>
      </c>
      <c r="J1689" t="s">
        <v>2048</v>
      </c>
      <c r="M1689" s="49"/>
    </row>
    <row r="1690" spans="6:13" x14ac:dyDescent="0.25">
      <c r="F1690" t="s">
        <v>3542</v>
      </c>
      <c r="G1690">
        <v>55483</v>
      </c>
      <c r="H1690">
        <v>7134</v>
      </c>
      <c r="I1690" s="25" t="s">
        <v>2123</v>
      </c>
      <c r="J1690" t="s">
        <v>2048</v>
      </c>
      <c r="M1690" s="49"/>
    </row>
    <row r="1691" spans="6:13" x14ac:dyDescent="0.25">
      <c r="F1691" t="s">
        <v>3542</v>
      </c>
      <c r="G1691">
        <v>55483</v>
      </c>
      <c r="H1691">
        <v>7134</v>
      </c>
      <c r="I1691" s="25" t="s">
        <v>2123</v>
      </c>
      <c r="J1691" t="s">
        <v>2048</v>
      </c>
      <c r="M1691" s="49"/>
    </row>
    <row r="1692" spans="6:13" x14ac:dyDescent="0.25">
      <c r="F1692" t="s">
        <v>3542</v>
      </c>
      <c r="G1692">
        <v>55483</v>
      </c>
      <c r="H1692">
        <v>7140</v>
      </c>
      <c r="I1692" s="25" t="s">
        <v>2123</v>
      </c>
      <c r="J1692" t="s">
        <v>2329</v>
      </c>
      <c r="M1692" s="49"/>
    </row>
    <row r="1693" spans="6:13" x14ac:dyDescent="0.25">
      <c r="F1693" t="s">
        <v>3542</v>
      </c>
      <c r="G1693">
        <v>55483</v>
      </c>
      <c r="H1693">
        <v>7140</v>
      </c>
      <c r="I1693" s="25" t="s">
        <v>2123</v>
      </c>
      <c r="J1693" t="s">
        <v>2329</v>
      </c>
      <c r="M1693" s="49"/>
    </row>
    <row r="1694" spans="6:13" x14ac:dyDescent="0.25">
      <c r="F1694" t="s">
        <v>3542</v>
      </c>
      <c r="G1694">
        <v>55483</v>
      </c>
      <c r="H1694">
        <v>7140</v>
      </c>
      <c r="I1694" s="25" t="s">
        <v>2123</v>
      </c>
      <c r="J1694" t="s">
        <v>2329</v>
      </c>
      <c r="M1694" s="49"/>
    </row>
    <row r="1695" spans="6:13" x14ac:dyDescent="0.25">
      <c r="F1695" t="s">
        <v>3542</v>
      </c>
      <c r="G1695">
        <v>55483</v>
      </c>
      <c r="H1695">
        <v>7140</v>
      </c>
      <c r="I1695" s="25" t="s">
        <v>2123</v>
      </c>
      <c r="J1695" t="s">
        <v>2329</v>
      </c>
      <c r="M1695" s="49"/>
    </row>
    <row r="1696" spans="6:13" x14ac:dyDescent="0.25">
      <c r="F1696" t="s">
        <v>3542</v>
      </c>
      <c r="G1696">
        <v>55483</v>
      </c>
      <c r="H1696">
        <v>7140</v>
      </c>
      <c r="I1696" s="25" t="s">
        <v>2123</v>
      </c>
      <c r="J1696" t="s">
        <v>2329</v>
      </c>
      <c r="M1696" s="49"/>
    </row>
    <row r="1697" spans="6:13" x14ac:dyDescent="0.25">
      <c r="F1697" t="s">
        <v>3542</v>
      </c>
      <c r="G1697">
        <v>55483</v>
      </c>
      <c r="H1697">
        <v>7140</v>
      </c>
      <c r="I1697" s="25" t="s">
        <v>2123</v>
      </c>
      <c r="J1697" t="s">
        <v>2329</v>
      </c>
      <c r="M1697" s="49"/>
    </row>
    <row r="1698" spans="6:13" x14ac:dyDescent="0.25">
      <c r="F1698" t="s">
        <v>3543</v>
      </c>
      <c r="G1698">
        <v>38530</v>
      </c>
      <c r="H1698">
        <v>3151</v>
      </c>
      <c r="I1698" s="25" t="s">
        <v>2074</v>
      </c>
      <c r="J1698" t="s">
        <v>2126</v>
      </c>
      <c r="M1698" s="49"/>
    </row>
    <row r="1699" spans="6:13" x14ac:dyDescent="0.25">
      <c r="F1699" t="s">
        <v>3544</v>
      </c>
      <c r="G1699">
        <v>64807</v>
      </c>
      <c r="H1699">
        <v>6432</v>
      </c>
      <c r="I1699" s="25" t="s">
        <v>2046</v>
      </c>
      <c r="J1699" t="s">
        <v>2338</v>
      </c>
      <c r="M1699" s="49"/>
    </row>
    <row r="1700" spans="6:13" x14ac:dyDescent="0.25">
      <c r="F1700" t="s">
        <v>3545</v>
      </c>
      <c r="G1700">
        <v>86420</v>
      </c>
      <c r="H1700">
        <v>9772</v>
      </c>
      <c r="I1700" s="25" t="s">
        <v>2050</v>
      </c>
      <c r="J1700" t="s">
        <v>2117</v>
      </c>
      <c r="M1700" s="49"/>
    </row>
    <row r="1701" spans="6:13" x14ac:dyDescent="0.25">
      <c r="F1701" t="s">
        <v>3546</v>
      </c>
      <c r="G1701">
        <v>31199</v>
      </c>
      <c r="H1701">
        <v>3254</v>
      </c>
      <c r="I1701" s="25" t="s">
        <v>2074</v>
      </c>
      <c r="J1701" t="s">
        <v>2196</v>
      </c>
      <c r="M1701" s="49"/>
    </row>
    <row r="1702" spans="6:13" x14ac:dyDescent="0.25">
      <c r="F1702" t="s">
        <v>3547</v>
      </c>
      <c r="G1702">
        <v>69234</v>
      </c>
      <c r="H1702">
        <v>8226</v>
      </c>
      <c r="I1702" s="25" t="s">
        <v>2018</v>
      </c>
      <c r="J1702" t="s">
        <v>2442</v>
      </c>
      <c r="M1702" s="49"/>
    </row>
    <row r="1703" spans="6:13" x14ac:dyDescent="0.25">
      <c r="F1703" t="s">
        <v>3548</v>
      </c>
      <c r="G1703">
        <v>67811</v>
      </c>
      <c r="H1703">
        <v>7333</v>
      </c>
      <c r="I1703" s="25" t="s">
        <v>2123</v>
      </c>
      <c r="J1703" t="s">
        <v>2103</v>
      </c>
      <c r="M1703" s="49"/>
    </row>
    <row r="1704" spans="6:13" x14ac:dyDescent="0.25">
      <c r="F1704" t="s">
        <v>3549</v>
      </c>
      <c r="G1704">
        <v>37633</v>
      </c>
      <c r="H1704">
        <v>3255</v>
      </c>
      <c r="I1704" s="25" t="s">
        <v>2074</v>
      </c>
      <c r="J1704" t="s">
        <v>3044</v>
      </c>
      <c r="M1704" s="49"/>
    </row>
    <row r="1705" spans="6:13" x14ac:dyDescent="0.25">
      <c r="F1705" t="s">
        <v>3550</v>
      </c>
      <c r="G1705">
        <v>34519</v>
      </c>
      <c r="H1705">
        <v>6635</v>
      </c>
      <c r="I1705" s="25" t="s">
        <v>2046</v>
      </c>
      <c r="J1705" t="s">
        <v>2308</v>
      </c>
      <c r="M1705" s="49"/>
    </row>
    <row r="1706" spans="6:13" x14ac:dyDescent="0.25">
      <c r="F1706" t="s">
        <v>3551</v>
      </c>
      <c r="G1706">
        <v>34474</v>
      </c>
      <c r="H1706">
        <v>6635</v>
      </c>
      <c r="I1706" s="25" t="s">
        <v>2046</v>
      </c>
      <c r="J1706" t="s">
        <v>2308</v>
      </c>
      <c r="M1706" s="49"/>
    </row>
    <row r="1707" spans="6:13" x14ac:dyDescent="0.25">
      <c r="F1707" t="s">
        <v>3552</v>
      </c>
      <c r="G1707">
        <v>31603</v>
      </c>
      <c r="H1707">
        <v>3256</v>
      </c>
      <c r="I1707" s="25" t="s">
        <v>2074</v>
      </c>
      <c r="J1707" t="s">
        <v>2271</v>
      </c>
      <c r="M1707" s="49"/>
    </row>
    <row r="1708" spans="6:13" x14ac:dyDescent="0.25">
      <c r="F1708" t="s">
        <v>2094</v>
      </c>
      <c r="G1708">
        <v>49356</v>
      </c>
      <c r="H1708">
        <v>3251</v>
      </c>
      <c r="I1708" s="25" t="s">
        <v>2074</v>
      </c>
      <c r="J1708" t="s">
        <v>2094</v>
      </c>
      <c r="M1708" s="49"/>
    </row>
    <row r="1709" spans="6:13" x14ac:dyDescent="0.25">
      <c r="F1709" t="s">
        <v>3553</v>
      </c>
      <c r="G1709">
        <v>56269</v>
      </c>
      <c r="H1709">
        <v>7138</v>
      </c>
      <c r="I1709" s="25" t="s">
        <v>2123</v>
      </c>
      <c r="J1709" t="s">
        <v>2489</v>
      </c>
      <c r="M1709" s="49"/>
    </row>
    <row r="1710" spans="6:13" x14ac:dyDescent="0.25">
      <c r="F1710" t="s">
        <v>3553</v>
      </c>
      <c r="G1710">
        <v>56269</v>
      </c>
      <c r="H1710">
        <v>7138</v>
      </c>
      <c r="I1710" s="25" t="s">
        <v>2123</v>
      </c>
      <c r="J1710" t="s">
        <v>2489</v>
      </c>
      <c r="M1710" s="49"/>
    </row>
    <row r="1711" spans="6:13" x14ac:dyDescent="0.25">
      <c r="F1711" t="s">
        <v>3554</v>
      </c>
      <c r="G1711">
        <v>18347</v>
      </c>
      <c r="H1711">
        <v>13073</v>
      </c>
      <c r="I1711" s="25" t="s">
        <v>2191</v>
      </c>
      <c r="J1711" t="s">
        <v>2192</v>
      </c>
      <c r="M1711" s="49"/>
    </row>
    <row r="1712" spans="6:13" x14ac:dyDescent="0.25">
      <c r="F1712" t="s">
        <v>3555</v>
      </c>
      <c r="G1712">
        <v>91456</v>
      </c>
      <c r="H1712">
        <v>9575</v>
      </c>
      <c r="I1712" s="25" t="s">
        <v>2050</v>
      </c>
      <c r="J1712" t="s">
        <v>2749</v>
      </c>
      <c r="M1712" s="49"/>
    </row>
    <row r="1713" spans="6:13" x14ac:dyDescent="0.25">
      <c r="F1713" t="s">
        <v>3556</v>
      </c>
      <c r="G1713">
        <v>86911</v>
      </c>
      <c r="H1713">
        <v>9181</v>
      </c>
      <c r="I1713" s="25" t="s">
        <v>2050</v>
      </c>
      <c r="J1713" t="s">
        <v>2505</v>
      </c>
      <c r="M1713" s="49"/>
    </row>
    <row r="1714" spans="6:13" x14ac:dyDescent="0.25">
      <c r="F1714" t="s">
        <v>3557</v>
      </c>
      <c r="G1714">
        <v>89165</v>
      </c>
      <c r="H1714">
        <v>8425</v>
      </c>
      <c r="I1714" s="25" t="s">
        <v>2018</v>
      </c>
      <c r="J1714" t="s">
        <v>2027</v>
      </c>
      <c r="M1714" s="49"/>
    </row>
    <row r="1715" spans="6:13" x14ac:dyDescent="0.25">
      <c r="F1715" t="s">
        <v>3557</v>
      </c>
      <c r="G1715">
        <v>89165</v>
      </c>
      <c r="H1715">
        <v>8426</v>
      </c>
      <c r="I1715" s="25" t="s">
        <v>2018</v>
      </c>
      <c r="J1715" t="s">
        <v>2081</v>
      </c>
      <c r="M1715" s="49"/>
    </row>
    <row r="1716" spans="6:13" x14ac:dyDescent="0.25">
      <c r="F1716" t="s">
        <v>3558</v>
      </c>
      <c r="G1716">
        <v>90599</v>
      </c>
      <c r="H1716">
        <v>9571</v>
      </c>
      <c r="I1716" s="25" t="s">
        <v>2050</v>
      </c>
      <c r="J1716" t="s">
        <v>2113</v>
      </c>
      <c r="M1716" s="49"/>
    </row>
    <row r="1717" spans="6:13" x14ac:dyDescent="0.25">
      <c r="F1717" t="s">
        <v>3559</v>
      </c>
      <c r="G1717">
        <v>84378</v>
      </c>
      <c r="H1717">
        <v>9277</v>
      </c>
      <c r="I1717" s="25" t="s">
        <v>2050</v>
      </c>
      <c r="J1717" t="s">
        <v>2529</v>
      </c>
      <c r="M1717" s="49"/>
    </row>
    <row r="1718" spans="6:13" x14ac:dyDescent="0.25">
      <c r="F1718" t="s">
        <v>3560</v>
      </c>
      <c r="G1718">
        <v>91463</v>
      </c>
      <c r="H1718">
        <v>9575</v>
      </c>
      <c r="I1718" s="25" t="s">
        <v>2050</v>
      </c>
      <c r="J1718" t="s">
        <v>2749</v>
      </c>
      <c r="M1718" s="49"/>
    </row>
    <row r="1719" spans="6:13" x14ac:dyDescent="0.25">
      <c r="F1719" t="s">
        <v>3561</v>
      </c>
      <c r="G1719">
        <v>92542</v>
      </c>
      <c r="H1719">
        <v>9376</v>
      </c>
      <c r="I1719" s="25" t="s">
        <v>2050</v>
      </c>
      <c r="J1719" t="s">
        <v>2390</v>
      </c>
      <c r="M1719" s="49"/>
    </row>
    <row r="1720" spans="6:13" x14ac:dyDescent="0.25">
      <c r="F1720" t="s">
        <v>3562</v>
      </c>
      <c r="G1720">
        <v>92345</v>
      </c>
      <c r="H1720">
        <v>9373</v>
      </c>
      <c r="I1720" s="25" t="s">
        <v>2050</v>
      </c>
      <c r="J1720" t="s">
        <v>2891</v>
      </c>
      <c r="M1720" s="49"/>
    </row>
    <row r="1721" spans="6:13" x14ac:dyDescent="0.25">
      <c r="F1721" t="s">
        <v>3563</v>
      </c>
      <c r="G1721">
        <v>78661</v>
      </c>
      <c r="H1721">
        <v>8325</v>
      </c>
      <c r="I1721" s="25" t="s">
        <v>2018</v>
      </c>
      <c r="J1721" t="s">
        <v>2208</v>
      </c>
      <c r="M1721" s="49"/>
    </row>
    <row r="1722" spans="6:13" x14ac:dyDescent="0.25">
      <c r="F1722" t="s">
        <v>3564</v>
      </c>
      <c r="G1722">
        <v>87463</v>
      </c>
      <c r="H1722">
        <v>9780</v>
      </c>
      <c r="I1722" s="25" t="s">
        <v>2050</v>
      </c>
      <c r="J1722" t="s">
        <v>2278</v>
      </c>
      <c r="M1722" s="49"/>
    </row>
    <row r="1723" spans="6:13" x14ac:dyDescent="0.25">
      <c r="F1723" t="s">
        <v>3565</v>
      </c>
      <c r="G1723">
        <v>83623</v>
      </c>
      <c r="H1723">
        <v>9173</v>
      </c>
      <c r="I1723" s="25" t="s">
        <v>2050</v>
      </c>
      <c r="J1723" t="s">
        <v>2659</v>
      </c>
      <c r="M1723" s="49"/>
    </row>
    <row r="1724" spans="6:13" x14ac:dyDescent="0.25">
      <c r="F1724" t="s">
        <v>3566</v>
      </c>
      <c r="G1724">
        <v>63128</v>
      </c>
      <c r="H1724">
        <v>6438</v>
      </c>
      <c r="I1724" s="25" t="s">
        <v>2046</v>
      </c>
      <c r="J1724" t="s">
        <v>3567</v>
      </c>
      <c r="M1724" s="49"/>
    </row>
    <row r="1725" spans="6:13" x14ac:dyDescent="0.25">
      <c r="F1725" t="s">
        <v>3568</v>
      </c>
      <c r="G1725">
        <v>35716</v>
      </c>
      <c r="H1725">
        <v>6532</v>
      </c>
      <c r="I1725" s="25" t="s">
        <v>2046</v>
      </c>
      <c r="J1725" t="s">
        <v>2555</v>
      </c>
      <c r="M1725" s="49"/>
    </row>
    <row r="1726" spans="6:13" x14ac:dyDescent="0.25">
      <c r="F1726" t="s">
        <v>3569</v>
      </c>
      <c r="G1726">
        <v>65582</v>
      </c>
      <c r="H1726">
        <v>7141</v>
      </c>
      <c r="I1726" s="25" t="s">
        <v>2123</v>
      </c>
      <c r="J1726" t="s">
        <v>2388</v>
      </c>
      <c r="M1726" s="49"/>
    </row>
    <row r="1727" spans="6:13" x14ac:dyDescent="0.25">
      <c r="F1727" t="s">
        <v>3570</v>
      </c>
      <c r="G1727">
        <v>35684</v>
      </c>
      <c r="H1727">
        <v>6532</v>
      </c>
      <c r="I1727" s="25" t="s">
        <v>2046</v>
      </c>
      <c r="J1727" t="s">
        <v>2555</v>
      </c>
      <c r="M1727" s="49"/>
    </row>
    <row r="1728" spans="6:13" x14ac:dyDescent="0.25">
      <c r="F1728" t="s">
        <v>3570</v>
      </c>
      <c r="G1728">
        <v>35685</v>
      </c>
      <c r="H1728">
        <v>6532</v>
      </c>
      <c r="I1728" s="25" t="s">
        <v>2046</v>
      </c>
      <c r="J1728" t="s">
        <v>2555</v>
      </c>
      <c r="M1728" s="49"/>
    </row>
    <row r="1729" spans="6:13" x14ac:dyDescent="0.25">
      <c r="F1729" t="s">
        <v>3570</v>
      </c>
      <c r="G1729">
        <v>35683</v>
      </c>
      <c r="H1729">
        <v>6532</v>
      </c>
      <c r="I1729" s="25" t="s">
        <v>2046</v>
      </c>
      <c r="J1729" t="s">
        <v>2555</v>
      </c>
      <c r="M1729" s="49"/>
    </row>
    <row r="1730" spans="6:13" x14ac:dyDescent="0.25">
      <c r="F1730" t="s">
        <v>3570</v>
      </c>
      <c r="G1730">
        <v>35687</v>
      </c>
      <c r="H1730">
        <v>6532</v>
      </c>
      <c r="I1730" s="25" t="s">
        <v>2046</v>
      </c>
      <c r="J1730" t="s">
        <v>2555</v>
      </c>
      <c r="M1730" s="49"/>
    </row>
    <row r="1731" spans="6:13" x14ac:dyDescent="0.25">
      <c r="F1731" t="s">
        <v>3570</v>
      </c>
      <c r="G1731">
        <v>35690</v>
      </c>
      <c r="H1731">
        <v>6532</v>
      </c>
      <c r="I1731" s="25" t="s">
        <v>2046</v>
      </c>
      <c r="J1731" t="s">
        <v>2555</v>
      </c>
      <c r="M1731" s="49"/>
    </row>
    <row r="1732" spans="6:13" x14ac:dyDescent="0.25">
      <c r="F1732" t="s">
        <v>3570</v>
      </c>
      <c r="G1732">
        <v>35689</v>
      </c>
      <c r="H1732">
        <v>6532</v>
      </c>
      <c r="I1732" s="25" t="s">
        <v>2046</v>
      </c>
      <c r="J1732" t="s">
        <v>2555</v>
      </c>
      <c r="M1732" s="49"/>
    </row>
    <row r="1733" spans="6:13" x14ac:dyDescent="0.25">
      <c r="F1733" t="s">
        <v>3570</v>
      </c>
      <c r="G1733">
        <v>35688</v>
      </c>
      <c r="H1733">
        <v>6532</v>
      </c>
      <c r="I1733" s="25" t="s">
        <v>2046</v>
      </c>
      <c r="J1733" t="s">
        <v>2555</v>
      </c>
      <c r="M1733" s="49"/>
    </row>
    <row r="1734" spans="6:13" x14ac:dyDescent="0.25">
      <c r="F1734" t="s">
        <v>3570</v>
      </c>
      <c r="G1734">
        <v>35686</v>
      </c>
      <c r="H1734">
        <v>6532</v>
      </c>
      <c r="I1734" s="25" t="s">
        <v>2046</v>
      </c>
      <c r="J1734" t="s">
        <v>2555</v>
      </c>
      <c r="M1734" s="49"/>
    </row>
    <row r="1735" spans="6:13" x14ac:dyDescent="0.25">
      <c r="F1735" t="s">
        <v>2231</v>
      </c>
      <c r="G1735">
        <v>89407</v>
      </c>
      <c r="H1735">
        <v>9773</v>
      </c>
      <c r="I1735" s="25" t="s">
        <v>2050</v>
      </c>
      <c r="J1735" t="s">
        <v>2231</v>
      </c>
      <c r="M1735" s="49"/>
    </row>
    <row r="1736" spans="6:13" x14ac:dyDescent="0.25">
      <c r="F1736" t="s">
        <v>3571</v>
      </c>
      <c r="G1736">
        <v>66763</v>
      </c>
      <c r="H1736">
        <v>10044</v>
      </c>
      <c r="I1736" s="25" t="s">
        <v>2849</v>
      </c>
      <c r="J1736" t="s">
        <v>3222</v>
      </c>
      <c r="M1736" s="49"/>
    </row>
    <row r="1737" spans="6:13" x14ac:dyDescent="0.25">
      <c r="F1737" t="s">
        <v>3572</v>
      </c>
      <c r="G1737">
        <v>37351</v>
      </c>
      <c r="H1737">
        <v>16061</v>
      </c>
      <c r="I1737" s="25" t="s">
        <v>2384</v>
      </c>
      <c r="J1737" t="s">
        <v>2109</v>
      </c>
      <c r="M1737" s="49"/>
    </row>
    <row r="1738" spans="6:13" x14ac:dyDescent="0.25">
      <c r="F1738" t="s">
        <v>3573</v>
      </c>
      <c r="G1738">
        <v>84130</v>
      </c>
      <c r="H1738">
        <v>9279</v>
      </c>
      <c r="I1738" s="25" t="s">
        <v>2050</v>
      </c>
      <c r="J1738" t="s">
        <v>3574</v>
      </c>
      <c r="M1738" s="49"/>
    </row>
    <row r="1739" spans="6:13" x14ac:dyDescent="0.25">
      <c r="F1739" t="s">
        <v>3575</v>
      </c>
      <c r="G1739">
        <v>97497</v>
      </c>
      <c r="H1739">
        <v>9678</v>
      </c>
      <c r="I1739" s="25" t="s">
        <v>2050</v>
      </c>
      <c r="J1739" t="s">
        <v>2918</v>
      </c>
      <c r="M1739" s="49"/>
    </row>
    <row r="1740" spans="6:13" x14ac:dyDescent="0.25">
      <c r="F1740" t="s">
        <v>3576</v>
      </c>
      <c r="G1740">
        <v>91550</v>
      </c>
      <c r="H1740">
        <v>9571</v>
      </c>
      <c r="I1740" s="25" t="s">
        <v>2050</v>
      </c>
      <c r="J1740" t="s">
        <v>2113</v>
      </c>
      <c r="M1740" s="49"/>
    </row>
    <row r="1741" spans="6:13" x14ac:dyDescent="0.25">
      <c r="F1741" t="s">
        <v>3577</v>
      </c>
      <c r="G1741">
        <v>86424</v>
      </c>
      <c r="H1741">
        <v>9772</v>
      </c>
      <c r="I1741" s="25" t="s">
        <v>2050</v>
      </c>
      <c r="J1741" t="s">
        <v>2117</v>
      </c>
      <c r="M1741" s="49"/>
    </row>
    <row r="1742" spans="6:13" x14ac:dyDescent="0.25">
      <c r="F1742" t="s">
        <v>3578</v>
      </c>
      <c r="G1742">
        <v>49413</v>
      </c>
      <c r="H1742">
        <v>3460</v>
      </c>
      <c r="I1742" s="25" t="s">
        <v>2074</v>
      </c>
      <c r="J1742" t="s">
        <v>2408</v>
      </c>
      <c r="M1742" s="49"/>
    </row>
    <row r="1743" spans="6:13" x14ac:dyDescent="0.25">
      <c r="F1743" t="s">
        <v>3579</v>
      </c>
      <c r="G1743">
        <v>46535</v>
      </c>
      <c r="H1743">
        <v>5170</v>
      </c>
      <c r="I1743" s="25" t="s">
        <v>2023</v>
      </c>
      <c r="J1743" t="s">
        <v>2328</v>
      </c>
      <c r="M1743" s="49"/>
    </row>
    <row r="1744" spans="6:13" x14ac:dyDescent="0.25">
      <c r="F1744" t="s">
        <v>3579</v>
      </c>
      <c r="G1744">
        <v>46537</v>
      </c>
      <c r="H1744">
        <v>5170</v>
      </c>
      <c r="I1744" s="25" t="s">
        <v>2023</v>
      </c>
      <c r="J1744" t="s">
        <v>2328</v>
      </c>
      <c r="M1744" s="49"/>
    </row>
    <row r="1745" spans="6:13" x14ac:dyDescent="0.25">
      <c r="F1745" t="s">
        <v>3579</v>
      </c>
      <c r="G1745">
        <v>46539</v>
      </c>
      <c r="H1745">
        <v>5170</v>
      </c>
      <c r="I1745" s="25" t="s">
        <v>2023</v>
      </c>
      <c r="J1745" t="s">
        <v>2328</v>
      </c>
      <c r="M1745" s="49"/>
    </row>
    <row r="1746" spans="6:13" x14ac:dyDescent="0.25">
      <c r="F1746" t="s">
        <v>3580</v>
      </c>
      <c r="G1746">
        <v>36160</v>
      </c>
      <c r="H1746">
        <v>6631</v>
      </c>
      <c r="I1746" s="25" t="s">
        <v>2046</v>
      </c>
      <c r="J1746" t="s">
        <v>2145</v>
      </c>
      <c r="M1746" s="49"/>
    </row>
    <row r="1747" spans="6:13" x14ac:dyDescent="0.25">
      <c r="F1747" t="s">
        <v>3581</v>
      </c>
      <c r="G1747">
        <v>1744</v>
      </c>
      <c r="H1747">
        <v>14628</v>
      </c>
      <c r="I1747" s="25" t="s">
        <v>2135</v>
      </c>
      <c r="J1747" t="s">
        <v>2347</v>
      </c>
      <c r="M1747" s="49"/>
    </row>
    <row r="1748" spans="6:13" x14ac:dyDescent="0.25">
      <c r="F1748" t="s">
        <v>3582</v>
      </c>
      <c r="G1748">
        <v>67246</v>
      </c>
      <c r="H1748">
        <v>7332</v>
      </c>
      <c r="I1748" s="25" t="s">
        <v>2123</v>
      </c>
      <c r="J1748" t="s">
        <v>2440</v>
      </c>
      <c r="M1748" s="49"/>
    </row>
    <row r="1749" spans="6:13" x14ac:dyDescent="0.25">
      <c r="F1749" t="s">
        <v>3583</v>
      </c>
      <c r="G1749">
        <v>89561</v>
      </c>
      <c r="H1749">
        <v>8135</v>
      </c>
      <c r="I1749" s="25" t="s">
        <v>2018</v>
      </c>
      <c r="J1749" t="s">
        <v>2816</v>
      </c>
      <c r="M1749" s="49"/>
    </row>
    <row r="1750" spans="6:13" x14ac:dyDescent="0.25">
      <c r="F1750" t="s">
        <v>3584</v>
      </c>
      <c r="G1750">
        <v>49201</v>
      </c>
      <c r="H1750">
        <v>3459</v>
      </c>
      <c r="I1750" s="25" t="s">
        <v>2074</v>
      </c>
      <c r="J1750" t="s">
        <v>2292</v>
      </c>
      <c r="M1750" s="49"/>
    </row>
    <row r="1751" spans="6:13" x14ac:dyDescent="0.25">
      <c r="F1751" t="s">
        <v>3585</v>
      </c>
      <c r="G1751">
        <v>97456</v>
      </c>
      <c r="H1751">
        <v>9678</v>
      </c>
      <c r="I1751" s="25" t="s">
        <v>2050</v>
      </c>
      <c r="J1751" t="s">
        <v>2918</v>
      </c>
      <c r="M1751" s="49"/>
    </row>
    <row r="1752" spans="6:13" x14ac:dyDescent="0.25">
      <c r="F1752" t="s">
        <v>3586</v>
      </c>
      <c r="G1752">
        <v>67596</v>
      </c>
      <c r="H1752">
        <v>7331</v>
      </c>
      <c r="I1752" s="25" t="s">
        <v>2123</v>
      </c>
      <c r="J1752" t="s">
        <v>2029</v>
      </c>
      <c r="M1752" s="49"/>
    </row>
    <row r="1753" spans="6:13" x14ac:dyDescent="0.25">
      <c r="F1753" t="s">
        <v>3587</v>
      </c>
      <c r="G1753">
        <v>91723</v>
      </c>
      <c r="H1753">
        <v>9577</v>
      </c>
      <c r="I1753" s="25" t="s">
        <v>2050</v>
      </c>
      <c r="J1753" t="s">
        <v>2057</v>
      </c>
      <c r="M1753" s="49"/>
    </row>
    <row r="1754" spans="6:13" x14ac:dyDescent="0.25">
      <c r="F1754" t="s">
        <v>3588</v>
      </c>
      <c r="G1754">
        <v>71254</v>
      </c>
      <c r="H1754">
        <v>8118</v>
      </c>
      <c r="I1754" s="25" t="s">
        <v>2018</v>
      </c>
      <c r="J1754" t="s">
        <v>2142</v>
      </c>
      <c r="M1754" s="49"/>
    </row>
    <row r="1755" spans="6:13" x14ac:dyDescent="0.25">
      <c r="F1755" t="s">
        <v>3589</v>
      </c>
      <c r="G1755">
        <v>75335</v>
      </c>
      <c r="H1755">
        <v>8235</v>
      </c>
      <c r="I1755" s="25" t="s">
        <v>2018</v>
      </c>
      <c r="J1755" t="s">
        <v>2422</v>
      </c>
      <c r="M1755" s="49"/>
    </row>
    <row r="1756" spans="6:13" x14ac:dyDescent="0.25">
      <c r="F1756" t="s">
        <v>3590</v>
      </c>
      <c r="G1756">
        <v>4720</v>
      </c>
      <c r="H1756">
        <v>14522</v>
      </c>
      <c r="I1756" s="25" t="s">
        <v>2135</v>
      </c>
      <c r="J1756" t="s">
        <v>2100</v>
      </c>
      <c r="M1756" s="49"/>
    </row>
    <row r="1757" spans="6:13" x14ac:dyDescent="0.25">
      <c r="F1757" t="s">
        <v>3591</v>
      </c>
      <c r="G1757">
        <v>3253</v>
      </c>
      <c r="H1757">
        <v>12062</v>
      </c>
      <c r="I1757" s="25" t="s">
        <v>2356</v>
      </c>
      <c r="J1757" t="s">
        <v>2689</v>
      </c>
      <c r="M1757" s="49"/>
    </row>
    <row r="1758" spans="6:13" x14ac:dyDescent="0.25">
      <c r="F1758" t="s">
        <v>3592</v>
      </c>
      <c r="G1758">
        <v>3159</v>
      </c>
      <c r="H1758">
        <v>12071</v>
      </c>
      <c r="I1758" s="25" t="s">
        <v>2356</v>
      </c>
      <c r="J1758" t="s">
        <v>3364</v>
      </c>
      <c r="M1758" s="49"/>
    </row>
    <row r="1759" spans="6:13" x14ac:dyDescent="0.25">
      <c r="F1759" t="s">
        <v>3593</v>
      </c>
      <c r="G1759">
        <v>2692</v>
      </c>
      <c r="H1759">
        <v>14625</v>
      </c>
      <c r="I1759" s="25" t="s">
        <v>2135</v>
      </c>
      <c r="J1759" t="s">
        <v>2041</v>
      </c>
      <c r="M1759" s="49"/>
    </row>
    <row r="1760" spans="6:13" x14ac:dyDescent="0.25">
      <c r="F1760" t="s">
        <v>3594</v>
      </c>
      <c r="G1760">
        <v>79804</v>
      </c>
      <c r="H1760">
        <v>8337</v>
      </c>
      <c r="I1760" s="25" t="s">
        <v>2018</v>
      </c>
      <c r="J1760" t="s">
        <v>2248</v>
      </c>
      <c r="M1760" s="49"/>
    </row>
    <row r="1761" spans="6:13" x14ac:dyDescent="0.25">
      <c r="F1761" t="s">
        <v>3595</v>
      </c>
      <c r="G1761">
        <v>95182</v>
      </c>
      <c r="H1761">
        <v>9475</v>
      </c>
      <c r="I1761" s="25" t="s">
        <v>2050</v>
      </c>
      <c r="J1761" t="s">
        <v>2201</v>
      </c>
      <c r="M1761" s="49"/>
    </row>
    <row r="1762" spans="6:13" x14ac:dyDescent="0.25">
      <c r="F1762" t="s">
        <v>3596</v>
      </c>
      <c r="G1762">
        <v>21739</v>
      </c>
      <c r="H1762">
        <v>3359</v>
      </c>
      <c r="I1762" s="25" t="s">
        <v>2074</v>
      </c>
      <c r="J1762" t="s">
        <v>2158</v>
      </c>
      <c r="M1762" s="49"/>
    </row>
    <row r="1763" spans="6:13" x14ac:dyDescent="0.25">
      <c r="F1763" t="s">
        <v>3597</v>
      </c>
      <c r="G1763">
        <v>24989</v>
      </c>
      <c r="H1763">
        <v>1059</v>
      </c>
      <c r="I1763" s="25" t="s">
        <v>2085</v>
      </c>
      <c r="J1763" t="s">
        <v>2354</v>
      </c>
      <c r="M1763" s="49"/>
    </row>
    <row r="1764" spans="6:13" x14ac:dyDescent="0.25">
      <c r="F1764" t="s">
        <v>3598</v>
      </c>
      <c r="G1764">
        <v>91795</v>
      </c>
      <c r="H1764">
        <v>9176</v>
      </c>
      <c r="I1764" s="25" t="s">
        <v>2050</v>
      </c>
      <c r="J1764" t="s">
        <v>2102</v>
      </c>
      <c r="M1764" s="49"/>
    </row>
    <row r="1765" spans="6:13" x14ac:dyDescent="0.25">
      <c r="F1765" t="s">
        <v>3599</v>
      </c>
      <c r="G1765">
        <v>91601</v>
      </c>
      <c r="H1765">
        <v>9571</v>
      </c>
      <c r="I1765" s="25" t="s">
        <v>2050</v>
      </c>
      <c r="J1765" t="s">
        <v>2113</v>
      </c>
      <c r="M1765" s="49"/>
    </row>
    <row r="1766" spans="6:13" x14ac:dyDescent="0.25">
      <c r="F1766" t="s">
        <v>3600</v>
      </c>
      <c r="G1766">
        <v>19303</v>
      </c>
      <c r="H1766">
        <v>13076</v>
      </c>
      <c r="I1766" s="25" t="s">
        <v>2191</v>
      </c>
      <c r="J1766" t="s">
        <v>2234</v>
      </c>
      <c r="M1766" s="49"/>
    </row>
    <row r="1767" spans="6:13" x14ac:dyDescent="0.25">
      <c r="F1767" t="s">
        <v>3601</v>
      </c>
      <c r="G1767">
        <v>4880</v>
      </c>
      <c r="H1767">
        <v>14730</v>
      </c>
      <c r="I1767" s="25" t="s">
        <v>2135</v>
      </c>
      <c r="J1767" t="s">
        <v>2083</v>
      </c>
      <c r="M1767" s="49"/>
    </row>
    <row r="1768" spans="6:13" x14ac:dyDescent="0.25">
      <c r="F1768" t="s">
        <v>3602</v>
      </c>
      <c r="G1768">
        <v>19374</v>
      </c>
      <c r="H1768">
        <v>13076</v>
      </c>
      <c r="I1768" s="25" t="s">
        <v>2191</v>
      </c>
      <c r="J1768" t="s">
        <v>2234</v>
      </c>
      <c r="M1768" s="49"/>
    </row>
    <row r="1769" spans="6:13" x14ac:dyDescent="0.25">
      <c r="F1769" t="s">
        <v>3603</v>
      </c>
      <c r="G1769">
        <v>78166</v>
      </c>
      <c r="H1769">
        <v>8326</v>
      </c>
      <c r="I1769" s="25" t="s">
        <v>2018</v>
      </c>
      <c r="J1769" t="s">
        <v>2638</v>
      </c>
      <c r="M1769" s="49"/>
    </row>
    <row r="1770" spans="6:13" x14ac:dyDescent="0.25">
      <c r="F1770" t="s">
        <v>3603</v>
      </c>
      <c r="G1770">
        <v>78166</v>
      </c>
      <c r="H1770">
        <v>8326</v>
      </c>
      <c r="I1770" s="25" t="s">
        <v>2018</v>
      </c>
      <c r="J1770" t="s">
        <v>2638</v>
      </c>
      <c r="M1770" s="49"/>
    </row>
    <row r="1771" spans="6:13" x14ac:dyDescent="0.25">
      <c r="F1771" t="s">
        <v>3604</v>
      </c>
      <c r="G1771">
        <v>93093</v>
      </c>
      <c r="H1771">
        <v>9375</v>
      </c>
      <c r="I1771" s="25" t="s">
        <v>2050</v>
      </c>
      <c r="J1771" t="s">
        <v>2365</v>
      </c>
      <c r="M1771" s="49"/>
    </row>
    <row r="1772" spans="6:13" x14ac:dyDescent="0.25">
      <c r="F1772" t="s">
        <v>3605</v>
      </c>
      <c r="G1772">
        <v>86609</v>
      </c>
      <c r="H1772">
        <v>9779</v>
      </c>
      <c r="I1772" s="25" t="s">
        <v>2050</v>
      </c>
      <c r="J1772" t="s">
        <v>2280</v>
      </c>
      <c r="M1772" s="49"/>
    </row>
    <row r="1773" spans="6:13" x14ac:dyDescent="0.25">
      <c r="F1773" t="s">
        <v>3606</v>
      </c>
      <c r="G1773">
        <v>97499</v>
      </c>
      <c r="H1773">
        <v>9678</v>
      </c>
      <c r="I1773" s="25" t="s">
        <v>2050</v>
      </c>
      <c r="J1773" t="s">
        <v>2918</v>
      </c>
      <c r="M1773" s="49"/>
    </row>
    <row r="1774" spans="6:13" x14ac:dyDescent="0.25">
      <c r="F1774" t="s">
        <v>3607</v>
      </c>
      <c r="G1774">
        <v>73072</v>
      </c>
      <c r="H1774">
        <v>8117</v>
      </c>
      <c r="I1774" s="25" t="s">
        <v>2018</v>
      </c>
      <c r="J1774" t="s">
        <v>2089</v>
      </c>
      <c r="M1774" s="49"/>
    </row>
    <row r="1775" spans="6:13" x14ac:dyDescent="0.25">
      <c r="F1775" t="s">
        <v>3607</v>
      </c>
      <c r="G1775">
        <v>73072</v>
      </c>
      <c r="H1775">
        <v>8136</v>
      </c>
      <c r="I1775" s="25" t="s">
        <v>2018</v>
      </c>
      <c r="J1775" t="s">
        <v>2039</v>
      </c>
      <c r="M1775" s="49"/>
    </row>
    <row r="1776" spans="6:13" x14ac:dyDescent="0.25">
      <c r="F1776" t="s">
        <v>3608</v>
      </c>
      <c r="G1776">
        <v>32694</v>
      </c>
      <c r="H1776">
        <v>5766</v>
      </c>
      <c r="I1776" s="25" t="s">
        <v>2023</v>
      </c>
      <c r="J1776" t="s">
        <v>2223</v>
      </c>
      <c r="M1776" s="49"/>
    </row>
    <row r="1777" spans="6:13" x14ac:dyDescent="0.25">
      <c r="F1777" t="s">
        <v>3609</v>
      </c>
      <c r="G1777">
        <v>23972</v>
      </c>
      <c r="H1777">
        <v>13074</v>
      </c>
      <c r="I1777" s="25" t="s">
        <v>2191</v>
      </c>
      <c r="J1777" t="s">
        <v>2275</v>
      </c>
      <c r="M1777" s="49"/>
    </row>
    <row r="1778" spans="6:13" x14ac:dyDescent="0.25">
      <c r="F1778" t="s">
        <v>3610</v>
      </c>
      <c r="G1778">
        <v>9619</v>
      </c>
      <c r="H1778">
        <v>14522</v>
      </c>
      <c r="I1778" s="25" t="s">
        <v>2135</v>
      </c>
      <c r="J1778" t="s">
        <v>2100</v>
      </c>
      <c r="M1778" s="49"/>
    </row>
    <row r="1779" spans="6:13" x14ac:dyDescent="0.25">
      <c r="F1779" t="s">
        <v>3611</v>
      </c>
      <c r="G1779">
        <v>84405</v>
      </c>
      <c r="H1779">
        <v>9177</v>
      </c>
      <c r="I1779" s="25" t="s">
        <v>2050</v>
      </c>
      <c r="J1779" t="s">
        <v>2915</v>
      </c>
      <c r="M1779" s="49"/>
    </row>
    <row r="1780" spans="6:13" x14ac:dyDescent="0.25">
      <c r="F1780" t="s">
        <v>3612</v>
      </c>
      <c r="G1780">
        <v>1738</v>
      </c>
      <c r="H1780">
        <v>14628</v>
      </c>
      <c r="I1780" s="25" t="s">
        <v>2135</v>
      </c>
      <c r="J1780" t="s">
        <v>2347</v>
      </c>
      <c r="M1780" s="49"/>
    </row>
    <row r="1781" spans="6:13" x14ac:dyDescent="0.25">
      <c r="F1781" t="s">
        <v>3612</v>
      </c>
      <c r="G1781">
        <v>1738</v>
      </c>
      <c r="H1781">
        <v>14628</v>
      </c>
      <c r="I1781" s="25" t="s">
        <v>2135</v>
      </c>
      <c r="J1781" t="s">
        <v>2347</v>
      </c>
      <c r="M1781" s="49"/>
    </row>
    <row r="1782" spans="6:13" x14ac:dyDescent="0.25">
      <c r="F1782" t="s">
        <v>3613</v>
      </c>
      <c r="G1782">
        <v>96487</v>
      </c>
      <c r="H1782">
        <v>9473</v>
      </c>
      <c r="I1782" s="25" t="s">
        <v>2050</v>
      </c>
      <c r="J1782" t="s">
        <v>2177</v>
      </c>
      <c r="M1782" s="49"/>
    </row>
    <row r="1783" spans="6:13" x14ac:dyDescent="0.25">
      <c r="F1783" t="s">
        <v>3614</v>
      </c>
      <c r="G1783">
        <v>97904</v>
      </c>
      <c r="H1783">
        <v>9676</v>
      </c>
      <c r="I1783" s="25" t="s">
        <v>2050</v>
      </c>
      <c r="J1783" t="s">
        <v>2381</v>
      </c>
      <c r="M1783" s="49"/>
    </row>
    <row r="1784" spans="6:13" x14ac:dyDescent="0.25">
      <c r="F1784" t="s">
        <v>3615</v>
      </c>
      <c r="G1784">
        <v>41539</v>
      </c>
      <c r="H1784">
        <v>5162</v>
      </c>
      <c r="I1784" s="25" t="s">
        <v>2023</v>
      </c>
      <c r="J1784" t="s">
        <v>2333</v>
      </c>
      <c r="M1784" s="49"/>
    </row>
    <row r="1785" spans="6:13" x14ac:dyDescent="0.25">
      <c r="F1785" t="s">
        <v>3615</v>
      </c>
      <c r="G1785">
        <v>41541</v>
      </c>
      <c r="H1785">
        <v>5162</v>
      </c>
      <c r="I1785" s="25" t="s">
        <v>2023</v>
      </c>
      <c r="J1785" t="s">
        <v>2333</v>
      </c>
      <c r="M1785" s="49"/>
    </row>
    <row r="1786" spans="6:13" x14ac:dyDescent="0.25">
      <c r="F1786" t="s">
        <v>3615</v>
      </c>
      <c r="G1786">
        <v>41540</v>
      </c>
      <c r="H1786">
        <v>5162</v>
      </c>
      <c r="I1786" s="25" t="s">
        <v>2023</v>
      </c>
      <c r="J1786" t="s">
        <v>2333</v>
      </c>
      <c r="M1786" s="49"/>
    </row>
    <row r="1787" spans="6:13" x14ac:dyDescent="0.25">
      <c r="F1787" t="s">
        <v>3615</v>
      </c>
      <c r="G1787">
        <v>41542</v>
      </c>
      <c r="H1787">
        <v>5162</v>
      </c>
      <c r="I1787" s="25" t="s">
        <v>2023</v>
      </c>
      <c r="J1787" t="s">
        <v>2333</v>
      </c>
      <c r="M1787" s="49"/>
    </row>
    <row r="1788" spans="6:13" x14ac:dyDescent="0.25">
      <c r="F1788" t="s">
        <v>3616</v>
      </c>
      <c r="G1788">
        <v>72358</v>
      </c>
      <c r="H1788">
        <v>8417</v>
      </c>
      <c r="I1788" s="25" t="s">
        <v>2018</v>
      </c>
      <c r="J1788" t="s">
        <v>2269</v>
      </c>
      <c r="M1788" s="49"/>
    </row>
    <row r="1789" spans="6:13" x14ac:dyDescent="0.25">
      <c r="F1789" t="s">
        <v>3617</v>
      </c>
      <c r="G1789">
        <v>65599</v>
      </c>
      <c r="H1789">
        <v>6533</v>
      </c>
      <c r="I1789" s="25" t="s">
        <v>2046</v>
      </c>
      <c r="J1789" t="s">
        <v>2629</v>
      </c>
      <c r="M1789" s="49"/>
    </row>
    <row r="1790" spans="6:13" x14ac:dyDescent="0.25">
      <c r="F1790" t="s">
        <v>3618</v>
      </c>
      <c r="G1790">
        <v>7774</v>
      </c>
      <c r="H1790">
        <v>16074</v>
      </c>
      <c r="I1790" s="25" t="s">
        <v>2384</v>
      </c>
      <c r="J1790" t="s">
        <v>2671</v>
      </c>
      <c r="M1790" s="49"/>
    </row>
    <row r="1791" spans="6:13" x14ac:dyDescent="0.25">
      <c r="F1791" t="s">
        <v>3619</v>
      </c>
      <c r="G1791">
        <v>67585</v>
      </c>
      <c r="H1791">
        <v>7339</v>
      </c>
      <c r="I1791" s="25" t="s">
        <v>2123</v>
      </c>
      <c r="J1791" t="s">
        <v>2238</v>
      </c>
      <c r="M1791" s="49"/>
    </row>
    <row r="1792" spans="6:13" x14ac:dyDescent="0.25">
      <c r="F1792" t="s">
        <v>3620</v>
      </c>
      <c r="G1792">
        <v>72175</v>
      </c>
      <c r="H1792">
        <v>8325</v>
      </c>
      <c r="I1792" s="25" t="s">
        <v>2018</v>
      </c>
      <c r="J1792" t="s">
        <v>2208</v>
      </c>
      <c r="M1792" s="49"/>
    </row>
    <row r="1793" spans="6:13" x14ac:dyDescent="0.25">
      <c r="F1793" t="s">
        <v>3621</v>
      </c>
      <c r="G1793">
        <v>89160</v>
      </c>
      <c r="H1793">
        <v>8421</v>
      </c>
      <c r="I1793" s="25" t="s">
        <v>2018</v>
      </c>
      <c r="J1793" t="s">
        <v>3622</v>
      </c>
      <c r="M1793" s="49"/>
    </row>
    <row r="1794" spans="6:13" x14ac:dyDescent="0.25">
      <c r="F1794" t="s">
        <v>3621</v>
      </c>
      <c r="G1794">
        <v>89160</v>
      </c>
      <c r="H1794">
        <v>8425</v>
      </c>
      <c r="I1794" s="25" t="s">
        <v>2018</v>
      </c>
      <c r="J1794" t="s">
        <v>2027</v>
      </c>
      <c r="M1794" s="49"/>
    </row>
    <row r="1795" spans="6:13" x14ac:dyDescent="0.25">
      <c r="F1795" t="s">
        <v>3623</v>
      </c>
      <c r="G1795">
        <v>72280</v>
      </c>
      <c r="H1795">
        <v>8237</v>
      </c>
      <c r="I1795" s="25" t="s">
        <v>2018</v>
      </c>
      <c r="J1795" t="s">
        <v>2336</v>
      </c>
      <c r="M1795" s="49"/>
    </row>
    <row r="1796" spans="6:13" x14ac:dyDescent="0.25">
      <c r="F1796" t="s">
        <v>3624</v>
      </c>
      <c r="G1796">
        <v>26553</v>
      </c>
      <c r="H1796">
        <v>3452</v>
      </c>
      <c r="I1796" s="25" t="s">
        <v>2074</v>
      </c>
      <c r="J1796" t="s">
        <v>2034</v>
      </c>
      <c r="M1796" s="49"/>
    </row>
    <row r="1797" spans="6:13" x14ac:dyDescent="0.25">
      <c r="F1797" t="s">
        <v>3625</v>
      </c>
      <c r="G1797">
        <v>26892</v>
      </c>
      <c r="H1797">
        <v>3454</v>
      </c>
      <c r="I1797" s="25" t="s">
        <v>2074</v>
      </c>
      <c r="J1797" t="s">
        <v>2118</v>
      </c>
      <c r="M1797" s="49"/>
    </row>
    <row r="1798" spans="6:13" x14ac:dyDescent="0.25">
      <c r="F1798" t="s">
        <v>3626</v>
      </c>
      <c r="G1798">
        <v>24398</v>
      </c>
      <c r="H1798">
        <v>1058</v>
      </c>
      <c r="I1798" s="25" t="s">
        <v>2085</v>
      </c>
      <c r="J1798" t="s">
        <v>2086</v>
      </c>
      <c r="M1798" s="49"/>
    </row>
    <row r="1799" spans="6:13" x14ac:dyDescent="0.25">
      <c r="F1799" t="s">
        <v>3627</v>
      </c>
      <c r="G1799">
        <v>24869</v>
      </c>
      <c r="H1799">
        <v>1059</v>
      </c>
      <c r="I1799" s="25" t="s">
        <v>2085</v>
      </c>
      <c r="J1799" t="s">
        <v>2354</v>
      </c>
      <c r="M1799" s="49"/>
    </row>
    <row r="1800" spans="6:13" x14ac:dyDescent="0.25">
      <c r="F1800" t="s">
        <v>3628</v>
      </c>
      <c r="G1800">
        <v>38312</v>
      </c>
      <c r="H1800">
        <v>3158</v>
      </c>
      <c r="I1800" s="25" t="s">
        <v>2074</v>
      </c>
      <c r="J1800" t="s">
        <v>2434</v>
      </c>
      <c r="M1800" s="49"/>
    </row>
    <row r="1801" spans="6:13" x14ac:dyDescent="0.25">
      <c r="F1801" t="s">
        <v>3629</v>
      </c>
      <c r="G1801">
        <v>46286</v>
      </c>
      <c r="H1801">
        <v>5562</v>
      </c>
      <c r="I1801" s="25" t="s">
        <v>2023</v>
      </c>
      <c r="J1801" t="s">
        <v>2318</v>
      </c>
      <c r="M1801" s="49"/>
    </row>
    <row r="1802" spans="6:13" x14ac:dyDescent="0.25">
      <c r="F1802" t="s">
        <v>3629</v>
      </c>
      <c r="G1802">
        <v>46282</v>
      </c>
      <c r="H1802">
        <v>5562</v>
      </c>
      <c r="I1802" s="25" t="s">
        <v>2023</v>
      </c>
      <c r="J1802" t="s">
        <v>2318</v>
      </c>
      <c r="M1802" s="49"/>
    </row>
    <row r="1803" spans="6:13" x14ac:dyDescent="0.25">
      <c r="F1803" t="s">
        <v>3629</v>
      </c>
      <c r="G1803">
        <v>46284</v>
      </c>
      <c r="H1803">
        <v>5562</v>
      </c>
      <c r="I1803" s="25" t="s">
        <v>2023</v>
      </c>
      <c r="J1803" t="s">
        <v>2318</v>
      </c>
      <c r="M1803" s="49"/>
    </row>
    <row r="1804" spans="6:13" x14ac:dyDescent="0.25">
      <c r="F1804" t="s">
        <v>3630</v>
      </c>
      <c r="G1804">
        <v>44141</v>
      </c>
      <c r="H1804">
        <v>5913</v>
      </c>
      <c r="I1804" s="25" t="s">
        <v>2023</v>
      </c>
      <c r="J1804" t="s">
        <v>3631</v>
      </c>
      <c r="M1804" s="49"/>
    </row>
    <row r="1805" spans="6:13" x14ac:dyDescent="0.25">
      <c r="F1805" t="s">
        <v>3630</v>
      </c>
      <c r="G1805">
        <v>44139</v>
      </c>
      <c r="H1805">
        <v>5913</v>
      </c>
      <c r="I1805" s="25" t="s">
        <v>2023</v>
      </c>
      <c r="J1805" t="s">
        <v>3631</v>
      </c>
      <c r="M1805" s="49"/>
    </row>
    <row r="1806" spans="6:13" x14ac:dyDescent="0.25">
      <c r="F1806" t="s">
        <v>3630</v>
      </c>
      <c r="G1806">
        <v>44328</v>
      </c>
      <c r="H1806">
        <v>5913</v>
      </c>
      <c r="I1806" s="25" t="s">
        <v>2023</v>
      </c>
      <c r="J1806" t="s">
        <v>3631</v>
      </c>
      <c r="M1806" s="49"/>
    </row>
    <row r="1807" spans="6:13" x14ac:dyDescent="0.25">
      <c r="F1807" t="s">
        <v>3630</v>
      </c>
      <c r="G1807">
        <v>44379</v>
      </c>
      <c r="H1807">
        <v>5913</v>
      </c>
      <c r="I1807" s="25" t="s">
        <v>2023</v>
      </c>
      <c r="J1807" t="s">
        <v>3631</v>
      </c>
      <c r="M1807" s="49"/>
    </row>
    <row r="1808" spans="6:13" x14ac:dyDescent="0.25">
      <c r="F1808" t="s">
        <v>3630</v>
      </c>
      <c r="G1808">
        <v>44225</v>
      </c>
      <c r="H1808">
        <v>5913</v>
      </c>
      <c r="I1808" s="25" t="s">
        <v>2023</v>
      </c>
      <c r="J1808" t="s">
        <v>3631</v>
      </c>
      <c r="M1808" s="49"/>
    </row>
    <row r="1809" spans="6:13" x14ac:dyDescent="0.25">
      <c r="F1809" t="s">
        <v>3630</v>
      </c>
      <c r="G1809">
        <v>44289</v>
      </c>
      <c r="H1809">
        <v>5913</v>
      </c>
      <c r="I1809" s="25" t="s">
        <v>2023</v>
      </c>
      <c r="J1809" t="s">
        <v>3631</v>
      </c>
      <c r="M1809" s="49"/>
    </row>
    <row r="1810" spans="6:13" x14ac:dyDescent="0.25">
      <c r="F1810" t="s">
        <v>3630</v>
      </c>
      <c r="G1810">
        <v>44229</v>
      </c>
      <c r="H1810">
        <v>5913</v>
      </c>
      <c r="I1810" s="25" t="s">
        <v>2023</v>
      </c>
      <c r="J1810" t="s">
        <v>3631</v>
      </c>
      <c r="M1810" s="49"/>
    </row>
    <row r="1811" spans="6:13" x14ac:dyDescent="0.25">
      <c r="F1811" t="s">
        <v>3630</v>
      </c>
      <c r="G1811">
        <v>44145</v>
      </c>
      <c r="H1811">
        <v>5913</v>
      </c>
      <c r="I1811" s="25" t="s">
        <v>2023</v>
      </c>
      <c r="J1811" t="s">
        <v>3631</v>
      </c>
      <c r="M1811" s="49"/>
    </row>
    <row r="1812" spans="6:13" x14ac:dyDescent="0.25">
      <c r="F1812" t="s">
        <v>3630</v>
      </c>
      <c r="G1812">
        <v>44269</v>
      </c>
      <c r="H1812">
        <v>5913</v>
      </c>
      <c r="I1812" s="25" t="s">
        <v>2023</v>
      </c>
      <c r="J1812" t="s">
        <v>3631</v>
      </c>
      <c r="M1812" s="49"/>
    </row>
    <row r="1813" spans="6:13" x14ac:dyDescent="0.25">
      <c r="F1813" t="s">
        <v>3630</v>
      </c>
      <c r="G1813">
        <v>44287</v>
      </c>
      <c r="H1813">
        <v>5913</v>
      </c>
      <c r="I1813" s="25" t="s">
        <v>2023</v>
      </c>
      <c r="J1813" t="s">
        <v>3631</v>
      </c>
      <c r="M1813" s="49"/>
    </row>
    <row r="1814" spans="6:13" x14ac:dyDescent="0.25">
      <c r="F1814" t="s">
        <v>3630</v>
      </c>
      <c r="G1814">
        <v>44388</v>
      </c>
      <c r="H1814">
        <v>5913</v>
      </c>
      <c r="I1814" s="25" t="s">
        <v>2023</v>
      </c>
      <c r="J1814" t="s">
        <v>3631</v>
      </c>
      <c r="M1814" s="49"/>
    </row>
    <row r="1815" spans="6:13" x14ac:dyDescent="0.25">
      <c r="F1815" t="s">
        <v>3630</v>
      </c>
      <c r="G1815">
        <v>44267</v>
      </c>
      <c r="H1815">
        <v>5913</v>
      </c>
      <c r="I1815" s="25" t="s">
        <v>2023</v>
      </c>
      <c r="J1815" t="s">
        <v>3631</v>
      </c>
      <c r="M1815" s="49"/>
    </row>
    <row r="1816" spans="6:13" x14ac:dyDescent="0.25">
      <c r="F1816" t="s">
        <v>3630</v>
      </c>
      <c r="G1816">
        <v>44227</v>
      </c>
      <c r="H1816">
        <v>5913</v>
      </c>
      <c r="I1816" s="25" t="s">
        <v>2023</v>
      </c>
      <c r="J1816" t="s">
        <v>3631</v>
      </c>
      <c r="M1816" s="49"/>
    </row>
    <row r="1817" spans="6:13" x14ac:dyDescent="0.25">
      <c r="F1817" t="s">
        <v>3630</v>
      </c>
      <c r="G1817">
        <v>44319</v>
      </c>
      <c r="H1817">
        <v>5913</v>
      </c>
      <c r="I1817" s="25" t="s">
        <v>2023</v>
      </c>
      <c r="J1817" t="s">
        <v>3631</v>
      </c>
      <c r="M1817" s="49"/>
    </row>
    <row r="1818" spans="6:13" x14ac:dyDescent="0.25">
      <c r="F1818" t="s">
        <v>3630</v>
      </c>
      <c r="G1818">
        <v>44359</v>
      </c>
      <c r="H1818">
        <v>5913</v>
      </c>
      <c r="I1818" s="25" t="s">
        <v>2023</v>
      </c>
      <c r="J1818" t="s">
        <v>3631</v>
      </c>
      <c r="M1818" s="49"/>
    </row>
    <row r="1819" spans="6:13" x14ac:dyDescent="0.25">
      <c r="F1819" t="s">
        <v>3630</v>
      </c>
      <c r="G1819">
        <v>44357</v>
      </c>
      <c r="H1819">
        <v>5913</v>
      </c>
      <c r="I1819" s="25" t="s">
        <v>2023</v>
      </c>
      <c r="J1819" t="s">
        <v>3631</v>
      </c>
      <c r="M1819" s="49"/>
    </row>
    <row r="1820" spans="6:13" x14ac:dyDescent="0.25">
      <c r="F1820" t="s">
        <v>3630</v>
      </c>
      <c r="G1820">
        <v>44135</v>
      </c>
      <c r="H1820">
        <v>5913</v>
      </c>
      <c r="I1820" s="25" t="s">
        <v>2023</v>
      </c>
      <c r="J1820" t="s">
        <v>3631</v>
      </c>
      <c r="M1820" s="49"/>
    </row>
    <row r="1821" spans="6:13" x14ac:dyDescent="0.25">
      <c r="F1821" t="s">
        <v>3630</v>
      </c>
      <c r="G1821">
        <v>44137</v>
      </c>
      <c r="H1821">
        <v>5913</v>
      </c>
      <c r="I1821" s="25" t="s">
        <v>2023</v>
      </c>
      <c r="J1821" t="s">
        <v>3631</v>
      </c>
      <c r="M1821" s="49"/>
    </row>
    <row r="1822" spans="6:13" x14ac:dyDescent="0.25">
      <c r="F1822" t="s">
        <v>3630</v>
      </c>
      <c r="G1822">
        <v>44309</v>
      </c>
      <c r="H1822">
        <v>5913</v>
      </c>
      <c r="I1822" s="25" t="s">
        <v>2023</v>
      </c>
      <c r="J1822" t="s">
        <v>3631</v>
      </c>
      <c r="M1822" s="49"/>
    </row>
    <row r="1823" spans="6:13" x14ac:dyDescent="0.25">
      <c r="F1823" t="s">
        <v>3630</v>
      </c>
      <c r="G1823">
        <v>44339</v>
      </c>
      <c r="H1823">
        <v>5913</v>
      </c>
      <c r="I1823" s="25" t="s">
        <v>2023</v>
      </c>
      <c r="J1823" t="s">
        <v>3631</v>
      </c>
      <c r="M1823" s="49"/>
    </row>
    <row r="1824" spans="6:13" x14ac:dyDescent="0.25">
      <c r="F1824" t="s">
        <v>3630</v>
      </c>
      <c r="G1824">
        <v>44329</v>
      </c>
      <c r="H1824">
        <v>5913</v>
      </c>
      <c r="I1824" s="25" t="s">
        <v>2023</v>
      </c>
      <c r="J1824" t="s">
        <v>3631</v>
      </c>
      <c r="M1824" s="49"/>
    </row>
    <row r="1825" spans="6:13" x14ac:dyDescent="0.25">
      <c r="F1825" t="s">
        <v>3630</v>
      </c>
      <c r="G1825">
        <v>44149</v>
      </c>
      <c r="H1825">
        <v>5913</v>
      </c>
      <c r="I1825" s="25" t="s">
        <v>2023</v>
      </c>
      <c r="J1825" t="s">
        <v>3631</v>
      </c>
      <c r="M1825" s="49"/>
    </row>
    <row r="1826" spans="6:13" x14ac:dyDescent="0.25">
      <c r="F1826" t="s">
        <v>3630</v>
      </c>
      <c r="G1826">
        <v>44265</v>
      </c>
      <c r="H1826">
        <v>5913</v>
      </c>
      <c r="I1826" s="25" t="s">
        <v>2023</v>
      </c>
      <c r="J1826" t="s">
        <v>3631</v>
      </c>
      <c r="M1826" s="49"/>
    </row>
    <row r="1827" spans="6:13" x14ac:dyDescent="0.25">
      <c r="F1827" t="s">
        <v>3630</v>
      </c>
      <c r="G1827">
        <v>44263</v>
      </c>
      <c r="H1827">
        <v>5913</v>
      </c>
      <c r="I1827" s="25" t="s">
        <v>2023</v>
      </c>
      <c r="J1827" t="s">
        <v>3631</v>
      </c>
      <c r="M1827" s="49"/>
    </row>
    <row r="1828" spans="6:13" x14ac:dyDescent="0.25">
      <c r="F1828" t="s">
        <v>3630</v>
      </c>
      <c r="G1828">
        <v>44369</v>
      </c>
      <c r="H1828">
        <v>5913</v>
      </c>
      <c r="I1828" s="25" t="s">
        <v>2023</v>
      </c>
      <c r="J1828" t="s">
        <v>3631</v>
      </c>
      <c r="M1828" s="49"/>
    </row>
    <row r="1829" spans="6:13" x14ac:dyDescent="0.25">
      <c r="F1829" t="s">
        <v>3630</v>
      </c>
      <c r="G1829">
        <v>44147</v>
      </c>
      <c r="H1829">
        <v>5913</v>
      </c>
      <c r="I1829" s="25" t="s">
        <v>2023</v>
      </c>
      <c r="J1829" t="s">
        <v>3631</v>
      </c>
      <c r="M1829" s="49"/>
    </row>
    <row r="1830" spans="6:13" x14ac:dyDescent="0.25">
      <c r="F1830" t="s">
        <v>3630</v>
      </c>
      <c r="G1830">
        <v>44143</v>
      </c>
      <c r="H1830">
        <v>5913</v>
      </c>
      <c r="I1830" s="25" t="s">
        <v>2023</v>
      </c>
      <c r="J1830" t="s">
        <v>3631</v>
      </c>
      <c r="M1830" s="49"/>
    </row>
    <row r="1831" spans="6:13" x14ac:dyDescent="0.25">
      <c r="F1831" t="s">
        <v>3632</v>
      </c>
      <c r="G1831">
        <v>27313</v>
      </c>
      <c r="H1831">
        <v>3361</v>
      </c>
      <c r="I1831" s="25" t="s">
        <v>2074</v>
      </c>
      <c r="J1831" t="s">
        <v>2075</v>
      </c>
      <c r="M1831" s="49"/>
    </row>
    <row r="1832" spans="6:13" x14ac:dyDescent="0.25">
      <c r="F1832" t="s">
        <v>3633</v>
      </c>
      <c r="G1832">
        <v>74677</v>
      </c>
      <c r="H1832">
        <v>8126</v>
      </c>
      <c r="I1832" s="25" t="s">
        <v>2018</v>
      </c>
      <c r="J1832" t="s">
        <v>3280</v>
      </c>
      <c r="M1832" s="49"/>
    </row>
    <row r="1833" spans="6:13" x14ac:dyDescent="0.25">
      <c r="F1833" t="s">
        <v>3634</v>
      </c>
      <c r="G1833">
        <v>7429</v>
      </c>
      <c r="H1833">
        <v>16073</v>
      </c>
      <c r="I1833" s="25" t="s">
        <v>2384</v>
      </c>
      <c r="J1833" t="s">
        <v>2618</v>
      </c>
      <c r="M1833" s="49"/>
    </row>
    <row r="1834" spans="6:13" x14ac:dyDescent="0.25">
      <c r="F1834" t="s">
        <v>3635</v>
      </c>
      <c r="G1834">
        <v>69221</v>
      </c>
      <c r="H1834">
        <v>8226</v>
      </c>
      <c r="I1834" s="25" t="s">
        <v>2018</v>
      </c>
      <c r="J1834" t="s">
        <v>2442</v>
      </c>
      <c r="M1834" s="49"/>
    </row>
    <row r="1835" spans="6:13" x14ac:dyDescent="0.25">
      <c r="F1835" t="s">
        <v>3636</v>
      </c>
      <c r="G1835">
        <v>27801</v>
      </c>
      <c r="H1835">
        <v>3458</v>
      </c>
      <c r="I1835" s="25" t="s">
        <v>2074</v>
      </c>
      <c r="J1835" t="s">
        <v>2285</v>
      </c>
      <c r="M1835" s="49"/>
    </row>
    <row r="1836" spans="6:13" x14ac:dyDescent="0.25">
      <c r="F1836" t="s">
        <v>3637</v>
      </c>
      <c r="G1836">
        <v>72359</v>
      </c>
      <c r="H1836">
        <v>8417</v>
      </c>
      <c r="I1836" s="25" t="s">
        <v>2018</v>
      </c>
      <c r="J1836" t="s">
        <v>2269</v>
      </c>
      <c r="M1836" s="49"/>
    </row>
    <row r="1837" spans="6:13" x14ac:dyDescent="0.25">
      <c r="F1837" t="s">
        <v>3638</v>
      </c>
      <c r="G1837">
        <v>94256</v>
      </c>
      <c r="H1837">
        <v>9276</v>
      </c>
      <c r="I1837" s="25" t="s">
        <v>2050</v>
      </c>
      <c r="J1837" t="s">
        <v>2078</v>
      </c>
      <c r="M1837" s="49"/>
    </row>
    <row r="1838" spans="6:13" x14ac:dyDescent="0.25">
      <c r="F1838" t="s">
        <v>3639</v>
      </c>
      <c r="G1838">
        <v>25878</v>
      </c>
      <c r="H1838">
        <v>1054</v>
      </c>
      <c r="I1838" s="25" t="s">
        <v>2085</v>
      </c>
      <c r="J1838" t="s">
        <v>2195</v>
      </c>
      <c r="M1838" s="49"/>
    </row>
    <row r="1839" spans="6:13" x14ac:dyDescent="0.25">
      <c r="F1839" t="s">
        <v>3640</v>
      </c>
      <c r="G1839">
        <v>31623</v>
      </c>
      <c r="H1839">
        <v>3256</v>
      </c>
      <c r="I1839" s="25" t="s">
        <v>2074</v>
      </c>
      <c r="J1839" t="s">
        <v>2271</v>
      </c>
      <c r="M1839" s="49"/>
    </row>
    <row r="1840" spans="6:13" x14ac:dyDescent="0.25">
      <c r="F1840" t="s">
        <v>3641</v>
      </c>
      <c r="G1840">
        <v>37127</v>
      </c>
      <c r="H1840">
        <v>3159</v>
      </c>
      <c r="I1840" s="25" t="s">
        <v>2074</v>
      </c>
      <c r="J1840" t="s">
        <v>2093</v>
      </c>
      <c r="M1840" s="49"/>
    </row>
    <row r="1841" spans="6:13" x14ac:dyDescent="0.25">
      <c r="F1841" t="s">
        <v>3642</v>
      </c>
      <c r="G1841">
        <v>18556</v>
      </c>
      <c r="H1841">
        <v>13073</v>
      </c>
      <c r="I1841" s="25" t="s">
        <v>2191</v>
      </c>
      <c r="J1841" t="s">
        <v>2192</v>
      </c>
      <c r="M1841" s="49"/>
    </row>
    <row r="1842" spans="6:13" x14ac:dyDescent="0.25">
      <c r="F1842" t="s">
        <v>3643</v>
      </c>
      <c r="G1842">
        <v>9430</v>
      </c>
      <c r="H1842">
        <v>14521</v>
      </c>
      <c r="I1842" s="25" t="s">
        <v>2135</v>
      </c>
      <c r="J1842" t="s">
        <v>2032</v>
      </c>
      <c r="M1842" s="49"/>
    </row>
    <row r="1843" spans="6:13" x14ac:dyDescent="0.25">
      <c r="F1843" t="s">
        <v>3644</v>
      </c>
      <c r="G1843">
        <v>49457</v>
      </c>
      <c r="H1843">
        <v>3251</v>
      </c>
      <c r="I1843" s="25" t="s">
        <v>2074</v>
      </c>
      <c r="J1843" t="s">
        <v>2094</v>
      </c>
      <c r="M1843" s="49"/>
    </row>
    <row r="1844" spans="6:13" x14ac:dyDescent="0.25">
      <c r="F1844" t="s">
        <v>3645</v>
      </c>
      <c r="G1844">
        <v>3116</v>
      </c>
      <c r="H1844">
        <v>12071</v>
      </c>
      <c r="I1844" s="25" t="s">
        <v>2356</v>
      </c>
      <c r="J1844" t="s">
        <v>3364</v>
      </c>
      <c r="M1844" s="49"/>
    </row>
    <row r="1845" spans="6:13" x14ac:dyDescent="0.25">
      <c r="F1845" t="s">
        <v>3646</v>
      </c>
      <c r="G1845">
        <v>99869</v>
      </c>
      <c r="H1845">
        <v>16067</v>
      </c>
      <c r="I1845" s="25" t="s">
        <v>2384</v>
      </c>
      <c r="J1845" t="s">
        <v>2155</v>
      </c>
      <c r="M1845" s="49"/>
    </row>
    <row r="1846" spans="6:13" x14ac:dyDescent="0.25">
      <c r="F1846" t="s">
        <v>3647</v>
      </c>
      <c r="G1846">
        <v>63303</v>
      </c>
      <c r="H1846">
        <v>6438</v>
      </c>
      <c r="I1846" s="25" t="s">
        <v>2046</v>
      </c>
      <c r="J1846" t="s">
        <v>3567</v>
      </c>
      <c r="M1846" s="49"/>
    </row>
    <row r="1847" spans="6:13" x14ac:dyDescent="0.25">
      <c r="F1847" t="s">
        <v>3648</v>
      </c>
      <c r="G1847">
        <v>67816</v>
      </c>
      <c r="H1847">
        <v>7333</v>
      </c>
      <c r="I1847" s="25" t="s">
        <v>2123</v>
      </c>
      <c r="J1847" t="s">
        <v>2103</v>
      </c>
      <c r="M1847" s="49"/>
    </row>
    <row r="1848" spans="6:13" x14ac:dyDescent="0.25">
      <c r="F1848" t="s">
        <v>3649</v>
      </c>
      <c r="G1848">
        <v>48317</v>
      </c>
      <c r="H1848">
        <v>5570</v>
      </c>
      <c r="I1848" s="25" t="s">
        <v>2023</v>
      </c>
      <c r="J1848" t="s">
        <v>2154</v>
      </c>
      <c r="M1848" s="49"/>
    </row>
    <row r="1849" spans="6:13" x14ac:dyDescent="0.25">
      <c r="F1849" t="s">
        <v>3650</v>
      </c>
      <c r="G1849">
        <v>1156</v>
      </c>
      <c r="H1849">
        <v>14612</v>
      </c>
      <c r="I1849" s="25" t="s">
        <v>2135</v>
      </c>
      <c r="J1849" t="s">
        <v>3651</v>
      </c>
      <c r="M1849" s="49"/>
    </row>
    <row r="1850" spans="6:13" x14ac:dyDescent="0.25">
      <c r="F1850" t="s">
        <v>3650</v>
      </c>
      <c r="G1850">
        <v>1237</v>
      </c>
      <c r="H1850">
        <v>14612</v>
      </c>
      <c r="I1850" s="25" t="s">
        <v>2135</v>
      </c>
      <c r="J1850" t="s">
        <v>3651</v>
      </c>
      <c r="M1850" s="49"/>
    </row>
    <row r="1851" spans="6:13" x14ac:dyDescent="0.25">
      <c r="F1851" t="s">
        <v>3650</v>
      </c>
      <c r="G1851">
        <v>1139</v>
      </c>
      <c r="H1851">
        <v>14612</v>
      </c>
      <c r="I1851" s="25" t="s">
        <v>2135</v>
      </c>
      <c r="J1851" t="s">
        <v>3651</v>
      </c>
      <c r="M1851" s="49"/>
    </row>
    <row r="1852" spans="6:13" x14ac:dyDescent="0.25">
      <c r="F1852" t="s">
        <v>3650</v>
      </c>
      <c r="G1852">
        <v>1257</v>
      </c>
      <c r="H1852">
        <v>14612</v>
      </c>
      <c r="I1852" s="25" t="s">
        <v>2135</v>
      </c>
      <c r="J1852" t="s">
        <v>3651</v>
      </c>
      <c r="M1852" s="49"/>
    </row>
    <row r="1853" spans="6:13" x14ac:dyDescent="0.25">
      <c r="F1853" t="s">
        <v>3650</v>
      </c>
      <c r="G1853">
        <v>1187</v>
      </c>
      <c r="H1853">
        <v>14612</v>
      </c>
      <c r="I1853" s="25" t="s">
        <v>2135</v>
      </c>
      <c r="J1853" t="s">
        <v>3651</v>
      </c>
      <c r="M1853" s="49"/>
    </row>
    <row r="1854" spans="6:13" x14ac:dyDescent="0.25">
      <c r="F1854" t="s">
        <v>3650</v>
      </c>
      <c r="G1854">
        <v>1189</v>
      </c>
      <c r="H1854">
        <v>14612</v>
      </c>
      <c r="I1854" s="25" t="s">
        <v>2135</v>
      </c>
      <c r="J1854" t="s">
        <v>3651</v>
      </c>
      <c r="M1854" s="49"/>
    </row>
    <row r="1855" spans="6:13" x14ac:dyDescent="0.25">
      <c r="F1855" t="s">
        <v>3650</v>
      </c>
      <c r="G1855">
        <v>1307</v>
      </c>
      <c r="H1855">
        <v>14612</v>
      </c>
      <c r="I1855" s="25" t="s">
        <v>2135</v>
      </c>
      <c r="J1855" t="s">
        <v>3651</v>
      </c>
      <c r="M1855" s="49"/>
    </row>
    <row r="1856" spans="6:13" x14ac:dyDescent="0.25">
      <c r="F1856" t="s">
        <v>3650</v>
      </c>
      <c r="G1856">
        <v>1328</v>
      </c>
      <c r="H1856">
        <v>14612</v>
      </c>
      <c r="I1856" s="25" t="s">
        <v>2135</v>
      </c>
      <c r="J1856" t="s">
        <v>3651</v>
      </c>
      <c r="M1856" s="49"/>
    </row>
    <row r="1857" spans="6:13" x14ac:dyDescent="0.25">
      <c r="F1857" t="s">
        <v>3650</v>
      </c>
      <c r="G1857">
        <v>1169</v>
      </c>
      <c r="H1857">
        <v>14612</v>
      </c>
      <c r="I1857" s="25" t="s">
        <v>2135</v>
      </c>
      <c r="J1857" t="s">
        <v>3651</v>
      </c>
      <c r="M1857" s="49"/>
    </row>
    <row r="1858" spans="6:13" x14ac:dyDescent="0.25">
      <c r="F1858" t="s">
        <v>3650</v>
      </c>
      <c r="G1858">
        <v>1159</v>
      </c>
      <c r="H1858">
        <v>14612</v>
      </c>
      <c r="I1858" s="25" t="s">
        <v>2135</v>
      </c>
      <c r="J1858" t="s">
        <v>3651</v>
      </c>
      <c r="M1858" s="49"/>
    </row>
    <row r="1859" spans="6:13" x14ac:dyDescent="0.25">
      <c r="F1859" t="s">
        <v>3650</v>
      </c>
      <c r="G1859">
        <v>1259</v>
      </c>
      <c r="H1859">
        <v>14612</v>
      </c>
      <c r="I1859" s="25" t="s">
        <v>2135</v>
      </c>
      <c r="J1859" t="s">
        <v>3651</v>
      </c>
      <c r="M1859" s="49"/>
    </row>
    <row r="1860" spans="6:13" x14ac:dyDescent="0.25">
      <c r="F1860" t="s">
        <v>3650</v>
      </c>
      <c r="G1860">
        <v>1324</v>
      </c>
      <c r="H1860">
        <v>14612</v>
      </c>
      <c r="I1860" s="25" t="s">
        <v>2135</v>
      </c>
      <c r="J1860" t="s">
        <v>3651</v>
      </c>
      <c r="M1860" s="49"/>
    </row>
    <row r="1861" spans="6:13" x14ac:dyDescent="0.25">
      <c r="F1861" t="s">
        <v>3650</v>
      </c>
      <c r="G1861">
        <v>1097</v>
      </c>
      <c r="H1861">
        <v>14612</v>
      </c>
      <c r="I1861" s="25" t="s">
        <v>2135</v>
      </c>
      <c r="J1861" t="s">
        <v>3651</v>
      </c>
      <c r="M1861" s="49"/>
    </row>
    <row r="1862" spans="6:13" x14ac:dyDescent="0.25">
      <c r="F1862" t="s">
        <v>3650</v>
      </c>
      <c r="G1862">
        <v>1326</v>
      </c>
      <c r="H1862">
        <v>14612</v>
      </c>
      <c r="I1862" s="25" t="s">
        <v>2135</v>
      </c>
      <c r="J1862" t="s">
        <v>3651</v>
      </c>
      <c r="M1862" s="49"/>
    </row>
    <row r="1863" spans="6:13" x14ac:dyDescent="0.25">
      <c r="F1863" t="s">
        <v>3650</v>
      </c>
      <c r="G1863">
        <v>1465</v>
      </c>
      <c r="H1863">
        <v>14612</v>
      </c>
      <c r="I1863" s="25" t="s">
        <v>2135</v>
      </c>
      <c r="J1863" t="s">
        <v>3651</v>
      </c>
      <c r="M1863" s="49"/>
    </row>
    <row r="1864" spans="6:13" x14ac:dyDescent="0.25">
      <c r="F1864" t="s">
        <v>3650</v>
      </c>
      <c r="G1864">
        <v>1465</v>
      </c>
      <c r="H1864">
        <v>14612</v>
      </c>
      <c r="I1864" s="25" t="s">
        <v>2135</v>
      </c>
      <c r="J1864" t="s">
        <v>3651</v>
      </c>
      <c r="M1864" s="49"/>
    </row>
    <row r="1865" spans="6:13" x14ac:dyDescent="0.25">
      <c r="F1865" t="s">
        <v>3650</v>
      </c>
      <c r="G1865">
        <v>1127</v>
      </c>
      <c r="H1865">
        <v>14612</v>
      </c>
      <c r="I1865" s="25" t="s">
        <v>2135</v>
      </c>
      <c r="J1865" t="s">
        <v>3651</v>
      </c>
      <c r="M1865" s="49"/>
    </row>
    <row r="1866" spans="6:13" x14ac:dyDescent="0.25">
      <c r="F1866" t="s">
        <v>3650</v>
      </c>
      <c r="G1866">
        <v>1217</v>
      </c>
      <c r="H1866">
        <v>14612</v>
      </c>
      <c r="I1866" s="25" t="s">
        <v>2135</v>
      </c>
      <c r="J1866" t="s">
        <v>3651</v>
      </c>
      <c r="M1866" s="49"/>
    </row>
    <row r="1867" spans="6:13" x14ac:dyDescent="0.25">
      <c r="F1867" t="s">
        <v>3650</v>
      </c>
      <c r="G1867">
        <v>1157</v>
      </c>
      <c r="H1867">
        <v>14612</v>
      </c>
      <c r="I1867" s="25" t="s">
        <v>2135</v>
      </c>
      <c r="J1867" t="s">
        <v>3651</v>
      </c>
      <c r="M1867" s="49"/>
    </row>
    <row r="1868" spans="6:13" x14ac:dyDescent="0.25">
      <c r="F1868" t="s">
        <v>3650</v>
      </c>
      <c r="G1868">
        <v>1069</v>
      </c>
      <c r="H1868">
        <v>14612</v>
      </c>
      <c r="I1868" s="25" t="s">
        <v>2135</v>
      </c>
      <c r="J1868" t="s">
        <v>3651</v>
      </c>
      <c r="M1868" s="49"/>
    </row>
    <row r="1869" spans="6:13" x14ac:dyDescent="0.25">
      <c r="F1869" t="s">
        <v>3650</v>
      </c>
      <c r="G1869">
        <v>1127</v>
      </c>
      <c r="H1869">
        <v>14612</v>
      </c>
      <c r="I1869" s="25" t="s">
        <v>2135</v>
      </c>
      <c r="J1869" t="s">
        <v>3651</v>
      </c>
      <c r="M1869" s="49"/>
    </row>
    <row r="1870" spans="6:13" x14ac:dyDescent="0.25">
      <c r="F1870" t="s">
        <v>3650</v>
      </c>
      <c r="G1870">
        <v>1219</v>
      </c>
      <c r="H1870">
        <v>14612</v>
      </c>
      <c r="I1870" s="25" t="s">
        <v>2135</v>
      </c>
      <c r="J1870" t="s">
        <v>3651</v>
      </c>
      <c r="M1870" s="49"/>
    </row>
    <row r="1871" spans="6:13" x14ac:dyDescent="0.25">
      <c r="F1871" t="s">
        <v>3650</v>
      </c>
      <c r="G1871">
        <v>1277</v>
      </c>
      <c r="H1871">
        <v>14612</v>
      </c>
      <c r="I1871" s="25" t="s">
        <v>2135</v>
      </c>
      <c r="J1871" t="s">
        <v>3651</v>
      </c>
      <c r="M1871" s="49"/>
    </row>
    <row r="1872" spans="6:13" x14ac:dyDescent="0.25">
      <c r="F1872" t="s">
        <v>3650</v>
      </c>
      <c r="G1872">
        <v>1187</v>
      </c>
      <c r="H1872">
        <v>14612</v>
      </c>
      <c r="I1872" s="25" t="s">
        <v>2135</v>
      </c>
      <c r="J1872" t="s">
        <v>3651</v>
      </c>
      <c r="M1872" s="49"/>
    </row>
    <row r="1873" spans="6:13" x14ac:dyDescent="0.25">
      <c r="F1873" t="s">
        <v>3650</v>
      </c>
      <c r="G1873">
        <v>1067</v>
      </c>
      <c r="H1873">
        <v>14612</v>
      </c>
      <c r="I1873" s="25" t="s">
        <v>2135</v>
      </c>
      <c r="J1873" t="s">
        <v>3651</v>
      </c>
      <c r="M1873" s="49"/>
    </row>
    <row r="1874" spans="6:13" x14ac:dyDescent="0.25">
      <c r="F1874" t="s">
        <v>3650</v>
      </c>
      <c r="G1874">
        <v>1129</v>
      </c>
      <c r="H1874">
        <v>14612</v>
      </c>
      <c r="I1874" s="25" t="s">
        <v>2135</v>
      </c>
      <c r="J1874" t="s">
        <v>3651</v>
      </c>
      <c r="M1874" s="49"/>
    </row>
    <row r="1875" spans="6:13" x14ac:dyDescent="0.25">
      <c r="F1875" t="s">
        <v>3650</v>
      </c>
      <c r="G1875">
        <v>1108</v>
      </c>
      <c r="H1875">
        <v>14612</v>
      </c>
      <c r="I1875" s="25" t="s">
        <v>2135</v>
      </c>
      <c r="J1875" t="s">
        <v>3651</v>
      </c>
      <c r="M1875" s="49"/>
    </row>
    <row r="1876" spans="6:13" x14ac:dyDescent="0.25">
      <c r="F1876" t="s">
        <v>3650</v>
      </c>
      <c r="G1876">
        <v>1069</v>
      </c>
      <c r="H1876">
        <v>14612</v>
      </c>
      <c r="I1876" s="25" t="s">
        <v>2135</v>
      </c>
      <c r="J1876" t="s">
        <v>3651</v>
      </c>
      <c r="M1876" s="49"/>
    </row>
    <row r="1877" spans="6:13" x14ac:dyDescent="0.25">
      <c r="F1877" t="s">
        <v>3650</v>
      </c>
      <c r="G1877">
        <v>1109</v>
      </c>
      <c r="H1877">
        <v>14612</v>
      </c>
      <c r="I1877" s="25" t="s">
        <v>2135</v>
      </c>
      <c r="J1877" t="s">
        <v>3651</v>
      </c>
      <c r="M1877" s="49"/>
    </row>
    <row r="1878" spans="6:13" x14ac:dyDescent="0.25">
      <c r="F1878" t="s">
        <v>3650</v>
      </c>
      <c r="G1878">
        <v>1239</v>
      </c>
      <c r="H1878">
        <v>14612</v>
      </c>
      <c r="I1878" s="25" t="s">
        <v>2135</v>
      </c>
      <c r="J1878" t="s">
        <v>3651</v>
      </c>
      <c r="M1878" s="49"/>
    </row>
    <row r="1879" spans="6:13" x14ac:dyDescent="0.25">
      <c r="F1879" t="s">
        <v>3650</v>
      </c>
      <c r="G1879">
        <v>1309</v>
      </c>
      <c r="H1879">
        <v>14612</v>
      </c>
      <c r="I1879" s="25" t="s">
        <v>2135</v>
      </c>
      <c r="J1879" t="s">
        <v>3651</v>
      </c>
      <c r="M1879" s="49"/>
    </row>
    <row r="1880" spans="6:13" x14ac:dyDescent="0.25">
      <c r="F1880" t="s">
        <v>3650</v>
      </c>
      <c r="G1880">
        <v>1257</v>
      </c>
      <c r="H1880">
        <v>14612</v>
      </c>
      <c r="I1880" s="25" t="s">
        <v>2135</v>
      </c>
      <c r="J1880" t="s">
        <v>3651</v>
      </c>
      <c r="M1880" s="49"/>
    </row>
    <row r="1881" spans="6:13" x14ac:dyDescent="0.25">
      <c r="F1881" t="s">
        <v>3650</v>
      </c>
      <c r="G1881">
        <v>1099</v>
      </c>
      <c r="H1881">
        <v>14612</v>
      </c>
      <c r="I1881" s="25" t="s">
        <v>2135</v>
      </c>
      <c r="J1881" t="s">
        <v>3651</v>
      </c>
      <c r="M1881" s="49"/>
    </row>
    <row r="1882" spans="6:13" x14ac:dyDescent="0.25">
      <c r="F1882" t="s">
        <v>3650</v>
      </c>
      <c r="G1882">
        <v>1279</v>
      </c>
      <c r="H1882">
        <v>14612</v>
      </c>
      <c r="I1882" s="25" t="s">
        <v>2135</v>
      </c>
      <c r="J1882" t="s">
        <v>3651</v>
      </c>
      <c r="M1882" s="49"/>
    </row>
    <row r="1883" spans="6:13" x14ac:dyDescent="0.25">
      <c r="F1883" t="s">
        <v>3652</v>
      </c>
      <c r="G1883">
        <v>35759</v>
      </c>
      <c r="H1883">
        <v>6532</v>
      </c>
      <c r="I1883" s="25" t="s">
        <v>2046</v>
      </c>
      <c r="J1883" t="s">
        <v>2555</v>
      </c>
      <c r="M1883" s="49"/>
    </row>
    <row r="1884" spans="6:13" x14ac:dyDescent="0.25">
      <c r="F1884" t="s">
        <v>3653</v>
      </c>
      <c r="G1884">
        <v>21706</v>
      </c>
      <c r="H1884">
        <v>3359</v>
      </c>
      <c r="I1884" s="25" t="s">
        <v>2074</v>
      </c>
      <c r="J1884" t="s">
        <v>2158</v>
      </c>
      <c r="M1884" s="49"/>
    </row>
    <row r="1885" spans="6:13" x14ac:dyDescent="0.25">
      <c r="F1885" t="s">
        <v>3654</v>
      </c>
      <c r="G1885">
        <v>57489</v>
      </c>
      <c r="H1885">
        <v>5966</v>
      </c>
      <c r="I1885" s="25" t="s">
        <v>2023</v>
      </c>
      <c r="J1885" t="s">
        <v>2289</v>
      </c>
      <c r="M1885" s="49"/>
    </row>
    <row r="1886" spans="6:13" x14ac:dyDescent="0.25">
      <c r="F1886" t="s">
        <v>3655</v>
      </c>
      <c r="G1886">
        <v>6722</v>
      </c>
      <c r="H1886">
        <v>15084</v>
      </c>
      <c r="I1886" s="25" t="s">
        <v>2241</v>
      </c>
      <c r="J1886" t="s">
        <v>2615</v>
      </c>
      <c r="M1886" s="49"/>
    </row>
    <row r="1887" spans="6:13" x14ac:dyDescent="0.25">
      <c r="F1887" t="s">
        <v>3656</v>
      </c>
      <c r="G1887">
        <v>17398</v>
      </c>
      <c r="H1887">
        <v>13075</v>
      </c>
      <c r="I1887" s="25" t="s">
        <v>2191</v>
      </c>
      <c r="J1887" t="s">
        <v>2160</v>
      </c>
      <c r="M1887" s="49"/>
    </row>
    <row r="1888" spans="6:13" x14ac:dyDescent="0.25">
      <c r="F1888" t="s">
        <v>3657</v>
      </c>
      <c r="G1888">
        <v>54647</v>
      </c>
      <c r="H1888">
        <v>7232</v>
      </c>
      <c r="I1888" s="25" t="s">
        <v>2123</v>
      </c>
      <c r="J1888" t="s">
        <v>2112</v>
      </c>
      <c r="M1888" s="49"/>
    </row>
    <row r="1889" spans="6:13" x14ac:dyDescent="0.25">
      <c r="F1889" t="s">
        <v>3658</v>
      </c>
      <c r="G1889">
        <v>67373</v>
      </c>
      <c r="H1889">
        <v>7338</v>
      </c>
      <c r="I1889" s="25" t="s">
        <v>2123</v>
      </c>
      <c r="J1889" t="s">
        <v>2448</v>
      </c>
      <c r="M1889" s="49"/>
    </row>
    <row r="1890" spans="6:13" x14ac:dyDescent="0.25">
      <c r="F1890" t="s">
        <v>3659</v>
      </c>
      <c r="G1890">
        <v>37115</v>
      </c>
      <c r="H1890">
        <v>3159</v>
      </c>
      <c r="I1890" s="25" t="s">
        <v>2074</v>
      </c>
      <c r="J1890" t="s">
        <v>2093</v>
      </c>
      <c r="M1890" s="49"/>
    </row>
    <row r="1891" spans="6:13" x14ac:dyDescent="0.25">
      <c r="F1891" t="s">
        <v>3660</v>
      </c>
      <c r="G1891">
        <v>93182</v>
      </c>
      <c r="H1891">
        <v>9375</v>
      </c>
      <c r="I1891" s="25" t="s">
        <v>2050</v>
      </c>
      <c r="J1891" t="s">
        <v>2365</v>
      </c>
      <c r="M1891" s="49"/>
    </row>
    <row r="1892" spans="6:13" x14ac:dyDescent="0.25">
      <c r="F1892" t="s">
        <v>3661</v>
      </c>
      <c r="G1892">
        <v>31089</v>
      </c>
      <c r="H1892">
        <v>3254</v>
      </c>
      <c r="I1892" s="25" t="s">
        <v>2074</v>
      </c>
      <c r="J1892" t="s">
        <v>2196</v>
      </c>
      <c r="M1892" s="49"/>
    </row>
    <row r="1893" spans="6:13" x14ac:dyDescent="0.25">
      <c r="F1893" t="s">
        <v>3662</v>
      </c>
      <c r="G1893">
        <v>47139</v>
      </c>
      <c r="H1893">
        <v>5112</v>
      </c>
      <c r="I1893" s="25" t="s">
        <v>2023</v>
      </c>
      <c r="J1893" t="s">
        <v>3663</v>
      </c>
      <c r="M1893" s="49"/>
    </row>
    <row r="1894" spans="6:13" x14ac:dyDescent="0.25">
      <c r="F1894" t="s">
        <v>3662</v>
      </c>
      <c r="G1894">
        <v>47167</v>
      </c>
      <c r="H1894">
        <v>5112</v>
      </c>
      <c r="I1894" s="25" t="s">
        <v>2023</v>
      </c>
      <c r="J1894" t="s">
        <v>3663</v>
      </c>
      <c r="M1894" s="49"/>
    </row>
    <row r="1895" spans="6:13" x14ac:dyDescent="0.25">
      <c r="F1895" t="s">
        <v>3662</v>
      </c>
      <c r="G1895">
        <v>47269</v>
      </c>
      <c r="H1895">
        <v>5112</v>
      </c>
      <c r="I1895" s="25" t="s">
        <v>2023</v>
      </c>
      <c r="J1895" t="s">
        <v>3663</v>
      </c>
      <c r="M1895" s="49"/>
    </row>
    <row r="1896" spans="6:13" x14ac:dyDescent="0.25">
      <c r="F1896" t="s">
        <v>3662</v>
      </c>
      <c r="G1896">
        <v>47228</v>
      </c>
      <c r="H1896">
        <v>5112</v>
      </c>
      <c r="I1896" s="25" t="s">
        <v>2023</v>
      </c>
      <c r="J1896" t="s">
        <v>3663</v>
      </c>
      <c r="M1896" s="49"/>
    </row>
    <row r="1897" spans="6:13" x14ac:dyDescent="0.25">
      <c r="F1897" t="s">
        <v>3662</v>
      </c>
      <c r="G1897">
        <v>47178</v>
      </c>
      <c r="H1897">
        <v>5112</v>
      </c>
      <c r="I1897" s="25" t="s">
        <v>2023</v>
      </c>
      <c r="J1897" t="s">
        <v>3663</v>
      </c>
      <c r="M1897" s="49"/>
    </row>
    <row r="1898" spans="6:13" x14ac:dyDescent="0.25">
      <c r="F1898" t="s">
        <v>3662</v>
      </c>
      <c r="G1898">
        <v>47058</v>
      </c>
      <c r="H1898">
        <v>5112</v>
      </c>
      <c r="I1898" s="25" t="s">
        <v>2023</v>
      </c>
      <c r="J1898" t="s">
        <v>3663</v>
      </c>
      <c r="M1898" s="49"/>
    </row>
    <row r="1899" spans="6:13" x14ac:dyDescent="0.25">
      <c r="F1899" t="s">
        <v>3662</v>
      </c>
      <c r="G1899">
        <v>47055</v>
      </c>
      <c r="H1899">
        <v>5112</v>
      </c>
      <c r="I1899" s="25" t="s">
        <v>2023</v>
      </c>
      <c r="J1899" t="s">
        <v>3663</v>
      </c>
      <c r="M1899" s="49"/>
    </row>
    <row r="1900" spans="6:13" x14ac:dyDescent="0.25">
      <c r="F1900" t="s">
        <v>3662</v>
      </c>
      <c r="G1900">
        <v>47137</v>
      </c>
      <c r="H1900">
        <v>5112</v>
      </c>
      <c r="I1900" s="25" t="s">
        <v>2023</v>
      </c>
      <c r="J1900" t="s">
        <v>3663</v>
      </c>
      <c r="M1900" s="49"/>
    </row>
    <row r="1901" spans="6:13" x14ac:dyDescent="0.25">
      <c r="F1901" t="s">
        <v>3662</v>
      </c>
      <c r="G1901">
        <v>47169</v>
      </c>
      <c r="H1901">
        <v>5112</v>
      </c>
      <c r="I1901" s="25" t="s">
        <v>2023</v>
      </c>
      <c r="J1901" t="s">
        <v>3663</v>
      </c>
      <c r="M1901" s="49"/>
    </row>
    <row r="1902" spans="6:13" x14ac:dyDescent="0.25">
      <c r="F1902" t="s">
        <v>3662</v>
      </c>
      <c r="G1902">
        <v>47051</v>
      </c>
      <c r="H1902">
        <v>5112</v>
      </c>
      <c r="I1902" s="25" t="s">
        <v>2023</v>
      </c>
      <c r="J1902" t="s">
        <v>3663</v>
      </c>
      <c r="M1902" s="49"/>
    </row>
    <row r="1903" spans="6:13" x14ac:dyDescent="0.25">
      <c r="F1903" t="s">
        <v>3662</v>
      </c>
      <c r="G1903">
        <v>47059</v>
      </c>
      <c r="H1903">
        <v>5112</v>
      </c>
      <c r="I1903" s="25" t="s">
        <v>2023</v>
      </c>
      <c r="J1903" t="s">
        <v>3663</v>
      </c>
      <c r="M1903" s="49"/>
    </row>
    <row r="1904" spans="6:13" x14ac:dyDescent="0.25">
      <c r="F1904" t="s">
        <v>3662</v>
      </c>
      <c r="G1904">
        <v>47119</v>
      </c>
      <c r="H1904">
        <v>5112</v>
      </c>
      <c r="I1904" s="25" t="s">
        <v>2023</v>
      </c>
      <c r="J1904" t="s">
        <v>3663</v>
      </c>
      <c r="M1904" s="49"/>
    </row>
    <row r="1905" spans="6:13" x14ac:dyDescent="0.25">
      <c r="F1905" t="s">
        <v>3662</v>
      </c>
      <c r="G1905">
        <v>47053</v>
      </c>
      <c r="H1905">
        <v>5112</v>
      </c>
      <c r="I1905" s="25" t="s">
        <v>2023</v>
      </c>
      <c r="J1905" t="s">
        <v>3663</v>
      </c>
      <c r="M1905" s="49"/>
    </row>
    <row r="1906" spans="6:13" x14ac:dyDescent="0.25">
      <c r="F1906" t="s">
        <v>3662</v>
      </c>
      <c r="G1906">
        <v>47179</v>
      </c>
      <c r="H1906">
        <v>5112</v>
      </c>
      <c r="I1906" s="25" t="s">
        <v>2023</v>
      </c>
      <c r="J1906" t="s">
        <v>3663</v>
      </c>
      <c r="M1906" s="49"/>
    </row>
    <row r="1907" spans="6:13" x14ac:dyDescent="0.25">
      <c r="F1907" t="s">
        <v>3662</v>
      </c>
      <c r="G1907">
        <v>47166</v>
      </c>
      <c r="H1907">
        <v>5112</v>
      </c>
      <c r="I1907" s="25" t="s">
        <v>2023</v>
      </c>
      <c r="J1907" t="s">
        <v>3663</v>
      </c>
      <c r="M1907" s="49"/>
    </row>
    <row r="1908" spans="6:13" x14ac:dyDescent="0.25">
      <c r="F1908" t="s">
        <v>3662</v>
      </c>
      <c r="G1908">
        <v>47229</v>
      </c>
      <c r="H1908">
        <v>5112</v>
      </c>
      <c r="I1908" s="25" t="s">
        <v>2023</v>
      </c>
      <c r="J1908" t="s">
        <v>3663</v>
      </c>
      <c r="M1908" s="49"/>
    </row>
    <row r="1909" spans="6:13" x14ac:dyDescent="0.25">
      <c r="F1909" t="s">
        <v>3662</v>
      </c>
      <c r="G1909">
        <v>47226</v>
      </c>
      <c r="H1909">
        <v>5112</v>
      </c>
      <c r="I1909" s="25" t="s">
        <v>2023</v>
      </c>
      <c r="J1909" t="s">
        <v>3663</v>
      </c>
      <c r="M1909" s="49"/>
    </row>
    <row r="1910" spans="6:13" x14ac:dyDescent="0.25">
      <c r="F1910" t="s">
        <v>3662</v>
      </c>
      <c r="G1910">
        <v>47239</v>
      </c>
      <c r="H1910">
        <v>5112</v>
      </c>
      <c r="I1910" s="25" t="s">
        <v>2023</v>
      </c>
      <c r="J1910" t="s">
        <v>3663</v>
      </c>
      <c r="M1910" s="49"/>
    </row>
    <row r="1911" spans="6:13" x14ac:dyDescent="0.25">
      <c r="F1911" t="s">
        <v>3662</v>
      </c>
      <c r="G1911">
        <v>47259</v>
      </c>
      <c r="H1911">
        <v>5112</v>
      </c>
      <c r="I1911" s="25" t="s">
        <v>2023</v>
      </c>
      <c r="J1911" t="s">
        <v>3663</v>
      </c>
      <c r="M1911" s="49"/>
    </row>
    <row r="1912" spans="6:13" x14ac:dyDescent="0.25">
      <c r="F1912" t="s">
        <v>3662</v>
      </c>
      <c r="G1912">
        <v>47057</v>
      </c>
      <c r="H1912">
        <v>5112</v>
      </c>
      <c r="I1912" s="25" t="s">
        <v>2023</v>
      </c>
      <c r="J1912" t="s">
        <v>3663</v>
      </c>
      <c r="M1912" s="49"/>
    </row>
    <row r="1913" spans="6:13" x14ac:dyDescent="0.25">
      <c r="F1913" t="s">
        <v>3662</v>
      </c>
      <c r="G1913">
        <v>47249</v>
      </c>
      <c r="H1913">
        <v>5112</v>
      </c>
      <c r="I1913" s="25" t="s">
        <v>2023</v>
      </c>
      <c r="J1913" t="s">
        <v>3663</v>
      </c>
      <c r="M1913" s="49"/>
    </row>
    <row r="1914" spans="6:13" x14ac:dyDescent="0.25">
      <c r="F1914" t="s">
        <v>3662</v>
      </c>
      <c r="G1914">
        <v>47138</v>
      </c>
      <c r="H1914">
        <v>5112</v>
      </c>
      <c r="I1914" s="25" t="s">
        <v>2023</v>
      </c>
      <c r="J1914" t="s">
        <v>3663</v>
      </c>
      <c r="M1914" s="49"/>
    </row>
    <row r="1915" spans="6:13" x14ac:dyDescent="0.25">
      <c r="F1915" t="s">
        <v>3662</v>
      </c>
      <c r="G1915">
        <v>47279</v>
      </c>
      <c r="H1915">
        <v>5112</v>
      </c>
      <c r="I1915" s="25" t="s">
        <v>2023</v>
      </c>
      <c r="J1915" t="s">
        <v>3663</v>
      </c>
      <c r="M1915" s="49"/>
    </row>
    <row r="1916" spans="6:13" x14ac:dyDescent="0.25">
      <c r="F1916" t="s">
        <v>3662</v>
      </c>
      <c r="G1916">
        <v>47199</v>
      </c>
      <c r="H1916">
        <v>5112</v>
      </c>
      <c r="I1916" s="25" t="s">
        <v>2023</v>
      </c>
      <c r="J1916" t="s">
        <v>3663</v>
      </c>
      <c r="M1916" s="49"/>
    </row>
    <row r="1917" spans="6:13" x14ac:dyDescent="0.25">
      <c r="F1917" t="s">
        <v>3662</v>
      </c>
      <c r="G1917">
        <v>47198</v>
      </c>
      <c r="H1917">
        <v>5112</v>
      </c>
      <c r="I1917" s="25" t="s">
        <v>2023</v>
      </c>
      <c r="J1917" t="s">
        <v>3663</v>
      </c>
      <c r="M1917" s="49"/>
    </row>
    <row r="1918" spans="6:13" x14ac:dyDescent="0.25">
      <c r="F1918" t="s">
        <v>3664</v>
      </c>
      <c r="G1918">
        <v>48249</v>
      </c>
      <c r="H1918">
        <v>5558</v>
      </c>
      <c r="I1918" s="25" t="s">
        <v>2023</v>
      </c>
      <c r="J1918" t="s">
        <v>2076</v>
      </c>
      <c r="M1918" s="49"/>
    </row>
    <row r="1919" spans="6:13" x14ac:dyDescent="0.25">
      <c r="F1919" t="s">
        <v>3665</v>
      </c>
      <c r="G1919">
        <v>18196</v>
      </c>
      <c r="H1919">
        <v>13072</v>
      </c>
      <c r="I1919" s="25" t="s">
        <v>2191</v>
      </c>
      <c r="J1919" t="s">
        <v>2036</v>
      </c>
      <c r="M1919" s="49"/>
    </row>
    <row r="1920" spans="6:13" x14ac:dyDescent="0.25">
      <c r="F1920" t="s">
        <v>3666</v>
      </c>
      <c r="G1920">
        <v>56761</v>
      </c>
      <c r="H1920">
        <v>7135</v>
      </c>
      <c r="I1920" s="25" t="s">
        <v>2123</v>
      </c>
      <c r="J1920" t="s">
        <v>2072</v>
      </c>
      <c r="M1920" s="49"/>
    </row>
    <row r="1921" spans="6:13" x14ac:dyDescent="0.25">
      <c r="F1921" t="s">
        <v>3666</v>
      </c>
      <c r="G1921">
        <v>56761</v>
      </c>
      <c r="H1921">
        <v>7135</v>
      </c>
      <c r="I1921" s="25" t="s">
        <v>2123</v>
      </c>
      <c r="J1921" t="s">
        <v>2072</v>
      </c>
      <c r="M1921" s="49"/>
    </row>
    <row r="1922" spans="6:13" x14ac:dyDescent="0.25">
      <c r="F1922" t="s">
        <v>3667</v>
      </c>
      <c r="G1922">
        <v>78655</v>
      </c>
      <c r="H1922">
        <v>8325</v>
      </c>
      <c r="I1922" s="25" t="s">
        <v>2018</v>
      </c>
      <c r="J1922" t="s">
        <v>2208</v>
      </c>
      <c r="M1922" s="49"/>
    </row>
    <row r="1923" spans="6:13" x14ac:dyDescent="0.25">
      <c r="F1923" t="s">
        <v>3668</v>
      </c>
      <c r="G1923">
        <v>87471</v>
      </c>
      <c r="H1923">
        <v>9780</v>
      </c>
      <c r="I1923" s="25" t="s">
        <v>2050</v>
      </c>
      <c r="J1923" t="s">
        <v>2278</v>
      </c>
      <c r="M1923" s="49"/>
    </row>
    <row r="1924" spans="6:13" x14ac:dyDescent="0.25">
      <c r="F1924" t="s">
        <v>3669</v>
      </c>
      <c r="G1924">
        <v>77770</v>
      </c>
      <c r="H1924">
        <v>8317</v>
      </c>
      <c r="I1924" s="25" t="s">
        <v>2018</v>
      </c>
      <c r="J1924" t="s">
        <v>2071</v>
      </c>
      <c r="M1924" s="49"/>
    </row>
    <row r="1925" spans="6:13" x14ac:dyDescent="0.25">
      <c r="F1925" t="s">
        <v>3670</v>
      </c>
      <c r="G1925">
        <v>78589</v>
      </c>
      <c r="H1925">
        <v>8327</v>
      </c>
      <c r="I1925" s="25" t="s">
        <v>2018</v>
      </c>
      <c r="J1925" t="s">
        <v>2277</v>
      </c>
      <c r="M1925" s="49"/>
    </row>
    <row r="1926" spans="6:13" x14ac:dyDescent="0.25">
      <c r="F1926" t="s">
        <v>3671</v>
      </c>
      <c r="G1926">
        <v>78591</v>
      </c>
      <c r="H1926">
        <v>8327</v>
      </c>
      <c r="I1926" s="25" t="s">
        <v>2018</v>
      </c>
      <c r="J1926" t="s">
        <v>2277</v>
      </c>
      <c r="M1926" s="49"/>
    </row>
    <row r="1927" spans="6:13" x14ac:dyDescent="0.25">
      <c r="F1927" t="s">
        <v>2106</v>
      </c>
      <c r="G1927">
        <v>52353</v>
      </c>
      <c r="H1927">
        <v>5358</v>
      </c>
      <c r="I1927" s="25" t="s">
        <v>2023</v>
      </c>
      <c r="J1927" t="s">
        <v>2106</v>
      </c>
      <c r="M1927" s="49"/>
    </row>
    <row r="1928" spans="6:13" x14ac:dyDescent="0.25">
      <c r="F1928" t="s">
        <v>2106</v>
      </c>
      <c r="G1928">
        <v>52355</v>
      </c>
      <c r="H1928">
        <v>5358</v>
      </c>
      <c r="I1928" s="25" t="s">
        <v>2023</v>
      </c>
      <c r="J1928" t="s">
        <v>2106</v>
      </c>
      <c r="M1928" s="49"/>
    </row>
    <row r="1929" spans="6:13" x14ac:dyDescent="0.25">
      <c r="F1929" t="s">
        <v>2106</v>
      </c>
      <c r="G1929">
        <v>52351</v>
      </c>
      <c r="H1929">
        <v>5358</v>
      </c>
      <c r="I1929" s="25" t="s">
        <v>2023</v>
      </c>
      <c r="J1929" t="s">
        <v>2106</v>
      </c>
      <c r="M1929" s="49"/>
    </row>
    <row r="1930" spans="6:13" x14ac:dyDescent="0.25">
      <c r="F1930" t="s">
        <v>2106</v>
      </c>
      <c r="G1930">
        <v>52349</v>
      </c>
      <c r="H1930">
        <v>5358</v>
      </c>
      <c r="I1930" s="25" t="s">
        <v>2023</v>
      </c>
      <c r="J1930" t="s">
        <v>2106</v>
      </c>
      <c r="M1930" s="49"/>
    </row>
    <row r="1931" spans="6:13" x14ac:dyDescent="0.25">
      <c r="F1931" t="s">
        <v>3672</v>
      </c>
      <c r="G1931">
        <v>73568</v>
      </c>
      <c r="H1931">
        <v>8136</v>
      </c>
      <c r="I1931" s="25" t="s">
        <v>2018</v>
      </c>
      <c r="J1931" t="s">
        <v>2039</v>
      </c>
      <c r="M1931" s="49"/>
    </row>
    <row r="1932" spans="6:13" x14ac:dyDescent="0.25">
      <c r="F1932" t="s">
        <v>3673</v>
      </c>
      <c r="G1932">
        <v>88525</v>
      </c>
      <c r="H1932">
        <v>8426</v>
      </c>
      <c r="I1932" s="25" t="s">
        <v>2018</v>
      </c>
      <c r="J1932" t="s">
        <v>2081</v>
      </c>
      <c r="M1932" s="49"/>
    </row>
    <row r="1933" spans="6:13" x14ac:dyDescent="0.25">
      <c r="F1933" t="s">
        <v>3674</v>
      </c>
      <c r="G1933">
        <v>76448</v>
      </c>
      <c r="H1933">
        <v>8216</v>
      </c>
      <c r="I1933" s="25" t="s">
        <v>2018</v>
      </c>
      <c r="J1933" t="s">
        <v>2564</v>
      </c>
      <c r="M1933" s="49"/>
    </row>
    <row r="1934" spans="6:13" x14ac:dyDescent="0.25">
      <c r="F1934" t="s">
        <v>3675</v>
      </c>
      <c r="G1934">
        <v>73105</v>
      </c>
      <c r="H1934">
        <v>8117</v>
      </c>
      <c r="I1934" s="25" t="s">
        <v>2018</v>
      </c>
      <c r="J1934" t="s">
        <v>2089</v>
      </c>
      <c r="M1934" s="49"/>
    </row>
    <row r="1935" spans="6:13" x14ac:dyDescent="0.25">
      <c r="F1935" t="s">
        <v>3676</v>
      </c>
      <c r="G1935">
        <v>56307</v>
      </c>
      <c r="H1935">
        <v>7138</v>
      </c>
      <c r="I1935" s="25" t="s">
        <v>2123</v>
      </c>
      <c r="J1935" t="s">
        <v>2489</v>
      </c>
      <c r="M1935" s="49"/>
    </row>
    <row r="1936" spans="6:13" x14ac:dyDescent="0.25">
      <c r="F1936" t="s">
        <v>3676</v>
      </c>
      <c r="G1936">
        <v>56307</v>
      </c>
      <c r="H1936">
        <v>7138</v>
      </c>
      <c r="I1936" s="25" t="s">
        <v>2123</v>
      </c>
      <c r="J1936" t="s">
        <v>2489</v>
      </c>
      <c r="M1936" s="49"/>
    </row>
    <row r="1937" spans="6:13" x14ac:dyDescent="0.25">
      <c r="F1937" t="s">
        <v>3677</v>
      </c>
      <c r="G1937">
        <v>89350</v>
      </c>
      <c r="H1937">
        <v>9774</v>
      </c>
      <c r="I1937" s="25" t="s">
        <v>2050</v>
      </c>
      <c r="J1937" t="s">
        <v>2205</v>
      </c>
      <c r="M1937" s="49"/>
    </row>
    <row r="1938" spans="6:13" x14ac:dyDescent="0.25">
      <c r="F1938" t="s">
        <v>3678</v>
      </c>
      <c r="G1938">
        <v>91602</v>
      </c>
      <c r="H1938">
        <v>9571</v>
      </c>
      <c r="I1938" s="25" t="s">
        <v>2050</v>
      </c>
      <c r="J1938" t="s">
        <v>2113</v>
      </c>
      <c r="M1938" s="49"/>
    </row>
    <row r="1939" spans="6:13" x14ac:dyDescent="0.25">
      <c r="F1939" t="s">
        <v>3679</v>
      </c>
      <c r="G1939">
        <v>40468</v>
      </c>
      <c r="H1939">
        <v>5111</v>
      </c>
      <c r="I1939" s="25" t="s">
        <v>2023</v>
      </c>
      <c r="J1939" t="s">
        <v>3680</v>
      </c>
      <c r="M1939" s="49"/>
    </row>
    <row r="1940" spans="6:13" x14ac:dyDescent="0.25">
      <c r="F1940" t="s">
        <v>3679</v>
      </c>
      <c r="G1940">
        <v>40470</v>
      </c>
      <c r="H1940">
        <v>5111</v>
      </c>
      <c r="I1940" s="25" t="s">
        <v>2023</v>
      </c>
      <c r="J1940" t="s">
        <v>3680</v>
      </c>
      <c r="M1940" s="49"/>
    </row>
    <row r="1941" spans="6:13" x14ac:dyDescent="0.25">
      <c r="F1941" t="s">
        <v>3679</v>
      </c>
      <c r="G1941">
        <v>40599</v>
      </c>
      <c r="H1941">
        <v>5111</v>
      </c>
      <c r="I1941" s="25" t="s">
        <v>2023</v>
      </c>
      <c r="J1941" t="s">
        <v>3680</v>
      </c>
      <c r="M1941" s="49"/>
    </row>
    <row r="1942" spans="6:13" x14ac:dyDescent="0.25">
      <c r="F1942" t="s">
        <v>3679</v>
      </c>
      <c r="G1942">
        <v>40233</v>
      </c>
      <c r="H1942">
        <v>5111</v>
      </c>
      <c r="I1942" s="25" t="s">
        <v>2023</v>
      </c>
      <c r="J1942" t="s">
        <v>3680</v>
      </c>
      <c r="M1942" s="49"/>
    </row>
    <row r="1943" spans="6:13" x14ac:dyDescent="0.25">
      <c r="F1943" t="s">
        <v>3679</v>
      </c>
      <c r="G1943">
        <v>40221</v>
      </c>
      <c r="H1943">
        <v>5111</v>
      </c>
      <c r="I1943" s="25" t="s">
        <v>2023</v>
      </c>
      <c r="J1943" t="s">
        <v>3680</v>
      </c>
      <c r="M1943" s="49"/>
    </row>
    <row r="1944" spans="6:13" x14ac:dyDescent="0.25">
      <c r="F1944" t="s">
        <v>3679</v>
      </c>
      <c r="G1944">
        <v>40213</v>
      </c>
      <c r="H1944">
        <v>5111</v>
      </c>
      <c r="I1944" s="25" t="s">
        <v>2023</v>
      </c>
      <c r="J1944" t="s">
        <v>3680</v>
      </c>
      <c r="M1944" s="49"/>
    </row>
    <row r="1945" spans="6:13" x14ac:dyDescent="0.25">
      <c r="F1945" t="s">
        <v>3679</v>
      </c>
      <c r="G1945">
        <v>40227</v>
      </c>
      <c r="H1945">
        <v>5111</v>
      </c>
      <c r="I1945" s="25" t="s">
        <v>2023</v>
      </c>
      <c r="J1945" t="s">
        <v>3680</v>
      </c>
      <c r="M1945" s="49"/>
    </row>
    <row r="1946" spans="6:13" x14ac:dyDescent="0.25">
      <c r="F1946" t="s">
        <v>3679</v>
      </c>
      <c r="G1946">
        <v>40479</v>
      </c>
      <c r="H1946">
        <v>5111</v>
      </c>
      <c r="I1946" s="25" t="s">
        <v>2023</v>
      </c>
      <c r="J1946" t="s">
        <v>3680</v>
      </c>
      <c r="M1946" s="49"/>
    </row>
    <row r="1947" spans="6:13" x14ac:dyDescent="0.25">
      <c r="F1947" t="s">
        <v>3679</v>
      </c>
      <c r="G1947">
        <v>40477</v>
      </c>
      <c r="H1947">
        <v>5111</v>
      </c>
      <c r="I1947" s="25" t="s">
        <v>2023</v>
      </c>
      <c r="J1947" t="s">
        <v>3680</v>
      </c>
      <c r="M1947" s="49"/>
    </row>
    <row r="1948" spans="6:13" x14ac:dyDescent="0.25">
      <c r="F1948" t="s">
        <v>3679</v>
      </c>
      <c r="G1948">
        <v>40235</v>
      </c>
      <c r="H1948">
        <v>5111</v>
      </c>
      <c r="I1948" s="25" t="s">
        <v>2023</v>
      </c>
      <c r="J1948" t="s">
        <v>3680</v>
      </c>
      <c r="M1948" s="49"/>
    </row>
    <row r="1949" spans="6:13" x14ac:dyDescent="0.25">
      <c r="F1949" t="s">
        <v>3679</v>
      </c>
      <c r="G1949">
        <v>40597</v>
      </c>
      <c r="H1949">
        <v>5111</v>
      </c>
      <c r="I1949" s="25" t="s">
        <v>2023</v>
      </c>
      <c r="J1949" t="s">
        <v>3680</v>
      </c>
      <c r="M1949" s="49"/>
    </row>
    <row r="1950" spans="6:13" x14ac:dyDescent="0.25">
      <c r="F1950" t="s">
        <v>3679</v>
      </c>
      <c r="G1950">
        <v>40210</v>
      </c>
      <c r="H1950">
        <v>5111</v>
      </c>
      <c r="I1950" s="25" t="s">
        <v>2023</v>
      </c>
      <c r="J1950" t="s">
        <v>3680</v>
      </c>
      <c r="M1950" s="49"/>
    </row>
    <row r="1951" spans="6:13" x14ac:dyDescent="0.25">
      <c r="F1951" t="s">
        <v>3679</v>
      </c>
      <c r="G1951">
        <v>40211</v>
      </c>
      <c r="H1951">
        <v>5111</v>
      </c>
      <c r="I1951" s="25" t="s">
        <v>2023</v>
      </c>
      <c r="J1951" t="s">
        <v>3680</v>
      </c>
      <c r="M1951" s="49"/>
    </row>
    <row r="1952" spans="6:13" x14ac:dyDescent="0.25">
      <c r="F1952" t="s">
        <v>3679</v>
      </c>
      <c r="G1952">
        <v>40545</v>
      </c>
      <c r="H1952">
        <v>5111</v>
      </c>
      <c r="I1952" s="25" t="s">
        <v>2023</v>
      </c>
      <c r="J1952" t="s">
        <v>3680</v>
      </c>
      <c r="M1952" s="49"/>
    </row>
    <row r="1953" spans="6:13" x14ac:dyDescent="0.25">
      <c r="F1953" t="s">
        <v>3679</v>
      </c>
      <c r="G1953">
        <v>40627</v>
      </c>
      <c r="H1953">
        <v>5111</v>
      </c>
      <c r="I1953" s="25" t="s">
        <v>2023</v>
      </c>
      <c r="J1953" t="s">
        <v>3680</v>
      </c>
      <c r="M1953" s="49"/>
    </row>
    <row r="1954" spans="6:13" x14ac:dyDescent="0.25">
      <c r="F1954" t="s">
        <v>3679</v>
      </c>
      <c r="G1954">
        <v>40591</v>
      </c>
      <c r="H1954">
        <v>5111</v>
      </c>
      <c r="I1954" s="25" t="s">
        <v>2023</v>
      </c>
      <c r="J1954" t="s">
        <v>3680</v>
      </c>
      <c r="M1954" s="49"/>
    </row>
    <row r="1955" spans="6:13" x14ac:dyDescent="0.25">
      <c r="F1955" t="s">
        <v>3679</v>
      </c>
      <c r="G1955">
        <v>40629</v>
      </c>
      <c r="H1955">
        <v>5111</v>
      </c>
      <c r="I1955" s="25" t="s">
        <v>2023</v>
      </c>
      <c r="J1955" t="s">
        <v>3680</v>
      </c>
      <c r="M1955" s="49"/>
    </row>
    <row r="1956" spans="6:13" x14ac:dyDescent="0.25">
      <c r="F1956" t="s">
        <v>3679</v>
      </c>
      <c r="G1956">
        <v>40219</v>
      </c>
      <c r="H1956">
        <v>5111</v>
      </c>
      <c r="I1956" s="25" t="s">
        <v>2023</v>
      </c>
      <c r="J1956" t="s">
        <v>3680</v>
      </c>
      <c r="M1956" s="49"/>
    </row>
    <row r="1957" spans="6:13" x14ac:dyDescent="0.25">
      <c r="F1957" t="s">
        <v>3679</v>
      </c>
      <c r="G1957">
        <v>40215</v>
      </c>
      <c r="H1957">
        <v>5111</v>
      </c>
      <c r="I1957" s="25" t="s">
        <v>2023</v>
      </c>
      <c r="J1957" t="s">
        <v>3680</v>
      </c>
      <c r="M1957" s="49"/>
    </row>
    <row r="1958" spans="6:13" x14ac:dyDescent="0.25">
      <c r="F1958" t="s">
        <v>3679</v>
      </c>
      <c r="G1958">
        <v>40229</v>
      </c>
      <c r="H1958">
        <v>5111</v>
      </c>
      <c r="I1958" s="25" t="s">
        <v>2023</v>
      </c>
      <c r="J1958" t="s">
        <v>3680</v>
      </c>
      <c r="M1958" s="49"/>
    </row>
    <row r="1959" spans="6:13" x14ac:dyDescent="0.25">
      <c r="F1959" t="s">
        <v>3679</v>
      </c>
      <c r="G1959">
        <v>40625</v>
      </c>
      <c r="H1959">
        <v>5111</v>
      </c>
      <c r="I1959" s="25" t="s">
        <v>2023</v>
      </c>
      <c r="J1959" t="s">
        <v>3680</v>
      </c>
      <c r="M1959" s="49"/>
    </row>
    <row r="1960" spans="6:13" x14ac:dyDescent="0.25">
      <c r="F1960" t="s">
        <v>3679</v>
      </c>
      <c r="G1960">
        <v>40474</v>
      </c>
      <c r="H1960">
        <v>5111</v>
      </c>
      <c r="I1960" s="25" t="s">
        <v>2023</v>
      </c>
      <c r="J1960" t="s">
        <v>3680</v>
      </c>
      <c r="M1960" s="49"/>
    </row>
    <row r="1961" spans="6:13" x14ac:dyDescent="0.25">
      <c r="F1961" t="s">
        <v>3679</v>
      </c>
      <c r="G1961">
        <v>40223</v>
      </c>
      <c r="H1961">
        <v>5111</v>
      </c>
      <c r="I1961" s="25" t="s">
        <v>2023</v>
      </c>
      <c r="J1961" t="s">
        <v>3680</v>
      </c>
      <c r="M1961" s="49"/>
    </row>
    <row r="1962" spans="6:13" x14ac:dyDescent="0.25">
      <c r="F1962" t="s">
        <v>3679</v>
      </c>
      <c r="G1962">
        <v>40225</v>
      </c>
      <c r="H1962">
        <v>5111</v>
      </c>
      <c r="I1962" s="25" t="s">
        <v>2023</v>
      </c>
      <c r="J1962" t="s">
        <v>3680</v>
      </c>
      <c r="M1962" s="49"/>
    </row>
    <row r="1963" spans="6:13" x14ac:dyDescent="0.25">
      <c r="F1963" t="s">
        <v>3679</v>
      </c>
      <c r="G1963">
        <v>40595</v>
      </c>
      <c r="H1963">
        <v>5111</v>
      </c>
      <c r="I1963" s="25" t="s">
        <v>2023</v>
      </c>
      <c r="J1963" t="s">
        <v>3680</v>
      </c>
      <c r="M1963" s="49"/>
    </row>
    <row r="1964" spans="6:13" x14ac:dyDescent="0.25">
      <c r="F1964" t="s">
        <v>3679</v>
      </c>
      <c r="G1964">
        <v>40217</v>
      </c>
      <c r="H1964">
        <v>5111</v>
      </c>
      <c r="I1964" s="25" t="s">
        <v>2023</v>
      </c>
      <c r="J1964" t="s">
        <v>3680</v>
      </c>
      <c r="M1964" s="49"/>
    </row>
    <row r="1965" spans="6:13" x14ac:dyDescent="0.25">
      <c r="F1965" t="s">
        <v>3679</v>
      </c>
      <c r="G1965">
        <v>40212</v>
      </c>
      <c r="H1965">
        <v>5111</v>
      </c>
      <c r="I1965" s="25" t="s">
        <v>2023</v>
      </c>
      <c r="J1965" t="s">
        <v>3680</v>
      </c>
      <c r="M1965" s="49"/>
    </row>
    <row r="1966" spans="6:13" x14ac:dyDescent="0.25">
      <c r="F1966" t="s">
        <v>3679</v>
      </c>
      <c r="G1966">
        <v>40547</v>
      </c>
      <c r="H1966">
        <v>5111</v>
      </c>
      <c r="I1966" s="25" t="s">
        <v>2023</v>
      </c>
      <c r="J1966" t="s">
        <v>3680</v>
      </c>
      <c r="M1966" s="49"/>
    </row>
    <row r="1967" spans="6:13" x14ac:dyDescent="0.25">
      <c r="F1967" t="s">
        <v>3679</v>
      </c>
      <c r="G1967">
        <v>40237</v>
      </c>
      <c r="H1967">
        <v>5111</v>
      </c>
      <c r="I1967" s="25" t="s">
        <v>2023</v>
      </c>
      <c r="J1967" t="s">
        <v>3680</v>
      </c>
      <c r="M1967" s="49"/>
    </row>
    <row r="1968" spans="6:13" x14ac:dyDescent="0.25">
      <c r="F1968" t="s">
        <v>3679</v>
      </c>
      <c r="G1968">
        <v>40593</v>
      </c>
      <c r="H1968">
        <v>5111</v>
      </c>
      <c r="I1968" s="25" t="s">
        <v>2023</v>
      </c>
      <c r="J1968" t="s">
        <v>3680</v>
      </c>
      <c r="M1968" s="49"/>
    </row>
    <row r="1969" spans="6:13" x14ac:dyDescent="0.25">
      <c r="F1969" t="s">
        <v>3679</v>
      </c>
      <c r="G1969">
        <v>40489</v>
      </c>
      <c r="H1969">
        <v>5111</v>
      </c>
      <c r="I1969" s="25" t="s">
        <v>2023</v>
      </c>
      <c r="J1969" t="s">
        <v>3680</v>
      </c>
      <c r="M1969" s="49"/>
    </row>
    <row r="1970" spans="6:13" x14ac:dyDescent="0.25">
      <c r="F1970" t="s">
        <v>3679</v>
      </c>
      <c r="G1970">
        <v>40472</v>
      </c>
      <c r="H1970">
        <v>5111</v>
      </c>
      <c r="I1970" s="25" t="s">
        <v>2023</v>
      </c>
      <c r="J1970" t="s">
        <v>3680</v>
      </c>
      <c r="M1970" s="49"/>
    </row>
    <row r="1971" spans="6:13" x14ac:dyDescent="0.25">
      <c r="F1971" t="s">
        <v>3679</v>
      </c>
      <c r="G1971">
        <v>40211</v>
      </c>
      <c r="H1971">
        <v>5111</v>
      </c>
      <c r="I1971" s="25" t="s">
        <v>2023</v>
      </c>
      <c r="J1971" t="s">
        <v>3680</v>
      </c>
      <c r="M1971" s="49"/>
    </row>
    <row r="1972" spans="6:13" x14ac:dyDescent="0.25">
      <c r="F1972" t="s">
        <v>3679</v>
      </c>
      <c r="G1972">
        <v>40231</v>
      </c>
      <c r="H1972">
        <v>5111</v>
      </c>
      <c r="I1972" s="25" t="s">
        <v>2023</v>
      </c>
      <c r="J1972" t="s">
        <v>3680</v>
      </c>
      <c r="M1972" s="49"/>
    </row>
    <row r="1973" spans="6:13" x14ac:dyDescent="0.25">
      <c r="F1973" t="s">
        <v>3679</v>
      </c>
      <c r="G1973">
        <v>40239</v>
      </c>
      <c r="H1973">
        <v>5111</v>
      </c>
      <c r="I1973" s="25" t="s">
        <v>2023</v>
      </c>
      <c r="J1973" t="s">
        <v>3680</v>
      </c>
      <c r="M1973" s="49"/>
    </row>
    <row r="1974" spans="6:13" x14ac:dyDescent="0.25">
      <c r="F1974" t="s">
        <v>3679</v>
      </c>
      <c r="G1974">
        <v>40549</v>
      </c>
      <c r="H1974">
        <v>5111</v>
      </c>
      <c r="I1974" s="25" t="s">
        <v>2023</v>
      </c>
      <c r="J1974" t="s">
        <v>3680</v>
      </c>
      <c r="M1974" s="49"/>
    </row>
    <row r="1975" spans="6:13" x14ac:dyDescent="0.25">
      <c r="F1975" t="s">
        <v>3679</v>
      </c>
      <c r="G1975">
        <v>40589</v>
      </c>
      <c r="H1975">
        <v>5111</v>
      </c>
      <c r="I1975" s="25" t="s">
        <v>2023</v>
      </c>
      <c r="J1975" t="s">
        <v>3680</v>
      </c>
      <c r="M1975" s="49"/>
    </row>
    <row r="1976" spans="6:13" x14ac:dyDescent="0.25">
      <c r="F1976" t="s">
        <v>3679</v>
      </c>
      <c r="G1976">
        <v>40476</v>
      </c>
      <c r="H1976">
        <v>5111</v>
      </c>
      <c r="I1976" s="25" t="s">
        <v>2023</v>
      </c>
      <c r="J1976" t="s">
        <v>3680</v>
      </c>
      <c r="M1976" s="49"/>
    </row>
    <row r="1977" spans="6:13" x14ac:dyDescent="0.25">
      <c r="F1977" t="s">
        <v>3679</v>
      </c>
      <c r="G1977">
        <v>40472</v>
      </c>
      <c r="H1977">
        <v>5158</v>
      </c>
      <c r="I1977" s="25" t="s">
        <v>2023</v>
      </c>
      <c r="J1977" t="s">
        <v>2252</v>
      </c>
      <c r="M1977" s="49"/>
    </row>
    <row r="1978" spans="6:13" x14ac:dyDescent="0.25">
      <c r="F1978" t="s">
        <v>3681</v>
      </c>
      <c r="G1978">
        <v>72144</v>
      </c>
      <c r="H1978">
        <v>8416</v>
      </c>
      <c r="I1978" s="25" t="s">
        <v>2018</v>
      </c>
      <c r="J1978" t="s">
        <v>2464</v>
      </c>
      <c r="M1978" s="49"/>
    </row>
    <row r="1979" spans="6:13" x14ac:dyDescent="0.25">
      <c r="F1979" t="s">
        <v>3682</v>
      </c>
      <c r="G1979">
        <v>99713</v>
      </c>
      <c r="H1979">
        <v>16065</v>
      </c>
      <c r="I1979" s="25" t="s">
        <v>2384</v>
      </c>
      <c r="J1979" t="s">
        <v>2532</v>
      </c>
      <c r="M1979" s="49"/>
    </row>
    <row r="1980" spans="6:13" x14ac:dyDescent="0.25">
      <c r="F1980" t="s">
        <v>3683</v>
      </c>
      <c r="G1980">
        <v>97500</v>
      </c>
      <c r="H1980">
        <v>9674</v>
      </c>
      <c r="I1980" s="25" t="s">
        <v>2050</v>
      </c>
      <c r="J1980" t="s">
        <v>2218</v>
      </c>
      <c r="M1980" s="49"/>
    </row>
    <row r="1981" spans="6:13" x14ac:dyDescent="0.25">
      <c r="F1981" t="s">
        <v>3684</v>
      </c>
      <c r="G1981">
        <v>96250</v>
      </c>
      <c r="H1981">
        <v>9478</v>
      </c>
      <c r="I1981" s="25" t="s">
        <v>2050</v>
      </c>
      <c r="J1981" t="s">
        <v>2404</v>
      </c>
      <c r="M1981" s="49"/>
    </row>
    <row r="1982" spans="6:13" x14ac:dyDescent="0.25">
      <c r="F1982" t="s">
        <v>3685</v>
      </c>
      <c r="G1982">
        <v>88370</v>
      </c>
      <c r="H1982">
        <v>8436</v>
      </c>
      <c r="I1982" s="25" t="s">
        <v>2018</v>
      </c>
      <c r="J1982" t="s">
        <v>2068</v>
      </c>
      <c r="M1982" s="49"/>
    </row>
    <row r="1983" spans="6:13" x14ac:dyDescent="0.25">
      <c r="F1983" t="s">
        <v>3686</v>
      </c>
      <c r="G1983">
        <v>69412</v>
      </c>
      <c r="H1983">
        <v>6431</v>
      </c>
      <c r="I1983" s="25" t="s">
        <v>2046</v>
      </c>
      <c r="J1983" t="s">
        <v>2065</v>
      </c>
      <c r="M1983" s="49"/>
    </row>
    <row r="1984" spans="6:13" x14ac:dyDescent="0.25">
      <c r="F1984" t="s">
        <v>3686</v>
      </c>
      <c r="G1984">
        <v>69412</v>
      </c>
      <c r="H1984">
        <v>8226</v>
      </c>
      <c r="I1984" s="25" t="s">
        <v>2018</v>
      </c>
      <c r="J1984" t="s">
        <v>2442</v>
      </c>
      <c r="M1984" s="49"/>
    </row>
    <row r="1985" spans="6:13" x14ac:dyDescent="0.25">
      <c r="F1985" t="s">
        <v>3687</v>
      </c>
      <c r="G1985">
        <v>71735</v>
      </c>
      <c r="H1985">
        <v>8118</v>
      </c>
      <c r="I1985" s="25" t="s">
        <v>2018</v>
      </c>
      <c r="J1985" t="s">
        <v>2142</v>
      </c>
      <c r="M1985" s="49"/>
    </row>
    <row r="1986" spans="6:13" x14ac:dyDescent="0.25">
      <c r="F1986" t="s">
        <v>3688</v>
      </c>
      <c r="G1986">
        <v>82390</v>
      </c>
      <c r="H1986">
        <v>9190</v>
      </c>
      <c r="I1986" s="25" t="s">
        <v>2050</v>
      </c>
      <c r="J1986" t="s">
        <v>2417</v>
      </c>
      <c r="M1986" s="49"/>
    </row>
    <row r="1987" spans="6:13" x14ac:dyDescent="0.25">
      <c r="F1987" t="s">
        <v>3689</v>
      </c>
      <c r="G1987">
        <v>88436</v>
      </c>
      <c r="H1987">
        <v>8426</v>
      </c>
      <c r="I1987" s="25" t="s">
        <v>2018</v>
      </c>
      <c r="J1987" t="s">
        <v>2081</v>
      </c>
      <c r="M1987" s="49"/>
    </row>
    <row r="1988" spans="6:13" x14ac:dyDescent="0.25">
      <c r="F1988" t="s">
        <v>3690</v>
      </c>
      <c r="G1988">
        <v>92263</v>
      </c>
      <c r="H1988">
        <v>9371</v>
      </c>
      <c r="I1988" s="25" t="s">
        <v>2050</v>
      </c>
      <c r="J1988" t="s">
        <v>2469</v>
      </c>
      <c r="M1988" s="49"/>
    </row>
    <row r="1989" spans="6:13" x14ac:dyDescent="0.25">
      <c r="F1989" t="s">
        <v>3691</v>
      </c>
      <c r="G1989">
        <v>91320</v>
      </c>
      <c r="H1989">
        <v>9474</v>
      </c>
      <c r="I1989" s="25" t="s">
        <v>2050</v>
      </c>
      <c r="J1989" t="s">
        <v>3692</v>
      </c>
      <c r="M1989" s="49"/>
    </row>
    <row r="1990" spans="6:13" x14ac:dyDescent="0.25">
      <c r="F1990" t="s">
        <v>3693</v>
      </c>
      <c r="G1990">
        <v>96106</v>
      </c>
      <c r="H1990">
        <v>9674</v>
      </c>
      <c r="I1990" s="25" t="s">
        <v>2050</v>
      </c>
      <c r="J1990" t="s">
        <v>2218</v>
      </c>
      <c r="M1990" s="49"/>
    </row>
    <row r="1991" spans="6:13" x14ac:dyDescent="0.25">
      <c r="F1991" t="s">
        <v>3694</v>
      </c>
      <c r="G1991">
        <v>73061</v>
      </c>
      <c r="H1991">
        <v>8117</v>
      </c>
      <c r="I1991" s="25" t="s">
        <v>2018</v>
      </c>
      <c r="J1991" t="s">
        <v>2089</v>
      </c>
      <c r="M1991" s="49"/>
    </row>
    <row r="1992" spans="6:13" x14ac:dyDescent="0.25">
      <c r="F1992" t="s">
        <v>3695</v>
      </c>
      <c r="G1992">
        <v>88371</v>
      </c>
      <c r="H1992">
        <v>8436</v>
      </c>
      <c r="I1992" s="25" t="s">
        <v>2018</v>
      </c>
      <c r="J1992" t="s">
        <v>2068</v>
      </c>
      <c r="M1992" s="49"/>
    </row>
    <row r="1993" spans="6:13" x14ac:dyDescent="0.25">
      <c r="F1993" t="s">
        <v>3696</v>
      </c>
      <c r="G1993">
        <v>2727</v>
      </c>
      <c r="H1993">
        <v>14626</v>
      </c>
      <c r="I1993" s="25" t="s">
        <v>2135</v>
      </c>
      <c r="J1993" t="s">
        <v>2150</v>
      </c>
      <c r="M1993" s="49"/>
    </row>
    <row r="1994" spans="6:13" x14ac:dyDescent="0.25">
      <c r="F1994" t="s">
        <v>3696</v>
      </c>
      <c r="G1994">
        <v>2730</v>
      </c>
      <c r="H1994">
        <v>14626</v>
      </c>
      <c r="I1994" s="25" t="s">
        <v>2135</v>
      </c>
      <c r="J1994" t="s">
        <v>2150</v>
      </c>
      <c r="M1994" s="49"/>
    </row>
    <row r="1995" spans="6:13" x14ac:dyDescent="0.25">
      <c r="F1995" t="s">
        <v>2500</v>
      </c>
      <c r="G1995">
        <v>85560</v>
      </c>
      <c r="H1995">
        <v>9175</v>
      </c>
      <c r="I1995" s="25" t="s">
        <v>2050</v>
      </c>
      <c r="J1995" t="s">
        <v>2500</v>
      </c>
      <c r="M1995" s="49"/>
    </row>
    <row r="1996" spans="6:13" x14ac:dyDescent="0.25">
      <c r="F1996" t="s">
        <v>3697</v>
      </c>
      <c r="G1996">
        <v>36157</v>
      </c>
      <c r="H1996">
        <v>6631</v>
      </c>
      <c r="I1996" s="25" t="s">
        <v>2046</v>
      </c>
      <c r="J1996" t="s">
        <v>2145</v>
      </c>
      <c r="M1996" s="49"/>
    </row>
    <row r="1997" spans="6:13" x14ac:dyDescent="0.25">
      <c r="F1997" t="s">
        <v>3698</v>
      </c>
      <c r="G1997">
        <v>96237</v>
      </c>
      <c r="H1997">
        <v>9473</v>
      </c>
      <c r="I1997" s="25" t="s">
        <v>2050</v>
      </c>
      <c r="J1997" t="s">
        <v>2177</v>
      </c>
      <c r="M1997" s="49"/>
    </row>
    <row r="1998" spans="6:13" x14ac:dyDescent="0.25">
      <c r="F1998" t="s">
        <v>3699</v>
      </c>
      <c r="G1998">
        <v>86491</v>
      </c>
      <c r="H1998">
        <v>9774</v>
      </c>
      <c r="I1998" s="25" t="s">
        <v>2050</v>
      </c>
      <c r="J1998" t="s">
        <v>2205</v>
      </c>
      <c r="M1998" s="49"/>
    </row>
    <row r="1999" spans="6:13" x14ac:dyDescent="0.25">
      <c r="F1999" t="s">
        <v>3700</v>
      </c>
      <c r="G1999">
        <v>74246</v>
      </c>
      <c r="H1999">
        <v>8125</v>
      </c>
      <c r="I1999" s="25" t="s">
        <v>2018</v>
      </c>
      <c r="J1999" t="s">
        <v>2060</v>
      </c>
      <c r="M1999" s="49"/>
    </row>
    <row r="2000" spans="6:13" x14ac:dyDescent="0.25">
      <c r="F2000" t="s">
        <v>3701</v>
      </c>
      <c r="G2000">
        <v>16225</v>
      </c>
      <c r="H2000">
        <v>12060</v>
      </c>
      <c r="I2000" s="25" t="s">
        <v>2356</v>
      </c>
      <c r="J2000" t="s">
        <v>2040</v>
      </c>
      <c r="M2000" s="49"/>
    </row>
    <row r="2001" spans="6:13" x14ac:dyDescent="0.25">
      <c r="F2001" t="s">
        <v>3701</v>
      </c>
      <c r="G2001">
        <v>16227</v>
      </c>
      <c r="H2001">
        <v>12060</v>
      </c>
      <c r="I2001" s="25" t="s">
        <v>2356</v>
      </c>
      <c r="J2001" t="s">
        <v>2040</v>
      </c>
      <c r="M2001" s="49"/>
    </row>
    <row r="2002" spans="6:13" x14ac:dyDescent="0.25">
      <c r="F2002" t="s">
        <v>3702</v>
      </c>
      <c r="G2002">
        <v>67280</v>
      </c>
      <c r="H2002">
        <v>7332</v>
      </c>
      <c r="I2002" s="25" t="s">
        <v>2123</v>
      </c>
      <c r="J2002" t="s">
        <v>2440</v>
      </c>
      <c r="M2002" s="49"/>
    </row>
    <row r="2003" spans="6:13" x14ac:dyDescent="0.25">
      <c r="F2003" t="s">
        <v>3703</v>
      </c>
      <c r="G2003">
        <v>72224</v>
      </c>
      <c r="H2003">
        <v>8235</v>
      </c>
      <c r="I2003" s="25" t="s">
        <v>2018</v>
      </c>
      <c r="J2003" t="s">
        <v>2422</v>
      </c>
      <c r="M2003" s="49"/>
    </row>
    <row r="2004" spans="6:13" x14ac:dyDescent="0.25">
      <c r="F2004" t="s">
        <v>3704</v>
      </c>
      <c r="G2004">
        <v>95683</v>
      </c>
      <c r="H2004">
        <v>9377</v>
      </c>
      <c r="I2004" s="25" t="s">
        <v>2050</v>
      </c>
      <c r="J2004" t="s">
        <v>2393</v>
      </c>
      <c r="M2004" s="49"/>
    </row>
    <row r="2005" spans="6:13" x14ac:dyDescent="0.25">
      <c r="F2005" t="s">
        <v>3705</v>
      </c>
      <c r="G2005">
        <v>96157</v>
      </c>
      <c r="H2005">
        <v>9471</v>
      </c>
      <c r="I2005" s="25" t="s">
        <v>2050</v>
      </c>
      <c r="J2005" t="s">
        <v>2392</v>
      </c>
      <c r="M2005" s="49"/>
    </row>
    <row r="2006" spans="6:13" x14ac:dyDescent="0.25">
      <c r="F2006" t="s">
        <v>3706</v>
      </c>
      <c r="G2006">
        <v>79285</v>
      </c>
      <c r="H2006">
        <v>8315</v>
      </c>
      <c r="I2006" s="25" t="s">
        <v>2018</v>
      </c>
      <c r="J2006" t="s">
        <v>2061</v>
      </c>
      <c r="M2006" s="49"/>
    </row>
    <row r="2007" spans="6:13" x14ac:dyDescent="0.25">
      <c r="F2007" t="s">
        <v>3707</v>
      </c>
      <c r="G2007">
        <v>35085</v>
      </c>
      <c r="H2007">
        <v>6534</v>
      </c>
      <c r="I2007" s="25" t="s">
        <v>2046</v>
      </c>
      <c r="J2007" t="s">
        <v>2471</v>
      </c>
      <c r="M2007" s="49"/>
    </row>
    <row r="2008" spans="6:13" x14ac:dyDescent="0.25">
      <c r="F2008" t="s">
        <v>3708</v>
      </c>
      <c r="G2008">
        <v>29574</v>
      </c>
      <c r="H2008">
        <v>3360</v>
      </c>
      <c r="I2008" s="25" t="s">
        <v>2074</v>
      </c>
      <c r="J2008" t="s">
        <v>2400</v>
      </c>
      <c r="M2008" s="49"/>
    </row>
    <row r="2009" spans="6:13" x14ac:dyDescent="0.25">
      <c r="F2009" t="s">
        <v>3709</v>
      </c>
      <c r="G2009">
        <v>85386</v>
      </c>
      <c r="H2009">
        <v>9178</v>
      </c>
      <c r="I2009" s="25" t="s">
        <v>2050</v>
      </c>
      <c r="J2009" t="s">
        <v>2315</v>
      </c>
      <c r="M2009" s="49"/>
    </row>
    <row r="2010" spans="6:13" x14ac:dyDescent="0.25">
      <c r="F2010" t="s">
        <v>3709</v>
      </c>
      <c r="G2010">
        <v>84174</v>
      </c>
      <c r="H2010">
        <v>9274</v>
      </c>
      <c r="I2010" s="25" t="s">
        <v>2050</v>
      </c>
      <c r="J2010" t="s">
        <v>2132</v>
      </c>
      <c r="M2010" s="49"/>
    </row>
    <row r="2011" spans="6:13" x14ac:dyDescent="0.25">
      <c r="F2011" t="s">
        <v>3710</v>
      </c>
      <c r="G2011">
        <v>82279</v>
      </c>
      <c r="H2011">
        <v>9181</v>
      </c>
      <c r="I2011" s="25" t="s">
        <v>2050</v>
      </c>
      <c r="J2011" t="s">
        <v>2505</v>
      </c>
      <c r="M2011" s="49"/>
    </row>
    <row r="2012" spans="6:13" x14ac:dyDescent="0.25">
      <c r="F2012" t="s">
        <v>3711</v>
      </c>
      <c r="G2012">
        <v>61209</v>
      </c>
      <c r="H2012">
        <v>6440</v>
      </c>
      <c r="I2012" s="25" t="s">
        <v>2046</v>
      </c>
      <c r="J2012" t="s">
        <v>2415</v>
      </c>
      <c r="M2012" s="49"/>
    </row>
    <row r="2013" spans="6:13" x14ac:dyDescent="0.25">
      <c r="F2013" t="s">
        <v>3712</v>
      </c>
      <c r="G2013">
        <v>6648</v>
      </c>
      <c r="H2013">
        <v>15084</v>
      </c>
      <c r="I2013" s="25" t="s">
        <v>2241</v>
      </c>
      <c r="J2013" t="s">
        <v>2615</v>
      </c>
      <c r="M2013" s="49"/>
    </row>
    <row r="2014" spans="6:13" x14ac:dyDescent="0.25">
      <c r="F2014" t="s">
        <v>3713</v>
      </c>
      <c r="G2014">
        <v>90542</v>
      </c>
      <c r="H2014">
        <v>9572</v>
      </c>
      <c r="I2014" s="25" t="s">
        <v>2050</v>
      </c>
      <c r="J2014" t="s">
        <v>2105</v>
      </c>
      <c r="M2014" s="49"/>
    </row>
    <row r="2015" spans="6:13" x14ac:dyDescent="0.25">
      <c r="F2015" t="s">
        <v>3714</v>
      </c>
      <c r="G2015">
        <v>24340</v>
      </c>
      <c r="H2015">
        <v>1058</v>
      </c>
      <c r="I2015" s="25" t="s">
        <v>2085</v>
      </c>
      <c r="J2015" t="s">
        <v>2086</v>
      </c>
      <c r="M2015" s="49"/>
    </row>
    <row r="2016" spans="6:13" x14ac:dyDescent="0.25">
      <c r="F2016" t="s">
        <v>3715</v>
      </c>
      <c r="G2016">
        <v>95488</v>
      </c>
      <c r="H2016">
        <v>9472</v>
      </c>
      <c r="I2016" s="25" t="s">
        <v>2050</v>
      </c>
      <c r="J2016" t="s">
        <v>2180</v>
      </c>
      <c r="M2016" s="49"/>
    </row>
    <row r="2017" spans="6:13" x14ac:dyDescent="0.25">
      <c r="F2017" t="s">
        <v>3716</v>
      </c>
      <c r="G2017">
        <v>25715</v>
      </c>
      <c r="H2017">
        <v>1051</v>
      </c>
      <c r="I2017" s="25" t="s">
        <v>2085</v>
      </c>
      <c r="J2017" t="s">
        <v>2097</v>
      </c>
      <c r="M2017" s="49"/>
    </row>
    <row r="2018" spans="6:13" x14ac:dyDescent="0.25">
      <c r="F2018" t="s">
        <v>3717</v>
      </c>
      <c r="G2018">
        <v>92265</v>
      </c>
      <c r="H2018">
        <v>9371</v>
      </c>
      <c r="I2018" s="25" t="s">
        <v>2050</v>
      </c>
      <c r="J2018" t="s">
        <v>2469</v>
      </c>
      <c r="M2018" s="49"/>
    </row>
    <row r="2019" spans="6:13" x14ac:dyDescent="0.25">
      <c r="F2019" t="s">
        <v>3717</v>
      </c>
      <c r="G2019">
        <v>92265</v>
      </c>
      <c r="H2019">
        <v>9371</v>
      </c>
      <c r="I2019" s="25" t="s">
        <v>2050</v>
      </c>
      <c r="J2019" t="s">
        <v>2469</v>
      </c>
      <c r="M2019" s="49"/>
    </row>
    <row r="2020" spans="6:13" x14ac:dyDescent="0.25">
      <c r="F2020" t="s">
        <v>3718</v>
      </c>
      <c r="G2020">
        <v>31234</v>
      </c>
      <c r="H2020">
        <v>3157</v>
      </c>
      <c r="I2020" s="25" t="s">
        <v>2074</v>
      </c>
      <c r="J2020" t="s">
        <v>2309</v>
      </c>
      <c r="M2020" s="49"/>
    </row>
    <row r="2021" spans="6:13" x14ac:dyDescent="0.25">
      <c r="F2021" t="s">
        <v>3719</v>
      </c>
      <c r="G2021">
        <v>67480</v>
      </c>
      <c r="H2021">
        <v>7337</v>
      </c>
      <c r="I2021" s="25" t="s">
        <v>2123</v>
      </c>
      <c r="J2021" t="s">
        <v>2256</v>
      </c>
      <c r="M2021" s="49"/>
    </row>
    <row r="2022" spans="6:13" x14ac:dyDescent="0.25">
      <c r="F2022" t="s">
        <v>3719</v>
      </c>
      <c r="G2022">
        <v>67480</v>
      </c>
      <c r="H2022">
        <v>7337</v>
      </c>
      <c r="I2022" s="25" t="s">
        <v>2123</v>
      </c>
      <c r="J2022" t="s">
        <v>2256</v>
      </c>
      <c r="M2022" s="49"/>
    </row>
    <row r="2023" spans="6:13" x14ac:dyDescent="0.25">
      <c r="F2023" t="s">
        <v>3720</v>
      </c>
      <c r="G2023">
        <v>86739</v>
      </c>
      <c r="H2023">
        <v>9779</v>
      </c>
      <c r="I2023" s="25" t="s">
        <v>2050</v>
      </c>
      <c r="J2023" t="s">
        <v>2280</v>
      </c>
      <c r="M2023" s="49"/>
    </row>
    <row r="2024" spans="6:13" x14ac:dyDescent="0.25">
      <c r="F2024" t="s">
        <v>3721</v>
      </c>
      <c r="G2024">
        <v>34295</v>
      </c>
      <c r="H2024">
        <v>6634</v>
      </c>
      <c r="I2024" s="25" t="s">
        <v>2046</v>
      </c>
      <c r="J2024" t="s">
        <v>2360</v>
      </c>
      <c r="M2024" s="49"/>
    </row>
    <row r="2025" spans="6:13" x14ac:dyDescent="0.25">
      <c r="F2025" t="s">
        <v>3722</v>
      </c>
      <c r="G2025">
        <v>34549</v>
      </c>
      <c r="H2025">
        <v>6635</v>
      </c>
      <c r="I2025" s="25" t="s">
        <v>2046</v>
      </c>
      <c r="J2025" t="s">
        <v>2308</v>
      </c>
      <c r="M2025" s="49"/>
    </row>
    <row r="2026" spans="6:13" x14ac:dyDescent="0.25">
      <c r="F2026" t="s">
        <v>3723</v>
      </c>
      <c r="G2026">
        <v>67483</v>
      </c>
      <c r="H2026">
        <v>7337</v>
      </c>
      <c r="I2026" s="25" t="s">
        <v>2123</v>
      </c>
      <c r="J2026" t="s">
        <v>2256</v>
      </c>
      <c r="M2026" s="49"/>
    </row>
    <row r="2027" spans="6:13" x14ac:dyDescent="0.25">
      <c r="F2027" t="s">
        <v>3723</v>
      </c>
      <c r="G2027">
        <v>67483</v>
      </c>
      <c r="H2027">
        <v>7337</v>
      </c>
      <c r="I2027" s="25" t="s">
        <v>2123</v>
      </c>
      <c r="J2027" t="s">
        <v>2256</v>
      </c>
      <c r="M2027" s="49"/>
    </row>
    <row r="2028" spans="6:13" x14ac:dyDescent="0.25">
      <c r="F2028" t="s">
        <v>3724</v>
      </c>
      <c r="G2028">
        <v>26188</v>
      </c>
      <c r="H2028">
        <v>3451</v>
      </c>
      <c r="I2028" s="25" t="s">
        <v>2074</v>
      </c>
      <c r="J2028" t="s">
        <v>2030</v>
      </c>
      <c r="M2028" s="49"/>
    </row>
    <row r="2029" spans="6:13" x14ac:dyDescent="0.25">
      <c r="F2029" t="s">
        <v>3725</v>
      </c>
      <c r="G2029">
        <v>56814</v>
      </c>
      <c r="H2029">
        <v>7135</v>
      </c>
      <c r="I2029" s="25" t="s">
        <v>2123</v>
      </c>
      <c r="J2029" t="s">
        <v>2072</v>
      </c>
      <c r="M2029" s="49"/>
    </row>
    <row r="2030" spans="6:13" x14ac:dyDescent="0.25">
      <c r="F2030" t="s">
        <v>3725</v>
      </c>
      <c r="G2030">
        <v>56814</v>
      </c>
      <c r="H2030">
        <v>7135</v>
      </c>
      <c r="I2030" s="25" t="s">
        <v>2123</v>
      </c>
      <c r="J2030" t="s">
        <v>2072</v>
      </c>
      <c r="M2030" s="49"/>
    </row>
    <row r="2031" spans="6:13" x14ac:dyDescent="0.25">
      <c r="F2031" t="s">
        <v>3725</v>
      </c>
      <c r="G2031">
        <v>56814</v>
      </c>
      <c r="H2031">
        <v>7135</v>
      </c>
      <c r="I2031" s="25" t="s">
        <v>2123</v>
      </c>
      <c r="J2031" t="s">
        <v>2072</v>
      </c>
      <c r="M2031" s="49"/>
    </row>
    <row r="2032" spans="6:13" x14ac:dyDescent="0.25">
      <c r="F2032" t="s">
        <v>3725</v>
      </c>
      <c r="G2032">
        <v>56814</v>
      </c>
      <c r="H2032">
        <v>7135</v>
      </c>
      <c r="I2032" s="25" t="s">
        <v>2123</v>
      </c>
      <c r="J2032" t="s">
        <v>2072</v>
      </c>
      <c r="M2032" s="49"/>
    </row>
    <row r="2033" spans="6:13" x14ac:dyDescent="0.25">
      <c r="F2033" t="s">
        <v>3725</v>
      </c>
      <c r="G2033">
        <v>56814</v>
      </c>
      <c r="H2033">
        <v>7135</v>
      </c>
      <c r="I2033" s="25" t="s">
        <v>2123</v>
      </c>
      <c r="J2033" t="s">
        <v>2072</v>
      </c>
      <c r="M2033" s="49"/>
    </row>
    <row r="2034" spans="6:13" x14ac:dyDescent="0.25">
      <c r="F2034" t="s">
        <v>3726</v>
      </c>
      <c r="G2034">
        <v>68535</v>
      </c>
      <c r="H2034">
        <v>8226</v>
      </c>
      <c r="I2034" s="25" t="s">
        <v>2018</v>
      </c>
      <c r="J2034" t="s">
        <v>2442</v>
      </c>
      <c r="M2034" s="49"/>
    </row>
    <row r="2035" spans="6:13" x14ac:dyDescent="0.25">
      <c r="F2035" t="s">
        <v>3727</v>
      </c>
      <c r="G2035">
        <v>83533</v>
      </c>
      <c r="H2035">
        <v>9187</v>
      </c>
      <c r="I2035" s="25" t="s">
        <v>2050</v>
      </c>
      <c r="J2035" t="s">
        <v>2245</v>
      </c>
      <c r="M2035" s="49"/>
    </row>
    <row r="2036" spans="6:13" x14ac:dyDescent="0.25">
      <c r="F2036" t="s">
        <v>3728</v>
      </c>
      <c r="G2036">
        <v>91090</v>
      </c>
      <c r="H2036">
        <v>9474</v>
      </c>
      <c r="I2036" s="25" t="s">
        <v>2050</v>
      </c>
      <c r="J2036" t="s">
        <v>3692</v>
      </c>
      <c r="M2036" s="49"/>
    </row>
    <row r="2037" spans="6:13" x14ac:dyDescent="0.25">
      <c r="F2037" t="s">
        <v>3729</v>
      </c>
      <c r="G2037">
        <v>79588</v>
      </c>
      <c r="H2037">
        <v>8336</v>
      </c>
      <c r="I2037" s="25" t="s">
        <v>2018</v>
      </c>
      <c r="J2037" t="s">
        <v>2227</v>
      </c>
      <c r="M2037" s="49"/>
    </row>
    <row r="2038" spans="6:13" x14ac:dyDescent="0.25">
      <c r="F2038" t="s">
        <v>3730</v>
      </c>
      <c r="G2038">
        <v>39435</v>
      </c>
      <c r="H2038">
        <v>15089</v>
      </c>
      <c r="I2038" s="25" t="s">
        <v>2241</v>
      </c>
      <c r="J2038" t="s">
        <v>2351</v>
      </c>
      <c r="M2038" s="49"/>
    </row>
    <row r="2039" spans="6:13" x14ac:dyDescent="0.25">
      <c r="F2039" t="s">
        <v>3731</v>
      </c>
      <c r="G2039">
        <v>63329</v>
      </c>
      <c r="H2039">
        <v>6438</v>
      </c>
      <c r="I2039" s="25" t="s">
        <v>2046</v>
      </c>
      <c r="J2039" t="s">
        <v>3567</v>
      </c>
      <c r="M2039" s="49"/>
    </row>
    <row r="2040" spans="6:13" x14ac:dyDescent="0.25">
      <c r="F2040" t="s">
        <v>3732</v>
      </c>
      <c r="G2040">
        <v>72227</v>
      </c>
      <c r="H2040">
        <v>8235</v>
      </c>
      <c r="I2040" s="25" t="s">
        <v>2018</v>
      </c>
      <c r="J2040" t="s">
        <v>2422</v>
      </c>
      <c r="M2040" s="49"/>
    </row>
    <row r="2041" spans="6:13" x14ac:dyDescent="0.25">
      <c r="F2041" t="s">
        <v>3733</v>
      </c>
      <c r="G2041">
        <v>82281</v>
      </c>
      <c r="H2041">
        <v>9179</v>
      </c>
      <c r="I2041" s="25" t="s">
        <v>2050</v>
      </c>
      <c r="J2041" t="s">
        <v>2111</v>
      </c>
      <c r="M2041" s="49"/>
    </row>
    <row r="2042" spans="6:13" x14ac:dyDescent="0.25">
      <c r="F2042" t="s">
        <v>3734</v>
      </c>
      <c r="G2042">
        <v>78592</v>
      </c>
      <c r="H2042">
        <v>8327</v>
      </c>
      <c r="I2042" s="25" t="s">
        <v>2018</v>
      </c>
      <c r="J2042" t="s">
        <v>2277</v>
      </c>
      <c r="M2042" s="49"/>
    </row>
    <row r="2043" spans="6:13" x14ac:dyDescent="0.25">
      <c r="F2043" t="s">
        <v>3735</v>
      </c>
      <c r="G2043">
        <v>87743</v>
      </c>
      <c r="H2043">
        <v>9778</v>
      </c>
      <c r="I2043" s="25" t="s">
        <v>2050</v>
      </c>
      <c r="J2043" t="s">
        <v>2460</v>
      </c>
      <c r="M2043" s="49"/>
    </row>
    <row r="2044" spans="6:13" x14ac:dyDescent="0.25">
      <c r="F2044" t="s">
        <v>3736</v>
      </c>
      <c r="G2044">
        <v>24852</v>
      </c>
      <c r="H2044">
        <v>1059</v>
      </c>
      <c r="I2044" s="25" t="s">
        <v>2085</v>
      </c>
      <c r="J2044" t="s">
        <v>2354</v>
      </c>
      <c r="M2044" s="49"/>
    </row>
    <row r="2045" spans="6:13" x14ac:dyDescent="0.25">
      <c r="F2045" t="s">
        <v>3737</v>
      </c>
      <c r="G2045">
        <v>84307</v>
      </c>
      <c r="H2045">
        <v>9277</v>
      </c>
      <c r="I2045" s="25" t="s">
        <v>2050</v>
      </c>
      <c r="J2045" t="s">
        <v>2529</v>
      </c>
      <c r="M2045" s="49"/>
    </row>
    <row r="2046" spans="6:13" x14ac:dyDescent="0.25">
      <c r="F2046" t="s">
        <v>3738</v>
      </c>
      <c r="G2046">
        <v>76344</v>
      </c>
      <c r="H2046">
        <v>8215</v>
      </c>
      <c r="I2046" s="25" t="s">
        <v>2018</v>
      </c>
      <c r="J2046" t="s">
        <v>2724</v>
      </c>
      <c r="M2046" s="49"/>
    </row>
    <row r="2047" spans="6:13" x14ac:dyDescent="0.25">
      <c r="F2047" t="s">
        <v>3739</v>
      </c>
      <c r="G2047">
        <v>87653</v>
      </c>
      <c r="H2047">
        <v>9777</v>
      </c>
      <c r="I2047" s="25" t="s">
        <v>2050</v>
      </c>
      <c r="J2047" t="s">
        <v>2237</v>
      </c>
      <c r="M2047" s="49"/>
    </row>
    <row r="2048" spans="6:13" x14ac:dyDescent="0.25">
      <c r="F2048" t="s">
        <v>3740</v>
      </c>
      <c r="G2048">
        <v>17367</v>
      </c>
      <c r="H2048">
        <v>13075</v>
      </c>
      <c r="I2048" s="25" t="s">
        <v>2191</v>
      </c>
      <c r="J2048" t="s">
        <v>2160</v>
      </c>
      <c r="M2048" s="49"/>
    </row>
    <row r="2049" spans="6:13" x14ac:dyDescent="0.25">
      <c r="F2049" t="s">
        <v>3741</v>
      </c>
      <c r="G2049">
        <v>21272</v>
      </c>
      <c r="H2049">
        <v>3353</v>
      </c>
      <c r="I2049" s="25" t="s">
        <v>2074</v>
      </c>
      <c r="J2049" t="s">
        <v>2176</v>
      </c>
      <c r="M2049" s="49"/>
    </row>
    <row r="2050" spans="6:13" x14ac:dyDescent="0.25">
      <c r="F2050" t="s">
        <v>3742</v>
      </c>
      <c r="G2050">
        <v>79805</v>
      </c>
      <c r="H2050">
        <v>8337</v>
      </c>
      <c r="I2050" s="25" t="s">
        <v>2018</v>
      </c>
      <c r="J2050" t="s">
        <v>2248</v>
      </c>
      <c r="M2050" s="49"/>
    </row>
    <row r="2051" spans="6:13" x14ac:dyDescent="0.25">
      <c r="F2051" t="s">
        <v>3743</v>
      </c>
      <c r="G2051">
        <v>84385</v>
      </c>
      <c r="H2051">
        <v>9277</v>
      </c>
      <c r="I2051" s="25" t="s">
        <v>2050</v>
      </c>
      <c r="J2051" t="s">
        <v>2529</v>
      </c>
      <c r="M2051" s="49"/>
    </row>
    <row r="2052" spans="6:13" x14ac:dyDescent="0.25">
      <c r="F2052" t="s">
        <v>3744</v>
      </c>
      <c r="G2052">
        <v>84546</v>
      </c>
      <c r="H2052">
        <v>9183</v>
      </c>
      <c r="I2052" s="25" t="s">
        <v>2050</v>
      </c>
      <c r="J2052" t="s">
        <v>2474</v>
      </c>
      <c r="M2052" s="49"/>
    </row>
    <row r="2053" spans="6:13" x14ac:dyDescent="0.25">
      <c r="F2053" t="s">
        <v>3745</v>
      </c>
      <c r="G2053">
        <v>91330</v>
      </c>
      <c r="H2053">
        <v>9474</v>
      </c>
      <c r="I2053" s="25" t="s">
        <v>2050</v>
      </c>
      <c r="J2053" t="s">
        <v>3692</v>
      </c>
      <c r="M2053" s="49"/>
    </row>
    <row r="2054" spans="6:13" x14ac:dyDescent="0.25">
      <c r="F2054" t="s">
        <v>3746</v>
      </c>
      <c r="G2054">
        <v>83125</v>
      </c>
      <c r="H2054">
        <v>9187</v>
      </c>
      <c r="I2054" s="25" t="s">
        <v>2050</v>
      </c>
      <c r="J2054" t="s">
        <v>2245</v>
      </c>
      <c r="M2054" s="49"/>
    </row>
    <row r="2055" spans="6:13" x14ac:dyDescent="0.25">
      <c r="F2055" t="s">
        <v>3747</v>
      </c>
      <c r="G2055">
        <v>25721</v>
      </c>
      <c r="H2055">
        <v>1051</v>
      </c>
      <c r="I2055" s="25" t="s">
        <v>2085</v>
      </c>
      <c r="J2055" t="s">
        <v>2097</v>
      </c>
      <c r="M2055" s="49"/>
    </row>
    <row r="2056" spans="6:13" x14ac:dyDescent="0.25">
      <c r="F2056" t="s">
        <v>3748</v>
      </c>
      <c r="G2056">
        <v>94535</v>
      </c>
      <c r="H2056">
        <v>9275</v>
      </c>
      <c r="I2056" s="25" t="s">
        <v>2050</v>
      </c>
      <c r="J2056" t="s">
        <v>2198</v>
      </c>
      <c r="M2056" s="49"/>
    </row>
    <row r="2057" spans="6:13" x14ac:dyDescent="0.25">
      <c r="F2057" t="s">
        <v>3749</v>
      </c>
      <c r="G2057">
        <v>82436</v>
      </c>
      <c r="H2057">
        <v>9190</v>
      </c>
      <c r="I2057" s="25" t="s">
        <v>2050</v>
      </c>
      <c r="J2057" t="s">
        <v>2417</v>
      </c>
      <c r="M2057" s="49"/>
    </row>
    <row r="2058" spans="6:13" x14ac:dyDescent="0.25">
      <c r="F2058" t="s">
        <v>3750</v>
      </c>
      <c r="G2058">
        <v>82544</v>
      </c>
      <c r="H2058">
        <v>9173</v>
      </c>
      <c r="I2058" s="25" t="s">
        <v>2050</v>
      </c>
      <c r="J2058" t="s">
        <v>2659</v>
      </c>
      <c r="M2058" s="49"/>
    </row>
    <row r="2059" spans="6:13" x14ac:dyDescent="0.25">
      <c r="F2059" t="s">
        <v>3751</v>
      </c>
      <c r="G2059">
        <v>86492</v>
      </c>
      <c r="H2059">
        <v>9181</v>
      </c>
      <c r="I2059" s="25" t="s">
        <v>2050</v>
      </c>
      <c r="J2059" t="s">
        <v>2505</v>
      </c>
      <c r="M2059" s="49"/>
    </row>
    <row r="2060" spans="6:13" x14ac:dyDescent="0.25">
      <c r="F2060" t="s">
        <v>3752</v>
      </c>
      <c r="G2060">
        <v>91349</v>
      </c>
      <c r="H2060">
        <v>9474</v>
      </c>
      <c r="I2060" s="25" t="s">
        <v>2050</v>
      </c>
      <c r="J2060" t="s">
        <v>3692</v>
      </c>
      <c r="M2060" s="49"/>
    </row>
    <row r="2061" spans="6:13" x14ac:dyDescent="0.25">
      <c r="F2061" t="s">
        <v>3753</v>
      </c>
      <c r="G2061">
        <v>85658</v>
      </c>
      <c r="H2061">
        <v>9175</v>
      </c>
      <c r="I2061" s="25" t="s">
        <v>2050</v>
      </c>
      <c r="J2061" t="s">
        <v>2500</v>
      </c>
      <c r="M2061" s="49"/>
    </row>
    <row r="2062" spans="6:13" x14ac:dyDescent="0.25">
      <c r="F2062" t="s">
        <v>3754</v>
      </c>
      <c r="G2062">
        <v>85116</v>
      </c>
      <c r="H2062">
        <v>9176</v>
      </c>
      <c r="I2062" s="25" t="s">
        <v>2050</v>
      </c>
      <c r="J2062" t="s">
        <v>2102</v>
      </c>
      <c r="M2062" s="49"/>
    </row>
    <row r="2063" spans="6:13" x14ac:dyDescent="0.25">
      <c r="F2063" t="s">
        <v>3755</v>
      </c>
      <c r="G2063">
        <v>86676</v>
      </c>
      <c r="H2063">
        <v>9185</v>
      </c>
      <c r="I2063" s="25" t="s">
        <v>2050</v>
      </c>
      <c r="J2063" t="s">
        <v>2515</v>
      </c>
      <c r="M2063" s="49"/>
    </row>
    <row r="2064" spans="6:13" x14ac:dyDescent="0.25">
      <c r="F2064" t="s">
        <v>3756</v>
      </c>
      <c r="G2064">
        <v>91725</v>
      </c>
      <c r="H2064">
        <v>9571</v>
      </c>
      <c r="I2064" s="25" t="s">
        <v>2050</v>
      </c>
      <c r="J2064" t="s">
        <v>2113</v>
      </c>
      <c r="M2064" s="49"/>
    </row>
    <row r="2065" spans="6:13" x14ac:dyDescent="0.25">
      <c r="F2065" t="s">
        <v>3756</v>
      </c>
      <c r="G2065">
        <v>86678</v>
      </c>
      <c r="H2065">
        <v>9772</v>
      </c>
      <c r="I2065" s="25" t="s">
        <v>2050</v>
      </c>
      <c r="J2065" t="s">
        <v>2117</v>
      </c>
      <c r="M2065" s="49"/>
    </row>
    <row r="2066" spans="6:13" x14ac:dyDescent="0.25">
      <c r="F2066" t="s">
        <v>3757</v>
      </c>
      <c r="G2066">
        <v>89584</v>
      </c>
      <c r="H2066">
        <v>8425</v>
      </c>
      <c r="I2066" s="25" t="s">
        <v>2018</v>
      </c>
      <c r="J2066" t="s">
        <v>2027</v>
      </c>
      <c r="M2066" s="49"/>
    </row>
    <row r="2067" spans="6:13" x14ac:dyDescent="0.25">
      <c r="F2067" t="s">
        <v>3757</v>
      </c>
      <c r="G2067">
        <v>89584</v>
      </c>
      <c r="H2067">
        <v>8425</v>
      </c>
      <c r="I2067" s="25" t="s">
        <v>2018</v>
      </c>
      <c r="J2067" t="s">
        <v>2027</v>
      </c>
      <c r="M2067" s="49"/>
    </row>
    <row r="2068" spans="6:13" x14ac:dyDescent="0.25">
      <c r="F2068" t="s">
        <v>3758</v>
      </c>
      <c r="G2068">
        <v>86741</v>
      </c>
      <c r="H2068">
        <v>9779</v>
      </c>
      <c r="I2068" s="25" t="s">
        <v>2050</v>
      </c>
      <c r="J2068" t="s">
        <v>2280</v>
      </c>
      <c r="M2068" s="49"/>
    </row>
    <row r="2069" spans="6:13" x14ac:dyDescent="0.25">
      <c r="F2069" t="s">
        <v>3759</v>
      </c>
      <c r="G2069">
        <v>71139</v>
      </c>
      <c r="H2069">
        <v>8115</v>
      </c>
      <c r="I2069" s="25" t="s">
        <v>2018</v>
      </c>
      <c r="J2069" t="s">
        <v>2222</v>
      </c>
      <c r="M2069" s="49"/>
    </row>
    <row r="2070" spans="6:13" x14ac:dyDescent="0.25">
      <c r="F2070" t="s">
        <v>3760</v>
      </c>
      <c r="G2070">
        <v>38468</v>
      </c>
      <c r="H2070">
        <v>3151</v>
      </c>
      <c r="I2070" s="25" t="s">
        <v>2074</v>
      </c>
      <c r="J2070" t="s">
        <v>2126</v>
      </c>
      <c r="M2070" s="49"/>
    </row>
    <row r="2071" spans="6:13" x14ac:dyDescent="0.25">
      <c r="F2071" t="s">
        <v>3761</v>
      </c>
      <c r="G2071">
        <v>27248</v>
      </c>
      <c r="H2071">
        <v>3251</v>
      </c>
      <c r="I2071" s="25" t="s">
        <v>2074</v>
      </c>
      <c r="J2071" t="s">
        <v>2094</v>
      </c>
      <c r="M2071" s="49"/>
    </row>
    <row r="2072" spans="6:13" x14ac:dyDescent="0.25">
      <c r="F2072" t="s">
        <v>3762</v>
      </c>
      <c r="G2072">
        <v>9427</v>
      </c>
      <c r="H2072">
        <v>14521</v>
      </c>
      <c r="I2072" s="25" t="s">
        <v>2135</v>
      </c>
      <c r="J2072" t="s">
        <v>2032</v>
      </c>
      <c r="M2072" s="49"/>
    </row>
    <row r="2073" spans="6:13" x14ac:dyDescent="0.25">
      <c r="F2073" t="s">
        <v>3763</v>
      </c>
      <c r="G2073">
        <v>79238</v>
      </c>
      <c r="H2073">
        <v>8315</v>
      </c>
      <c r="I2073" s="25" t="s">
        <v>2018</v>
      </c>
      <c r="J2073" t="s">
        <v>2061</v>
      </c>
      <c r="M2073" s="49"/>
    </row>
    <row r="2074" spans="6:13" x14ac:dyDescent="0.25">
      <c r="F2074" t="s">
        <v>3764</v>
      </c>
      <c r="G2074">
        <v>35630</v>
      </c>
      <c r="H2074">
        <v>6532</v>
      </c>
      <c r="I2074" s="25" t="s">
        <v>2046</v>
      </c>
      <c r="J2074" t="s">
        <v>2555</v>
      </c>
      <c r="M2074" s="49"/>
    </row>
    <row r="2075" spans="6:13" x14ac:dyDescent="0.25">
      <c r="F2075" t="s">
        <v>3765</v>
      </c>
      <c r="G2075">
        <v>97246</v>
      </c>
      <c r="H2075">
        <v>9679</v>
      </c>
      <c r="I2075" s="25" t="s">
        <v>2050</v>
      </c>
      <c r="J2075" t="s">
        <v>2428</v>
      </c>
      <c r="M2075" s="49"/>
    </row>
    <row r="2076" spans="6:13" x14ac:dyDescent="0.25">
      <c r="F2076" t="s">
        <v>3766</v>
      </c>
      <c r="G2076">
        <v>8309</v>
      </c>
      <c r="H2076">
        <v>14521</v>
      </c>
      <c r="I2076" s="25" t="s">
        <v>2135</v>
      </c>
      <c r="J2076" t="s">
        <v>2032</v>
      </c>
      <c r="M2076" s="49"/>
    </row>
    <row r="2077" spans="6:13" x14ac:dyDescent="0.25">
      <c r="F2077" t="s">
        <v>3767</v>
      </c>
      <c r="G2077">
        <v>67575</v>
      </c>
      <c r="H2077">
        <v>7331</v>
      </c>
      <c r="I2077" s="25" t="s">
        <v>2123</v>
      </c>
      <c r="J2077" t="s">
        <v>2029</v>
      </c>
      <c r="M2077" s="49"/>
    </row>
    <row r="2078" spans="6:13" x14ac:dyDescent="0.25">
      <c r="F2078" t="s">
        <v>3768</v>
      </c>
      <c r="G2078">
        <v>82223</v>
      </c>
      <c r="H2078">
        <v>9179</v>
      </c>
      <c r="I2078" s="25" t="s">
        <v>2050</v>
      </c>
      <c r="J2078" t="s">
        <v>2111</v>
      </c>
      <c r="M2078" s="49"/>
    </row>
    <row r="2079" spans="6:13" x14ac:dyDescent="0.25">
      <c r="F2079" t="s">
        <v>3769</v>
      </c>
      <c r="G2079">
        <v>39167</v>
      </c>
      <c r="H2079">
        <v>15083</v>
      </c>
      <c r="I2079" s="25" t="s">
        <v>2241</v>
      </c>
      <c r="J2079" t="s">
        <v>2052</v>
      </c>
      <c r="M2079" s="49"/>
    </row>
    <row r="2080" spans="6:13" x14ac:dyDescent="0.25">
      <c r="F2080" t="s">
        <v>3770</v>
      </c>
      <c r="G2080">
        <v>63928</v>
      </c>
      <c r="H2080">
        <v>8225</v>
      </c>
      <c r="I2080" s="25" t="s">
        <v>2018</v>
      </c>
      <c r="J2080" t="s">
        <v>2108</v>
      </c>
      <c r="M2080" s="49"/>
    </row>
    <row r="2081" spans="6:13" x14ac:dyDescent="0.25">
      <c r="F2081" t="s">
        <v>3770</v>
      </c>
      <c r="G2081">
        <v>63928</v>
      </c>
      <c r="H2081">
        <v>9676</v>
      </c>
      <c r="I2081" s="25" t="s">
        <v>2050</v>
      </c>
      <c r="J2081" t="s">
        <v>2381</v>
      </c>
      <c r="M2081" s="49"/>
    </row>
    <row r="2082" spans="6:13" x14ac:dyDescent="0.25">
      <c r="F2082" t="s">
        <v>3771</v>
      </c>
      <c r="G2082">
        <v>94428</v>
      </c>
      <c r="H2082">
        <v>9279</v>
      </c>
      <c r="I2082" s="25" t="s">
        <v>2050</v>
      </c>
      <c r="J2082" t="s">
        <v>3574</v>
      </c>
      <c r="M2082" s="49"/>
    </row>
    <row r="2083" spans="6:13" x14ac:dyDescent="0.25">
      <c r="F2083" t="s">
        <v>3772</v>
      </c>
      <c r="G2083">
        <v>36124</v>
      </c>
      <c r="H2083">
        <v>6631</v>
      </c>
      <c r="I2083" s="25" t="s">
        <v>2046</v>
      </c>
      <c r="J2083" t="s">
        <v>2145</v>
      </c>
      <c r="M2083" s="49"/>
    </row>
    <row r="2084" spans="6:13" x14ac:dyDescent="0.25">
      <c r="F2084" t="s">
        <v>2102</v>
      </c>
      <c r="G2084">
        <v>85072</v>
      </c>
      <c r="H2084">
        <v>9176</v>
      </c>
      <c r="I2084" s="25" t="s">
        <v>2050</v>
      </c>
      <c r="J2084" t="s">
        <v>2102</v>
      </c>
      <c r="M2084" s="49"/>
    </row>
    <row r="2085" spans="6:13" x14ac:dyDescent="0.25">
      <c r="F2085" t="s">
        <v>3773</v>
      </c>
      <c r="G2085">
        <v>79356</v>
      </c>
      <c r="H2085">
        <v>8315</v>
      </c>
      <c r="I2085" s="25" t="s">
        <v>2018</v>
      </c>
      <c r="J2085" t="s">
        <v>2061</v>
      </c>
      <c r="M2085" s="49"/>
    </row>
    <row r="2086" spans="6:13" x14ac:dyDescent="0.25">
      <c r="F2086" t="s">
        <v>3774</v>
      </c>
      <c r="G2086">
        <v>29358</v>
      </c>
      <c r="H2086">
        <v>3351</v>
      </c>
      <c r="I2086" s="25" t="s">
        <v>2074</v>
      </c>
      <c r="J2086" t="s">
        <v>2096</v>
      </c>
      <c r="M2086" s="49"/>
    </row>
    <row r="2087" spans="6:13" x14ac:dyDescent="0.25">
      <c r="F2087" t="s">
        <v>3775</v>
      </c>
      <c r="G2087">
        <v>78253</v>
      </c>
      <c r="H2087">
        <v>8335</v>
      </c>
      <c r="I2087" s="25" t="s">
        <v>2018</v>
      </c>
      <c r="J2087" t="s">
        <v>2019</v>
      </c>
      <c r="M2087" s="49"/>
    </row>
    <row r="2088" spans="6:13" x14ac:dyDescent="0.25">
      <c r="F2088" t="s">
        <v>3776</v>
      </c>
      <c r="G2088">
        <v>4838</v>
      </c>
      <c r="H2088">
        <v>14730</v>
      </c>
      <c r="I2088" s="25" t="s">
        <v>2135</v>
      </c>
      <c r="J2088" t="s">
        <v>2083</v>
      </c>
      <c r="M2088" s="49"/>
    </row>
    <row r="2089" spans="6:13" x14ac:dyDescent="0.25">
      <c r="F2089" t="s">
        <v>3777</v>
      </c>
      <c r="G2089">
        <v>31036</v>
      </c>
      <c r="H2089">
        <v>3254</v>
      </c>
      <c r="I2089" s="25" t="s">
        <v>2074</v>
      </c>
      <c r="J2089" t="s">
        <v>2196</v>
      </c>
      <c r="M2089" s="49"/>
    </row>
    <row r="2090" spans="6:13" x14ac:dyDescent="0.25">
      <c r="F2090" t="s">
        <v>3778</v>
      </c>
      <c r="G2090">
        <v>79591</v>
      </c>
      <c r="H2090">
        <v>8336</v>
      </c>
      <c r="I2090" s="25" t="s">
        <v>2018</v>
      </c>
      <c r="J2090" t="s">
        <v>2227</v>
      </c>
      <c r="M2090" s="49"/>
    </row>
    <row r="2091" spans="6:13" x14ac:dyDescent="0.25">
      <c r="F2091" t="s">
        <v>3779</v>
      </c>
      <c r="G2091">
        <v>29578</v>
      </c>
      <c r="H2091">
        <v>3360</v>
      </c>
      <c r="I2091" s="25" t="s">
        <v>2074</v>
      </c>
      <c r="J2091" t="s">
        <v>2400</v>
      </c>
      <c r="M2091" s="49"/>
    </row>
    <row r="2092" spans="6:13" x14ac:dyDescent="0.25">
      <c r="F2092" t="s">
        <v>3780</v>
      </c>
      <c r="G2092">
        <v>37574</v>
      </c>
      <c r="H2092">
        <v>3155</v>
      </c>
      <c r="I2092" s="25" t="s">
        <v>2074</v>
      </c>
      <c r="J2092" t="s">
        <v>2653</v>
      </c>
      <c r="M2092" s="49"/>
    </row>
    <row r="2093" spans="6:13" x14ac:dyDescent="0.25">
      <c r="F2093" t="s">
        <v>3781</v>
      </c>
      <c r="G2093">
        <v>64683</v>
      </c>
      <c r="H2093">
        <v>6431</v>
      </c>
      <c r="I2093" s="25" t="s">
        <v>2046</v>
      </c>
      <c r="J2093" t="s">
        <v>2065</v>
      </c>
      <c r="M2093" s="49"/>
    </row>
    <row r="2094" spans="6:13" x14ac:dyDescent="0.25">
      <c r="F2094" t="s">
        <v>3782</v>
      </c>
      <c r="G2094">
        <v>83549</v>
      </c>
      <c r="H2094">
        <v>9187</v>
      </c>
      <c r="I2094" s="25" t="s">
        <v>2050</v>
      </c>
      <c r="J2094" t="s">
        <v>2245</v>
      </c>
      <c r="M2094" s="49"/>
    </row>
    <row r="2095" spans="6:13" x14ac:dyDescent="0.25">
      <c r="F2095" t="s">
        <v>3783</v>
      </c>
      <c r="G2095">
        <v>99817</v>
      </c>
      <c r="H2095">
        <v>16056</v>
      </c>
      <c r="I2095" s="25" t="s">
        <v>2384</v>
      </c>
      <c r="J2095" t="s">
        <v>3784</v>
      </c>
      <c r="M2095" s="49"/>
    </row>
    <row r="2096" spans="6:13" x14ac:dyDescent="0.25">
      <c r="F2096" t="s">
        <v>3785</v>
      </c>
      <c r="G2096">
        <v>79871</v>
      </c>
      <c r="H2096">
        <v>8315</v>
      </c>
      <c r="I2096" s="25" t="s">
        <v>2018</v>
      </c>
      <c r="J2096" t="s">
        <v>2061</v>
      </c>
      <c r="M2096" s="49"/>
    </row>
    <row r="2097" spans="6:13" x14ac:dyDescent="0.25">
      <c r="F2097" t="s">
        <v>3786</v>
      </c>
      <c r="G2097">
        <v>67304</v>
      </c>
      <c r="H2097">
        <v>7333</v>
      </c>
      <c r="I2097" s="25" t="s">
        <v>2123</v>
      </c>
      <c r="J2097" t="s">
        <v>2103</v>
      </c>
      <c r="M2097" s="49"/>
    </row>
    <row r="2098" spans="6:13" x14ac:dyDescent="0.25">
      <c r="F2098" t="s">
        <v>3787</v>
      </c>
      <c r="G2098">
        <v>7607</v>
      </c>
      <c r="H2098">
        <v>16074</v>
      </c>
      <c r="I2098" s="25" t="s">
        <v>2384</v>
      </c>
      <c r="J2098" t="s">
        <v>2671</v>
      </c>
      <c r="M2098" s="49"/>
    </row>
    <row r="2099" spans="6:13" x14ac:dyDescent="0.25">
      <c r="F2099" t="s">
        <v>3788</v>
      </c>
      <c r="G2099">
        <v>97247</v>
      </c>
      <c r="H2099">
        <v>9679</v>
      </c>
      <c r="I2099" s="25" t="s">
        <v>2050</v>
      </c>
      <c r="J2099" t="s">
        <v>2428</v>
      </c>
      <c r="M2099" s="49"/>
    </row>
    <row r="2100" spans="6:13" x14ac:dyDescent="0.25">
      <c r="F2100" t="s">
        <v>3789</v>
      </c>
      <c r="G2100">
        <v>15890</v>
      </c>
      <c r="H2100">
        <v>12067</v>
      </c>
      <c r="I2100" s="25" t="s">
        <v>2356</v>
      </c>
      <c r="J2100" t="s">
        <v>2711</v>
      </c>
      <c r="M2100" s="49"/>
    </row>
    <row r="2101" spans="6:13" x14ac:dyDescent="0.25">
      <c r="F2101" t="s">
        <v>3790</v>
      </c>
      <c r="G2101">
        <v>98673</v>
      </c>
      <c r="H2101">
        <v>16069</v>
      </c>
      <c r="I2101" s="25" t="s">
        <v>2384</v>
      </c>
      <c r="J2101" t="s">
        <v>2631</v>
      </c>
      <c r="M2101" s="49"/>
    </row>
    <row r="2102" spans="6:13" x14ac:dyDescent="0.25">
      <c r="F2102" t="s">
        <v>3791</v>
      </c>
      <c r="G2102">
        <v>75239</v>
      </c>
      <c r="H2102">
        <v>8236</v>
      </c>
      <c r="I2102" s="25" t="s">
        <v>2018</v>
      </c>
      <c r="J2102" t="s">
        <v>3087</v>
      </c>
      <c r="M2102" s="49"/>
    </row>
    <row r="2103" spans="6:13" x14ac:dyDescent="0.25">
      <c r="F2103" t="s">
        <v>3791</v>
      </c>
      <c r="G2103">
        <v>97249</v>
      </c>
      <c r="H2103">
        <v>9679</v>
      </c>
      <c r="I2103" s="25" t="s">
        <v>2050</v>
      </c>
      <c r="J2103" t="s">
        <v>2428</v>
      </c>
      <c r="M2103" s="49"/>
    </row>
    <row r="2104" spans="6:13" x14ac:dyDescent="0.25">
      <c r="F2104" t="s">
        <v>3792</v>
      </c>
      <c r="G2104">
        <v>6295</v>
      </c>
      <c r="H2104">
        <v>15087</v>
      </c>
      <c r="I2104" s="25" t="s">
        <v>2241</v>
      </c>
      <c r="J2104" t="s">
        <v>2324</v>
      </c>
      <c r="M2104" s="49"/>
    </row>
    <row r="2105" spans="6:13" x14ac:dyDescent="0.25">
      <c r="F2105" t="s">
        <v>3793</v>
      </c>
      <c r="G2105">
        <v>73054</v>
      </c>
      <c r="H2105">
        <v>8117</v>
      </c>
      <c r="I2105" s="25" t="s">
        <v>2018</v>
      </c>
      <c r="J2105" t="s">
        <v>2089</v>
      </c>
      <c r="M2105" s="49"/>
    </row>
    <row r="2106" spans="6:13" x14ac:dyDescent="0.25">
      <c r="F2106" t="s">
        <v>3794</v>
      </c>
      <c r="G2106">
        <v>56337</v>
      </c>
      <c r="H2106">
        <v>7141</v>
      </c>
      <c r="I2106" s="25" t="s">
        <v>2123</v>
      </c>
      <c r="J2106" t="s">
        <v>2388</v>
      </c>
      <c r="M2106" s="49"/>
    </row>
    <row r="2107" spans="6:13" x14ac:dyDescent="0.25">
      <c r="F2107" t="s">
        <v>3794</v>
      </c>
      <c r="G2107">
        <v>56337</v>
      </c>
      <c r="H2107">
        <v>7143</v>
      </c>
      <c r="I2107" s="25" t="s">
        <v>2123</v>
      </c>
      <c r="J2107" t="s">
        <v>2331</v>
      </c>
      <c r="M2107" s="49"/>
    </row>
    <row r="2108" spans="6:13" x14ac:dyDescent="0.25">
      <c r="F2108" t="s">
        <v>3795</v>
      </c>
      <c r="G2108">
        <v>85117</v>
      </c>
      <c r="H2108">
        <v>9176</v>
      </c>
      <c r="I2108" s="25" t="s">
        <v>2050</v>
      </c>
      <c r="J2108" t="s">
        <v>2102</v>
      </c>
      <c r="M2108" s="49"/>
    </row>
    <row r="2109" spans="6:13" x14ac:dyDescent="0.25">
      <c r="F2109" t="s">
        <v>3796</v>
      </c>
      <c r="G2109">
        <v>36132</v>
      </c>
      <c r="H2109">
        <v>6631</v>
      </c>
      <c r="I2109" s="25" t="s">
        <v>2046</v>
      </c>
      <c r="J2109" t="s">
        <v>2145</v>
      </c>
      <c r="M2109" s="49"/>
    </row>
    <row r="2110" spans="6:13" x14ac:dyDescent="0.25">
      <c r="F2110" t="s">
        <v>3797</v>
      </c>
      <c r="G2110">
        <v>53783</v>
      </c>
      <c r="H2110">
        <v>5382</v>
      </c>
      <c r="I2110" s="25" t="s">
        <v>2023</v>
      </c>
      <c r="J2110" t="s">
        <v>2298</v>
      </c>
      <c r="M2110" s="49"/>
    </row>
    <row r="2111" spans="6:13" x14ac:dyDescent="0.25">
      <c r="F2111" t="s">
        <v>3798</v>
      </c>
      <c r="G2111">
        <v>85462</v>
      </c>
      <c r="H2111">
        <v>9177</v>
      </c>
      <c r="I2111" s="25" t="s">
        <v>2050</v>
      </c>
      <c r="J2111" t="s">
        <v>2915</v>
      </c>
      <c r="M2111" s="49"/>
    </row>
    <row r="2112" spans="6:13" x14ac:dyDescent="0.25">
      <c r="F2112" t="s">
        <v>3799</v>
      </c>
      <c r="G2112">
        <v>38274</v>
      </c>
      <c r="H2112">
        <v>3158</v>
      </c>
      <c r="I2112" s="25" t="s">
        <v>2074</v>
      </c>
      <c r="J2112" t="s">
        <v>2434</v>
      </c>
      <c r="M2112" s="49"/>
    </row>
    <row r="2113" spans="6:13" x14ac:dyDescent="0.25">
      <c r="F2113" t="s">
        <v>3800</v>
      </c>
      <c r="G2113">
        <v>39317</v>
      </c>
      <c r="H2113">
        <v>15086</v>
      </c>
      <c r="I2113" s="25" t="s">
        <v>2241</v>
      </c>
      <c r="J2113" t="s">
        <v>3064</v>
      </c>
      <c r="M2113" s="49"/>
    </row>
    <row r="2114" spans="6:13" x14ac:dyDescent="0.25">
      <c r="F2114" t="s">
        <v>3801</v>
      </c>
      <c r="G2114">
        <v>65627</v>
      </c>
      <c r="H2114">
        <v>6533</v>
      </c>
      <c r="I2114" s="25" t="s">
        <v>2046</v>
      </c>
      <c r="J2114" t="s">
        <v>2629</v>
      </c>
      <c r="M2114" s="49"/>
    </row>
    <row r="2115" spans="6:13" x14ac:dyDescent="0.25">
      <c r="F2115" t="s">
        <v>3802</v>
      </c>
      <c r="G2115">
        <v>76477</v>
      </c>
      <c r="H2115">
        <v>8216</v>
      </c>
      <c r="I2115" s="25" t="s">
        <v>2018</v>
      </c>
      <c r="J2115" t="s">
        <v>2564</v>
      </c>
      <c r="M2115" s="49"/>
    </row>
    <row r="2116" spans="6:13" x14ac:dyDescent="0.25">
      <c r="F2116" t="s">
        <v>3803</v>
      </c>
      <c r="G2116">
        <v>89275</v>
      </c>
      <c r="H2116">
        <v>9775</v>
      </c>
      <c r="I2116" s="25" t="s">
        <v>2050</v>
      </c>
      <c r="J2116" t="s">
        <v>2418</v>
      </c>
      <c r="M2116" s="49"/>
    </row>
    <row r="2117" spans="6:13" x14ac:dyDescent="0.25">
      <c r="F2117" t="s">
        <v>3804</v>
      </c>
      <c r="G2117">
        <v>29351</v>
      </c>
      <c r="H2117">
        <v>3351</v>
      </c>
      <c r="I2117" s="25" t="s">
        <v>2074</v>
      </c>
      <c r="J2117" t="s">
        <v>2096</v>
      </c>
      <c r="M2117" s="49"/>
    </row>
    <row r="2118" spans="6:13" x14ac:dyDescent="0.25">
      <c r="F2118" t="s">
        <v>3805</v>
      </c>
      <c r="G2118">
        <v>97725</v>
      </c>
      <c r="H2118">
        <v>9672</v>
      </c>
      <c r="I2118" s="25" t="s">
        <v>2050</v>
      </c>
      <c r="J2118" t="s">
        <v>2620</v>
      </c>
      <c r="M2118" s="49"/>
    </row>
    <row r="2119" spans="6:13" x14ac:dyDescent="0.25">
      <c r="F2119" t="s">
        <v>3806</v>
      </c>
      <c r="G2119">
        <v>57578</v>
      </c>
      <c r="H2119">
        <v>7132</v>
      </c>
      <c r="I2119" s="25" t="s">
        <v>2123</v>
      </c>
      <c r="J2119" t="s">
        <v>2401</v>
      </c>
      <c r="M2119" s="49"/>
    </row>
    <row r="2120" spans="6:13" x14ac:dyDescent="0.25">
      <c r="F2120" t="s">
        <v>3807</v>
      </c>
      <c r="G2120">
        <v>99334</v>
      </c>
      <c r="H2120">
        <v>16070</v>
      </c>
      <c r="I2120" s="25" t="s">
        <v>2384</v>
      </c>
      <c r="J2120" t="s">
        <v>2206</v>
      </c>
      <c r="M2120" s="49"/>
    </row>
    <row r="2121" spans="6:13" x14ac:dyDescent="0.25">
      <c r="F2121" t="s">
        <v>3808</v>
      </c>
      <c r="G2121">
        <v>8236</v>
      </c>
      <c r="H2121">
        <v>14523</v>
      </c>
      <c r="I2121" s="25" t="s">
        <v>2135</v>
      </c>
      <c r="J2121" t="s">
        <v>2136</v>
      </c>
      <c r="M2121" s="49"/>
    </row>
    <row r="2122" spans="6:13" x14ac:dyDescent="0.25">
      <c r="F2122" t="s">
        <v>3809</v>
      </c>
      <c r="G2122">
        <v>73488</v>
      </c>
      <c r="H2122">
        <v>8136</v>
      </c>
      <c r="I2122" s="25" t="s">
        <v>2018</v>
      </c>
      <c r="J2122" t="s">
        <v>2039</v>
      </c>
      <c r="M2122" s="49"/>
    </row>
    <row r="2123" spans="6:13" x14ac:dyDescent="0.25">
      <c r="F2123" t="s">
        <v>3810</v>
      </c>
      <c r="G2123">
        <v>56821</v>
      </c>
      <c r="H2123">
        <v>7135</v>
      </c>
      <c r="I2123" s="25" t="s">
        <v>2123</v>
      </c>
      <c r="J2123" t="s">
        <v>2072</v>
      </c>
      <c r="M2123" s="49"/>
    </row>
    <row r="2124" spans="6:13" x14ac:dyDescent="0.25">
      <c r="F2124" t="s">
        <v>3811</v>
      </c>
      <c r="G2124">
        <v>25479</v>
      </c>
      <c r="H2124">
        <v>1060</v>
      </c>
      <c r="I2124" s="25" t="s">
        <v>2085</v>
      </c>
      <c r="J2124" t="s">
        <v>2363</v>
      </c>
      <c r="M2124" s="49"/>
    </row>
    <row r="2125" spans="6:13" x14ac:dyDescent="0.25">
      <c r="F2125" t="s">
        <v>3812</v>
      </c>
      <c r="G2125">
        <v>25474</v>
      </c>
      <c r="H2125">
        <v>1056</v>
      </c>
      <c r="I2125" s="25" t="s">
        <v>2085</v>
      </c>
      <c r="J2125" t="s">
        <v>2311</v>
      </c>
      <c r="M2125" s="49"/>
    </row>
    <row r="2126" spans="6:13" x14ac:dyDescent="0.25">
      <c r="F2126" t="s">
        <v>3813</v>
      </c>
      <c r="G2126">
        <v>25373</v>
      </c>
      <c r="H2126">
        <v>1056</v>
      </c>
      <c r="I2126" s="25" t="s">
        <v>2085</v>
      </c>
      <c r="J2126" t="s">
        <v>2311</v>
      </c>
      <c r="M2126" s="49"/>
    </row>
    <row r="2127" spans="6:13" x14ac:dyDescent="0.25">
      <c r="F2127" t="s">
        <v>3814</v>
      </c>
      <c r="G2127">
        <v>55497</v>
      </c>
      <c r="H2127">
        <v>7140</v>
      </c>
      <c r="I2127" s="25" t="s">
        <v>2123</v>
      </c>
      <c r="J2127" t="s">
        <v>2329</v>
      </c>
      <c r="M2127" s="49"/>
    </row>
    <row r="2128" spans="6:13" x14ac:dyDescent="0.25">
      <c r="F2128" t="s">
        <v>3815</v>
      </c>
      <c r="G2128">
        <v>67158</v>
      </c>
      <c r="H2128">
        <v>7332</v>
      </c>
      <c r="I2128" s="25" t="s">
        <v>2123</v>
      </c>
      <c r="J2128" t="s">
        <v>2440</v>
      </c>
      <c r="M2128" s="49"/>
    </row>
    <row r="2129" spans="6:13" x14ac:dyDescent="0.25">
      <c r="F2129" t="s">
        <v>3816</v>
      </c>
      <c r="G2129">
        <v>86679</v>
      </c>
      <c r="H2129">
        <v>9772</v>
      </c>
      <c r="I2129" s="25" t="s">
        <v>2050</v>
      </c>
      <c r="J2129" t="s">
        <v>2117</v>
      </c>
      <c r="M2129" s="49"/>
    </row>
    <row r="2130" spans="6:13" x14ac:dyDescent="0.25">
      <c r="F2130" t="s">
        <v>3817</v>
      </c>
      <c r="G2130">
        <v>74248</v>
      </c>
      <c r="H2130">
        <v>8125</v>
      </c>
      <c r="I2130" s="25" t="s">
        <v>2018</v>
      </c>
      <c r="J2130" t="s">
        <v>2060</v>
      </c>
      <c r="M2130" s="49"/>
    </row>
    <row r="2131" spans="6:13" x14ac:dyDescent="0.25">
      <c r="F2131" t="s">
        <v>3818</v>
      </c>
      <c r="G2131">
        <v>91792</v>
      </c>
      <c r="H2131">
        <v>9577</v>
      </c>
      <c r="I2131" s="25" t="s">
        <v>2050</v>
      </c>
      <c r="J2131" t="s">
        <v>2057</v>
      </c>
      <c r="M2131" s="49"/>
    </row>
    <row r="2132" spans="6:13" x14ac:dyDescent="0.25">
      <c r="F2132" t="s">
        <v>3819</v>
      </c>
      <c r="G2132">
        <v>24870</v>
      </c>
      <c r="H2132">
        <v>1059</v>
      </c>
      <c r="I2132" s="25" t="s">
        <v>2085</v>
      </c>
      <c r="J2132" t="s">
        <v>2354</v>
      </c>
      <c r="M2132" s="49"/>
    </row>
    <row r="2133" spans="6:13" x14ac:dyDescent="0.25">
      <c r="F2133" t="s">
        <v>3820</v>
      </c>
      <c r="G2133">
        <v>99755</v>
      </c>
      <c r="H2133">
        <v>16062</v>
      </c>
      <c r="I2133" s="25" t="s">
        <v>2384</v>
      </c>
      <c r="J2133" t="s">
        <v>1489</v>
      </c>
      <c r="M2133" s="49"/>
    </row>
    <row r="2134" spans="6:13" x14ac:dyDescent="0.25">
      <c r="F2134" t="s">
        <v>3821</v>
      </c>
      <c r="G2134">
        <v>73479</v>
      </c>
      <c r="H2134">
        <v>8136</v>
      </c>
      <c r="I2134" s="25" t="s">
        <v>2018</v>
      </c>
      <c r="J2134" t="s">
        <v>2039</v>
      </c>
      <c r="M2134" s="49"/>
    </row>
    <row r="2135" spans="6:13" x14ac:dyDescent="0.25">
      <c r="F2135" t="s">
        <v>3822</v>
      </c>
      <c r="G2135">
        <v>89352</v>
      </c>
      <c r="H2135">
        <v>9774</v>
      </c>
      <c r="I2135" s="25" t="s">
        <v>2050</v>
      </c>
      <c r="J2135" t="s">
        <v>2205</v>
      </c>
      <c r="M2135" s="49"/>
    </row>
    <row r="2136" spans="6:13" x14ac:dyDescent="0.25">
      <c r="F2136" t="s">
        <v>3823</v>
      </c>
      <c r="G2136">
        <v>23869</v>
      </c>
      <c r="H2136">
        <v>1062</v>
      </c>
      <c r="I2136" s="25" t="s">
        <v>2085</v>
      </c>
      <c r="J2136" t="s">
        <v>2188</v>
      </c>
      <c r="M2136" s="49"/>
    </row>
    <row r="2137" spans="6:13" x14ac:dyDescent="0.25">
      <c r="F2137" t="s">
        <v>3824</v>
      </c>
      <c r="G2137">
        <v>18107</v>
      </c>
      <c r="H2137">
        <v>13003</v>
      </c>
      <c r="I2137" s="25" t="s">
        <v>2191</v>
      </c>
      <c r="J2137" t="s">
        <v>3825</v>
      </c>
      <c r="M2137" s="49"/>
    </row>
    <row r="2138" spans="6:13" x14ac:dyDescent="0.25">
      <c r="F2138" t="s">
        <v>3824</v>
      </c>
      <c r="G2138">
        <v>18107</v>
      </c>
      <c r="H2138">
        <v>13072</v>
      </c>
      <c r="I2138" s="25" t="s">
        <v>2191</v>
      </c>
      <c r="J2138" t="s">
        <v>2036</v>
      </c>
      <c r="M2138" s="49"/>
    </row>
    <row r="2139" spans="6:13" x14ac:dyDescent="0.25">
      <c r="F2139" t="s">
        <v>3826</v>
      </c>
      <c r="G2139">
        <v>25336</v>
      </c>
      <c r="H2139">
        <v>1056</v>
      </c>
      <c r="I2139" s="25" t="s">
        <v>2085</v>
      </c>
      <c r="J2139" t="s">
        <v>2311</v>
      </c>
      <c r="M2139" s="49"/>
    </row>
    <row r="2140" spans="6:13" x14ac:dyDescent="0.25">
      <c r="F2140" t="s">
        <v>3826</v>
      </c>
      <c r="G2140">
        <v>25337</v>
      </c>
      <c r="H2140">
        <v>1056</v>
      </c>
      <c r="I2140" s="25" t="s">
        <v>2085</v>
      </c>
      <c r="J2140" t="s">
        <v>2311</v>
      </c>
      <c r="M2140" s="49"/>
    </row>
    <row r="2141" spans="6:13" x14ac:dyDescent="0.25">
      <c r="F2141" t="s">
        <v>3826</v>
      </c>
      <c r="G2141">
        <v>25335</v>
      </c>
      <c r="H2141">
        <v>1056</v>
      </c>
      <c r="I2141" s="25" t="s">
        <v>2085</v>
      </c>
      <c r="J2141" t="s">
        <v>2311</v>
      </c>
      <c r="M2141" s="49"/>
    </row>
    <row r="2142" spans="6:13" x14ac:dyDescent="0.25">
      <c r="F2142" t="s">
        <v>3826</v>
      </c>
      <c r="G2142">
        <v>25335</v>
      </c>
      <c r="H2142">
        <v>1061</v>
      </c>
      <c r="I2142" s="25" t="s">
        <v>2085</v>
      </c>
      <c r="J2142" t="s">
        <v>2377</v>
      </c>
      <c r="M2142" s="49"/>
    </row>
    <row r="2143" spans="6:13" x14ac:dyDescent="0.25">
      <c r="F2143" t="s">
        <v>3827</v>
      </c>
      <c r="G2143">
        <v>67471</v>
      </c>
      <c r="H2143">
        <v>7332</v>
      </c>
      <c r="I2143" s="25" t="s">
        <v>2123</v>
      </c>
      <c r="J2143" t="s">
        <v>2440</v>
      </c>
      <c r="M2143" s="49"/>
    </row>
    <row r="2144" spans="6:13" x14ac:dyDescent="0.25">
      <c r="F2144" t="s">
        <v>3828</v>
      </c>
      <c r="G2144">
        <v>50189</v>
      </c>
      <c r="H2144">
        <v>5362</v>
      </c>
      <c r="I2144" s="25" t="s">
        <v>2023</v>
      </c>
      <c r="J2144" t="s">
        <v>2326</v>
      </c>
      <c r="M2144" s="49"/>
    </row>
    <row r="2145" spans="6:13" x14ac:dyDescent="0.25">
      <c r="F2145" t="s">
        <v>3829</v>
      </c>
      <c r="G2145">
        <v>24800</v>
      </c>
      <c r="H2145">
        <v>1058</v>
      </c>
      <c r="I2145" s="25" t="s">
        <v>2085</v>
      </c>
      <c r="J2145" t="s">
        <v>2086</v>
      </c>
      <c r="M2145" s="49"/>
    </row>
    <row r="2146" spans="6:13" x14ac:dyDescent="0.25">
      <c r="F2146" t="s">
        <v>3830</v>
      </c>
      <c r="G2146">
        <v>84094</v>
      </c>
      <c r="H2146">
        <v>9273</v>
      </c>
      <c r="I2146" s="25" t="s">
        <v>2050</v>
      </c>
      <c r="J2146" t="s">
        <v>2054</v>
      </c>
      <c r="M2146" s="49"/>
    </row>
    <row r="2147" spans="6:13" x14ac:dyDescent="0.25">
      <c r="F2147" t="s">
        <v>3831</v>
      </c>
      <c r="G2147">
        <v>63820</v>
      </c>
      <c r="H2147">
        <v>9676</v>
      </c>
      <c r="I2147" s="25" t="s">
        <v>2050</v>
      </c>
      <c r="J2147" t="s">
        <v>2381</v>
      </c>
      <c r="M2147" s="49"/>
    </row>
    <row r="2148" spans="6:13" x14ac:dyDescent="0.25">
      <c r="F2148" t="s">
        <v>3832</v>
      </c>
      <c r="G2148">
        <v>26931</v>
      </c>
      <c r="H2148">
        <v>3461</v>
      </c>
      <c r="I2148" s="25" t="s">
        <v>2074</v>
      </c>
      <c r="J2148" t="s">
        <v>2426</v>
      </c>
      <c r="M2148" s="49"/>
    </row>
    <row r="2149" spans="6:13" x14ac:dyDescent="0.25">
      <c r="F2149" t="s">
        <v>3833</v>
      </c>
      <c r="G2149">
        <v>6729</v>
      </c>
      <c r="H2149">
        <v>15084</v>
      </c>
      <c r="I2149" s="25" t="s">
        <v>2241</v>
      </c>
      <c r="J2149" t="s">
        <v>2615</v>
      </c>
      <c r="M2149" s="49"/>
    </row>
    <row r="2150" spans="6:13" x14ac:dyDescent="0.25">
      <c r="F2150" t="s">
        <v>3833</v>
      </c>
      <c r="G2150">
        <v>6729</v>
      </c>
      <c r="H2150">
        <v>15084</v>
      </c>
      <c r="I2150" s="25" t="s">
        <v>2241</v>
      </c>
      <c r="J2150" t="s">
        <v>2615</v>
      </c>
      <c r="M2150" s="49"/>
    </row>
    <row r="2151" spans="6:13" x14ac:dyDescent="0.25">
      <c r="F2151" t="s">
        <v>3834</v>
      </c>
      <c r="G2151">
        <v>7985</v>
      </c>
      <c r="H2151">
        <v>14523</v>
      </c>
      <c r="I2151" s="25" t="s">
        <v>2135</v>
      </c>
      <c r="J2151" t="s">
        <v>2136</v>
      </c>
      <c r="M2151" s="49"/>
    </row>
    <row r="2152" spans="6:13" x14ac:dyDescent="0.25">
      <c r="F2152" t="s">
        <v>3835</v>
      </c>
      <c r="G2152">
        <v>4910</v>
      </c>
      <c r="H2152">
        <v>12062</v>
      </c>
      <c r="I2152" s="25" t="s">
        <v>2356</v>
      </c>
      <c r="J2152" t="s">
        <v>2689</v>
      </c>
      <c r="M2152" s="49"/>
    </row>
    <row r="2153" spans="6:13" x14ac:dyDescent="0.25">
      <c r="F2153" t="s">
        <v>3836</v>
      </c>
      <c r="G2153">
        <v>1920</v>
      </c>
      <c r="H2153">
        <v>14625</v>
      </c>
      <c r="I2153" s="25" t="s">
        <v>2135</v>
      </c>
      <c r="J2153" t="s">
        <v>2041</v>
      </c>
      <c r="M2153" s="49"/>
    </row>
    <row r="2154" spans="6:13" x14ac:dyDescent="0.25">
      <c r="F2154" t="s">
        <v>3837</v>
      </c>
      <c r="G2154">
        <v>97483</v>
      </c>
      <c r="H2154">
        <v>9674</v>
      </c>
      <c r="I2154" s="25" t="s">
        <v>2050</v>
      </c>
      <c r="J2154" t="s">
        <v>2218</v>
      </c>
      <c r="M2154" s="49"/>
    </row>
    <row r="2155" spans="6:13" x14ac:dyDescent="0.25">
      <c r="F2155" t="s">
        <v>3838</v>
      </c>
      <c r="G2155">
        <v>65347</v>
      </c>
      <c r="H2155">
        <v>6439</v>
      </c>
      <c r="I2155" s="25" t="s">
        <v>2046</v>
      </c>
      <c r="J2155" t="s">
        <v>2047</v>
      </c>
      <c r="M2155" s="49"/>
    </row>
    <row r="2156" spans="6:13" x14ac:dyDescent="0.25">
      <c r="F2156" t="s">
        <v>3838</v>
      </c>
      <c r="G2156">
        <v>65343</v>
      </c>
      <c r="H2156">
        <v>6439</v>
      </c>
      <c r="I2156" s="25" t="s">
        <v>2046</v>
      </c>
      <c r="J2156" t="s">
        <v>2047</v>
      </c>
      <c r="M2156" s="49"/>
    </row>
    <row r="2157" spans="6:13" x14ac:dyDescent="0.25">
      <c r="F2157" t="s">
        <v>3838</v>
      </c>
      <c r="G2157">
        <v>65346</v>
      </c>
      <c r="H2157">
        <v>6439</v>
      </c>
      <c r="I2157" s="25" t="s">
        <v>2046</v>
      </c>
      <c r="J2157" t="s">
        <v>2047</v>
      </c>
      <c r="M2157" s="49"/>
    </row>
    <row r="2158" spans="6:13" x14ac:dyDescent="0.25">
      <c r="F2158" t="s">
        <v>3838</v>
      </c>
      <c r="G2158">
        <v>65344</v>
      </c>
      <c r="H2158">
        <v>6439</v>
      </c>
      <c r="I2158" s="25" t="s">
        <v>2046</v>
      </c>
      <c r="J2158" t="s">
        <v>2047</v>
      </c>
      <c r="M2158" s="49"/>
    </row>
    <row r="2159" spans="6:13" x14ac:dyDescent="0.25">
      <c r="F2159" t="s">
        <v>3838</v>
      </c>
      <c r="G2159">
        <v>65345</v>
      </c>
      <c r="H2159">
        <v>6439</v>
      </c>
      <c r="I2159" s="25" t="s">
        <v>2046</v>
      </c>
      <c r="J2159" t="s">
        <v>2047</v>
      </c>
      <c r="M2159" s="49"/>
    </row>
    <row r="2160" spans="6:13" x14ac:dyDescent="0.25">
      <c r="F2160" t="s">
        <v>3839</v>
      </c>
      <c r="G2160">
        <v>65604</v>
      </c>
      <c r="H2160">
        <v>6533</v>
      </c>
      <c r="I2160" s="25" t="s">
        <v>2046</v>
      </c>
      <c r="J2160" t="s">
        <v>2629</v>
      </c>
      <c r="M2160" s="49"/>
    </row>
    <row r="2161" spans="6:13" x14ac:dyDescent="0.25">
      <c r="F2161" t="s">
        <v>3840</v>
      </c>
      <c r="G2161">
        <v>79215</v>
      </c>
      <c r="H2161">
        <v>8316</v>
      </c>
      <c r="I2161" s="25" t="s">
        <v>2018</v>
      </c>
      <c r="J2161" t="s">
        <v>2764</v>
      </c>
      <c r="M2161" s="49"/>
    </row>
    <row r="2162" spans="6:13" x14ac:dyDescent="0.25">
      <c r="F2162" t="s">
        <v>3841</v>
      </c>
      <c r="G2162">
        <v>31008</v>
      </c>
      <c r="H2162">
        <v>3254</v>
      </c>
      <c r="I2162" s="25" t="s">
        <v>2074</v>
      </c>
      <c r="J2162" t="s">
        <v>2196</v>
      </c>
      <c r="M2162" s="49"/>
    </row>
    <row r="2163" spans="6:13" x14ac:dyDescent="0.25">
      <c r="F2163" t="s">
        <v>3842</v>
      </c>
      <c r="G2163">
        <v>74834</v>
      </c>
      <c r="H2163">
        <v>8225</v>
      </c>
      <c r="I2163" s="25" t="s">
        <v>2018</v>
      </c>
      <c r="J2163" t="s">
        <v>2108</v>
      </c>
      <c r="M2163" s="49"/>
    </row>
    <row r="2164" spans="6:13" x14ac:dyDescent="0.25">
      <c r="F2164" t="s">
        <v>3843</v>
      </c>
      <c r="G2164">
        <v>21409</v>
      </c>
      <c r="H2164">
        <v>3355</v>
      </c>
      <c r="I2164" s="25" t="s">
        <v>2074</v>
      </c>
      <c r="J2164" t="s">
        <v>2129</v>
      </c>
      <c r="M2164" s="49"/>
    </row>
    <row r="2165" spans="6:13" x14ac:dyDescent="0.25">
      <c r="F2165" t="s">
        <v>3844</v>
      </c>
      <c r="G2165">
        <v>26721</v>
      </c>
      <c r="H2165">
        <v>3402</v>
      </c>
      <c r="I2165" s="25" t="s">
        <v>2074</v>
      </c>
      <c r="J2165" t="s">
        <v>2115</v>
      </c>
      <c r="M2165" s="49"/>
    </row>
    <row r="2166" spans="6:13" x14ac:dyDescent="0.25">
      <c r="F2166" t="s">
        <v>3844</v>
      </c>
      <c r="G2166">
        <v>26725</v>
      </c>
      <c r="H2166">
        <v>3402</v>
      </c>
      <c r="I2166" s="25" t="s">
        <v>2074</v>
      </c>
      <c r="J2166" t="s">
        <v>2115</v>
      </c>
      <c r="M2166" s="49"/>
    </row>
    <row r="2167" spans="6:13" x14ac:dyDescent="0.25">
      <c r="F2167" t="s">
        <v>3844</v>
      </c>
      <c r="G2167">
        <v>26723</v>
      </c>
      <c r="H2167">
        <v>3402</v>
      </c>
      <c r="I2167" s="25" t="s">
        <v>2074</v>
      </c>
      <c r="J2167" t="s">
        <v>2115</v>
      </c>
      <c r="M2167" s="49"/>
    </row>
    <row r="2168" spans="6:13" x14ac:dyDescent="0.25">
      <c r="F2168" t="s">
        <v>3845</v>
      </c>
      <c r="G2168">
        <v>89607</v>
      </c>
      <c r="H2168">
        <v>8425</v>
      </c>
      <c r="I2168" s="25" t="s">
        <v>2018</v>
      </c>
      <c r="J2168" t="s">
        <v>2027</v>
      </c>
      <c r="M2168" s="49"/>
    </row>
    <row r="2169" spans="6:13" x14ac:dyDescent="0.25">
      <c r="F2169" t="s">
        <v>3846</v>
      </c>
      <c r="G2169">
        <v>86494</v>
      </c>
      <c r="H2169">
        <v>9772</v>
      </c>
      <c r="I2169" s="25" t="s">
        <v>2050</v>
      </c>
      <c r="J2169" t="s">
        <v>2117</v>
      </c>
      <c r="M2169" s="49"/>
    </row>
    <row r="2170" spans="6:13" x14ac:dyDescent="0.25">
      <c r="F2170" t="s">
        <v>3847</v>
      </c>
      <c r="G2170">
        <v>24802</v>
      </c>
      <c r="H2170">
        <v>1058</v>
      </c>
      <c r="I2170" s="25" t="s">
        <v>2085</v>
      </c>
      <c r="J2170" t="s">
        <v>2086</v>
      </c>
      <c r="M2170" s="49"/>
    </row>
    <row r="2171" spans="6:13" x14ac:dyDescent="0.25">
      <c r="F2171" t="s">
        <v>3848</v>
      </c>
      <c r="G2171">
        <v>56281</v>
      </c>
      <c r="H2171">
        <v>7140</v>
      </c>
      <c r="I2171" s="25" t="s">
        <v>2123</v>
      </c>
      <c r="J2171" t="s">
        <v>2329</v>
      </c>
      <c r="M2171" s="49"/>
    </row>
    <row r="2172" spans="6:13" x14ac:dyDescent="0.25">
      <c r="F2172" t="s">
        <v>2764</v>
      </c>
      <c r="G2172">
        <v>79312</v>
      </c>
      <c r="H2172">
        <v>8316</v>
      </c>
      <c r="I2172" s="25" t="s">
        <v>2018</v>
      </c>
      <c r="J2172" t="s">
        <v>2764</v>
      </c>
      <c r="M2172" s="49"/>
    </row>
    <row r="2173" spans="6:13" x14ac:dyDescent="0.25">
      <c r="F2173" t="s">
        <v>3849</v>
      </c>
      <c r="G2173">
        <v>29579</v>
      </c>
      <c r="H2173">
        <v>3360</v>
      </c>
      <c r="I2173" s="25" t="s">
        <v>2074</v>
      </c>
      <c r="J2173" t="s">
        <v>2400</v>
      </c>
      <c r="M2173" s="49"/>
    </row>
    <row r="2174" spans="6:13" x14ac:dyDescent="0.25">
      <c r="F2174" t="s">
        <v>3850</v>
      </c>
      <c r="G2174">
        <v>46446</v>
      </c>
      <c r="H2174">
        <v>5154</v>
      </c>
      <c r="I2174" s="25" t="s">
        <v>2023</v>
      </c>
      <c r="J2174" t="s">
        <v>2214</v>
      </c>
      <c r="M2174" s="49"/>
    </row>
    <row r="2175" spans="6:13" x14ac:dyDescent="0.25">
      <c r="F2175" t="s">
        <v>3851</v>
      </c>
      <c r="G2175">
        <v>83550</v>
      </c>
      <c r="H2175">
        <v>9175</v>
      </c>
      <c r="I2175" s="25" t="s">
        <v>2050</v>
      </c>
      <c r="J2175" t="s">
        <v>2500</v>
      </c>
      <c r="M2175" s="49"/>
    </row>
    <row r="2176" spans="6:13" x14ac:dyDescent="0.25">
      <c r="F2176" t="s">
        <v>3851</v>
      </c>
      <c r="G2176">
        <v>82275</v>
      </c>
      <c r="H2176">
        <v>9179</v>
      </c>
      <c r="I2176" s="25" t="s">
        <v>2050</v>
      </c>
      <c r="J2176" t="s">
        <v>2111</v>
      </c>
      <c r="M2176" s="49"/>
    </row>
    <row r="2177" spans="6:13" x14ac:dyDescent="0.25">
      <c r="F2177" t="s">
        <v>3852</v>
      </c>
      <c r="G2177">
        <v>31860</v>
      </c>
      <c r="H2177">
        <v>3252</v>
      </c>
      <c r="I2177" s="25" t="s">
        <v>2074</v>
      </c>
      <c r="J2177" t="s">
        <v>2139</v>
      </c>
      <c r="M2177" s="49"/>
    </row>
    <row r="2178" spans="6:13" x14ac:dyDescent="0.25">
      <c r="F2178" t="s">
        <v>3853</v>
      </c>
      <c r="G2178">
        <v>84547</v>
      </c>
      <c r="H2178">
        <v>9171</v>
      </c>
      <c r="I2178" s="25" t="s">
        <v>2050</v>
      </c>
      <c r="J2178" t="s">
        <v>2446</v>
      </c>
      <c r="M2178" s="49"/>
    </row>
    <row r="2179" spans="6:13" x14ac:dyDescent="0.25">
      <c r="F2179" t="s">
        <v>3854</v>
      </c>
      <c r="G2179">
        <v>57520</v>
      </c>
      <c r="H2179">
        <v>7132</v>
      </c>
      <c r="I2179" s="25" t="s">
        <v>2123</v>
      </c>
      <c r="J2179" t="s">
        <v>2401</v>
      </c>
      <c r="M2179" s="49"/>
    </row>
    <row r="2180" spans="6:13" x14ac:dyDescent="0.25">
      <c r="F2180" t="s">
        <v>3854</v>
      </c>
      <c r="G2180">
        <v>57520</v>
      </c>
      <c r="H2180">
        <v>7132</v>
      </c>
      <c r="I2180" s="25" t="s">
        <v>2123</v>
      </c>
      <c r="J2180" t="s">
        <v>2401</v>
      </c>
      <c r="M2180" s="49"/>
    </row>
    <row r="2181" spans="6:13" x14ac:dyDescent="0.25">
      <c r="F2181" t="s">
        <v>3854</v>
      </c>
      <c r="G2181">
        <v>57520</v>
      </c>
      <c r="H2181">
        <v>7132</v>
      </c>
      <c r="I2181" s="25" t="s">
        <v>2123</v>
      </c>
      <c r="J2181" t="s">
        <v>2401</v>
      </c>
      <c r="M2181" s="49"/>
    </row>
    <row r="2182" spans="6:13" x14ac:dyDescent="0.25">
      <c r="F2182" t="s">
        <v>3854</v>
      </c>
      <c r="G2182">
        <v>57520</v>
      </c>
      <c r="H2182">
        <v>7132</v>
      </c>
      <c r="I2182" s="25" t="s">
        <v>2123</v>
      </c>
      <c r="J2182" t="s">
        <v>2401</v>
      </c>
      <c r="M2182" s="49"/>
    </row>
    <row r="2183" spans="6:13" x14ac:dyDescent="0.25">
      <c r="F2183" t="s">
        <v>3854</v>
      </c>
      <c r="G2183">
        <v>57520</v>
      </c>
      <c r="H2183">
        <v>7143</v>
      </c>
      <c r="I2183" s="25" t="s">
        <v>2123</v>
      </c>
      <c r="J2183" t="s">
        <v>2331</v>
      </c>
      <c r="M2183" s="49"/>
    </row>
    <row r="2184" spans="6:13" x14ac:dyDescent="0.25">
      <c r="F2184" t="s">
        <v>3854</v>
      </c>
      <c r="G2184">
        <v>57520</v>
      </c>
      <c r="H2184">
        <v>7143</v>
      </c>
      <c r="I2184" s="25" t="s">
        <v>2123</v>
      </c>
      <c r="J2184" t="s">
        <v>2331</v>
      </c>
      <c r="M2184" s="49"/>
    </row>
    <row r="2185" spans="6:13" x14ac:dyDescent="0.25">
      <c r="F2185" t="s">
        <v>3854</v>
      </c>
      <c r="G2185">
        <v>57520</v>
      </c>
      <c r="H2185">
        <v>7143</v>
      </c>
      <c r="I2185" s="25" t="s">
        <v>2123</v>
      </c>
      <c r="J2185" t="s">
        <v>2331</v>
      </c>
      <c r="M2185" s="49"/>
    </row>
    <row r="2186" spans="6:13" x14ac:dyDescent="0.25">
      <c r="F2186" t="s">
        <v>3854</v>
      </c>
      <c r="G2186">
        <v>57520</v>
      </c>
      <c r="H2186">
        <v>7143</v>
      </c>
      <c r="I2186" s="25" t="s">
        <v>2123</v>
      </c>
      <c r="J2186" t="s">
        <v>2331</v>
      </c>
      <c r="M2186" s="49"/>
    </row>
    <row r="2187" spans="6:13" x14ac:dyDescent="0.25">
      <c r="F2187" t="s">
        <v>3855</v>
      </c>
      <c r="G2187">
        <v>78576</v>
      </c>
      <c r="H2187">
        <v>8327</v>
      </c>
      <c r="I2187" s="25" t="s">
        <v>2018</v>
      </c>
      <c r="J2187" t="s">
        <v>2277</v>
      </c>
      <c r="M2187" s="49"/>
    </row>
    <row r="2188" spans="6:13" x14ac:dyDescent="0.25">
      <c r="F2188" t="s">
        <v>3856</v>
      </c>
      <c r="G2188">
        <v>72186</v>
      </c>
      <c r="H2188">
        <v>8237</v>
      </c>
      <c r="I2188" s="25" t="s">
        <v>2018</v>
      </c>
      <c r="J2188" t="s">
        <v>2336</v>
      </c>
      <c r="M2188" s="49"/>
    </row>
    <row r="2189" spans="6:13" x14ac:dyDescent="0.25">
      <c r="F2189" t="s">
        <v>3857</v>
      </c>
      <c r="G2189">
        <v>48488</v>
      </c>
      <c r="H2189">
        <v>3454</v>
      </c>
      <c r="I2189" s="25" t="s">
        <v>2074</v>
      </c>
      <c r="J2189" t="s">
        <v>2118</v>
      </c>
      <c r="M2189" s="49"/>
    </row>
    <row r="2190" spans="6:13" x14ac:dyDescent="0.25">
      <c r="F2190" t="s">
        <v>3858</v>
      </c>
      <c r="G2190">
        <v>48282</v>
      </c>
      <c r="H2190">
        <v>5566</v>
      </c>
      <c r="I2190" s="25" t="s">
        <v>2023</v>
      </c>
      <c r="J2190" t="s">
        <v>2379</v>
      </c>
      <c r="M2190" s="49"/>
    </row>
    <row r="2191" spans="6:13" x14ac:dyDescent="0.25">
      <c r="F2191" t="s">
        <v>3859</v>
      </c>
      <c r="G2191">
        <v>91448</v>
      </c>
      <c r="H2191">
        <v>9575</v>
      </c>
      <c r="I2191" s="25" t="s">
        <v>2050</v>
      </c>
      <c r="J2191" t="s">
        <v>2749</v>
      </c>
      <c r="M2191" s="49"/>
    </row>
    <row r="2192" spans="6:13" x14ac:dyDescent="0.25">
      <c r="F2192" t="s">
        <v>3860</v>
      </c>
      <c r="G2192">
        <v>49685</v>
      </c>
      <c r="H2192">
        <v>3453</v>
      </c>
      <c r="I2192" s="25" t="s">
        <v>2074</v>
      </c>
      <c r="J2192" t="s">
        <v>2069</v>
      </c>
      <c r="M2192" s="49"/>
    </row>
    <row r="2193" spans="6:13" x14ac:dyDescent="0.25">
      <c r="F2193" t="s">
        <v>3861</v>
      </c>
      <c r="G2193">
        <v>95517</v>
      </c>
      <c r="H2193">
        <v>9472</v>
      </c>
      <c r="I2193" s="25" t="s">
        <v>2050</v>
      </c>
      <c r="J2193" t="s">
        <v>2180</v>
      </c>
      <c r="M2193" s="49"/>
    </row>
    <row r="2194" spans="6:13" x14ac:dyDescent="0.25">
      <c r="F2194" t="s">
        <v>3862</v>
      </c>
      <c r="G2194">
        <v>79346</v>
      </c>
      <c r="H2194">
        <v>8316</v>
      </c>
      <c r="I2194" s="25" t="s">
        <v>2018</v>
      </c>
      <c r="J2194" t="s">
        <v>2764</v>
      </c>
      <c r="M2194" s="49"/>
    </row>
    <row r="2195" spans="6:13" x14ac:dyDescent="0.25">
      <c r="F2195" t="s">
        <v>3863</v>
      </c>
      <c r="G2195">
        <v>48465</v>
      </c>
      <c r="H2195">
        <v>3456</v>
      </c>
      <c r="I2195" s="25" t="s">
        <v>2074</v>
      </c>
      <c r="J2195" t="s">
        <v>2156</v>
      </c>
      <c r="M2195" s="49"/>
    </row>
    <row r="2196" spans="6:13" x14ac:dyDescent="0.25">
      <c r="F2196" t="s">
        <v>3864</v>
      </c>
      <c r="G2196">
        <v>84549</v>
      </c>
      <c r="H2196">
        <v>9189</v>
      </c>
      <c r="I2196" s="25" t="s">
        <v>2050</v>
      </c>
      <c r="J2196" t="s">
        <v>2407</v>
      </c>
      <c r="M2196" s="49"/>
    </row>
    <row r="2197" spans="6:13" x14ac:dyDescent="0.25">
      <c r="F2197" t="s">
        <v>3865</v>
      </c>
      <c r="G2197">
        <v>75331</v>
      </c>
      <c r="H2197">
        <v>8236</v>
      </c>
      <c r="I2197" s="25" t="s">
        <v>2018</v>
      </c>
      <c r="J2197" t="s">
        <v>3087</v>
      </c>
      <c r="M2197" s="49"/>
    </row>
    <row r="2198" spans="6:13" x14ac:dyDescent="0.25">
      <c r="F2198" t="s">
        <v>3866</v>
      </c>
      <c r="G2198">
        <v>21710</v>
      </c>
      <c r="H2198">
        <v>3359</v>
      </c>
      <c r="I2198" s="25" t="s">
        <v>2074</v>
      </c>
      <c r="J2198" t="s">
        <v>2158</v>
      </c>
      <c r="M2198" s="49"/>
    </row>
    <row r="2199" spans="6:13" x14ac:dyDescent="0.25">
      <c r="F2199" t="s">
        <v>3867</v>
      </c>
      <c r="G2199">
        <v>51766</v>
      </c>
      <c r="H2199">
        <v>5374</v>
      </c>
      <c r="I2199" s="25" t="s">
        <v>2023</v>
      </c>
      <c r="J2199" t="s">
        <v>2281</v>
      </c>
      <c r="M2199" s="49"/>
    </row>
    <row r="2200" spans="6:13" x14ac:dyDescent="0.25">
      <c r="F2200" t="s">
        <v>3868</v>
      </c>
      <c r="G2200">
        <v>91238</v>
      </c>
      <c r="H2200">
        <v>9574</v>
      </c>
      <c r="I2200" s="25" t="s">
        <v>2050</v>
      </c>
      <c r="J2200" t="s">
        <v>2291</v>
      </c>
      <c r="M2200" s="49"/>
    </row>
    <row r="2201" spans="6:13" x14ac:dyDescent="0.25">
      <c r="F2201" t="s">
        <v>3869</v>
      </c>
      <c r="G2201">
        <v>78234</v>
      </c>
      <c r="H2201">
        <v>8335</v>
      </c>
      <c r="I2201" s="25" t="s">
        <v>2018</v>
      </c>
      <c r="J2201" t="s">
        <v>2019</v>
      </c>
      <c r="M2201" s="49"/>
    </row>
    <row r="2202" spans="6:13" x14ac:dyDescent="0.25">
      <c r="F2202" t="s">
        <v>3870</v>
      </c>
      <c r="G2202">
        <v>32130</v>
      </c>
      <c r="H2202">
        <v>5758</v>
      </c>
      <c r="I2202" s="25" t="s">
        <v>2023</v>
      </c>
      <c r="J2202" t="s">
        <v>2189</v>
      </c>
      <c r="M2202" s="49"/>
    </row>
    <row r="2203" spans="6:13" x14ac:dyDescent="0.25">
      <c r="F2203" t="s">
        <v>3871</v>
      </c>
      <c r="G2203">
        <v>72829</v>
      </c>
      <c r="H2203">
        <v>8415</v>
      </c>
      <c r="I2203" s="25" t="s">
        <v>2018</v>
      </c>
      <c r="J2203" t="s">
        <v>2325</v>
      </c>
      <c r="M2203" s="49"/>
    </row>
    <row r="2204" spans="6:13" x14ac:dyDescent="0.25">
      <c r="F2204" t="s">
        <v>3872</v>
      </c>
      <c r="G2204">
        <v>72800</v>
      </c>
      <c r="H2204">
        <v>8415</v>
      </c>
      <c r="I2204" s="25" t="s">
        <v>2018</v>
      </c>
      <c r="J2204" t="s">
        <v>2325</v>
      </c>
      <c r="M2204" s="49"/>
    </row>
    <row r="2205" spans="6:13" x14ac:dyDescent="0.25">
      <c r="F2205" t="s">
        <v>3873</v>
      </c>
      <c r="G2205">
        <v>67677</v>
      </c>
      <c r="H2205">
        <v>7335</v>
      </c>
      <c r="I2205" s="25" t="s">
        <v>2123</v>
      </c>
      <c r="J2205" t="s">
        <v>2843</v>
      </c>
      <c r="M2205" s="49"/>
    </row>
    <row r="2206" spans="6:13" x14ac:dyDescent="0.25">
      <c r="F2206" t="s">
        <v>3874</v>
      </c>
      <c r="G2206">
        <v>56850</v>
      </c>
      <c r="H2206">
        <v>7135</v>
      </c>
      <c r="I2206" s="25" t="s">
        <v>2123</v>
      </c>
      <c r="J2206" t="s">
        <v>2072</v>
      </c>
      <c r="M2206" s="49"/>
    </row>
    <row r="2207" spans="6:13" x14ac:dyDescent="0.25">
      <c r="F2207" t="s">
        <v>3874</v>
      </c>
      <c r="G2207">
        <v>56850</v>
      </c>
      <c r="H2207">
        <v>7140</v>
      </c>
      <c r="I2207" s="25" t="s">
        <v>2123</v>
      </c>
      <c r="J2207" t="s">
        <v>2329</v>
      </c>
      <c r="M2207" s="49"/>
    </row>
    <row r="2208" spans="6:13" x14ac:dyDescent="0.25">
      <c r="F2208" t="s">
        <v>3874</v>
      </c>
      <c r="G2208">
        <v>56850</v>
      </c>
      <c r="H2208">
        <v>7231</v>
      </c>
      <c r="I2208" s="25" t="s">
        <v>2123</v>
      </c>
      <c r="J2208" t="s">
        <v>2043</v>
      </c>
      <c r="M2208" s="49"/>
    </row>
    <row r="2209" spans="6:13" x14ac:dyDescent="0.25">
      <c r="F2209" t="s">
        <v>3875</v>
      </c>
      <c r="G2209">
        <v>58256</v>
      </c>
      <c r="H2209">
        <v>5954</v>
      </c>
      <c r="I2209" s="25" t="s">
        <v>2023</v>
      </c>
      <c r="J2209" t="s">
        <v>2124</v>
      </c>
      <c r="M2209" s="49"/>
    </row>
    <row r="2210" spans="6:13" x14ac:dyDescent="0.25">
      <c r="F2210" t="s">
        <v>3876</v>
      </c>
      <c r="G2210">
        <v>59320</v>
      </c>
      <c r="H2210">
        <v>5570</v>
      </c>
      <c r="I2210" s="25" t="s">
        <v>2023</v>
      </c>
      <c r="J2210" t="s">
        <v>2154</v>
      </c>
      <c r="M2210" s="49"/>
    </row>
    <row r="2211" spans="6:13" x14ac:dyDescent="0.25">
      <c r="F2211" t="s">
        <v>3877</v>
      </c>
      <c r="G2211">
        <v>92266</v>
      </c>
      <c r="H2211">
        <v>9371</v>
      </c>
      <c r="I2211" s="25" t="s">
        <v>2050</v>
      </c>
      <c r="J2211" t="s">
        <v>2469</v>
      </c>
      <c r="M2211" s="49"/>
    </row>
    <row r="2212" spans="6:13" x14ac:dyDescent="0.25">
      <c r="F2212" t="s">
        <v>3877</v>
      </c>
      <c r="G2212">
        <v>92266</v>
      </c>
      <c r="H2212">
        <v>9371</v>
      </c>
      <c r="I2212" s="25" t="s">
        <v>2050</v>
      </c>
      <c r="J2212" t="s">
        <v>2469</v>
      </c>
      <c r="M2212" s="49"/>
    </row>
    <row r="2213" spans="6:13" x14ac:dyDescent="0.25">
      <c r="F2213" t="s">
        <v>3877</v>
      </c>
      <c r="G2213">
        <v>66806</v>
      </c>
      <c r="H2213">
        <v>10044</v>
      </c>
      <c r="I2213" s="25" t="s">
        <v>2849</v>
      </c>
      <c r="J2213" t="s">
        <v>3222</v>
      </c>
      <c r="M2213" s="49"/>
    </row>
    <row r="2214" spans="6:13" x14ac:dyDescent="0.25">
      <c r="F2214" t="s">
        <v>3878</v>
      </c>
      <c r="G2214">
        <v>59469</v>
      </c>
      <c r="H2214">
        <v>5974</v>
      </c>
      <c r="I2214" s="25" t="s">
        <v>2023</v>
      </c>
      <c r="J2214" t="s">
        <v>2368</v>
      </c>
      <c r="M2214" s="49"/>
    </row>
    <row r="2215" spans="6:13" x14ac:dyDescent="0.25">
      <c r="F2215" t="s">
        <v>3879</v>
      </c>
      <c r="G2215">
        <v>75337</v>
      </c>
      <c r="H2215">
        <v>8235</v>
      </c>
      <c r="I2215" s="25" t="s">
        <v>2018</v>
      </c>
      <c r="J2215" t="s">
        <v>2422</v>
      </c>
      <c r="M2215" s="49"/>
    </row>
    <row r="2216" spans="6:13" x14ac:dyDescent="0.25">
      <c r="F2216" t="s">
        <v>3880</v>
      </c>
      <c r="G2216">
        <v>74925</v>
      </c>
      <c r="H2216">
        <v>8226</v>
      </c>
      <c r="I2216" s="25" t="s">
        <v>2018</v>
      </c>
      <c r="J2216" t="s">
        <v>2442</v>
      </c>
      <c r="M2216" s="49"/>
    </row>
    <row r="2217" spans="6:13" x14ac:dyDescent="0.25">
      <c r="F2217" t="s">
        <v>3881</v>
      </c>
      <c r="G2217">
        <v>78736</v>
      </c>
      <c r="H2217">
        <v>8325</v>
      </c>
      <c r="I2217" s="25" t="s">
        <v>2018</v>
      </c>
      <c r="J2217" t="s">
        <v>2208</v>
      </c>
      <c r="M2217" s="49"/>
    </row>
    <row r="2218" spans="6:13" x14ac:dyDescent="0.25">
      <c r="F2218" t="s">
        <v>3882</v>
      </c>
      <c r="G2218">
        <v>66571</v>
      </c>
      <c r="H2218">
        <v>10043</v>
      </c>
      <c r="I2218" s="25" t="s">
        <v>2849</v>
      </c>
      <c r="J2218" t="s">
        <v>3883</v>
      </c>
      <c r="M2218" s="49"/>
    </row>
    <row r="2219" spans="6:13" x14ac:dyDescent="0.25">
      <c r="F2219" t="s">
        <v>3884</v>
      </c>
      <c r="G2219">
        <v>69214</v>
      </c>
      <c r="H2219">
        <v>8226</v>
      </c>
      <c r="I2219" s="25" t="s">
        <v>2018</v>
      </c>
      <c r="J2219" t="s">
        <v>2442</v>
      </c>
      <c r="M2219" s="49"/>
    </row>
    <row r="2220" spans="6:13" x14ac:dyDescent="0.25">
      <c r="F2220" t="s">
        <v>3885</v>
      </c>
      <c r="G2220">
        <v>9575</v>
      </c>
      <c r="H2220">
        <v>14522</v>
      </c>
      <c r="I2220" s="25" t="s">
        <v>2135</v>
      </c>
      <c r="J2220" t="s">
        <v>2100</v>
      </c>
      <c r="M2220" s="49"/>
    </row>
    <row r="2221" spans="6:13" x14ac:dyDescent="0.25">
      <c r="F2221" t="s">
        <v>3886</v>
      </c>
      <c r="G2221">
        <v>94536</v>
      </c>
      <c r="H2221">
        <v>9272</v>
      </c>
      <c r="I2221" s="25" t="s">
        <v>2050</v>
      </c>
      <c r="J2221" t="s">
        <v>2140</v>
      </c>
      <c r="M2221" s="49"/>
    </row>
    <row r="2222" spans="6:13" x14ac:dyDescent="0.25">
      <c r="F2222" t="s">
        <v>3887</v>
      </c>
      <c r="G2222">
        <v>64859</v>
      </c>
      <c r="H2222">
        <v>6432</v>
      </c>
      <c r="I2222" s="25" t="s">
        <v>2046</v>
      </c>
      <c r="J2222" t="s">
        <v>2338</v>
      </c>
      <c r="M2222" s="49"/>
    </row>
    <row r="2223" spans="6:13" x14ac:dyDescent="0.25">
      <c r="F2223" t="s">
        <v>3888</v>
      </c>
      <c r="G2223">
        <v>75031</v>
      </c>
      <c r="H2223">
        <v>8125</v>
      </c>
      <c r="I2223" s="25" t="s">
        <v>2018</v>
      </c>
      <c r="J2223" t="s">
        <v>2060</v>
      </c>
      <c r="M2223" s="49"/>
    </row>
    <row r="2224" spans="6:13" x14ac:dyDescent="0.25">
      <c r="F2224" t="s">
        <v>3889</v>
      </c>
      <c r="G2224">
        <v>87745</v>
      </c>
      <c r="H2224">
        <v>9778</v>
      </c>
      <c r="I2224" s="25" t="s">
        <v>2050</v>
      </c>
      <c r="J2224" t="s">
        <v>2460</v>
      </c>
      <c r="M2224" s="49"/>
    </row>
    <row r="2225" spans="6:13" x14ac:dyDescent="0.25">
      <c r="F2225" t="s">
        <v>3890</v>
      </c>
      <c r="G2225">
        <v>65817</v>
      </c>
      <c r="H2225">
        <v>6436</v>
      </c>
      <c r="I2225" s="25" t="s">
        <v>2046</v>
      </c>
      <c r="J2225" t="s">
        <v>2730</v>
      </c>
      <c r="M2225" s="49"/>
    </row>
    <row r="2226" spans="6:13" x14ac:dyDescent="0.25">
      <c r="F2226" t="s">
        <v>3891</v>
      </c>
      <c r="G2226">
        <v>64711</v>
      </c>
      <c r="H2226">
        <v>6437</v>
      </c>
      <c r="I2226" s="25" t="s">
        <v>2046</v>
      </c>
      <c r="J2226" t="s">
        <v>2674</v>
      </c>
      <c r="M2226" s="49"/>
    </row>
    <row r="2227" spans="6:13" x14ac:dyDescent="0.25">
      <c r="F2227" t="s">
        <v>3891</v>
      </c>
      <c r="G2227">
        <v>89155</v>
      </c>
      <c r="H2227">
        <v>8425</v>
      </c>
      <c r="I2227" s="25" t="s">
        <v>2018</v>
      </c>
      <c r="J2227" t="s">
        <v>2027</v>
      </c>
      <c r="M2227" s="49"/>
    </row>
    <row r="2228" spans="6:13" x14ac:dyDescent="0.25">
      <c r="F2228" t="s">
        <v>3892</v>
      </c>
      <c r="G2228">
        <v>92681</v>
      </c>
      <c r="H2228">
        <v>9377</v>
      </c>
      <c r="I2228" s="25" t="s">
        <v>2050</v>
      </c>
      <c r="J2228" t="s">
        <v>2393</v>
      </c>
      <c r="M2228" s="49"/>
    </row>
    <row r="2229" spans="6:13" x14ac:dyDescent="0.25">
      <c r="F2229" t="s">
        <v>2915</v>
      </c>
      <c r="G2229">
        <v>85435</v>
      </c>
      <c r="H2229">
        <v>9177</v>
      </c>
      <c r="I2229" s="25" t="s">
        <v>2050</v>
      </c>
      <c r="J2229" t="s">
        <v>2915</v>
      </c>
      <c r="M2229" s="49"/>
    </row>
    <row r="2230" spans="6:13" x14ac:dyDescent="0.25">
      <c r="F2230" t="s">
        <v>3893</v>
      </c>
      <c r="G2230">
        <v>71729</v>
      </c>
      <c r="H2230">
        <v>8118</v>
      </c>
      <c r="I2230" s="25" t="s">
        <v>2018</v>
      </c>
      <c r="J2230" t="s">
        <v>2142</v>
      </c>
      <c r="M2230" s="49"/>
    </row>
    <row r="2231" spans="6:13" x14ac:dyDescent="0.25">
      <c r="F2231" t="s">
        <v>3894</v>
      </c>
      <c r="G2231">
        <v>85253</v>
      </c>
      <c r="H2231">
        <v>9174</v>
      </c>
      <c r="I2231" s="25" t="s">
        <v>2050</v>
      </c>
      <c r="J2231" t="s">
        <v>2445</v>
      </c>
      <c r="M2231" s="49"/>
    </row>
    <row r="2232" spans="6:13" x14ac:dyDescent="0.25">
      <c r="F2232" t="s">
        <v>3895</v>
      </c>
      <c r="G2232">
        <v>86922</v>
      </c>
      <c r="H2232">
        <v>9181</v>
      </c>
      <c r="I2232" s="25" t="s">
        <v>2050</v>
      </c>
      <c r="J2232" t="s">
        <v>2505</v>
      </c>
      <c r="M2232" s="49"/>
    </row>
    <row r="2233" spans="6:13" x14ac:dyDescent="0.25">
      <c r="F2233" t="s">
        <v>3895</v>
      </c>
      <c r="G2233">
        <v>86941</v>
      </c>
      <c r="H2233">
        <v>9181</v>
      </c>
      <c r="I2233" s="25" t="s">
        <v>2050</v>
      </c>
      <c r="J2233" t="s">
        <v>2505</v>
      </c>
      <c r="M2233" s="49"/>
    </row>
    <row r="2234" spans="6:13" x14ac:dyDescent="0.25">
      <c r="F2234" t="s">
        <v>3896</v>
      </c>
      <c r="G2234">
        <v>24803</v>
      </c>
      <c r="H2234">
        <v>1059</v>
      </c>
      <c r="I2234" s="25" t="s">
        <v>2085</v>
      </c>
      <c r="J2234" t="s">
        <v>2354</v>
      </c>
      <c r="M2234" s="49"/>
    </row>
    <row r="2235" spans="6:13" x14ac:dyDescent="0.25">
      <c r="F2235" t="s">
        <v>3897</v>
      </c>
      <c r="G2235">
        <v>50374</v>
      </c>
      <c r="H2235">
        <v>5362</v>
      </c>
      <c r="I2235" s="25" t="s">
        <v>2023</v>
      </c>
      <c r="J2235" t="s">
        <v>2326</v>
      </c>
      <c r="M2235" s="49"/>
    </row>
    <row r="2236" spans="6:13" x14ac:dyDescent="0.25">
      <c r="F2236" t="s">
        <v>3898</v>
      </c>
      <c r="G2236">
        <v>99099</v>
      </c>
      <c r="H2236">
        <v>16051</v>
      </c>
      <c r="I2236" s="25" t="s">
        <v>2384</v>
      </c>
      <c r="J2236" t="s">
        <v>3899</v>
      </c>
      <c r="M2236" s="49"/>
    </row>
    <row r="2237" spans="6:13" x14ac:dyDescent="0.25">
      <c r="F2237" t="s">
        <v>3898</v>
      </c>
      <c r="G2237">
        <v>99094</v>
      </c>
      <c r="H2237">
        <v>16051</v>
      </c>
      <c r="I2237" s="25" t="s">
        <v>2384</v>
      </c>
      <c r="J2237" t="s">
        <v>3899</v>
      </c>
      <c r="M2237" s="49"/>
    </row>
    <row r="2238" spans="6:13" x14ac:dyDescent="0.25">
      <c r="F2238" t="s">
        <v>3898</v>
      </c>
      <c r="G2238">
        <v>99092</v>
      </c>
      <c r="H2238">
        <v>16051</v>
      </c>
      <c r="I2238" s="25" t="s">
        <v>2384</v>
      </c>
      <c r="J2238" t="s">
        <v>3899</v>
      </c>
      <c r="M2238" s="49"/>
    </row>
    <row r="2239" spans="6:13" x14ac:dyDescent="0.25">
      <c r="F2239" t="s">
        <v>3898</v>
      </c>
      <c r="G2239">
        <v>99097</v>
      </c>
      <c r="H2239">
        <v>16051</v>
      </c>
      <c r="I2239" s="25" t="s">
        <v>2384</v>
      </c>
      <c r="J2239" t="s">
        <v>3899</v>
      </c>
      <c r="M2239" s="49"/>
    </row>
    <row r="2240" spans="6:13" x14ac:dyDescent="0.25">
      <c r="F2240" t="s">
        <v>3898</v>
      </c>
      <c r="G2240">
        <v>99095</v>
      </c>
      <c r="H2240">
        <v>16051</v>
      </c>
      <c r="I2240" s="25" t="s">
        <v>2384</v>
      </c>
      <c r="J2240" t="s">
        <v>3899</v>
      </c>
      <c r="M2240" s="49"/>
    </row>
    <row r="2241" spans="6:13" x14ac:dyDescent="0.25">
      <c r="F2241" t="s">
        <v>3898</v>
      </c>
      <c r="G2241">
        <v>99091</v>
      </c>
      <c r="H2241">
        <v>16051</v>
      </c>
      <c r="I2241" s="25" t="s">
        <v>2384</v>
      </c>
      <c r="J2241" t="s">
        <v>3899</v>
      </c>
      <c r="M2241" s="49"/>
    </row>
    <row r="2242" spans="6:13" x14ac:dyDescent="0.25">
      <c r="F2242" t="s">
        <v>3898</v>
      </c>
      <c r="G2242">
        <v>99096</v>
      </c>
      <c r="H2242">
        <v>16051</v>
      </c>
      <c r="I2242" s="25" t="s">
        <v>2384</v>
      </c>
      <c r="J2242" t="s">
        <v>3899</v>
      </c>
      <c r="M2242" s="49"/>
    </row>
    <row r="2243" spans="6:13" x14ac:dyDescent="0.25">
      <c r="F2243" t="s">
        <v>3898</v>
      </c>
      <c r="G2243">
        <v>99098</v>
      </c>
      <c r="H2243">
        <v>16051</v>
      </c>
      <c r="I2243" s="25" t="s">
        <v>2384</v>
      </c>
      <c r="J2243" t="s">
        <v>3899</v>
      </c>
      <c r="M2243" s="49"/>
    </row>
    <row r="2244" spans="6:13" x14ac:dyDescent="0.25">
      <c r="F2244" t="s">
        <v>3898</v>
      </c>
      <c r="G2244">
        <v>99084</v>
      </c>
      <c r="H2244">
        <v>16051</v>
      </c>
      <c r="I2244" s="25" t="s">
        <v>2384</v>
      </c>
      <c r="J2244" t="s">
        <v>3899</v>
      </c>
      <c r="M2244" s="49"/>
    </row>
    <row r="2245" spans="6:13" x14ac:dyDescent="0.25">
      <c r="F2245" t="s">
        <v>3898</v>
      </c>
      <c r="G2245">
        <v>99086</v>
      </c>
      <c r="H2245">
        <v>16051</v>
      </c>
      <c r="I2245" s="25" t="s">
        <v>2384</v>
      </c>
      <c r="J2245" t="s">
        <v>3899</v>
      </c>
      <c r="M2245" s="49"/>
    </row>
    <row r="2246" spans="6:13" x14ac:dyDescent="0.25">
      <c r="F2246" t="s">
        <v>3898</v>
      </c>
      <c r="G2246">
        <v>99087</v>
      </c>
      <c r="H2246">
        <v>16051</v>
      </c>
      <c r="I2246" s="25" t="s">
        <v>2384</v>
      </c>
      <c r="J2246" t="s">
        <v>3899</v>
      </c>
      <c r="M2246" s="49"/>
    </row>
    <row r="2247" spans="6:13" x14ac:dyDescent="0.25">
      <c r="F2247" t="s">
        <v>3898</v>
      </c>
      <c r="G2247">
        <v>99085</v>
      </c>
      <c r="H2247">
        <v>16051</v>
      </c>
      <c r="I2247" s="25" t="s">
        <v>2384</v>
      </c>
      <c r="J2247" t="s">
        <v>3899</v>
      </c>
      <c r="M2247" s="49"/>
    </row>
    <row r="2248" spans="6:13" x14ac:dyDescent="0.25">
      <c r="F2248" t="s">
        <v>3898</v>
      </c>
      <c r="G2248">
        <v>99090</v>
      </c>
      <c r="H2248">
        <v>16051</v>
      </c>
      <c r="I2248" s="25" t="s">
        <v>2384</v>
      </c>
      <c r="J2248" t="s">
        <v>3899</v>
      </c>
      <c r="M2248" s="49"/>
    </row>
    <row r="2249" spans="6:13" x14ac:dyDescent="0.25">
      <c r="F2249" t="s">
        <v>3898</v>
      </c>
      <c r="G2249">
        <v>99089</v>
      </c>
      <c r="H2249">
        <v>16051</v>
      </c>
      <c r="I2249" s="25" t="s">
        <v>2384</v>
      </c>
      <c r="J2249" t="s">
        <v>3899</v>
      </c>
      <c r="M2249" s="49"/>
    </row>
    <row r="2250" spans="6:13" x14ac:dyDescent="0.25">
      <c r="F2250" t="s">
        <v>3900</v>
      </c>
      <c r="G2250">
        <v>91465</v>
      </c>
      <c r="H2250">
        <v>9575</v>
      </c>
      <c r="I2250" s="25" t="s">
        <v>2050</v>
      </c>
      <c r="J2250" t="s">
        <v>2749</v>
      </c>
      <c r="M2250" s="49"/>
    </row>
    <row r="2251" spans="6:13" x14ac:dyDescent="0.25">
      <c r="F2251" t="s">
        <v>3901</v>
      </c>
      <c r="G2251">
        <v>84030</v>
      </c>
      <c r="H2251">
        <v>9261</v>
      </c>
      <c r="I2251" s="25" t="s">
        <v>2050</v>
      </c>
      <c r="J2251" t="s">
        <v>3902</v>
      </c>
      <c r="M2251" s="49"/>
    </row>
    <row r="2252" spans="6:13" x14ac:dyDescent="0.25">
      <c r="F2252" t="s">
        <v>3901</v>
      </c>
      <c r="G2252">
        <v>84030</v>
      </c>
      <c r="H2252">
        <v>9274</v>
      </c>
      <c r="I2252" s="25" t="s">
        <v>2050</v>
      </c>
      <c r="J2252" t="s">
        <v>2132</v>
      </c>
      <c r="M2252" s="49"/>
    </row>
    <row r="2253" spans="6:13" x14ac:dyDescent="0.25">
      <c r="F2253" t="s">
        <v>3903</v>
      </c>
      <c r="G2253">
        <v>84061</v>
      </c>
      <c r="H2253">
        <v>9274</v>
      </c>
      <c r="I2253" s="25" t="s">
        <v>2050</v>
      </c>
      <c r="J2253" t="s">
        <v>2132</v>
      </c>
      <c r="M2253" s="49"/>
    </row>
    <row r="2254" spans="6:13" x14ac:dyDescent="0.25">
      <c r="F2254" t="s">
        <v>3904</v>
      </c>
      <c r="G2254">
        <v>94140</v>
      </c>
      <c r="H2254">
        <v>9277</v>
      </c>
      <c r="I2254" s="25" t="s">
        <v>2050</v>
      </c>
      <c r="J2254" t="s">
        <v>2529</v>
      </c>
      <c r="M2254" s="49"/>
    </row>
    <row r="2255" spans="6:13" x14ac:dyDescent="0.25">
      <c r="F2255" t="s">
        <v>3905</v>
      </c>
      <c r="G2255">
        <v>88097</v>
      </c>
      <c r="H2255">
        <v>8435</v>
      </c>
      <c r="I2255" s="25" t="s">
        <v>2018</v>
      </c>
      <c r="J2255" t="s">
        <v>3011</v>
      </c>
      <c r="M2255" s="49"/>
    </row>
    <row r="2256" spans="6:13" x14ac:dyDescent="0.25">
      <c r="F2256" t="s">
        <v>3906</v>
      </c>
      <c r="G2256">
        <v>41812</v>
      </c>
      <c r="H2256">
        <v>5370</v>
      </c>
      <c r="I2256" s="25" t="s">
        <v>2023</v>
      </c>
      <c r="J2256" t="s">
        <v>2183</v>
      </c>
      <c r="M2256" s="49"/>
    </row>
    <row r="2257" spans="6:13" x14ac:dyDescent="0.25">
      <c r="F2257" t="s">
        <v>3907</v>
      </c>
      <c r="G2257">
        <v>73268</v>
      </c>
      <c r="H2257">
        <v>8116</v>
      </c>
      <c r="I2257" s="25" t="s">
        <v>2018</v>
      </c>
      <c r="J2257" t="s">
        <v>2213</v>
      </c>
      <c r="M2257" s="49"/>
    </row>
    <row r="2258" spans="6:13" x14ac:dyDescent="0.25">
      <c r="F2258" t="s">
        <v>3908</v>
      </c>
      <c r="G2258">
        <v>87746</v>
      </c>
      <c r="H2258">
        <v>9778</v>
      </c>
      <c r="I2258" s="25" t="s">
        <v>2050</v>
      </c>
      <c r="J2258" t="s">
        <v>2460</v>
      </c>
      <c r="M2258" s="49"/>
    </row>
    <row r="2259" spans="6:13" x14ac:dyDescent="0.25">
      <c r="F2259" t="s">
        <v>3909</v>
      </c>
      <c r="G2259">
        <v>15537</v>
      </c>
      <c r="H2259">
        <v>12067</v>
      </c>
      <c r="I2259" s="25" t="s">
        <v>2356</v>
      </c>
      <c r="J2259" t="s">
        <v>2711</v>
      </c>
      <c r="M2259" s="49"/>
    </row>
    <row r="2260" spans="6:13" x14ac:dyDescent="0.25">
      <c r="F2260" t="s">
        <v>3910</v>
      </c>
      <c r="G2260">
        <v>40699</v>
      </c>
      <c r="H2260">
        <v>5158</v>
      </c>
      <c r="I2260" s="25" t="s">
        <v>2023</v>
      </c>
      <c r="J2260" t="s">
        <v>2252</v>
      </c>
      <c r="M2260" s="49"/>
    </row>
    <row r="2261" spans="6:13" x14ac:dyDescent="0.25">
      <c r="F2261" t="s">
        <v>3911</v>
      </c>
      <c r="G2261">
        <v>97250</v>
      </c>
      <c r="H2261">
        <v>9679</v>
      </c>
      <c r="I2261" s="25" t="s">
        <v>2050</v>
      </c>
      <c r="J2261" t="s">
        <v>2428</v>
      </c>
      <c r="M2261" s="49"/>
    </row>
    <row r="2262" spans="6:13" x14ac:dyDescent="0.25">
      <c r="F2262" t="s">
        <v>3912</v>
      </c>
      <c r="G2262">
        <v>91056</v>
      </c>
      <c r="H2262">
        <v>9562</v>
      </c>
      <c r="I2262" s="25" t="s">
        <v>2050</v>
      </c>
      <c r="J2262" t="s">
        <v>3913</v>
      </c>
      <c r="M2262" s="49"/>
    </row>
    <row r="2263" spans="6:13" x14ac:dyDescent="0.25">
      <c r="F2263" t="s">
        <v>3912</v>
      </c>
      <c r="G2263">
        <v>91052</v>
      </c>
      <c r="H2263">
        <v>9562</v>
      </c>
      <c r="I2263" s="25" t="s">
        <v>2050</v>
      </c>
      <c r="J2263" t="s">
        <v>3913</v>
      </c>
      <c r="M2263" s="49"/>
    </row>
    <row r="2264" spans="6:13" x14ac:dyDescent="0.25">
      <c r="F2264" t="s">
        <v>3912</v>
      </c>
      <c r="G2264">
        <v>91054</v>
      </c>
      <c r="H2264">
        <v>9562</v>
      </c>
      <c r="I2264" s="25" t="s">
        <v>2050</v>
      </c>
      <c r="J2264" t="s">
        <v>3913</v>
      </c>
      <c r="M2264" s="49"/>
    </row>
    <row r="2265" spans="6:13" x14ac:dyDescent="0.25">
      <c r="F2265" t="s">
        <v>3912</v>
      </c>
      <c r="G2265">
        <v>91058</v>
      </c>
      <c r="H2265">
        <v>9562</v>
      </c>
      <c r="I2265" s="25" t="s">
        <v>2050</v>
      </c>
      <c r="J2265" t="s">
        <v>3913</v>
      </c>
      <c r="M2265" s="49"/>
    </row>
    <row r="2266" spans="6:13" x14ac:dyDescent="0.25">
      <c r="F2266" t="s">
        <v>3912</v>
      </c>
      <c r="G2266">
        <v>91054</v>
      </c>
      <c r="H2266">
        <v>9572</v>
      </c>
      <c r="I2266" s="25" t="s">
        <v>2050</v>
      </c>
      <c r="J2266" t="s">
        <v>2105</v>
      </c>
      <c r="M2266" s="49"/>
    </row>
    <row r="2267" spans="6:13" x14ac:dyDescent="0.25">
      <c r="F2267" t="s">
        <v>3914</v>
      </c>
      <c r="G2267">
        <v>84567</v>
      </c>
      <c r="H2267">
        <v>9171</v>
      </c>
      <c r="I2267" s="25" t="s">
        <v>2050</v>
      </c>
      <c r="J2267" t="s">
        <v>2446</v>
      </c>
      <c r="M2267" s="49"/>
    </row>
    <row r="2268" spans="6:13" x14ac:dyDescent="0.25">
      <c r="F2268" t="s">
        <v>3915</v>
      </c>
      <c r="G2268">
        <v>74235</v>
      </c>
      <c r="H2268">
        <v>8125</v>
      </c>
      <c r="I2268" s="25" t="s">
        <v>2018</v>
      </c>
      <c r="J2268" t="s">
        <v>2060</v>
      </c>
      <c r="M2268" s="49"/>
    </row>
    <row r="2269" spans="6:13" x14ac:dyDescent="0.25">
      <c r="F2269" t="s">
        <v>3916</v>
      </c>
      <c r="G2269">
        <v>63906</v>
      </c>
      <c r="H2269">
        <v>9676</v>
      </c>
      <c r="I2269" s="25" t="s">
        <v>2050</v>
      </c>
      <c r="J2269" t="s">
        <v>2381</v>
      </c>
      <c r="M2269" s="49"/>
    </row>
    <row r="2270" spans="6:13" x14ac:dyDescent="0.25">
      <c r="F2270" t="s">
        <v>3917</v>
      </c>
      <c r="G2270">
        <v>97837</v>
      </c>
      <c r="H2270">
        <v>9677</v>
      </c>
      <c r="I2270" s="25" t="s">
        <v>2050</v>
      </c>
      <c r="J2270" t="s">
        <v>2527</v>
      </c>
      <c r="M2270" s="49"/>
    </row>
    <row r="2271" spans="6:13" x14ac:dyDescent="0.25">
      <c r="F2271" t="s">
        <v>3918</v>
      </c>
      <c r="G2271">
        <v>63526</v>
      </c>
      <c r="H2271">
        <v>6435</v>
      </c>
      <c r="I2271" s="25" t="s">
        <v>2046</v>
      </c>
      <c r="J2271" t="s">
        <v>2703</v>
      </c>
      <c r="M2271" s="49"/>
    </row>
    <row r="2272" spans="6:13" x14ac:dyDescent="0.25">
      <c r="F2272" t="s">
        <v>3919</v>
      </c>
      <c r="G2272">
        <v>74391</v>
      </c>
      <c r="H2272">
        <v>8118</v>
      </c>
      <c r="I2272" s="25" t="s">
        <v>2018</v>
      </c>
      <c r="J2272" t="s">
        <v>2142</v>
      </c>
      <c r="M2272" s="49"/>
    </row>
    <row r="2273" spans="6:13" x14ac:dyDescent="0.25">
      <c r="F2273" t="s">
        <v>3920</v>
      </c>
      <c r="G2273">
        <v>57339</v>
      </c>
      <c r="H2273">
        <v>5970</v>
      </c>
      <c r="I2273" s="25" t="s">
        <v>2023</v>
      </c>
      <c r="J2273" t="s">
        <v>2366</v>
      </c>
      <c r="M2273" s="49"/>
    </row>
    <row r="2274" spans="6:13" x14ac:dyDescent="0.25">
      <c r="F2274" t="s">
        <v>3921</v>
      </c>
      <c r="G2274">
        <v>85119</v>
      </c>
      <c r="H2274">
        <v>9186</v>
      </c>
      <c r="I2274" s="25" t="s">
        <v>2050</v>
      </c>
      <c r="J2274" t="s">
        <v>2594</v>
      </c>
      <c r="M2274" s="49"/>
    </row>
    <row r="2275" spans="6:13" x14ac:dyDescent="0.25">
      <c r="F2275" t="s">
        <v>3922</v>
      </c>
      <c r="G2275">
        <v>88453</v>
      </c>
      <c r="H2275">
        <v>8426</v>
      </c>
      <c r="I2275" s="25" t="s">
        <v>2018</v>
      </c>
      <c r="J2275" t="s">
        <v>2081</v>
      </c>
      <c r="M2275" s="49"/>
    </row>
    <row r="2276" spans="6:13" x14ac:dyDescent="0.25">
      <c r="F2276" t="s">
        <v>3923</v>
      </c>
      <c r="G2276">
        <v>53579</v>
      </c>
      <c r="H2276">
        <v>7138</v>
      </c>
      <c r="I2276" s="25" t="s">
        <v>2123</v>
      </c>
      <c r="J2276" t="s">
        <v>2489</v>
      </c>
      <c r="M2276" s="49"/>
    </row>
    <row r="2277" spans="6:13" x14ac:dyDescent="0.25">
      <c r="F2277" t="s">
        <v>3924</v>
      </c>
      <c r="G2277">
        <v>67167</v>
      </c>
      <c r="H2277">
        <v>7332</v>
      </c>
      <c r="I2277" s="25" t="s">
        <v>2123</v>
      </c>
      <c r="J2277" t="s">
        <v>2440</v>
      </c>
      <c r="M2277" s="49"/>
    </row>
    <row r="2278" spans="6:13" x14ac:dyDescent="0.25">
      <c r="F2278" t="s">
        <v>3925</v>
      </c>
      <c r="G2278">
        <v>88521</v>
      </c>
      <c r="H2278">
        <v>8426</v>
      </c>
      <c r="I2278" s="25" t="s">
        <v>2018</v>
      </c>
      <c r="J2278" t="s">
        <v>2081</v>
      </c>
      <c r="M2278" s="49"/>
    </row>
    <row r="2279" spans="6:13" x14ac:dyDescent="0.25">
      <c r="F2279" t="s">
        <v>3926</v>
      </c>
      <c r="G2279">
        <v>59597</v>
      </c>
      <c r="H2279">
        <v>5974</v>
      </c>
      <c r="I2279" s="25" t="s">
        <v>2023</v>
      </c>
      <c r="J2279" t="s">
        <v>2368</v>
      </c>
      <c r="M2279" s="49"/>
    </row>
    <row r="2280" spans="6:13" x14ac:dyDescent="0.25">
      <c r="F2280" t="s">
        <v>3927</v>
      </c>
      <c r="G2280">
        <v>39343</v>
      </c>
      <c r="H2280">
        <v>15083</v>
      </c>
      <c r="I2280" s="25" t="s">
        <v>2241</v>
      </c>
      <c r="J2280" t="s">
        <v>2052</v>
      </c>
      <c r="M2280" s="49"/>
    </row>
    <row r="2281" spans="6:13" x14ac:dyDescent="0.25">
      <c r="F2281" t="s">
        <v>3927</v>
      </c>
      <c r="G2281">
        <v>39343</v>
      </c>
      <c r="H2281">
        <v>15083</v>
      </c>
      <c r="I2281" s="25" t="s">
        <v>2241</v>
      </c>
      <c r="J2281" t="s">
        <v>2052</v>
      </c>
      <c r="M2281" s="49"/>
    </row>
    <row r="2282" spans="6:13" x14ac:dyDescent="0.25">
      <c r="F2282" t="s">
        <v>3928</v>
      </c>
      <c r="G2282">
        <v>64390</v>
      </c>
      <c r="H2282">
        <v>6432</v>
      </c>
      <c r="I2282" s="25" t="s">
        <v>2046</v>
      </c>
      <c r="J2282" t="s">
        <v>2338</v>
      </c>
      <c r="M2282" s="49"/>
    </row>
    <row r="2283" spans="6:13" x14ac:dyDescent="0.25">
      <c r="F2283" t="s">
        <v>3929</v>
      </c>
      <c r="G2283">
        <v>54585</v>
      </c>
      <c r="H2283">
        <v>7233</v>
      </c>
      <c r="I2283" s="25" t="s">
        <v>2123</v>
      </c>
      <c r="J2283" t="s">
        <v>2416</v>
      </c>
      <c r="M2283" s="49"/>
    </row>
    <row r="2284" spans="6:13" x14ac:dyDescent="0.25">
      <c r="F2284" t="s">
        <v>3930</v>
      </c>
      <c r="G2284">
        <v>73569</v>
      </c>
      <c r="H2284">
        <v>8136</v>
      </c>
      <c r="I2284" s="25" t="s">
        <v>2018</v>
      </c>
      <c r="J2284" t="s">
        <v>2039</v>
      </c>
      <c r="M2284" s="49"/>
    </row>
    <row r="2285" spans="6:13" x14ac:dyDescent="0.25">
      <c r="F2285" t="s">
        <v>3931</v>
      </c>
      <c r="G2285">
        <v>63863</v>
      </c>
      <c r="H2285">
        <v>9676</v>
      </c>
      <c r="I2285" s="25" t="s">
        <v>2050</v>
      </c>
      <c r="J2285" t="s">
        <v>2381</v>
      </c>
      <c r="M2285" s="49"/>
    </row>
    <row r="2286" spans="6:13" x14ac:dyDescent="0.25">
      <c r="F2286" t="s">
        <v>3932</v>
      </c>
      <c r="G2286">
        <v>79427</v>
      </c>
      <c r="H2286">
        <v>8315</v>
      </c>
      <c r="I2286" s="25" t="s">
        <v>2018</v>
      </c>
      <c r="J2286" t="s">
        <v>2061</v>
      </c>
      <c r="M2286" s="49"/>
    </row>
    <row r="2287" spans="6:13" x14ac:dyDescent="0.25">
      <c r="F2287" t="s">
        <v>3933</v>
      </c>
      <c r="G2287">
        <v>65760</v>
      </c>
      <c r="H2287">
        <v>6436</v>
      </c>
      <c r="I2287" s="25" t="s">
        <v>2046</v>
      </c>
      <c r="J2287" t="s">
        <v>2730</v>
      </c>
      <c r="M2287" s="49"/>
    </row>
    <row r="2288" spans="6:13" x14ac:dyDescent="0.25">
      <c r="F2288" t="s">
        <v>3934</v>
      </c>
      <c r="G2288">
        <v>78664</v>
      </c>
      <c r="H2288">
        <v>8325</v>
      </c>
      <c r="I2288" s="25" t="s">
        <v>2018</v>
      </c>
      <c r="J2288" t="s">
        <v>2208</v>
      </c>
      <c r="M2288" s="49"/>
    </row>
    <row r="2289" spans="6:13" x14ac:dyDescent="0.25">
      <c r="F2289" t="s">
        <v>3935</v>
      </c>
      <c r="G2289">
        <v>49828</v>
      </c>
      <c r="H2289">
        <v>3456</v>
      </c>
      <c r="I2289" s="25" t="s">
        <v>2074</v>
      </c>
      <c r="J2289" t="s">
        <v>2156</v>
      </c>
      <c r="M2289" s="49"/>
    </row>
    <row r="2290" spans="6:13" x14ac:dyDescent="0.25">
      <c r="F2290" t="s">
        <v>3936</v>
      </c>
      <c r="G2290">
        <v>29348</v>
      </c>
      <c r="H2290">
        <v>3351</v>
      </c>
      <c r="I2290" s="25" t="s">
        <v>2074</v>
      </c>
      <c r="J2290" t="s">
        <v>2096</v>
      </c>
      <c r="M2290" s="49"/>
    </row>
    <row r="2291" spans="6:13" x14ac:dyDescent="0.25">
      <c r="F2291" t="s">
        <v>3937</v>
      </c>
      <c r="G2291">
        <v>74927</v>
      </c>
      <c r="H2291">
        <v>8226</v>
      </c>
      <c r="I2291" s="25" t="s">
        <v>2018</v>
      </c>
      <c r="J2291" t="s">
        <v>2442</v>
      </c>
      <c r="M2291" s="49"/>
    </row>
    <row r="2292" spans="6:13" x14ac:dyDescent="0.25">
      <c r="F2292" t="s">
        <v>3938</v>
      </c>
      <c r="G2292">
        <v>73107</v>
      </c>
      <c r="H2292">
        <v>8117</v>
      </c>
      <c r="I2292" s="25" t="s">
        <v>2018</v>
      </c>
      <c r="J2292" t="s">
        <v>2089</v>
      </c>
      <c r="M2292" s="49"/>
    </row>
    <row r="2293" spans="6:13" x14ac:dyDescent="0.25">
      <c r="F2293" t="s">
        <v>3938</v>
      </c>
      <c r="G2293">
        <v>73107</v>
      </c>
      <c r="H2293">
        <v>8117</v>
      </c>
      <c r="I2293" s="25" t="s">
        <v>2018</v>
      </c>
      <c r="J2293" t="s">
        <v>2089</v>
      </c>
      <c r="M2293" s="49"/>
    </row>
    <row r="2294" spans="6:13" x14ac:dyDescent="0.25">
      <c r="F2294" t="s">
        <v>3939</v>
      </c>
      <c r="G2294">
        <v>92676</v>
      </c>
      <c r="H2294">
        <v>9374</v>
      </c>
      <c r="I2294" s="25" t="s">
        <v>2050</v>
      </c>
      <c r="J2294" t="s">
        <v>2420</v>
      </c>
      <c r="M2294" s="49"/>
    </row>
    <row r="2295" spans="6:13" x14ac:dyDescent="0.25">
      <c r="F2295" t="s">
        <v>3940</v>
      </c>
      <c r="G2295">
        <v>35713</v>
      </c>
      <c r="H2295">
        <v>6532</v>
      </c>
      <c r="I2295" s="25" t="s">
        <v>2046</v>
      </c>
      <c r="J2295" t="s">
        <v>2555</v>
      </c>
      <c r="M2295" s="49"/>
    </row>
    <row r="2296" spans="6:13" x14ac:dyDescent="0.25">
      <c r="F2296" t="s">
        <v>3941</v>
      </c>
      <c r="G2296">
        <v>82438</v>
      </c>
      <c r="H2296">
        <v>9180</v>
      </c>
      <c r="I2296" s="25" t="s">
        <v>2050</v>
      </c>
      <c r="J2296" t="s">
        <v>2147</v>
      </c>
      <c r="M2296" s="49"/>
    </row>
    <row r="2297" spans="6:13" x14ac:dyDescent="0.25">
      <c r="F2297" t="s">
        <v>3942</v>
      </c>
      <c r="G2297">
        <v>93458</v>
      </c>
      <c r="H2297">
        <v>9372</v>
      </c>
      <c r="I2297" s="25" t="s">
        <v>2050</v>
      </c>
      <c r="J2297" t="s">
        <v>2523</v>
      </c>
      <c r="M2297" s="49"/>
    </row>
    <row r="2298" spans="6:13" x14ac:dyDescent="0.25">
      <c r="F2298" t="s">
        <v>3943</v>
      </c>
      <c r="G2298">
        <v>37269</v>
      </c>
      <c r="H2298">
        <v>6636</v>
      </c>
      <c r="I2298" s="25" t="s">
        <v>2046</v>
      </c>
      <c r="J2298" t="s">
        <v>2733</v>
      </c>
      <c r="M2298" s="49"/>
    </row>
    <row r="2299" spans="6:13" x14ac:dyDescent="0.25">
      <c r="F2299" t="s">
        <v>3944</v>
      </c>
      <c r="G2299">
        <v>52249</v>
      </c>
      <c r="H2299">
        <v>5334</v>
      </c>
      <c r="I2299" s="25" t="s">
        <v>2023</v>
      </c>
      <c r="J2299" t="s">
        <v>2341</v>
      </c>
      <c r="M2299" s="49"/>
    </row>
    <row r="2300" spans="6:13" x14ac:dyDescent="0.25">
      <c r="F2300" t="s">
        <v>3945</v>
      </c>
      <c r="G2300">
        <v>26427</v>
      </c>
      <c r="H2300">
        <v>3462</v>
      </c>
      <c r="I2300" s="25" t="s">
        <v>2074</v>
      </c>
      <c r="J2300" t="s">
        <v>2433</v>
      </c>
      <c r="M2300" s="49"/>
    </row>
    <row r="2301" spans="6:13" x14ac:dyDescent="0.25">
      <c r="F2301" t="s">
        <v>3946</v>
      </c>
      <c r="G2301">
        <v>24402</v>
      </c>
      <c r="H2301">
        <v>1059</v>
      </c>
      <c r="I2301" s="25" t="s">
        <v>2085</v>
      </c>
      <c r="J2301" t="s">
        <v>2354</v>
      </c>
      <c r="M2301" s="49"/>
    </row>
    <row r="2302" spans="6:13" x14ac:dyDescent="0.25">
      <c r="F2302" t="s">
        <v>3947</v>
      </c>
      <c r="G2302">
        <v>92693</v>
      </c>
      <c r="H2302">
        <v>9374</v>
      </c>
      <c r="I2302" s="25" t="s">
        <v>2050</v>
      </c>
      <c r="J2302" t="s">
        <v>2420</v>
      </c>
      <c r="M2302" s="49"/>
    </row>
    <row r="2303" spans="6:13" x14ac:dyDescent="0.25">
      <c r="F2303" t="s">
        <v>3948</v>
      </c>
      <c r="G2303">
        <v>59889</v>
      </c>
      <c r="H2303">
        <v>5958</v>
      </c>
      <c r="I2303" s="25" t="s">
        <v>2023</v>
      </c>
      <c r="J2303" t="s">
        <v>2199</v>
      </c>
      <c r="M2303" s="49"/>
    </row>
    <row r="2304" spans="6:13" x14ac:dyDescent="0.25">
      <c r="F2304" t="s">
        <v>3949</v>
      </c>
      <c r="G2304">
        <v>32339</v>
      </c>
      <c r="H2304">
        <v>5770</v>
      </c>
      <c r="I2304" s="25" t="s">
        <v>2023</v>
      </c>
      <c r="J2304" t="s">
        <v>2257</v>
      </c>
      <c r="M2304" s="49"/>
    </row>
    <row r="2305" spans="6:13" x14ac:dyDescent="0.25">
      <c r="F2305" t="s">
        <v>3950</v>
      </c>
      <c r="G2305">
        <v>34314</v>
      </c>
      <c r="H2305">
        <v>6633</v>
      </c>
      <c r="I2305" s="25" t="s">
        <v>2046</v>
      </c>
      <c r="J2305" t="s">
        <v>2162</v>
      </c>
      <c r="M2305" s="49"/>
    </row>
    <row r="2306" spans="6:13" x14ac:dyDescent="0.25">
      <c r="F2306" t="s">
        <v>3951</v>
      </c>
      <c r="G2306">
        <v>97839</v>
      </c>
      <c r="H2306">
        <v>9677</v>
      </c>
      <c r="I2306" s="25" t="s">
        <v>2050</v>
      </c>
      <c r="J2306" t="s">
        <v>2527</v>
      </c>
      <c r="M2306" s="49"/>
    </row>
    <row r="2307" spans="6:13" x14ac:dyDescent="0.25">
      <c r="F2307" t="s">
        <v>3951</v>
      </c>
      <c r="G2307">
        <v>97839</v>
      </c>
      <c r="H2307">
        <v>9677</v>
      </c>
      <c r="I2307" s="25" t="s">
        <v>2050</v>
      </c>
      <c r="J2307" t="s">
        <v>2527</v>
      </c>
      <c r="M2307" s="49"/>
    </row>
    <row r="2308" spans="6:13" x14ac:dyDescent="0.25">
      <c r="F2308" t="s">
        <v>3951</v>
      </c>
      <c r="G2308">
        <v>97839</v>
      </c>
      <c r="H2308">
        <v>9677</v>
      </c>
      <c r="I2308" s="25" t="s">
        <v>2050</v>
      </c>
      <c r="J2308" t="s">
        <v>2527</v>
      </c>
      <c r="M2308" s="49"/>
    </row>
    <row r="2309" spans="6:13" x14ac:dyDescent="0.25">
      <c r="F2309" t="s">
        <v>3951</v>
      </c>
      <c r="G2309">
        <v>97839</v>
      </c>
      <c r="H2309">
        <v>9677</v>
      </c>
      <c r="I2309" s="25" t="s">
        <v>2050</v>
      </c>
      <c r="J2309" t="s">
        <v>2527</v>
      </c>
      <c r="M2309" s="49"/>
    </row>
    <row r="2310" spans="6:13" x14ac:dyDescent="0.25">
      <c r="F2310" t="s">
        <v>3951</v>
      </c>
      <c r="G2310">
        <v>97839</v>
      </c>
      <c r="H2310">
        <v>9677</v>
      </c>
      <c r="I2310" s="25" t="s">
        <v>2050</v>
      </c>
      <c r="J2310" t="s">
        <v>2527</v>
      </c>
      <c r="M2310" s="49"/>
    </row>
    <row r="2311" spans="6:13" x14ac:dyDescent="0.25">
      <c r="F2311" t="s">
        <v>3952</v>
      </c>
      <c r="G2311">
        <v>45145</v>
      </c>
      <c r="H2311">
        <v>5113</v>
      </c>
      <c r="I2311" s="25" t="s">
        <v>2023</v>
      </c>
      <c r="J2311" t="s">
        <v>3953</v>
      </c>
      <c r="M2311" s="49"/>
    </row>
    <row r="2312" spans="6:13" x14ac:dyDescent="0.25">
      <c r="F2312" t="s">
        <v>3952</v>
      </c>
      <c r="G2312">
        <v>45289</v>
      </c>
      <c r="H2312">
        <v>5113</v>
      </c>
      <c r="I2312" s="25" t="s">
        <v>2023</v>
      </c>
      <c r="J2312" t="s">
        <v>3953</v>
      </c>
      <c r="M2312" s="49"/>
    </row>
    <row r="2313" spans="6:13" x14ac:dyDescent="0.25">
      <c r="F2313" t="s">
        <v>3952</v>
      </c>
      <c r="G2313">
        <v>45131</v>
      </c>
      <c r="H2313">
        <v>5113</v>
      </c>
      <c r="I2313" s="25" t="s">
        <v>2023</v>
      </c>
      <c r="J2313" t="s">
        <v>3953</v>
      </c>
      <c r="M2313" s="49"/>
    </row>
    <row r="2314" spans="6:13" x14ac:dyDescent="0.25">
      <c r="F2314" t="s">
        <v>3952</v>
      </c>
      <c r="G2314">
        <v>45149</v>
      </c>
      <c r="H2314">
        <v>5113</v>
      </c>
      <c r="I2314" s="25" t="s">
        <v>2023</v>
      </c>
      <c r="J2314" t="s">
        <v>3953</v>
      </c>
      <c r="M2314" s="49"/>
    </row>
    <row r="2315" spans="6:13" x14ac:dyDescent="0.25">
      <c r="F2315" t="s">
        <v>3952</v>
      </c>
      <c r="G2315">
        <v>45276</v>
      </c>
      <c r="H2315">
        <v>5113</v>
      </c>
      <c r="I2315" s="25" t="s">
        <v>2023</v>
      </c>
      <c r="J2315" t="s">
        <v>3953</v>
      </c>
      <c r="M2315" s="49"/>
    </row>
    <row r="2316" spans="6:13" x14ac:dyDescent="0.25">
      <c r="F2316" t="s">
        <v>3952</v>
      </c>
      <c r="G2316">
        <v>45219</v>
      </c>
      <c r="H2316">
        <v>5113</v>
      </c>
      <c r="I2316" s="25" t="s">
        <v>2023</v>
      </c>
      <c r="J2316" t="s">
        <v>3953</v>
      </c>
      <c r="M2316" s="49"/>
    </row>
    <row r="2317" spans="6:13" x14ac:dyDescent="0.25">
      <c r="F2317" t="s">
        <v>3952</v>
      </c>
      <c r="G2317">
        <v>45138</v>
      </c>
      <c r="H2317">
        <v>5113</v>
      </c>
      <c r="I2317" s="25" t="s">
        <v>2023</v>
      </c>
      <c r="J2317" t="s">
        <v>3953</v>
      </c>
      <c r="M2317" s="49"/>
    </row>
    <row r="2318" spans="6:13" x14ac:dyDescent="0.25">
      <c r="F2318" t="s">
        <v>3952</v>
      </c>
      <c r="G2318">
        <v>45147</v>
      </c>
      <c r="H2318">
        <v>5113</v>
      </c>
      <c r="I2318" s="25" t="s">
        <v>2023</v>
      </c>
      <c r="J2318" t="s">
        <v>3953</v>
      </c>
      <c r="M2318" s="49"/>
    </row>
    <row r="2319" spans="6:13" x14ac:dyDescent="0.25">
      <c r="F2319" t="s">
        <v>3952</v>
      </c>
      <c r="G2319">
        <v>45134</v>
      </c>
      <c r="H2319">
        <v>5113</v>
      </c>
      <c r="I2319" s="25" t="s">
        <v>2023</v>
      </c>
      <c r="J2319" t="s">
        <v>3953</v>
      </c>
      <c r="M2319" s="49"/>
    </row>
    <row r="2320" spans="6:13" x14ac:dyDescent="0.25">
      <c r="F2320" t="s">
        <v>3952</v>
      </c>
      <c r="G2320">
        <v>45359</v>
      </c>
      <c r="H2320">
        <v>5113</v>
      </c>
      <c r="I2320" s="25" t="s">
        <v>2023</v>
      </c>
      <c r="J2320" t="s">
        <v>3953</v>
      </c>
      <c r="M2320" s="49"/>
    </row>
    <row r="2321" spans="6:13" x14ac:dyDescent="0.25">
      <c r="F2321" t="s">
        <v>3952</v>
      </c>
      <c r="G2321">
        <v>45136</v>
      </c>
      <c r="H2321">
        <v>5113</v>
      </c>
      <c r="I2321" s="25" t="s">
        <v>2023</v>
      </c>
      <c r="J2321" t="s">
        <v>3953</v>
      </c>
      <c r="M2321" s="49"/>
    </row>
    <row r="2322" spans="6:13" x14ac:dyDescent="0.25">
      <c r="F2322" t="s">
        <v>3952</v>
      </c>
      <c r="G2322">
        <v>45309</v>
      </c>
      <c r="H2322">
        <v>5113</v>
      </c>
      <c r="I2322" s="25" t="s">
        <v>2023</v>
      </c>
      <c r="J2322" t="s">
        <v>3953</v>
      </c>
      <c r="M2322" s="49"/>
    </row>
    <row r="2323" spans="6:13" x14ac:dyDescent="0.25">
      <c r="F2323" t="s">
        <v>3952</v>
      </c>
      <c r="G2323">
        <v>45143</v>
      </c>
      <c r="H2323">
        <v>5113</v>
      </c>
      <c r="I2323" s="25" t="s">
        <v>2023</v>
      </c>
      <c r="J2323" t="s">
        <v>3953</v>
      </c>
      <c r="M2323" s="49"/>
    </row>
    <row r="2324" spans="6:13" x14ac:dyDescent="0.25">
      <c r="F2324" t="s">
        <v>3952</v>
      </c>
      <c r="G2324">
        <v>45307</v>
      </c>
      <c r="H2324">
        <v>5113</v>
      </c>
      <c r="I2324" s="25" t="s">
        <v>2023</v>
      </c>
      <c r="J2324" t="s">
        <v>3953</v>
      </c>
      <c r="M2324" s="49"/>
    </row>
    <row r="2325" spans="6:13" x14ac:dyDescent="0.25">
      <c r="F2325" t="s">
        <v>3952</v>
      </c>
      <c r="G2325">
        <v>45133</v>
      </c>
      <c r="H2325">
        <v>5113</v>
      </c>
      <c r="I2325" s="25" t="s">
        <v>2023</v>
      </c>
      <c r="J2325" t="s">
        <v>3953</v>
      </c>
      <c r="M2325" s="49"/>
    </row>
    <row r="2326" spans="6:13" x14ac:dyDescent="0.25">
      <c r="F2326" t="s">
        <v>3952</v>
      </c>
      <c r="G2326">
        <v>45144</v>
      </c>
      <c r="H2326">
        <v>5113</v>
      </c>
      <c r="I2326" s="25" t="s">
        <v>2023</v>
      </c>
      <c r="J2326" t="s">
        <v>3953</v>
      </c>
      <c r="M2326" s="49"/>
    </row>
    <row r="2327" spans="6:13" x14ac:dyDescent="0.25">
      <c r="F2327" t="s">
        <v>3952</v>
      </c>
      <c r="G2327">
        <v>45279</v>
      </c>
      <c r="H2327">
        <v>5113</v>
      </c>
      <c r="I2327" s="25" t="s">
        <v>2023</v>
      </c>
      <c r="J2327" t="s">
        <v>3953</v>
      </c>
      <c r="M2327" s="49"/>
    </row>
    <row r="2328" spans="6:13" x14ac:dyDescent="0.25">
      <c r="F2328" t="s">
        <v>3952</v>
      </c>
      <c r="G2328">
        <v>45356</v>
      </c>
      <c r="H2328">
        <v>5113</v>
      </c>
      <c r="I2328" s="25" t="s">
        <v>2023</v>
      </c>
      <c r="J2328" t="s">
        <v>3953</v>
      </c>
      <c r="M2328" s="49"/>
    </row>
    <row r="2329" spans="6:13" x14ac:dyDescent="0.25">
      <c r="F2329" t="s">
        <v>3952</v>
      </c>
      <c r="G2329">
        <v>45130</v>
      </c>
      <c r="H2329">
        <v>5113</v>
      </c>
      <c r="I2329" s="25" t="s">
        <v>2023</v>
      </c>
      <c r="J2329" t="s">
        <v>3953</v>
      </c>
      <c r="M2329" s="49"/>
    </row>
    <row r="2330" spans="6:13" x14ac:dyDescent="0.25">
      <c r="F2330" t="s">
        <v>3952</v>
      </c>
      <c r="G2330">
        <v>45128</v>
      </c>
      <c r="H2330">
        <v>5113</v>
      </c>
      <c r="I2330" s="25" t="s">
        <v>2023</v>
      </c>
      <c r="J2330" t="s">
        <v>3953</v>
      </c>
      <c r="M2330" s="49"/>
    </row>
    <row r="2331" spans="6:13" x14ac:dyDescent="0.25">
      <c r="F2331" t="s">
        <v>3952</v>
      </c>
      <c r="G2331">
        <v>45141</v>
      </c>
      <c r="H2331">
        <v>5113</v>
      </c>
      <c r="I2331" s="25" t="s">
        <v>2023</v>
      </c>
      <c r="J2331" t="s">
        <v>3953</v>
      </c>
      <c r="M2331" s="49"/>
    </row>
    <row r="2332" spans="6:13" x14ac:dyDescent="0.25">
      <c r="F2332" t="s">
        <v>3952</v>
      </c>
      <c r="G2332">
        <v>45327</v>
      </c>
      <c r="H2332">
        <v>5113</v>
      </c>
      <c r="I2332" s="25" t="s">
        <v>2023</v>
      </c>
      <c r="J2332" t="s">
        <v>3953</v>
      </c>
      <c r="M2332" s="49"/>
    </row>
    <row r="2333" spans="6:13" x14ac:dyDescent="0.25">
      <c r="F2333" t="s">
        <v>3952</v>
      </c>
      <c r="G2333">
        <v>45277</v>
      </c>
      <c r="H2333">
        <v>5113</v>
      </c>
      <c r="I2333" s="25" t="s">
        <v>2023</v>
      </c>
      <c r="J2333" t="s">
        <v>3953</v>
      </c>
      <c r="M2333" s="49"/>
    </row>
    <row r="2334" spans="6:13" x14ac:dyDescent="0.25">
      <c r="F2334" t="s">
        <v>3952</v>
      </c>
      <c r="G2334">
        <v>45127</v>
      </c>
      <c r="H2334">
        <v>5113</v>
      </c>
      <c r="I2334" s="25" t="s">
        <v>2023</v>
      </c>
      <c r="J2334" t="s">
        <v>3953</v>
      </c>
      <c r="M2334" s="49"/>
    </row>
    <row r="2335" spans="6:13" x14ac:dyDescent="0.25">
      <c r="F2335" t="s">
        <v>3952</v>
      </c>
      <c r="G2335">
        <v>45259</v>
      </c>
      <c r="H2335">
        <v>5113</v>
      </c>
      <c r="I2335" s="25" t="s">
        <v>2023</v>
      </c>
      <c r="J2335" t="s">
        <v>3953</v>
      </c>
      <c r="M2335" s="49"/>
    </row>
    <row r="2336" spans="6:13" x14ac:dyDescent="0.25">
      <c r="F2336" t="s">
        <v>3952</v>
      </c>
      <c r="G2336">
        <v>45326</v>
      </c>
      <c r="H2336">
        <v>5113</v>
      </c>
      <c r="I2336" s="25" t="s">
        <v>2023</v>
      </c>
      <c r="J2336" t="s">
        <v>3953</v>
      </c>
      <c r="M2336" s="49"/>
    </row>
    <row r="2337" spans="6:13" x14ac:dyDescent="0.25">
      <c r="F2337" t="s">
        <v>3952</v>
      </c>
      <c r="G2337">
        <v>45257</v>
      </c>
      <c r="H2337">
        <v>5113</v>
      </c>
      <c r="I2337" s="25" t="s">
        <v>2023</v>
      </c>
      <c r="J2337" t="s">
        <v>3953</v>
      </c>
      <c r="M2337" s="49"/>
    </row>
    <row r="2338" spans="6:13" x14ac:dyDescent="0.25">
      <c r="F2338" t="s">
        <v>3952</v>
      </c>
      <c r="G2338">
        <v>45357</v>
      </c>
      <c r="H2338">
        <v>5113</v>
      </c>
      <c r="I2338" s="25" t="s">
        <v>2023</v>
      </c>
      <c r="J2338" t="s">
        <v>3953</v>
      </c>
      <c r="M2338" s="49"/>
    </row>
    <row r="2339" spans="6:13" x14ac:dyDescent="0.25">
      <c r="F2339" t="s">
        <v>3952</v>
      </c>
      <c r="G2339">
        <v>45239</v>
      </c>
      <c r="H2339">
        <v>5113</v>
      </c>
      <c r="I2339" s="25" t="s">
        <v>2023</v>
      </c>
      <c r="J2339" t="s">
        <v>3953</v>
      </c>
      <c r="M2339" s="49"/>
    </row>
    <row r="2340" spans="6:13" x14ac:dyDescent="0.25">
      <c r="F2340" t="s">
        <v>3952</v>
      </c>
      <c r="G2340">
        <v>45329</v>
      </c>
      <c r="H2340">
        <v>5113</v>
      </c>
      <c r="I2340" s="25" t="s">
        <v>2023</v>
      </c>
      <c r="J2340" t="s">
        <v>3953</v>
      </c>
      <c r="M2340" s="49"/>
    </row>
    <row r="2341" spans="6:13" x14ac:dyDescent="0.25">
      <c r="F2341" t="s">
        <v>3952</v>
      </c>
      <c r="G2341">
        <v>45355</v>
      </c>
      <c r="H2341">
        <v>5113</v>
      </c>
      <c r="I2341" s="25" t="s">
        <v>2023</v>
      </c>
      <c r="J2341" t="s">
        <v>3953</v>
      </c>
      <c r="M2341" s="49"/>
    </row>
    <row r="2342" spans="6:13" x14ac:dyDescent="0.25">
      <c r="F2342" t="s">
        <v>3952</v>
      </c>
      <c r="G2342">
        <v>45139</v>
      </c>
      <c r="H2342">
        <v>5113</v>
      </c>
      <c r="I2342" s="25" t="s">
        <v>2023</v>
      </c>
      <c r="J2342" t="s">
        <v>3953</v>
      </c>
      <c r="M2342" s="49"/>
    </row>
    <row r="2343" spans="6:13" x14ac:dyDescent="0.25">
      <c r="F2343" t="s">
        <v>3954</v>
      </c>
      <c r="G2343">
        <v>49632</v>
      </c>
      <c r="H2343">
        <v>3453</v>
      </c>
      <c r="I2343" s="25" t="s">
        <v>2074</v>
      </c>
      <c r="J2343" t="s">
        <v>2069</v>
      </c>
      <c r="M2343" s="49"/>
    </row>
    <row r="2344" spans="6:13" x14ac:dyDescent="0.25">
      <c r="F2344" t="s">
        <v>3955</v>
      </c>
      <c r="G2344">
        <v>84051</v>
      </c>
      <c r="H2344">
        <v>9274</v>
      </c>
      <c r="I2344" s="25" t="s">
        <v>2050</v>
      </c>
      <c r="J2344" t="s">
        <v>2132</v>
      </c>
      <c r="M2344" s="49"/>
    </row>
    <row r="2345" spans="6:13" x14ac:dyDescent="0.25">
      <c r="F2345" t="s">
        <v>3956</v>
      </c>
      <c r="G2345">
        <v>93343</v>
      </c>
      <c r="H2345">
        <v>9273</v>
      </c>
      <c r="I2345" s="25" t="s">
        <v>2050</v>
      </c>
      <c r="J2345" t="s">
        <v>2054</v>
      </c>
      <c r="M2345" s="49"/>
    </row>
    <row r="2346" spans="6:13" x14ac:dyDescent="0.25">
      <c r="F2346" t="s">
        <v>3957</v>
      </c>
      <c r="G2346">
        <v>73457</v>
      </c>
      <c r="H2346">
        <v>8136</v>
      </c>
      <c r="I2346" s="25" t="s">
        <v>2018</v>
      </c>
      <c r="J2346" t="s">
        <v>2039</v>
      </c>
      <c r="M2346" s="49"/>
    </row>
    <row r="2347" spans="6:13" x14ac:dyDescent="0.25">
      <c r="F2347" t="s">
        <v>3958</v>
      </c>
      <c r="G2347">
        <v>73730</v>
      </c>
      <c r="H2347">
        <v>8116</v>
      </c>
      <c r="I2347" s="25" t="s">
        <v>2018</v>
      </c>
      <c r="J2347" t="s">
        <v>2213</v>
      </c>
      <c r="M2347" s="49"/>
    </row>
    <row r="2348" spans="6:13" x14ac:dyDescent="0.25">
      <c r="F2348" t="s">
        <v>3958</v>
      </c>
      <c r="G2348">
        <v>73734</v>
      </c>
      <c r="H2348">
        <v>8116</v>
      </c>
      <c r="I2348" s="25" t="s">
        <v>2018</v>
      </c>
      <c r="J2348" t="s">
        <v>2213</v>
      </c>
      <c r="M2348" s="49"/>
    </row>
    <row r="2349" spans="6:13" x14ac:dyDescent="0.25">
      <c r="F2349" t="s">
        <v>3958</v>
      </c>
      <c r="G2349">
        <v>73728</v>
      </c>
      <c r="H2349">
        <v>8116</v>
      </c>
      <c r="I2349" s="25" t="s">
        <v>2018</v>
      </c>
      <c r="J2349" t="s">
        <v>2213</v>
      </c>
      <c r="M2349" s="49"/>
    </row>
    <row r="2350" spans="6:13" x14ac:dyDescent="0.25">
      <c r="F2350" t="s">
        <v>3958</v>
      </c>
      <c r="G2350">
        <v>73732</v>
      </c>
      <c r="H2350">
        <v>8116</v>
      </c>
      <c r="I2350" s="25" t="s">
        <v>2018</v>
      </c>
      <c r="J2350" t="s">
        <v>2213</v>
      </c>
      <c r="M2350" s="49"/>
    </row>
    <row r="2351" spans="6:13" x14ac:dyDescent="0.25">
      <c r="F2351" t="s">
        <v>3958</v>
      </c>
      <c r="G2351">
        <v>73733</v>
      </c>
      <c r="H2351">
        <v>8116</v>
      </c>
      <c r="I2351" s="25" t="s">
        <v>2018</v>
      </c>
      <c r="J2351" t="s">
        <v>2213</v>
      </c>
      <c r="M2351" s="49"/>
    </row>
    <row r="2352" spans="6:13" x14ac:dyDescent="0.25">
      <c r="F2352" t="s">
        <v>3959</v>
      </c>
      <c r="G2352">
        <v>67754</v>
      </c>
      <c r="H2352">
        <v>7336</v>
      </c>
      <c r="I2352" s="25" t="s">
        <v>2123</v>
      </c>
      <c r="J2352" t="s">
        <v>2216</v>
      </c>
      <c r="M2352" s="49"/>
    </row>
    <row r="2353" spans="6:13" x14ac:dyDescent="0.25">
      <c r="F2353" t="s">
        <v>3960</v>
      </c>
      <c r="G2353">
        <v>97230</v>
      </c>
      <c r="H2353">
        <v>9679</v>
      </c>
      <c r="I2353" s="25" t="s">
        <v>2050</v>
      </c>
      <c r="J2353" t="s">
        <v>2428</v>
      </c>
      <c r="M2353" s="49"/>
    </row>
    <row r="2354" spans="6:13" x14ac:dyDescent="0.25">
      <c r="F2354" t="s">
        <v>3961</v>
      </c>
      <c r="G2354">
        <v>26897</v>
      </c>
      <c r="H2354">
        <v>3454</v>
      </c>
      <c r="I2354" s="25" t="s">
        <v>2074</v>
      </c>
      <c r="J2354" t="s">
        <v>2118</v>
      </c>
      <c r="M2354" s="49"/>
    </row>
    <row r="2355" spans="6:13" x14ac:dyDescent="0.25">
      <c r="F2355" t="s">
        <v>3962</v>
      </c>
      <c r="G2355">
        <v>67472</v>
      </c>
      <c r="H2355">
        <v>7332</v>
      </c>
      <c r="I2355" s="25" t="s">
        <v>2123</v>
      </c>
      <c r="J2355" t="s">
        <v>2440</v>
      </c>
      <c r="M2355" s="49"/>
    </row>
    <row r="2356" spans="6:13" x14ac:dyDescent="0.25">
      <c r="F2356" t="s">
        <v>3963</v>
      </c>
      <c r="G2356">
        <v>31629</v>
      </c>
      <c r="H2356">
        <v>3256</v>
      </c>
      <c r="I2356" s="25" t="s">
        <v>2074</v>
      </c>
      <c r="J2356" t="s">
        <v>2271</v>
      </c>
      <c r="M2356" s="49"/>
    </row>
    <row r="2357" spans="6:13" x14ac:dyDescent="0.25">
      <c r="F2357" t="s">
        <v>3963</v>
      </c>
      <c r="G2357">
        <v>21727</v>
      </c>
      <c r="H2357">
        <v>3359</v>
      </c>
      <c r="I2357" s="25" t="s">
        <v>2074</v>
      </c>
      <c r="J2357" t="s">
        <v>2158</v>
      </c>
      <c r="M2357" s="49"/>
    </row>
    <row r="2358" spans="6:13" x14ac:dyDescent="0.25">
      <c r="F2358" t="s">
        <v>3964</v>
      </c>
      <c r="G2358">
        <v>82488</v>
      </c>
      <c r="H2358">
        <v>9180</v>
      </c>
      <c r="I2358" s="25" t="s">
        <v>2050</v>
      </c>
      <c r="J2358" t="s">
        <v>2147</v>
      </c>
      <c r="M2358" s="49"/>
    </row>
    <row r="2359" spans="6:13" x14ac:dyDescent="0.25">
      <c r="F2359" t="s">
        <v>3965</v>
      </c>
      <c r="G2359">
        <v>77955</v>
      </c>
      <c r="H2359">
        <v>8317</v>
      </c>
      <c r="I2359" s="25" t="s">
        <v>2018</v>
      </c>
      <c r="J2359" t="s">
        <v>2071</v>
      </c>
      <c r="M2359" s="49"/>
    </row>
    <row r="2360" spans="6:13" x14ac:dyDescent="0.25">
      <c r="F2360" t="s">
        <v>3966</v>
      </c>
      <c r="G2360">
        <v>91796</v>
      </c>
      <c r="H2360">
        <v>9577</v>
      </c>
      <c r="I2360" s="25" t="s">
        <v>2050</v>
      </c>
      <c r="J2360" t="s">
        <v>2057</v>
      </c>
      <c r="M2360" s="49"/>
    </row>
    <row r="2361" spans="6:13" x14ac:dyDescent="0.25">
      <c r="F2361" t="s">
        <v>3967</v>
      </c>
      <c r="G2361">
        <v>76275</v>
      </c>
      <c r="H2361">
        <v>8215</v>
      </c>
      <c r="I2361" s="25" t="s">
        <v>2018</v>
      </c>
      <c r="J2361" t="s">
        <v>2724</v>
      </c>
      <c r="M2361" s="49"/>
    </row>
    <row r="2362" spans="6:13" x14ac:dyDescent="0.25">
      <c r="F2362" t="s">
        <v>3968</v>
      </c>
      <c r="G2362">
        <v>56729</v>
      </c>
      <c r="H2362">
        <v>7137</v>
      </c>
      <c r="I2362" s="25" t="s">
        <v>2123</v>
      </c>
      <c r="J2362" t="s">
        <v>2246</v>
      </c>
      <c r="M2362" s="49"/>
    </row>
    <row r="2363" spans="6:13" x14ac:dyDescent="0.25">
      <c r="F2363" t="s">
        <v>3968</v>
      </c>
      <c r="G2363">
        <v>56729</v>
      </c>
      <c r="H2363">
        <v>7233</v>
      </c>
      <c r="I2363" s="25" t="s">
        <v>2123</v>
      </c>
      <c r="J2363" t="s">
        <v>2416</v>
      </c>
      <c r="M2363" s="49"/>
    </row>
    <row r="2364" spans="6:13" x14ac:dyDescent="0.25">
      <c r="F2364" t="s">
        <v>3968</v>
      </c>
      <c r="G2364">
        <v>86833</v>
      </c>
      <c r="H2364">
        <v>9778</v>
      </c>
      <c r="I2364" s="25" t="s">
        <v>2050</v>
      </c>
      <c r="J2364" t="s">
        <v>2460</v>
      </c>
      <c r="M2364" s="49"/>
    </row>
    <row r="2365" spans="6:13" x14ac:dyDescent="0.25">
      <c r="F2365" t="s">
        <v>3969</v>
      </c>
      <c r="G2365">
        <v>92268</v>
      </c>
      <c r="H2365">
        <v>9371</v>
      </c>
      <c r="I2365" s="25" t="s">
        <v>2050</v>
      </c>
      <c r="J2365" t="s">
        <v>2469</v>
      </c>
      <c r="M2365" s="49"/>
    </row>
    <row r="2366" spans="6:13" x14ac:dyDescent="0.25">
      <c r="F2366" t="s">
        <v>3970</v>
      </c>
      <c r="G2366">
        <v>92694</v>
      </c>
      <c r="H2366">
        <v>9374</v>
      </c>
      <c r="I2366" s="25" t="s">
        <v>2050</v>
      </c>
      <c r="J2366" t="s">
        <v>2420</v>
      </c>
      <c r="M2366" s="49"/>
    </row>
    <row r="2367" spans="6:13" x14ac:dyDescent="0.25">
      <c r="F2367" t="s">
        <v>3971</v>
      </c>
      <c r="G2367">
        <v>97502</v>
      </c>
      <c r="H2367">
        <v>9678</v>
      </c>
      <c r="I2367" s="25" t="s">
        <v>2050</v>
      </c>
      <c r="J2367" t="s">
        <v>2918</v>
      </c>
      <c r="M2367" s="49"/>
    </row>
    <row r="2368" spans="6:13" x14ac:dyDescent="0.25">
      <c r="F2368" t="s">
        <v>3972</v>
      </c>
      <c r="G2368">
        <v>97717</v>
      </c>
      <c r="H2368">
        <v>9672</v>
      </c>
      <c r="I2368" s="25" t="s">
        <v>2050</v>
      </c>
      <c r="J2368" t="s">
        <v>2620</v>
      </c>
      <c r="M2368" s="49"/>
    </row>
    <row r="2369" spans="6:13" x14ac:dyDescent="0.25">
      <c r="F2369" t="s">
        <v>3973</v>
      </c>
      <c r="G2369">
        <v>82547</v>
      </c>
      <c r="H2369">
        <v>9173</v>
      </c>
      <c r="I2369" s="25" t="s">
        <v>2050</v>
      </c>
      <c r="J2369" t="s">
        <v>2659</v>
      </c>
      <c r="M2369" s="49"/>
    </row>
    <row r="2370" spans="6:13" x14ac:dyDescent="0.25">
      <c r="F2370" t="s">
        <v>3973</v>
      </c>
      <c r="G2370">
        <v>86495</v>
      </c>
      <c r="H2370">
        <v>9771</v>
      </c>
      <c r="I2370" s="25" t="s">
        <v>2050</v>
      </c>
      <c r="J2370" t="s">
        <v>2120</v>
      </c>
      <c r="M2370" s="49"/>
    </row>
    <row r="2371" spans="6:13" x14ac:dyDescent="0.25">
      <c r="F2371" t="s">
        <v>2127</v>
      </c>
      <c r="G2371">
        <v>53879</v>
      </c>
      <c r="H2371">
        <v>5366</v>
      </c>
      <c r="I2371" s="25" t="s">
        <v>2023</v>
      </c>
      <c r="J2371" t="s">
        <v>2127</v>
      </c>
      <c r="M2371" s="49"/>
    </row>
    <row r="2372" spans="6:13" x14ac:dyDescent="0.25">
      <c r="F2372" t="s">
        <v>2127</v>
      </c>
      <c r="G2372">
        <v>53879</v>
      </c>
      <c r="H2372">
        <v>5366</v>
      </c>
      <c r="I2372" s="25" t="s">
        <v>2023</v>
      </c>
      <c r="J2372" t="s">
        <v>2127</v>
      </c>
      <c r="M2372" s="49"/>
    </row>
    <row r="2373" spans="6:13" x14ac:dyDescent="0.25">
      <c r="F2373" t="s">
        <v>2127</v>
      </c>
      <c r="G2373">
        <v>53881</v>
      </c>
      <c r="H2373">
        <v>5366</v>
      </c>
      <c r="I2373" s="25" t="s">
        <v>2023</v>
      </c>
      <c r="J2373" t="s">
        <v>2127</v>
      </c>
      <c r="M2373" s="49"/>
    </row>
    <row r="2374" spans="6:13" x14ac:dyDescent="0.25">
      <c r="F2374" t="s">
        <v>3974</v>
      </c>
      <c r="G2374">
        <v>97776</v>
      </c>
      <c r="H2374">
        <v>9677</v>
      </c>
      <c r="I2374" s="25" t="s">
        <v>2050</v>
      </c>
      <c r="J2374" t="s">
        <v>2527</v>
      </c>
      <c r="M2374" s="49"/>
    </row>
    <row r="2375" spans="6:13" x14ac:dyDescent="0.25">
      <c r="F2375" t="s">
        <v>3975</v>
      </c>
      <c r="G2375">
        <v>23701</v>
      </c>
      <c r="H2375">
        <v>1055</v>
      </c>
      <c r="I2375" s="25" t="s">
        <v>2085</v>
      </c>
      <c r="J2375" t="s">
        <v>2185</v>
      </c>
      <c r="M2375" s="49"/>
    </row>
    <row r="2376" spans="6:13" x14ac:dyDescent="0.25">
      <c r="F2376" t="s">
        <v>3976</v>
      </c>
      <c r="G2376">
        <v>72184</v>
      </c>
      <c r="H2376">
        <v>8237</v>
      </c>
      <c r="I2376" s="25" t="s">
        <v>2018</v>
      </c>
      <c r="J2376" t="s">
        <v>2336</v>
      </c>
      <c r="M2376" s="49"/>
    </row>
    <row r="2377" spans="6:13" x14ac:dyDescent="0.25">
      <c r="F2377" t="s">
        <v>3977</v>
      </c>
      <c r="G2377">
        <v>48351</v>
      </c>
      <c r="H2377">
        <v>5570</v>
      </c>
      <c r="I2377" s="25" t="s">
        <v>2023</v>
      </c>
      <c r="J2377" t="s">
        <v>2154</v>
      </c>
      <c r="M2377" s="49"/>
    </row>
    <row r="2378" spans="6:13" x14ac:dyDescent="0.25">
      <c r="F2378" t="s">
        <v>3978</v>
      </c>
      <c r="G2378">
        <v>32699</v>
      </c>
      <c r="H2378">
        <v>5766</v>
      </c>
      <c r="I2378" s="25" t="s">
        <v>2023</v>
      </c>
      <c r="J2378" t="s">
        <v>2223</v>
      </c>
      <c r="M2378" s="49"/>
    </row>
    <row r="2379" spans="6:13" x14ac:dyDescent="0.25">
      <c r="F2379" t="s">
        <v>3979</v>
      </c>
      <c r="G2379">
        <v>27324</v>
      </c>
      <c r="H2379">
        <v>3256</v>
      </c>
      <c r="I2379" s="25" t="s">
        <v>2074</v>
      </c>
      <c r="J2379" t="s">
        <v>2271</v>
      </c>
      <c r="M2379" s="49"/>
    </row>
    <row r="2380" spans="6:13" x14ac:dyDescent="0.25">
      <c r="F2380" t="s">
        <v>3980</v>
      </c>
      <c r="G2380">
        <v>56133</v>
      </c>
      <c r="H2380">
        <v>7141</v>
      </c>
      <c r="I2380" s="25" t="s">
        <v>2123</v>
      </c>
      <c r="J2380" t="s">
        <v>2388</v>
      </c>
      <c r="M2380" s="49"/>
    </row>
    <row r="2381" spans="6:13" x14ac:dyDescent="0.25">
      <c r="F2381" t="s">
        <v>3981</v>
      </c>
      <c r="G2381">
        <v>24857</v>
      </c>
      <c r="H2381">
        <v>1059</v>
      </c>
      <c r="I2381" s="25" t="s">
        <v>2085</v>
      </c>
      <c r="J2381" t="s">
        <v>2354</v>
      </c>
      <c r="M2381" s="49"/>
    </row>
    <row r="2382" spans="6:13" x14ac:dyDescent="0.25">
      <c r="F2382" t="s">
        <v>3982</v>
      </c>
      <c r="G2382">
        <v>74864</v>
      </c>
      <c r="H2382">
        <v>8225</v>
      </c>
      <c r="I2382" s="25" t="s">
        <v>2018</v>
      </c>
      <c r="J2382" t="s">
        <v>2108</v>
      </c>
      <c r="M2382" s="49"/>
    </row>
    <row r="2383" spans="6:13" x14ac:dyDescent="0.25">
      <c r="F2383" t="s">
        <v>3983</v>
      </c>
      <c r="G2383">
        <v>85777</v>
      </c>
      <c r="H2383">
        <v>9178</v>
      </c>
      <c r="I2383" s="25" t="s">
        <v>2050</v>
      </c>
      <c r="J2383" t="s">
        <v>2315</v>
      </c>
      <c r="M2383" s="49"/>
    </row>
    <row r="2384" spans="6:13" x14ac:dyDescent="0.25">
      <c r="F2384" t="s">
        <v>3984</v>
      </c>
      <c r="G2384">
        <v>84326</v>
      </c>
      <c r="H2384">
        <v>9277</v>
      </c>
      <c r="I2384" s="25" t="s">
        <v>2050</v>
      </c>
      <c r="J2384" t="s">
        <v>2529</v>
      </c>
      <c r="M2384" s="49"/>
    </row>
    <row r="2385" spans="6:13" x14ac:dyDescent="0.25">
      <c r="F2385" t="s">
        <v>3984</v>
      </c>
      <c r="G2385">
        <v>95685</v>
      </c>
      <c r="H2385">
        <v>9377</v>
      </c>
      <c r="I2385" s="25" t="s">
        <v>2050</v>
      </c>
      <c r="J2385" t="s">
        <v>2393</v>
      </c>
      <c r="M2385" s="49"/>
    </row>
    <row r="2386" spans="6:13" x14ac:dyDescent="0.25">
      <c r="F2386" t="s">
        <v>3985</v>
      </c>
      <c r="G2386">
        <v>4895</v>
      </c>
      <c r="H2386">
        <v>12062</v>
      </c>
      <c r="I2386" s="25" t="s">
        <v>2356</v>
      </c>
      <c r="J2386" t="s">
        <v>2689</v>
      </c>
      <c r="M2386" s="49"/>
    </row>
    <row r="2387" spans="6:13" x14ac:dyDescent="0.25">
      <c r="F2387" t="s">
        <v>3986</v>
      </c>
      <c r="G2387">
        <v>94350</v>
      </c>
      <c r="H2387">
        <v>9278</v>
      </c>
      <c r="I2387" s="25" t="s">
        <v>2050</v>
      </c>
      <c r="J2387" t="s">
        <v>2170</v>
      </c>
      <c r="M2387" s="49"/>
    </row>
    <row r="2388" spans="6:13" x14ac:dyDescent="0.25">
      <c r="F2388" t="s">
        <v>3987</v>
      </c>
      <c r="G2388">
        <v>14612</v>
      </c>
      <c r="H2388">
        <v>12063</v>
      </c>
      <c r="I2388" s="25" t="s">
        <v>2356</v>
      </c>
      <c r="J2388" t="s">
        <v>2181</v>
      </c>
      <c r="M2388" s="49"/>
    </row>
    <row r="2389" spans="6:13" x14ac:dyDescent="0.25">
      <c r="F2389" t="s">
        <v>3988</v>
      </c>
      <c r="G2389">
        <v>93167</v>
      </c>
      <c r="H2389">
        <v>9372</v>
      </c>
      <c r="I2389" s="25" t="s">
        <v>2050</v>
      </c>
      <c r="J2389" t="s">
        <v>2523</v>
      </c>
      <c r="M2389" s="49"/>
    </row>
    <row r="2390" spans="6:13" x14ac:dyDescent="0.25">
      <c r="F2390" t="s">
        <v>3988</v>
      </c>
      <c r="G2390">
        <v>6543</v>
      </c>
      <c r="H2390">
        <v>15085</v>
      </c>
      <c r="I2390" s="25" t="s">
        <v>2241</v>
      </c>
      <c r="J2390" t="s">
        <v>2178</v>
      </c>
      <c r="M2390" s="49"/>
    </row>
    <row r="2391" spans="6:13" x14ac:dyDescent="0.25">
      <c r="F2391" t="s">
        <v>3988</v>
      </c>
      <c r="G2391">
        <v>6463</v>
      </c>
      <c r="H2391">
        <v>15085</v>
      </c>
      <c r="I2391" s="25" t="s">
        <v>2241</v>
      </c>
      <c r="J2391" t="s">
        <v>2178</v>
      </c>
      <c r="M2391" s="49"/>
    </row>
    <row r="2392" spans="6:13" x14ac:dyDescent="0.25">
      <c r="F2392" t="s">
        <v>3989</v>
      </c>
      <c r="G2392">
        <v>8223</v>
      </c>
      <c r="H2392">
        <v>14523</v>
      </c>
      <c r="I2392" s="25" t="s">
        <v>2135</v>
      </c>
      <c r="J2392" t="s">
        <v>2136</v>
      </c>
      <c r="M2392" s="49"/>
    </row>
    <row r="2393" spans="6:13" x14ac:dyDescent="0.25">
      <c r="F2393" t="s">
        <v>3990</v>
      </c>
      <c r="G2393">
        <v>82490</v>
      </c>
      <c r="H2393">
        <v>9180</v>
      </c>
      <c r="I2393" s="25" t="s">
        <v>2050</v>
      </c>
      <c r="J2393" t="s">
        <v>2147</v>
      </c>
      <c r="M2393" s="49"/>
    </row>
    <row r="2394" spans="6:13" x14ac:dyDescent="0.25">
      <c r="F2394" t="s">
        <v>3991</v>
      </c>
      <c r="G2394">
        <v>24256</v>
      </c>
      <c r="H2394">
        <v>1057</v>
      </c>
      <c r="I2394" s="25" t="s">
        <v>2085</v>
      </c>
      <c r="J2394" t="s">
        <v>2313</v>
      </c>
      <c r="M2394" s="49"/>
    </row>
    <row r="2395" spans="6:13" x14ac:dyDescent="0.25">
      <c r="F2395" t="s">
        <v>3992</v>
      </c>
      <c r="G2395">
        <v>29328</v>
      </c>
      <c r="H2395">
        <v>3351</v>
      </c>
      <c r="I2395" s="25" t="s">
        <v>2074</v>
      </c>
      <c r="J2395" t="s">
        <v>2096</v>
      </c>
      <c r="M2395" s="49"/>
    </row>
    <row r="2396" spans="6:13" x14ac:dyDescent="0.25">
      <c r="F2396" t="s">
        <v>3993</v>
      </c>
      <c r="G2396">
        <v>97906</v>
      </c>
      <c r="H2396">
        <v>9676</v>
      </c>
      <c r="I2396" s="25" t="s">
        <v>2050</v>
      </c>
      <c r="J2396" t="s">
        <v>2381</v>
      </c>
      <c r="M2396" s="49"/>
    </row>
    <row r="2397" spans="6:13" x14ac:dyDescent="0.25">
      <c r="F2397" t="s">
        <v>3994</v>
      </c>
      <c r="G2397">
        <v>23769</v>
      </c>
      <c r="H2397">
        <v>1055</v>
      </c>
      <c r="I2397" s="25" t="s">
        <v>2085</v>
      </c>
      <c r="J2397" t="s">
        <v>2185</v>
      </c>
      <c r="M2397" s="49"/>
    </row>
    <row r="2398" spans="6:13" x14ac:dyDescent="0.25">
      <c r="F2398" t="s">
        <v>3994</v>
      </c>
      <c r="G2398">
        <v>23769</v>
      </c>
      <c r="H2398">
        <v>1055</v>
      </c>
      <c r="I2398" s="25" t="s">
        <v>2085</v>
      </c>
      <c r="J2398" t="s">
        <v>2185</v>
      </c>
      <c r="M2398" s="49"/>
    </row>
    <row r="2399" spans="6:13" x14ac:dyDescent="0.25">
      <c r="F2399" t="s">
        <v>3995</v>
      </c>
      <c r="G2399">
        <v>16833</v>
      </c>
      <c r="H2399">
        <v>12068</v>
      </c>
      <c r="I2399" s="25" t="s">
        <v>2356</v>
      </c>
      <c r="J2399" t="s">
        <v>2299</v>
      </c>
      <c r="M2399" s="49"/>
    </row>
    <row r="2400" spans="6:13" x14ac:dyDescent="0.25">
      <c r="F2400" t="s">
        <v>3996</v>
      </c>
      <c r="G2400">
        <v>16818</v>
      </c>
      <c r="H2400">
        <v>12068</v>
      </c>
      <c r="I2400" s="25" t="s">
        <v>2356</v>
      </c>
      <c r="J2400" t="s">
        <v>2299</v>
      </c>
      <c r="M2400" s="49"/>
    </row>
    <row r="2401" spans="6:13" x14ac:dyDescent="0.25">
      <c r="F2401" t="s">
        <v>3996</v>
      </c>
      <c r="G2401">
        <v>16818</v>
      </c>
      <c r="H2401">
        <v>12068</v>
      </c>
      <c r="I2401" s="25" t="s">
        <v>2356</v>
      </c>
      <c r="J2401" t="s">
        <v>2299</v>
      </c>
      <c r="M2401" s="49"/>
    </row>
    <row r="2402" spans="6:13" x14ac:dyDescent="0.25">
      <c r="F2402" t="s">
        <v>3996</v>
      </c>
      <c r="G2402">
        <v>16818</v>
      </c>
      <c r="H2402">
        <v>12068</v>
      </c>
      <c r="I2402" s="25" t="s">
        <v>2356</v>
      </c>
      <c r="J2402" t="s">
        <v>2299</v>
      </c>
      <c r="M2402" s="49"/>
    </row>
    <row r="2403" spans="6:13" x14ac:dyDescent="0.25">
      <c r="F2403" t="s">
        <v>3997</v>
      </c>
      <c r="G2403">
        <v>84550</v>
      </c>
      <c r="H2403">
        <v>9171</v>
      </c>
      <c r="I2403" s="25" t="s">
        <v>2050</v>
      </c>
      <c r="J2403" t="s">
        <v>2446</v>
      </c>
      <c r="M2403" s="49"/>
    </row>
    <row r="2404" spans="6:13" x14ac:dyDescent="0.25">
      <c r="F2404" t="s">
        <v>3998</v>
      </c>
      <c r="G2404">
        <v>67824</v>
      </c>
      <c r="H2404">
        <v>7133</v>
      </c>
      <c r="I2404" s="25" t="s">
        <v>2123</v>
      </c>
      <c r="J2404" t="s">
        <v>2037</v>
      </c>
      <c r="M2404" s="49"/>
    </row>
    <row r="2405" spans="6:13" x14ac:dyDescent="0.25">
      <c r="F2405" t="s">
        <v>3999</v>
      </c>
      <c r="G2405">
        <v>95183</v>
      </c>
      <c r="H2405">
        <v>9475</v>
      </c>
      <c r="I2405" s="25" t="s">
        <v>2050</v>
      </c>
      <c r="J2405" t="s">
        <v>2201</v>
      </c>
      <c r="M2405" s="49"/>
    </row>
    <row r="2406" spans="6:13" x14ac:dyDescent="0.25">
      <c r="F2406" t="s">
        <v>4000</v>
      </c>
      <c r="G2406">
        <v>82340</v>
      </c>
      <c r="H2406">
        <v>9188</v>
      </c>
      <c r="I2406" s="25" t="s">
        <v>2050</v>
      </c>
      <c r="J2406" t="s">
        <v>2481</v>
      </c>
      <c r="M2406" s="49"/>
    </row>
    <row r="2407" spans="6:13" x14ac:dyDescent="0.25">
      <c r="F2407" t="s">
        <v>4001</v>
      </c>
      <c r="G2407">
        <v>36325</v>
      </c>
      <c r="H2407">
        <v>6535</v>
      </c>
      <c r="I2407" s="25" t="s">
        <v>2046</v>
      </c>
      <c r="J2407" t="s">
        <v>2346</v>
      </c>
      <c r="M2407" s="49"/>
    </row>
    <row r="2408" spans="6:13" x14ac:dyDescent="0.25">
      <c r="F2408" t="s">
        <v>4002</v>
      </c>
      <c r="G2408">
        <v>79868</v>
      </c>
      <c r="H2408">
        <v>8315</v>
      </c>
      <c r="I2408" s="25" t="s">
        <v>2018</v>
      </c>
      <c r="J2408" t="s">
        <v>2061</v>
      </c>
      <c r="M2408" s="49"/>
    </row>
    <row r="2409" spans="6:13" x14ac:dyDescent="0.25">
      <c r="F2409" t="s">
        <v>4003</v>
      </c>
      <c r="G2409">
        <v>17258</v>
      </c>
      <c r="H2409">
        <v>13071</v>
      </c>
      <c r="I2409" s="25" t="s">
        <v>2191</v>
      </c>
      <c r="J2409" t="s">
        <v>2091</v>
      </c>
      <c r="M2409" s="49"/>
    </row>
    <row r="2410" spans="6:13" x14ac:dyDescent="0.25">
      <c r="F2410" t="s">
        <v>4004</v>
      </c>
      <c r="G2410">
        <v>24242</v>
      </c>
      <c r="H2410">
        <v>1058</v>
      </c>
      <c r="I2410" s="25" t="s">
        <v>2085</v>
      </c>
      <c r="J2410" t="s">
        <v>2086</v>
      </c>
      <c r="M2410" s="49"/>
    </row>
    <row r="2411" spans="6:13" x14ac:dyDescent="0.25">
      <c r="F2411" t="s">
        <v>4005</v>
      </c>
      <c r="G2411">
        <v>85622</v>
      </c>
      <c r="H2411">
        <v>9175</v>
      </c>
      <c r="I2411" s="25" t="s">
        <v>2050</v>
      </c>
      <c r="J2411" t="s">
        <v>2500</v>
      </c>
      <c r="M2411" s="49"/>
    </row>
    <row r="2412" spans="6:13" x14ac:dyDescent="0.25">
      <c r="F2412" t="s">
        <v>4005</v>
      </c>
      <c r="G2412">
        <v>85622</v>
      </c>
      <c r="H2412">
        <v>9184</v>
      </c>
      <c r="I2412" s="25" t="s">
        <v>2050</v>
      </c>
      <c r="J2412" t="s">
        <v>2547</v>
      </c>
      <c r="M2412" s="49"/>
    </row>
    <row r="2413" spans="6:13" x14ac:dyDescent="0.25">
      <c r="F2413" t="s">
        <v>4005</v>
      </c>
      <c r="G2413">
        <v>94351</v>
      </c>
      <c r="H2413">
        <v>9278</v>
      </c>
      <c r="I2413" s="25" t="s">
        <v>2050</v>
      </c>
      <c r="J2413" t="s">
        <v>2170</v>
      </c>
      <c r="M2413" s="49"/>
    </row>
    <row r="2414" spans="6:13" x14ac:dyDescent="0.25">
      <c r="F2414" t="s">
        <v>4006</v>
      </c>
      <c r="G2414">
        <v>83620</v>
      </c>
      <c r="H2414">
        <v>9187</v>
      </c>
      <c r="I2414" s="25" t="s">
        <v>2050</v>
      </c>
      <c r="J2414" t="s">
        <v>2245</v>
      </c>
      <c r="M2414" s="49"/>
    </row>
    <row r="2415" spans="6:13" x14ac:dyDescent="0.25">
      <c r="F2415" t="s">
        <v>4007</v>
      </c>
      <c r="G2415">
        <v>54341</v>
      </c>
      <c r="H2415">
        <v>7235</v>
      </c>
      <c r="I2415" s="25" t="s">
        <v>2123</v>
      </c>
      <c r="J2415" t="s">
        <v>2395</v>
      </c>
      <c r="M2415" s="49"/>
    </row>
    <row r="2416" spans="6:13" x14ac:dyDescent="0.25">
      <c r="F2416" t="s">
        <v>4008</v>
      </c>
      <c r="G2416">
        <v>70734</v>
      </c>
      <c r="H2416">
        <v>8119</v>
      </c>
      <c r="I2416" s="25" t="s">
        <v>2018</v>
      </c>
      <c r="J2416" t="s">
        <v>2287</v>
      </c>
      <c r="M2416" s="49"/>
    </row>
    <row r="2417" spans="6:13" x14ac:dyDescent="0.25">
      <c r="F2417" t="s">
        <v>4008</v>
      </c>
      <c r="G2417">
        <v>70736</v>
      </c>
      <c r="H2417">
        <v>8119</v>
      </c>
      <c r="I2417" s="25" t="s">
        <v>2018</v>
      </c>
      <c r="J2417" t="s">
        <v>2287</v>
      </c>
      <c r="M2417" s="49"/>
    </row>
    <row r="2418" spans="6:13" x14ac:dyDescent="0.25">
      <c r="F2418" t="s">
        <v>4009</v>
      </c>
      <c r="G2418">
        <v>97778</v>
      </c>
      <c r="H2418">
        <v>9677</v>
      </c>
      <c r="I2418" s="25" t="s">
        <v>2050</v>
      </c>
      <c r="J2418" t="s">
        <v>2527</v>
      </c>
      <c r="M2418" s="49"/>
    </row>
    <row r="2419" spans="6:13" x14ac:dyDescent="0.25">
      <c r="F2419" t="s">
        <v>4010</v>
      </c>
      <c r="G2419">
        <v>87748</v>
      </c>
      <c r="H2419">
        <v>9778</v>
      </c>
      <c r="I2419" s="25" t="s">
        <v>2050</v>
      </c>
      <c r="J2419" t="s">
        <v>2460</v>
      </c>
      <c r="M2419" s="49"/>
    </row>
    <row r="2420" spans="6:13" x14ac:dyDescent="0.25">
      <c r="F2420" t="s">
        <v>4011</v>
      </c>
      <c r="G2420">
        <v>24244</v>
      </c>
      <c r="H2420">
        <v>1058</v>
      </c>
      <c r="I2420" s="25" t="s">
        <v>2085</v>
      </c>
      <c r="J2420" t="s">
        <v>2086</v>
      </c>
      <c r="M2420" s="49"/>
    </row>
    <row r="2421" spans="6:13" x14ac:dyDescent="0.25">
      <c r="F2421" t="s">
        <v>4012</v>
      </c>
      <c r="G2421">
        <v>34587</v>
      </c>
      <c r="H2421">
        <v>6634</v>
      </c>
      <c r="I2421" s="25" t="s">
        <v>2046</v>
      </c>
      <c r="J2421" t="s">
        <v>2360</v>
      </c>
      <c r="M2421" s="49"/>
    </row>
    <row r="2422" spans="6:13" x14ac:dyDescent="0.25">
      <c r="F2422" t="s">
        <v>4013</v>
      </c>
      <c r="G2422">
        <v>92269</v>
      </c>
      <c r="H2422">
        <v>9376</v>
      </c>
      <c r="I2422" s="25" t="s">
        <v>2050</v>
      </c>
      <c r="J2422" t="s">
        <v>2390</v>
      </c>
      <c r="M2422" s="49"/>
    </row>
    <row r="2423" spans="6:13" x14ac:dyDescent="0.25">
      <c r="F2423" t="s">
        <v>4014</v>
      </c>
      <c r="G2423">
        <v>17379</v>
      </c>
      <c r="H2423">
        <v>13075</v>
      </c>
      <c r="I2423" s="25" t="s">
        <v>2191</v>
      </c>
      <c r="J2423" t="s">
        <v>2160</v>
      </c>
      <c r="M2423" s="49"/>
    </row>
    <row r="2424" spans="6:13" x14ac:dyDescent="0.25">
      <c r="F2424" t="s">
        <v>4015</v>
      </c>
      <c r="G2424">
        <v>35463</v>
      </c>
      <c r="H2424">
        <v>6531</v>
      </c>
      <c r="I2424" s="25" t="s">
        <v>2046</v>
      </c>
      <c r="J2424" t="s">
        <v>2306</v>
      </c>
      <c r="M2424" s="49"/>
    </row>
    <row r="2425" spans="6:13" x14ac:dyDescent="0.25">
      <c r="F2425" t="s">
        <v>4016</v>
      </c>
      <c r="G2425">
        <v>54668</v>
      </c>
      <c r="H2425">
        <v>7232</v>
      </c>
      <c r="I2425" s="25" t="s">
        <v>2123</v>
      </c>
      <c r="J2425" t="s">
        <v>2112</v>
      </c>
      <c r="M2425" s="49"/>
    </row>
    <row r="2426" spans="6:13" x14ac:dyDescent="0.25">
      <c r="F2426" t="s">
        <v>4017</v>
      </c>
      <c r="G2426">
        <v>91555</v>
      </c>
      <c r="H2426">
        <v>9571</v>
      </c>
      <c r="I2426" s="25" t="s">
        <v>2050</v>
      </c>
      <c r="J2426" t="s">
        <v>2113</v>
      </c>
      <c r="M2426" s="49"/>
    </row>
    <row r="2427" spans="6:13" x14ac:dyDescent="0.25">
      <c r="F2427" t="s">
        <v>4018</v>
      </c>
      <c r="G2427">
        <v>95686</v>
      </c>
      <c r="H2427">
        <v>9472</v>
      </c>
      <c r="I2427" s="25" t="s">
        <v>2050</v>
      </c>
      <c r="J2427" t="s">
        <v>2180</v>
      </c>
      <c r="M2427" s="49"/>
    </row>
    <row r="2428" spans="6:13" x14ac:dyDescent="0.25">
      <c r="F2428" t="s">
        <v>4019</v>
      </c>
      <c r="G2428">
        <v>74579</v>
      </c>
      <c r="H2428">
        <v>8127</v>
      </c>
      <c r="I2428" s="25" t="s">
        <v>2018</v>
      </c>
      <c r="J2428" t="s">
        <v>3126</v>
      </c>
      <c r="M2428" s="49"/>
    </row>
    <row r="2429" spans="6:13" x14ac:dyDescent="0.25">
      <c r="F2429" t="s">
        <v>4020</v>
      </c>
      <c r="G2429">
        <v>74427</v>
      </c>
      <c r="H2429">
        <v>8127</v>
      </c>
      <c r="I2429" s="25" t="s">
        <v>2018</v>
      </c>
      <c r="J2429" t="s">
        <v>3126</v>
      </c>
      <c r="M2429" s="49"/>
    </row>
    <row r="2430" spans="6:13" x14ac:dyDescent="0.25">
      <c r="F2430" t="s">
        <v>4021</v>
      </c>
      <c r="G2430">
        <v>70794</v>
      </c>
      <c r="H2430">
        <v>8116</v>
      </c>
      <c r="I2430" s="25" t="s">
        <v>2018</v>
      </c>
      <c r="J2430" t="s">
        <v>2213</v>
      </c>
      <c r="M2430" s="49"/>
    </row>
    <row r="2431" spans="6:13" x14ac:dyDescent="0.25">
      <c r="F2431" t="s">
        <v>4022</v>
      </c>
      <c r="G2431">
        <v>26849</v>
      </c>
      <c r="H2431">
        <v>3457</v>
      </c>
      <c r="I2431" s="25" t="s">
        <v>2074</v>
      </c>
      <c r="J2431" t="s">
        <v>2220</v>
      </c>
      <c r="M2431" s="49"/>
    </row>
    <row r="2432" spans="6:13" x14ac:dyDescent="0.25">
      <c r="F2432" t="s">
        <v>4023</v>
      </c>
      <c r="G2432">
        <v>57413</v>
      </c>
      <c r="H2432">
        <v>5966</v>
      </c>
      <c r="I2432" s="25" t="s">
        <v>2023</v>
      </c>
      <c r="J2432" t="s">
        <v>2289</v>
      </c>
      <c r="M2432" s="49"/>
    </row>
    <row r="2433" spans="6:13" x14ac:dyDescent="0.25">
      <c r="F2433" t="s">
        <v>4024</v>
      </c>
      <c r="G2433">
        <v>86923</v>
      </c>
      <c r="H2433">
        <v>9181</v>
      </c>
      <c r="I2433" s="25" t="s">
        <v>2050</v>
      </c>
      <c r="J2433" t="s">
        <v>2505</v>
      </c>
      <c r="M2433" s="49"/>
    </row>
    <row r="2434" spans="6:13" x14ac:dyDescent="0.25">
      <c r="F2434" t="s">
        <v>4025</v>
      </c>
      <c r="G2434">
        <v>89435</v>
      </c>
      <c r="H2434">
        <v>9773</v>
      </c>
      <c r="I2434" s="25" t="s">
        <v>2050</v>
      </c>
      <c r="J2434" t="s">
        <v>2231</v>
      </c>
      <c r="M2434" s="49"/>
    </row>
    <row r="2435" spans="6:13" x14ac:dyDescent="0.25">
      <c r="F2435" t="s">
        <v>4026</v>
      </c>
      <c r="G2435">
        <v>85464</v>
      </c>
      <c r="H2435">
        <v>9177</v>
      </c>
      <c r="I2435" s="25" t="s">
        <v>2050</v>
      </c>
      <c r="J2435" t="s">
        <v>2915</v>
      </c>
      <c r="M2435" s="49"/>
    </row>
    <row r="2436" spans="6:13" x14ac:dyDescent="0.25">
      <c r="F2436" t="s">
        <v>4027</v>
      </c>
      <c r="G2436">
        <v>3238</v>
      </c>
      <c r="H2436">
        <v>12062</v>
      </c>
      <c r="I2436" s="25" t="s">
        <v>2356</v>
      </c>
      <c r="J2436" t="s">
        <v>2689</v>
      </c>
      <c r="M2436" s="49"/>
    </row>
    <row r="2437" spans="6:13" x14ac:dyDescent="0.25">
      <c r="F2437" t="s">
        <v>4028</v>
      </c>
      <c r="G2437">
        <v>27389</v>
      </c>
      <c r="H2437">
        <v>3357</v>
      </c>
      <c r="I2437" s="25" t="s">
        <v>2074</v>
      </c>
      <c r="J2437" t="s">
        <v>2339</v>
      </c>
      <c r="M2437" s="49"/>
    </row>
    <row r="2438" spans="6:13" x14ac:dyDescent="0.25">
      <c r="F2438" t="s">
        <v>4029</v>
      </c>
      <c r="G2438">
        <v>86850</v>
      </c>
      <c r="H2438">
        <v>9772</v>
      </c>
      <c r="I2438" s="25" t="s">
        <v>2050</v>
      </c>
      <c r="J2438" t="s">
        <v>2117</v>
      </c>
      <c r="M2438" s="49"/>
    </row>
    <row r="2439" spans="6:13" x14ac:dyDescent="0.25">
      <c r="F2439" t="s">
        <v>4030</v>
      </c>
      <c r="G2439">
        <v>66996</v>
      </c>
      <c r="H2439">
        <v>7340</v>
      </c>
      <c r="I2439" s="25" t="s">
        <v>2123</v>
      </c>
      <c r="J2439" t="s">
        <v>2826</v>
      </c>
      <c r="M2439" s="49"/>
    </row>
    <row r="2440" spans="6:13" x14ac:dyDescent="0.25">
      <c r="F2440" t="s">
        <v>4030</v>
      </c>
      <c r="G2440">
        <v>66996</v>
      </c>
      <c r="H2440">
        <v>7340</v>
      </c>
      <c r="I2440" s="25" t="s">
        <v>2123</v>
      </c>
      <c r="J2440" t="s">
        <v>2826</v>
      </c>
      <c r="M2440" s="49"/>
    </row>
    <row r="2441" spans="6:13" x14ac:dyDescent="0.25">
      <c r="F2441" t="s">
        <v>4031</v>
      </c>
      <c r="G2441">
        <v>83730</v>
      </c>
      <c r="H2441">
        <v>9182</v>
      </c>
      <c r="I2441" s="25" t="s">
        <v>2050</v>
      </c>
      <c r="J2441" t="s">
        <v>2254</v>
      </c>
      <c r="M2441" s="49"/>
    </row>
    <row r="2442" spans="6:13" x14ac:dyDescent="0.25">
      <c r="F2442" t="s">
        <v>4032</v>
      </c>
      <c r="G2442">
        <v>64405</v>
      </c>
      <c r="H2442">
        <v>6432</v>
      </c>
      <c r="I2442" s="25" t="s">
        <v>2046</v>
      </c>
      <c r="J2442" t="s">
        <v>2338</v>
      </c>
      <c r="M2442" s="49"/>
    </row>
    <row r="2443" spans="6:13" x14ac:dyDescent="0.25">
      <c r="F2443" t="s">
        <v>4033</v>
      </c>
      <c r="G2443">
        <v>87538</v>
      </c>
      <c r="H2443">
        <v>9780</v>
      </c>
      <c r="I2443" s="25" t="s">
        <v>2050</v>
      </c>
      <c r="J2443" t="s">
        <v>2278</v>
      </c>
      <c r="M2443" s="49"/>
    </row>
    <row r="2444" spans="6:13" x14ac:dyDescent="0.25">
      <c r="F2444" t="s">
        <v>4034</v>
      </c>
      <c r="G2444">
        <v>77716</v>
      </c>
      <c r="H2444">
        <v>8317</v>
      </c>
      <c r="I2444" s="25" t="s">
        <v>2018</v>
      </c>
      <c r="J2444" t="s">
        <v>2071</v>
      </c>
      <c r="M2444" s="49"/>
    </row>
    <row r="2445" spans="6:13" x14ac:dyDescent="0.25">
      <c r="F2445" t="s">
        <v>4035</v>
      </c>
      <c r="G2445">
        <v>79592</v>
      </c>
      <c r="H2445">
        <v>8336</v>
      </c>
      <c r="I2445" s="25" t="s">
        <v>2018</v>
      </c>
      <c r="J2445" t="s">
        <v>2227</v>
      </c>
      <c r="M2445" s="49"/>
    </row>
    <row r="2446" spans="6:13" x14ac:dyDescent="0.25">
      <c r="F2446" t="s">
        <v>4036</v>
      </c>
      <c r="G2446">
        <v>25579</v>
      </c>
      <c r="H2446">
        <v>1061</v>
      </c>
      <c r="I2446" s="25" t="s">
        <v>2085</v>
      </c>
      <c r="J2446" t="s">
        <v>2377</v>
      </c>
      <c r="M2446" s="49"/>
    </row>
    <row r="2447" spans="6:13" x14ac:dyDescent="0.25">
      <c r="F2447" t="s">
        <v>4037</v>
      </c>
      <c r="G2447">
        <v>91604</v>
      </c>
      <c r="H2447">
        <v>9571</v>
      </c>
      <c r="I2447" s="25" t="s">
        <v>2050</v>
      </c>
      <c r="J2447" t="s">
        <v>2113</v>
      </c>
      <c r="M2447" s="49"/>
    </row>
    <row r="2448" spans="6:13" x14ac:dyDescent="0.25">
      <c r="F2448" t="s">
        <v>4038</v>
      </c>
      <c r="G2448">
        <v>97650</v>
      </c>
      <c r="H2448">
        <v>9673</v>
      </c>
      <c r="I2448" s="25" t="s">
        <v>2050</v>
      </c>
      <c r="J2448" t="s">
        <v>2676</v>
      </c>
      <c r="M2448" s="49"/>
    </row>
    <row r="2449" spans="6:13" x14ac:dyDescent="0.25">
      <c r="F2449" t="s">
        <v>4039</v>
      </c>
      <c r="G2449">
        <v>57632</v>
      </c>
      <c r="H2449">
        <v>7132</v>
      </c>
      <c r="I2449" s="25" t="s">
        <v>2123</v>
      </c>
      <c r="J2449" t="s">
        <v>2401</v>
      </c>
      <c r="M2449" s="49"/>
    </row>
    <row r="2450" spans="6:13" x14ac:dyDescent="0.25">
      <c r="F2450" t="s">
        <v>4040</v>
      </c>
      <c r="G2450">
        <v>24357</v>
      </c>
      <c r="H2450">
        <v>1058</v>
      </c>
      <c r="I2450" s="25" t="s">
        <v>2085</v>
      </c>
      <c r="J2450" t="s">
        <v>2086</v>
      </c>
      <c r="M2450" s="49"/>
    </row>
    <row r="2451" spans="6:13" x14ac:dyDescent="0.25">
      <c r="F2451" t="s">
        <v>4041</v>
      </c>
      <c r="G2451">
        <v>74223</v>
      </c>
      <c r="H2451">
        <v>8125</v>
      </c>
      <c r="I2451" s="25" t="s">
        <v>2018</v>
      </c>
      <c r="J2451" t="s">
        <v>2060</v>
      </c>
      <c r="M2451" s="49"/>
    </row>
    <row r="2452" spans="6:13" x14ac:dyDescent="0.25">
      <c r="F2452" t="s">
        <v>4042</v>
      </c>
      <c r="G2452">
        <v>88373</v>
      </c>
      <c r="H2452">
        <v>8436</v>
      </c>
      <c r="I2452" s="25" t="s">
        <v>2018</v>
      </c>
      <c r="J2452" t="s">
        <v>2068</v>
      </c>
      <c r="M2452" s="49"/>
    </row>
    <row r="2453" spans="6:13" x14ac:dyDescent="0.25">
      <c r="F2453" t="s">
        <v>4043</v>
      </c>
      <c r="G2453">
        <v>24939</v>
      </c>
      <c r="H2453">
        <v>1001</v>
      </c>
      <c r="I2453" s="25" t="s">
        <v>2085</v>
      </c>
      <c r="J2453" t="s">
        <v>2130</v>
      </c>
      <c r="M2453" s="49"/>
    </row>
    <row r="2454" spans="6:13" x14ac:dyDescent="0.25">
      <c r="F2454" t="s">
        <v>4043</v>
      </c>
      <c r="G2454">
        <v>24941</v>
      </c>
      <c r="H2454">
        <v>1001</v>
      </c>
      <c r="I2454" s="25" t="s">
        <v>2085</v>
      </c>
      <c r="J2454" t="s">
        <v>2130</v>
      </c>
      <c r="M2454" s="49"/>
    </row>
    <row r="2455" spans="6:13" x14ac:dyDescent="0.25">
      <c r="F2455" t="s">
        <v>4043</v>
      </c>
      <c r="G2455">
        <v>24944</v>
      </c>
      <c r="H2455">
        <v>1001</v>
      </c>
      <c r="I2455" s="25" t="s">
        <v>2085</v>
      </c>
      <c r="J2455" t="s">
        <v>2130</v>
      </c>
      <c r="M2455" s="49"/>
    </row>
    <row r="2456" spans="6:13" x14ac:dyDescent="0.25">
      <c r="F2456" t="s">
        <v>4043</v>
      </c>
      <c r="G2456">
        <v>24937</v>
      </c>
      <c r="H2456">
        <v>1001</v>
      </c>
      <c r="I2456" s="25" t="s">
        <v>2085</v>
      </c>
      <c r="J2456" t="s">
        <v>2130</v>
      </c>
      <c r="M2456" s="49"/>
    </row>
    <row r="2457" spans="6:13" x14ac:dyDescent="0.25">
      <c r="F2457" t="s">
        <v>4044</v>
      </c>
      <c r="G2457">
        <v>24943</v>
      </c>
      <c r="H2457">
        <v>1001</v>
      </c>
      <c r="I2457" s="25" t="s">
        <v>2085</v>
      </c>
      <c r="J2457" t="s">
        <v>2130</v>
      </c>
      <c r="M2457" s="49"/>
    </row>
    <row r="2458" spans="6:13" x14ac:dyDescent="0.25">
      <c r="F2458" t="s">
        <v>4044</v>
      </c>
      <c r="G2458">
        <v>24943</v>
      </c>
      <c r="H2458">
        <v>1059</v>
      </c>
      <c r="I2458" s="25" t="s">
        <v>2085</v>
      </c>
      <c r="J2458" t="s">
        <v>2354</v>
      </c>
      <c r="M2458" s="49"/>
    </row>
    <row r="2459" spans="6:13" x14ac:dyDescent="0.25">
      <c r="F2459" t="s">
        <v>4045</v>
      </c>
      <c r="G2459">
        <v>36103</v>
      </c>
      <c r="H2459">
        <v>6631</v>
      </c>
      <c r="I2459" s="25" t="s">
        <v>2046</v>
      </c>
      <c r="J2459" t="s">
        <v>2145</v>
      </c>
      <c r="M2459" s="49"/>
    </row>
    <row r="2460" spans="6:13" x14ac:dyDescent="0.25">
      <c r="F2460" t="s">
        <v>4046</v>
      </c>
      <c r="G2460">
        <v>24220</v>
      </c>
      <c r="H2460">
        <v>1057</v>
      </c>
      <c r="I2460" s="25" t="s">
        <v>2085</v>
      </c>
      <c r="J2460" t="s">
        <v>2313</v>
      </c>
      <c r="M2460" s="49"/>
    </row>
    <row r="2461" spans="6:13" x14ac:dyDescent="0.25">
      <c r="F2461" t="s">
        <v>4046</v>
      </c>
      <c r="G2461">
        <v>24220</v>
      </c>
      <c r="H2461">
        <v>1058</v>
      </c>
      <c r="I2461" s="25" t="s">
        <v>2085</v>
      </c>
      <c r="J2461" t="s">
        <v>2086</v>
      </c>
      <c r="M2461" s="49"/>
    </row>
    <row r="2462" spans="6:13" x14ac:dyDescent="0.25">
      <c r="F2462" t="s">
        <v>4047</v>
      </c>
      <c r="G2462">
        <v>83126</v>
      </c>
      <c r="H2462">
        <v>9187</v>
      </c>
      <c r="I2462" s="25" t="s">
        <v>2050</v>
      </c>
      <c r="J2462" t="s">
        <v>2245</v>
      </c>
      <c r="M2462" s="49"/>
    </row>
    <row r="2463" spans="6:13" x14ac:dyDescent="0.25">
      <c r="F2463" t="s">
        <v>4048</v>
      </c>
      <c r="G2463">
        <v>9557</v>
      </c>
      <c r="H2463">
        <v>14522</v>
      </c>
      <c r="I2463" s="25" t="s">
        <v>2135</v>
      </c>
      <c r="J2463" t="s">
        <v>2100</v>
      </c>
      <c r="M2463" s="49"/>
    </row>
    <row r="2464" spans="6:13" x14ac:dyDescent="0.25">
      <c r="F2464" t="s">
        <v>4049</v>
      </c>
      <c r="G2464">
        <v>98593</v>
      </c>
      <c r="H2464">
        <v>16066</v>
      </c>
      <c r="I2464" s="25" t="s">
        <v>2384</v>
      </c>
      <c r="J2464" t="s">
        <v>2358</v>
      </c>
      <c r="M2464" s="49"/>
    </row>
    <row r="2465" spans="6:13" x14ac:dyDescent="0.25">
      <c r="F2465" t="s">
        <v>4050</v>
      </c>
      <c r="G2465">
        <v>55237</v>
      </c>
      <c r="H2465">
        <v>7331</v>
      </c>
      <c r="I2465" s="25" t="s">
        <v>2123</v>
      </c>
      <c r="J2465" t="s">
        <v>2029</v>
      </c>
      <c r="M2465" s="49"/>
    </row>
    <row r="2466" spans="6:13" x14ac:dyDescent="0.25">
      <c r="F2466" t="s">
        <v>4051</v>
      </c>
      <c r="G2466">
        <v>63639</v>
      </c>
      <c r="H2466">
        <v>6435</v>
      </c>
      <c r="I2466" s="25" t="s">
        <v>2046</v>
      </c>
      <c r="J2466" t="s">
        <v>2703</v>
      </c>
      <c r="M2466" s="49"/>
    </row>
    <row r="2467" spans="6:13" x14ac:dyDescent="0.25">
      <c r="F2467" t="s">
        <v>4052</v>
      </c>
      <c r="G2467">
        <v>65439</v>
      </c>
      <c r="H2467">
        <v>6436</v>
      </c>
      <c r="I2467" s="25" t="s">
        <v>2046</v>
      </c>
      <c r="J2467" t="s">
        <v>2730</v>
      </c>
      <c r="M2467" s="49"/>
    </row>
    <row r="2468" spans="6:13" x14ac:dyDescent="0.25">
      <c r="F2468" t="s">
        <v>4053</v>
      </c>
      <c r="G2468">
        <v>67592</v>
      </c>
      <c r="H2468">
        <v>7331</v>
      </c>
      <c r="I2468" s="25" t="s">
        <v>2123</v>
      </c>
      <c r="J2468" t="s">
        <v>2029</v>
      </c>
      <c r="M2468" s="49"/>
    </row>
    <row r="2469" spans="6:13" x14ac:dyDescent="0.25">
      <c r="F2469" t="s">
        <v>4054</v>
      </c>
      <c r="G2469">
        <v>61197</v>
      </c>
      <c r="H2469">
        <v>6440</v>
      </c>
      <c r="I2469" s="25" t="s">
        <v>2046</v>
      </c>
      <c r="J2469" t="s">
        <v>2415</v>
      </c>
      <c r="M2469" s="49"/>
    </row>
    <row r="2470" spans="6:13" x14ac:dyDescent="0.25">
      <c r="F2470" t="s">
        <v>4055</v>
      </c>
      <c r="G2470">
        <v>92685</v>
      </c>
      <c r="H2470">
        <v>9374</v>
      </c>
      <c r="I2470" s="25" t="s">
        <v>2050</v>
      </c>
      <c r="J2470" t="s">
        <v>2420</v>
      </c>
      <c r="M2470" s="49"/>
    </row>
    <row r="2471" spans="6:13" x14ac:dyDescent="0.25">
      <c r="F2471" t="s">
        <v>4056</v>
      </c>
      <c r="G2471">
        <v>92696</v>
      </c>
      <c r="H2471">
        <v>9374</v>
      </c>
      <c r="I2471" s="25" t="s">
        <v>2050</v>
      </c>
      <c r="J2471" t="s">
        <v>2420</v>
      </c>
      <c r="M2471" s="49"/>
    </row>
    <row r="2472" spans="6:13" x14ac:dyDescent="0.25">
      <c r="F2472" t="s">
        <v>4057</v>
      </c>
      <c r="G2472">
        <v>78737</v>
      </c>
      <c r="H2472">
        <v>8325</v>
      </c>
      <c r="I2472" s="25" t="s">
        <v>2018</v>
      </c>
      <c r="J2472" t="s">
        <v>2208</v>
      </c>
      <c r="M2472" s="49"/>
    </row>
    <row r="2473" spans="6:13" x14ac:dyDescent="0.25">
      <c r="F2473" t="s">
        <v>4058</v>
      </c>
      <c r="G2473">
        <v>24787</v>
      </c>
      <c r="H2473">
        <v>1058</v>
      </c>
      <c r="I2473" s="25" t="s">
        <v>2085</v>
      </c>
      <c r="J2473" t="s">
        <v>2086</v>
      </c>
      <c r="M2473" s="49"/>
    </row>
    <row r="2474" spans="6:13" x14ac:dyDescent="0.25">
      <c r="F2474" t="s">
        <v>4059</v>
      </c>
      <c r="G2474">
        <v>25938</v>
      </c>
      <c r="H2474">
        <v>1054</v>
      </c>
      <c r="I2474" s="25" t="s">
        <v>2085</v>
      </c>
      <c r="J2474" t="s">
        <v>2195</v>
      </c>
      <c r="M2474" s="49"/>
    </row>
    <row r="2475" spans="6:13" x14ac:dyDescent="0.25">
      <c r="F2475" t="s">
        <v>4060</v>
      </c>
      <c r="G2475">
        <v>54343</v>
      </c>
      <c r="H2475">
        <v>7235</v>
      </c>
      <c r="I2475" s="25" t="s">
        <v>2123</v>
      </c>
      <c r="J2475" t="s">
        <v>2395</v>
      </c>
      <c r="M2475" s="49"/>
    </row>
    <row r="2476" spans="6:13" x14ac:dyDescent="0.25">
      <c r="F2476" t="s">
        <v>4061</v>
      </c>
      <c r="G2476">
        <v>76596</v>
      </c>
      <c r="H2476">
        <v>8216</v>
      </c>
      <c r="I2476" s="25" t="s">
        <v>2018</v>
      </c>
      <c r="J2476" t="s">
        <v>2564</v>
      </c>
      <c r="M2476" s="49"/>
    </row>
    <row r="2477" spans="6:13" x14ac:dyDescent="0.25">
      <c r="F2477" t="s">
        <v>3692</v>
      </c>
      <c r="G2477">
        <v>79362</v>
      </c>
      <c r="H2477">
        <v>8316</v>
      </c>
      <c r="I2477" s="25" t="s">
        <v>2018</v>
      </c>
      <c r="J2477" t="s">
        <v>2764</v>
      </c>
      <c r="M2477" s="49"/>
    </row>
    <row r="2478" spans="6:13" x14ac:dyDescent="0.25">
      <c r="F2478" t="s">
        <v>3692</v>
      </c>
      <c r="G2478">
        <v>91301</v>
      </c>
      <c r="H2478">
        <v>9474</v>
      </c>
      <c r="I2478" s="25" t="s">
        <v>2050</v>
      </c>
      <c r="J2478" t="s">
        <v>3692</v>
      </c>
      <c r="M2478" s="49"/>
    </row>
    <row r="2479" spans="6:13" x14ac:dyDescent="0.25">
      <c r="F2479" t="s">
        <v>4062</v>
      </c>
      <c r="G2479">
        <v>74670</v>
      </c>
      <c r="H2479">
        <v>8126</v>
      </c>
      <c r="I2479" s="25" t="s">
        <v>2018</v>
      </c>
      <c r="J2479" t="s">
        <v>3280</v>
      </c>
      <c r="M2479" s="49"/>
    </row>
    <row r="2480" spans="6:13" x14ac:dyDescent="0.25">
      <c r="F2480" t="s">
        <v>4062</v>
      </c>
      <c r="G2480">
        <v>74670</v>
      </c>
      <c r="H2480">
        <v>8126</v>
      </c>
      <c r="I2480" s="25" t="s">
        <v>2018</v>
      </c>
      <c r="J2480" t="s">
        <v>3280</v>
      </c>
      <c r="M2480" s="49"/>
    </row>
    <row r="2481" spans="6:13" x14ac:dyDescent="0.25">
      <c r="F2481" t="s">
        <v>4063</v>
      </c>
      <c r="G2481">
        <v>76694</v>
      </c>
      <c r="H2481">
        <v>8215</v>
      </c>
      <c r="I2481" s="25" t="s">
        <v>2018</v>
      </c>
      <c r="J2481" t="s">
        <v>2724</v>
      </c>
      <c r="M2481" s="49"/>
    </row>
    <row r="2482" spans="6:13" x14ac:dyDescent="0.25">
      <c r="F2482" t="s">
        <v>4064</v>
      </c>
      <c r="G2482">
        <v>67147</v>
      </c>
      <c r="H2482">
        <v>7332</v>
      </c>
      <c r="I2482" s="25" t="s">
        <v>2123</v>
      </c>
      <c r="J2482" t="s">
        <v>2440</v>
      </c>
      <c r="M2482" s="49"/>
    </row>
    <row r="2483" spans="6:13" x14ac:dyDescent="0.25">
      <c r="F2483" t="s">
        <v>4065</v>
      </c>
      <c r="G2483">
        <v>3149</v>
      </c>
      <c r="H2483">
        <v>12071</v>
      </c>
      <c r="I2483" s="25" t="s">
        <v>2356</v>
      </c>
      <c r="J2483" t="s">
        <v>3364</v>
      </c>
      <c r="M2483" s="49"/>
    </row>
    <row r="2484" spans="6:13" x14ac:dyDescent="0.25">
      <c r="F2484" t="s">
        <v>4066</v>
      </c>
      <c r="G2484">
        <v>85659</v>
      </c>
      <c r="H2484">
        <v>9177</v>
      </c>
      <c r="I2484" s="25" t="s">
        <v>2050</v>
      </c>
      <c r="J2484" t="s">
        <v>2915</v>
      </c>
      <c r="M2484" s="49"/>
    </row>
    <row r="2485" spans="6:13" x14ac:dyDescent="0.25">
      <c r="F2485" t="s">
        <v>4067</v>
      </c>
      <c r="G2485">
        <v>85661</v>
      </c>
      <c r="H2485">
        <v>9175</v>
      </c>
      <c r="I2485" s="25" t="s">
        <v>2050</v>
      </c>
      <c r="J2485" t="s">
        <v>2500</v>
      </c>
      <c r="M2485" s="49"/>
    </row>
    <row r="2486" spans="6:13" x14ac:dyDescent="0.25">
      <c r="F2486" t="s">
        <v>4068</v>
      </c>
      <c r="G2486">
        <v>97833</v>
      </c>
      <c r="H2486">
        <v>9677</v>
      </c>
      <c r="I2486" s="25" t="s">
        <v>2050</v>
      </c>
      <c r="J2486" t="s">
        <v>2527</v>
      </c>
      <c r="M2486" s="49"/>
    </row>
    <row r="2487" spans="6:13" x14ac:dyDescent="0.25">
      <c r="F2487" t="s">
        <v>4069</v>
      </c>
      <c r="G2487">
        <v>35110</v>
      </c>
      <c r="H2487">
        <v>6635</v>
      </c>
      <c r="I2487" s="25" t="s">
        <v>2046</v>
      </c>
      <c r="J2487" t="s">
        <v>2308</v>
      </c>
      <c r="M2487" s="49"/>
    </row>
    <row r="2488" spans="6:13" x14ac:dyDescent="0.25">
      <c r="F2488" t="s">
        <v>4070</v>
      </c>
      <c r="G2488">
        <v>35066</v>
      </c>
      <c r="H2488">
        <v>6635</v>
      </c>
      <c r="I2488" s="25" t="s">
        <v>2046</v>
      </c>
      <c r="J2488" t="s">
        <v>2308</v>
      </c>
      <c r="M2488" s="49"/>
    </row>
    <row r="2489" spans="6:13" x14ac:dyDescent="0.25">
      <c r="F2489" t="s">
        <v>4070</v>
      </c>
      <c r="G2489">
        <v>9669</v>
      </c>
      <c r="H2489">
        <v>14522</v>
      </c>
      <c r="I2489" s="25" t="s">
        <v>2135</v>
      </c>
      <c r="J2489" t="s">
        <v>2100</v>
      </c>
      <c r="M2489" s="49"/>
    </row>
    <row r="2490" spans="6:13" x14ac:dyDescent="0.25">
      <c r="F2490" t="s">
        <v>4071</v>
      </c>
      <c r="G2490">
        <v>96528</v>
      </c>
      <c r="H2490">
        <v>16072</v>
      </c>
      <c r="I2490" s="25" t="s">
        <v>2384</v>
      </c>
      <c r="J2490" t="s">
        <v>2373</v>
      </c>
      <c r="M2490" s="49"/>
    </row>
    <row r="2491" spans="6:13" x14ac:dyDescent="0.25">
      <c r="F2491" t="s">
        <v>4072</v>
      </c>
      <c r="G2491">
        <v>74586</v>
      </c>
      <c r="H2491">
        <v>8127</v>
      </c>
      <c r="I2491" s="25" t="s">
        <v>2018</v>
      </c>
      <c r="J2491" t="s">
        <v>3126</v>
      </c>
      <c r="M2491" s="49"/>
    </row>
    <row r="2492" spans="6:13" x14ac:dyDescent="0.25">
      <c r="F2492" t="s">
        <v>4073</v>
      </c>
      <c r="G2492">
        <v>67468</v>
      </c>
      <c r="H2492">
        <v>7332</v>
      </c>
      <c r="I2492" s="25" t="s">
        <v>2123</v>
      </c>
      <c r="J2492" t="s">
        <v>2440</v>
      </c>
      <c r="M2492" s="49"/>
    </row>
    <row r="2493" spans="6:13" x14ac:dyDescent="0.25">
      <c r="F2493" t="s">
        <v>4073</v>
      </c>
      <c r="G2493">
        <v>67468</v>
      </c>
      <c r="H2493">
        <v>7332</v>
      </c>
      <c r="I2493" s="25" t="s">
        <v>2123</v>
      </c>
      <c r="J2493" t="s">
        <v>2440</v>
      </c>
      <c r="M2493" s="49"/>
    </row>
    <row r="2494" spans="6:13" x14ac:dyDescent="0.25">
      <c r="F2494" t="s">
        <v>4073</v>
      </c>
      <c r="G2494">
        <v>67468</v>
      </c>
      <c r="H2494">
        <v>7335</v>
      </c>
      <c r="I2494" s="25" t="s">
        <v>2123</v>
      </c>
      <c r="J2494" t="s">
        <v>2843</v>
      </c>
      <c r="M2494" s="49"/>
    </row>
    <row r="2495" spans="6:13" x14ac:dyDescent="0.25">
      <c r="F2495" t="s">
        <v>4073</v>
      </c>
      <c r="G2495">
        <v>67468</v>
      </c>
      <c r="H2495">
        <v>7335</v>
      </c>
      <c r="I2495" s="25" t="s">
        <v>2123</v>
      </c>
      <c r="J2495" t="s">
        <v>2843</v>
      </c>
      <c r="M2495" s="49"/>
    </row>
    <row r="2496" spans="6:13" x14ac:dyDescent="0.25">
      <c r="F2496" t="s">
        <v>4074</v>
      </c>
      <c r="G2496">
        <v>67227</v>
      </c>
      <c r="H2496">
        <v>7311</v>
      </c>
      <c r="I2496" s="25" t="s">
        <v>2123</v>
      </c>
      <c r="J2496" t="s">
        <v>4075</v>
      </c>
      <c r="M2496" s="49"/>
    </row>
    <row r="2497" spans="6:13" x14ac:dyDescent="0.25">
      <c r="F2497" t="s">
        <v>4076</v>
      </c>
      <c r="G2497">
        <v>60308</v>
      </c>
      <c r="H2497">
        <v>6412</v>
      </c>
      <c r="I2497" s="25" t="s">
        <v>2046</v>
      </c>
      <c r="J2497" t="s">
        <v>4077</v>
      </c>
      <c r="M2497" s="49"/>
    </row>
    <row r="2498" spans="6:13" x14ac:dyDescent="0.25">
      <c r="F2498" t="s">
        <v>4078</v>
      </c>
      <c r="G2498">
        <v>60594</v>
      </c>
      <c r="H2498">
        <v>6412</v>
      </c>
      <c r="I2498" s="25" t="s">
        <v>2046</v>
      </c>
      <c r="J2498" t="s">
        <v>4077</v>
      </c>
      <c r="M2498" s="49"/>
    </row>
    <row r="2499" spans="6:13" x14ac:dyDescent="0.25">
      <c r="F2499" t="s">
        <v>4078</v>
      </c>
      <c r="G2499">
        <v>60529</v>
      </c>
      <c r="H2499">
        <v>6412</v>
      </c>
      <c r="I2499" s="25" t="s">
        <v>2046</v>
      </c>
      <c r="J2499" t="s">
        <v>4077</v>
      </c>
      <c r="M2499" s="49"/>
    </row>
    <row r="2500" spans="6:13" x14ac:dyDescent="0.25">
      <c r="F2500" t="s">
        <v>4078</v>
      </c>
      <c r="G2500">
        <v>65936</v>
      </c>
      <c r="H2500">
        <v>6412</v>
      </c>
      <c r="I2500" s="25" t="s">
        <v>2046</v>
      </c>
      <c r="J2500" t="s">
        <v>4077</v>
      </c>
      <c r="M2500" s="49"/>
    </row>
    <row r="2501" spans="6:13" x14ac:dyDescent="0.25">
      <c r="F2501" t="s">
        <v>4078</v>
      </c>
      <c r="G2501">
        <v>60435</v>
      </c>
      <c r="H2501">
        <v>6412</v>
      </c>
      <c r="I2501" s="25" t="s">
        <v>2046</v>
      </c>
      <c r="J2501" t="s">
        <v>4077</v>
      </c>
      <c r="M2501" s="49"/>
    </row>
    <row r="2502" spans="6:13" x14ac:dyDescent="0.25">
      <c r="F2502" t="s">
        <v>4078</v>
      </c>
      <c r="G2502">
        <v>60318</v>
      </c>
      <c r="H2502">
        <v>6412</v>
      </c>
      <c r="I2502" s="25" t="s">
        <v>2046</v>
      </c>
      <c r="J2502" t="s">
        <v>4077</v>
      </c>
      <c r="M2502" s="49"/>
    </row>
    <row r="2503" spans="6:13" x14ac:dyDescent="0.25">
      <c r="F2503" t="s">
        <v>4078</v>
      </c>
      <c r="G2503">
        <v>65931</v>
      </c>
      <c r="H2503">
        <v>6412</v>
      </c>
      <c r="I2503" s="25" t="s">
        <v>2046</v>
      </c>
      <c r="J2503" t="s">
        <v>4077</v>
      </c>
      <c r="M2503" s="49"/>
    </row>
    <row r="2504" spans="6:13" x14ac:dyDescent="0.25">
      <c r="F2504" t="s">
        <v>4078</v>
      </c>
      <c r="G2504">
        <v>60389</v>
      </c>
      <c r="H2504">
        <v>6412</v>
      </c>
      <c r="I2504" s="25" t="s">
        <v>2046</v>
      </c>
      <c r="J2504" t="s">
        <v>4077</v>
      </c>
      <c r="M2504" s="49"/>
    </row>
    <row r="2505" spans="6:13" x14ac:dyDescent="0.25">
      <c r="F2505" t="s">
        <v>4078</v>
      </c>
      <c r="G2505">
        <v>65934</v>
      </c>
      <c r="H2505">
        <v>6412</v>
      </c>
      <c r="I2505" s="25" t="s">
        <v>2046</v>
      </c>
      <c r="J2505" t="s">
        <v>4077</v>
      </c>
      <c r="M2505" s="49"/>
    </row>
    <row r="2506" spans="6:13" x14ac:dyDescent="0.25">
      <c r="F2506" t="s">
        <v>4078</v>
      </c>
      <c r="G2506">
        <v>60489</v>
      </c>
      <c r="H2506">
        <v>6412</v>
      </c>
      <c r="I2506" s="25" t="s">
        <v>2046</v>
      </c>
      <c r="J2506" t="s">
        <v>4077</v>
      </c>
      <c r="M2506" s="49"/>
    </row>
    <row r="2507" spans="6:13" x14ac:dyDescent="0.25">
      <c r="F2507" t="s">
        <v>4078</v>
      </c>
      <c r="G2507">
        <v>60437</v>
      </c>
      <c r="H2507">
        <v>6412</v>
      </c>
      <c r="I2507" s="25" t="s">
        <v>2046</v>
      </c>
      <c r="J2507" t="s">
        <v>4077</v>
      </c>
      <c r="M2507" s="49"/>
    </row>
    <row r="2508" spans="6:13" x14ac:dyDescent="0.25">
      <c r="F2508" t="s">
        <v>4078</v>
      </c>
      <c r="G2508">
        <v>60596</v>
      </c>
      <c r="H2508">
        <v>6412</v>
      </c>
      <c r="I2508" s="25" t="s">
        <v>2046</v>
      </c>
      <c r="J2508" t="s">
        <v>4077</v>
      </c>
      <c r="M2508" s="49"/>
    </row>
    <row r="2509" spans="6:13" x14ac:dyDescent="0.25">
      <c r="F2509" t="s">
        <v>4078</v>
      </c>
      <c r="G2509">
        <v>60313</v>
      </c>
      <c r="H2509">
        <v>6412</v>
      </c>
      <c r="I2509" s="25" t="s">
        <v>2046</v>
      </c>
      <c r="J2509" t="s">
        <v>4077</v>
      </c>
      <c r="M2509" s="49"/>
    </row>
    <row r="2510" spans="6:13" x14ac:dyDescent="0.25">
      <c r="F2510" t="s">
        <v>4078</v>
      </c>
      <c r="G2510">
        <v>60431</v>
      </c>
      <c r="H2510">
        <v>6412</v>
      </c>
      <c r="I2510" s="25" t="s">
        <v>2046</v>
      </c>
      <c r="J2510" t="s">
        <v>4077</v>
      </c>
      <c r="M2510" s="49"/>
    </row>
    <row r="2511" spans="6:13" x14ac:dyDescent="0.25">
      <c r="F2511" t="s">
        <v>4078</v>
      </c>
      <c r="G2511">
        <v>60320</v>
      </c>
      <c r="H2511">
        <v>6412</v>
      </c>
      <c r="I2511" s="25" t="s">
        <v>2046</v>
      </c>
      <c r="J2511" t="s">
        <v>4077</v>
      </c>
      <c r="M2511" s="49"/>
    </row>
    <row r="2512" spans="6:13" x14ac:dyDescent="0.25">
      <c r="F2512" t="s">
        <v>4078</v>
      </c>
      <c r="G2512">
        <v>60386</v>
      </c>
      <c r="H2512">
        <v>6412</v>
      </c>
      <c r="I2512" s="25" t="s">
        <v>2046</v>
      </c>
      <c r="J2512" t="s">
        <v>4077</v>
      </c>
      <c r="M2512" s="49"/>
    </row>
    <row r="2513" spans="6:13" x14ac:dyDescent="0.25">
      <c r="F2513" t="s">
        <v>4078</v>
      </c>
      <c r="G2513">
        <v>60487</v>
      </c>
      <c r="H2513">
        <v>6412</v>
      </c>
      <c r="I2513" s="25" t="s">
        <v>2046</v>
      </c>
      <c r="J2513" t="s">
        <v>4077</v>
      </c>
      <c r="M2513" s="49"/>
    </row>
    <row r="2514" spans="6:13" x14ac:dyDescent="0.25">
      <c r="F2514" t="s">
        <v>4078</v>
      </c>
      <c r="G2514">
        <v>60323</v>
      </c>
      <c r="H2514">
        <v>6412</v>
      </c>
      <c r="I2514" s="25" t="s">
        <v>2046</v>
      </c>
      <c r="J2514" t="s">
        <v>4077</v>
      </c>
      <c r="M2514" s="49"/>
    </row>
    <row r="2515" spans="6:13" x14ac:dyDescent="0.25">
      <c r="F2515" t="s">
        <v>4078</v>
      </c>
      <c r="G2515">
        <v>60488</v>
      </c>
      <c r="H2515">
        <v>6412</v>
      </c>
      <c r="I2515" s="25" t="s">
        <v>2046</v>
      </c>
      <c r="J2515" t="s">
        <v>4077</v>
      </c>
      <c r="M2515" s="49"/>
    </row>
    <row r="2516" spans="6:13" x14ac:dyDescent="0.25">
      <c r="F2516" t="s">
        <v>4078</v>
      </c>
      <c r="G2516">
        <v>60438</v>
      </c>
      <c r="H2516">
        <v>6412</v>
      </c>
      <c r="I2516" s="25" t="s">
        <v>2046</v>
      </c>
      <c r="J2516" t="s">
        <v>4077</v>
      </c>
      <c r="M2516" s="49"/>
    </row>
    <row r="2517" spans="6:13" x14ac:dyDescent="0.25">
      <c r="F2517" t="s">
        <v>4078</v>
      </c>
      <c r="G2517">
        <v>60433</v>
      </c>
      <c r="H2517">
        <v>6412</v>
      </c>
      <c r="I2517" s="25" t="s">
        <v>2046</v>
      </c>
      <c r="J2517" t="s">
        <v>4077</v>
      </c>
      <c r="M2517" s="49"/>
    </row>
    <row r="2518" spans="6:13" x14ac:dyDescent="0.25">
      <c r="F2518" t="s">
        <v>4078</v>
      </c>
      <c r="G2518">
        <v>65929</v>
      </c>
      <c r="H2518">
        <v>6412</v>
      </c>
      <c r="I2518" s="25" t="s">
        <v>2046</v>
      </c>
      <c r="J2518" t="s">
        <v>4077</v>
      </c>
      <c r="M2518" s="49"/>
    </row>
    <row r="2519" spans="6:13" x14ac:dyDescent="0.25">
      <c r="F2519" t="s">
        <v>4078</v>
      </c>
      <c r="G2519">
        <v>60528</v>
      </c>
      <c r="H2519">
        <v>6412</v>
      </c>
      <c r="I2519" s="25" t="s">
        <v>2046</v>
      </c>
      <c r="J2519" t="s">
        <v>4077</v>
      </c>
      <c r="M2519" s="49"/>
    </row>
    <row r="2520" spans="6:13" x14ac:dyDescent="0.25">
      <c r="F2520" t="s">
        <v>4078</v>
      </c>
      <c r="G2520">
        <v>60385</v>
      </c>
      <c r="H2520">
        <v>6412</v>
      </c>
      <c r="I2520" s="25" t="s">
        <v>2046</v>
      </c>
      <c r="J2520" t="s">
        <v>4077</v>
      </c>
      <c r="M2520" s="49"/>
    </row>
    <row r="2521" spans="6:13" x14ac:dyDescent="0.25">
      <c r="F2521" t="s">
        <v>4078</v>
      </c>
      <c r="G2521">
        <v>60329</v>
      </c>
      <c r="H2521">
        <v>6412</v>
      </c>
      <c r="I2521" s="25" t="s">
        <v>2046</v>
      </c>
      <c r="J2521" t="s">
        <v>4077</v>
      </c>
      <c r="M2521" s="49"/>
    </row>
    <row r="2522" spans="6:13" x14ac:dyDescent="0.25">
      <c r="F2522" t="s">
        <v>4078</v>
      </c>
      <c r="G2522">
        <v>60599</v>
      </c>
      <c r="H2522">
        <v>6412</v>
      </c>
      <c r="I2522" s="25" t="s">
        <v>2046</v>
      </c>
      <c r="J2522" t="s">
        <v>4077</v>
      </c>
      <c r="M2522" s="49"/>
    </row>
    <row r="2523" spans="6:13" x14ac:dyDescent="0.25">
      <c r="F2523" t="s">
        <v>4078</v>
      </c>
      <c r="G2523">
        <v>60311</v>
      </c>
      <c r="H2523">
        <v>6412</v>
      </c>
      <c r="I2523" s="25" t="s">
        <v>2046</v>
      </c>
      <c r="J2523" t="s">
        <v>4077</v>
      </c>
      <c r="M2523" s="49"/>
    </row>
    <row r="2524" spans="6:13" x14ac:dyDescent="0.25">
      <c r="F2524" t="s">
        <v>4078</v>
      </c>
      <c r="G2524">
        <v>60327</v>
      </c>
      <c r="H2524">
        <v>6412</v>
      </c>
      <c r="I2524" s="25" t="s">
        <v>2046</v>
      </c>
      <c r="J2524" t="s">
        <v>4077</v>
      </c>
      <c r="M2524" s="49"/>
    </row>
    <row r="2525" spans="6:13" x14ac:dyDescent="0.25">
      <c r="F2525" t="s">
        <v>4078</v>
      </c>
      <c r="G2525">
        <v>60322</v>
      </c>
      <c r="H2525">
        <v>6412</v>
      </c>
      <c r="I2525" s="25" t="s">
        <v>2046</v>
      </c>
      <c r="J2525" t="s">
        <v>4077</v>
      </c>
      <c r="M2525" s="49"/>
    </row>
    <row r="2526" spans="6:13" x14ac:dyDescent="0.25">
      <c r="F2526" t="s">
        <v>4078</v>
      </c>
      <c r="G2526">
        <v>60439</v>
      </c>
      <c r="H2526">
        <v>6412</v>
      </c>
      <c r="I2526" s="25" t="s">
        <v>2046</v>
      </c>
      <c r="J2526" t="s">
        <v>4077</v>
      </c>
      <c r="M2526" s="49"/>
    </row>
    <row r="2527" spans="6:13" x14ac:dyDescent="0.25">
      <c r="F2527" t="s">
        <v>4078</v>
      </c>
      <c r="G2527">
        <v>60314</v>
      </c>
      <c r="H2527">
        <v>6412</v>
      </c>
      <c r="I2527" s="25" t="s">
        <v>2046</v>
      </c>
      <c r="J2527" t="s">
        <v>4077</v>
      </c>
      <c r="M2527" s="49"/>
    </row>
    <row r="2528" spans="6:13" x14ac:dyDescent="0.25">
      <c r="F2528" t="s">
        <v>4078</v>
      </c>
      <c r="G2528">
        <v>60325</v>
      </c>
      <c r="H2528">
        <v>6412</v>
      </c>
      <c r="I2528" s="25" t="s">
        <v>2046</v>
      </c>
      <c r="J2528" t="s">
        <v>4077</v>
      </c>
      <c r="M2528" s="49"/>
    </row>
    <row r="2529" spans="6:13" x14ac:dyDescent="0.25">
      <c r="F2529" t="s">
        <v>4078</v>
      </c>
      <c r="G2529">
        <v>60388</v>
      </c>
      <c r="H2529">
        <v>6412</v>
      </c>
      <c r="I2529" s="25" t="s">
        <v>2046</v>
      </c>
      <c r="J2529" t="s">
        <v>4077</v>
      </c>
      <c r="M2529" s="49"/>
    </row>
    <row r="2530" spans="6:13" x14ac:dyDescent="0.25">
      <c r="F2530" t="s">
        <v>4078</v>
      </c>
      <c r="G2530">
        <v>65933</v>
      </c>
      <c r="H2530">
        <v>6412</v>
      </c>
      <c r="I2530" s="25" t="s">
        <v>2046</v>
      </c>
      <c r="J2530" t="s">
        <v>4077</v>
      </c>
      <c r="M2530" s="49"/>
    </row>
    <row r="2531" spans="6:13" x14ac:dyDescent="0.25">
      <c r="F2531" t="s">
        <v>4078</v>
      </c>
      <c r="G2531">
        <v>60316</v>
      </c>
      <c r="H2531">
        <v>6412</v>
      </c>
      <c r="I2531" s="25" t="s">
        <v>2046</v>
      </c>
      <c r="J2531" t="s">
        <v>4077</v>
      </c>
      <c r="M2531" s="49"/>
    </row>
    <row r="2532" spans="6:13" x14ac:dyDescent="0.25">
      <c r="F2532" t="s">
        <v>4078</v>
      </c>
      <c r="G2532">
        <v>60486</v>
      </c>
      <c r="H2532">
        <v>6412</v>
      </c>
      <c r="I2532" s="25" t="s">
        <v>2046</v>
      </c>
      <c r="J2532" t="s">
        <v>4077</v>
      </c>
      <c r="M2532" s="49"/>
    </row>
    <row r="2533" spans="6:13" x14ac:dyDescent="0.25">
      <c r="F2533" t="s">
        <v>4078</v>
      </c>
      <c r="G2533">
        <v>60326</v>
      </c>
      <c r="H2533">
        <v>6412</v>
      </c>
      <c r="I2533" s="25" t="s">
        <v>2046</v>
      </c>
      <c r="J2533" t="s">
        <v>4077</v>
      </c>
      <c r="M2533" s="49"/>
    </row>
    <row r="2534" spans="6:13" x14ac:dyDescent="0.25">
      <c r="F2534" t="s">
        <v>4078</v>
      </c>
      <c r="G2534">
        <v>60598</v>
      </c>
      <c r="H2534">
        <v>6412</v>
      </c>
      <c r="I2534" s="25" t="s">
        <v>2046</v>
      </c>
      <c r="J2534" t="s">
        <v>4077</v>
      </c>
      <c r="M2534" s="49"/>
    </row>
    <row r="2535" spans="6:13" x14ac:dyDescent="0.25">
      <c r="F2535" t="s">
        <v>4078</v>
      </c>
      <c r="G2535">
        <v>60549</v>
      </c>
      <c r="H2535">
        <v>6412</v>
      </c>
      <c r="I2535" s="25" t="s">
        <v>2046</v>
      </c>
      <c r="J2535" t="s">
        <v>4077</v>
      </c>
      <c r="M2535" s="49"/>
    </row>
    <row r="2536" spans="6:13" x14ac:dyDescent="0.25">
      <c r="F2536" t="s">
        <v>4079</v>
      </c>
      <c r="G2536">
        <v>60310</v>
      </c>
      <c r="H2536">
        <v>6412</v>
      </c>
      <c r="I2536" s="25" t="s">
        <v>2046</v>
      </c>
      <c r="J2536" t="s">
        <v>4077</v>
      </c>
      <c r="M2536" s="49"/>
    </row>
    <row r="2537" spans="6:13" x14ac:dyDescent="0.25">
      <c r="F2537" t="s">
        <v>4080</v>
      </c>
      <c r="G2537">
        <v>60306</v>
      </c>
      <c r="H2537">
        <v>6412</v>
      </c>
      <c r="I2537" s="25" t="s">
        <v>2046</v>
      </c>
      <c r="J2537" t="s">
        <v>4077</v>
      </c>
      <c r="M2537" s="49"/>
    </row>
    <row r="2538" spans="6:13" x14ac:dyDescent="0.25">
      <c r="F2538" t="s">
        <v>4081</v>
      </c>
      <c r="G2538">
        <v>15232</v>
      </c>
      <c r="H2538">
        <v>12053</v>
      </c>
      <c r="I2538" s="25" t="s">
        <v>2356</v>
      </c>
      <c r="J2538" t="s">
        <v>2133</v>
      </c>
      <c r="M2538" s="49"/>
    </row>
    <row r="2539" spans="6:13" x14ac:dyDescent="0.25">
      <c r="F2539" t="s">
        <v>4081</v>
      </c>
      <c r="G2539">
        <v>15230</v>
      </c>
      <c r="H2539">
        <v>12053</v>
      </c>
      <c r="I2539" s="25" t="s">
        <v>2356</v>
      </c>
      <c r="J2539" t="s">
        <v>2133</v>
      </c>
      <c r="M2539" s="49"/>
    </row>
    <row r="2540" spans="6:13" x14ac:dyDescent="0.25">
      <c r="F2540" t="s">
        <v>4081</v>
      </c>
      <c r="G2540">
        <v>15234</v>
      </c>
      <c r="H2540">
        <v>12053</v>
      </c>
      <c r="I2540" s="25" t="s">
        <v>2356</v>
      </c>
      <c r="J2540" t="s">
        <v>2133</v>
      </c>
      <c r="M2540" s="49"/>
    </row>
    <row r="2541" spans="6:13" x14ac:dyDescent="0.25">
      <c r="F2541" t="s">
        <v>4082</v>
      </c>
      <c r="G2541">
        <v>64407</v>
      </c>
      <c r="H2541">
        <v>6437</v>
      </c>
      <c r="I2541" s="25" t="s">
        <v>2046</v>
      </c>
      <c r="J2541" t="s">
        <v>2674</v>
      </c>
      <c r="M2541" s="49"/>
    </row>
    <row r="2542" spans="6:13" x14ac:dyDescent="0.25">
      <c r="F2542" t="s">
        <v>4083</v>
      </c>
      <c r="G2542">
        <v>6259</v>
      </c>
      <c r="H2542">
        <v>15088</v>
      </c>
      <c r="I2542" s="25" t="s">
        <v>2241</v>
      </c>
      <c r="J2542" t="s">
        <v>2344</v>
      </c>
      <c r="M2542" s="49"/>
    </row>
    <row r="2543" spans="6:13" x14ac:dyDescent="0.25">
      <c r="F2543" t="s">
        <v>4084</v>
      </c>
      <c r="G2543">
        <v>76833</v>
      </c>
      <c r="H2543">
        <v>7337</v>
      </c>
      <c r="I2543" s="25" t="s">
        <v>2123</v>
      </c>
      <c r="J2543" t="s">
        <v>2256</v>
      </c>
      <c r="M2543" s="49"/>
    </row>
    <row r="2544" spans="6:13" x14ac:dyDescent="0.25">
      <c r="F2544" t="s">
        <v>4085</v>
      </c>
      <c r="G2544">
        <v>18461</v>
      </c>
      <c r="H2544">
        <v>13073</v>
      </c>
      <c r="I2544" s="25" t="s">
        <v>2191</v>
      </c>
      <c r="J2544" t="s">
        <v>2192</v>
      </c>
      <c r="M2544" s="49"/>
    </row>
    <row r="2545" spans="6:13" x14ac:dyDescent="0.25">
      <c r="F2545" t="s">
        <v>4086</v>
      </c>
      <c r="G2545">
        <v>83112</v>
      </c>
      <c r="H2545">
        <v>9187</v>
      </c>
      <c r="I2545" s="25" t="s">
        <v>2050</v>
      </c>
      <c r="J2545" t="s">
        <v>2245</v>
      </c>
      <c r="M2545" s="49"/>
    </row>
    <row r="2546" spans="6:13" x14ac:dyDescent="0.25">
      <c r="F2546" t="s">
        <v>4087</v>
      </c>
      <c r="G2546">
        <v>94258</v>
      </c>
      <c r="H2546">
        <v>9276</v>
      </c>
      <c r="I2546" s="25" t="s">
        <v>2050</v>
      </c>
      <c r="J2546" t="s">
        <v>2078</v>
      </c>
      <c r="M2546" s="49"/>
    </row>
    <row r="2547" spans="6:13" x14ac:dyDescent="0.25">
      <c r="F2547" t="s">
        <v>4088</v>
      </c>
      <c r="G2547">
        <v>83553</v>
      </c>
      <c r="H2547">
        <v>9175</v>
      </c>
      <c r="I2547" s="25" t="s">
        <v>2050</v>
      </c>
      <c r="J2547" t="s">
        <v>2500</v>
      </c>
      <c r="M2547" s="49"/>
    </row>
    <row r="2548" spans="6:13" x14ac:dyDescent="0.25">
      <c r="F2548" t="s">
        <v>4089</v>
      </c>
      <c r="G2548">
        <v>9623</v>
      </c>
      <c r="H2548">
        <v>14522</v>
      </c>
      <c r="I2548" s="25" t="s">
        <v>2135</v>
      </c>
      <c r="J2548" t="s">
        <v>2100</v>
      </c>
      <c r="M2548" s="49"/>
    </row>
    <row r="2549" spans="6:13" x14ac:dyDescent="0.25">
      <c r="F2549" t="s">
        <v>4090</v>
      </c>
      <c r="G2549">
        <v>85447</v>
      </c>
      <c r="H2549">
        <v>9177</v>
      </c>
      <c r="I2549" s="25" t="s">
        <v>2050</v>
      </c>
      <c r="J2549" t="s">
        <v>2915</v>
      </c>
      <c r="M2549" s="49"/>
    </row>
    <row r="2550" spans="6:13" x14ac:dyDescent="0.25">
      <c r="F2550" t="s">
        <v>4091</v>
      </c>
      <c r="G2550">
        <v>8427</v>
      </c>
      <c r="H2550">
        <v>14524</v>
      </c>
      <c r="I2550" s="25" t="s">
        <v>2135</v>
      </c>
      <c r="J2550" t="s">
        <v>3424</v>
      </c>
      <c r="M2550" s="49"/>
    </row>
    <row r="2551" spans="6:13" x14ac:dyDescent="0.25">
      <c r="F2551" t="s">
        <v>4092</v>
      </c>
      <c r="G2551">
        <v>50226</v>
      </c>
      <c r="H2551">
        <v>5362</v>
      </c>
      <c r="I2551" s="25" t="s">
        <v>2023</v>
      </c>
      <c r="J2551" t="s">
        <v>2326</v>
      </c>
      <c r="M2551" s="49"/>
    </row>
    <row r="2552" spans="6:13" x14ac:dyDescent="0.25">
      <c r="F2552" t="s">
        <v>4093</v>
      </c>
      <c r="G2552">
        <v>31084</v>
      </c>
      <c r="H2552">
        <v>3254</v>
      </c>
      <c r="I2552" s="25" t="s">
        <v>2074</v>
      </c>
      <c r="J2552" t="s">
        <v>2196</v>
      </c>
      <c r="M2552" s="49"/>
    </row>
    <row r="2553" spans="6:13" x14ac:dyDescent="0.25">
      <c r="F2553" t="s">
        <v>4093</v>
      </c>
      <c r="G2553">
        <v>31084</v>
      </c>
      <c r="H2553">
        <v>3254</v>
      </c>
      <c r="I2553" s="25" t="s">
        <v>2074</v>
      </c>
      <c r="J2553" t="s">
        <v>2196</v>
      </c>
      <c r="M2553" s="49"/>
    </row>
    <row r="2554" spans="6:13" x14ac:dyDescent="0.25">
      <c r="F2554" t="s">
        <v>4094</v>
      </c>
      <c r="G2554">
        <v>21717</v>
      </c>
      <c r="H2554">
        <v>3359</v>
      </c>
      <c r="I2554" s="25" t="s">
        <v>2074</v>
      </c>
      <c r="J2554" t="s">
        <v>2158</v>
      </c>
      <c r="M2554" s="49"/>
    </row>
    <row r="2555" spans="6:13" x14ac:dyDescent="0.25">
      <c r="F2555" t="s">
        <v>4095</v>
      </c>
      <c r="G2555">
        <v>15370</v>
      </c>
      <c r="H2555">
        <v>12064</v>
      </c>
      <c r="I2555" s="25" t="s">
        <v>2356</v>
      </c>
      <c r="J2555" t="s">
        <v>2243</v>
      </c>
      <c r="M2555" s="49"/>
    </row>
    <row r="2556" spans="6:13" x14ac:dyDescent="0.25">
      <c r="F2556" t="s">
        <v>4096</v>
      </c>
      <c r="G2556">
        <v>79348</v>
      </c>
      <c r="H2556">
        <v>8316</v>
      </c>
      <c r="I2556" s="25" t="s">
        <v>2018</v>
      </c>
      <c r="J2556" t="s">
        <v>2764</v>
      </c>
      <c r="M2556" s="49"/>
    </row>
    <row r="2557" spans="6:13" x14ac:dyDescent="0.25">
      <c r="F2557" t="s">
        <v>2137</v>
      </c>
      <c r="G2557">
        <v>9599</v>
      </c>
      <c r="H2557">
        <v>14522</v>
      </c>
      <c r="I2557" s="25" t="s">
        <v>2135</v>
      </c>
      <c r="J2557" t="s">
        <v>2100</v>
      </c>
      <c r="M2557" s="49"/>
    </row>
    <row r="2558" spans="6:13" x14ac:dyDescent="0.25">
      <c r="F2558" t="s">
        <v>4097</v>
      </c>
      <c r="G2558">
        <v>71691</v>
      </c>
      <c r="H2558">
        <v>8118</v>
      </c>
      <c r="I2558" s="25" t="s">
        <v>2018</v>
      </c>
      <c r="J2558" t="s">
        <v>2142</v>
      </c>
      <c r="M2558" s="49"/>
    </row>
    <row r="2559" spans="6:13" x14ac:dyDescent="0.25">
      <c r="F2559" t="s">
        <v>4098</v>
      </c>
      <c r="G2559">
        <v>21729</v>
      </c>
      <c r="H2559">
        <v>3359</v>
      </c>
      <c r="I2559" s="25" t="s">
        <v>2074</v>
      </c>
      <c r="J2559" t="s">
        <v>2158</v>
      </c>
      <c r="M2559" s="49"/>
    </row>
    <row r="2560" spans="6:13" x14ac:dyDescent="0.25">
      <c r="F2560" t="s">
        <v>4099</v>
      </c>
      <c r="G2560">
        <v>79106</v>
      </c>
      <c r="H2560">
        <v>8311</v>
      </c>
      <c r="I2560" s="25" t="s">
        <v>2018</v>
      </c>
      <c r="J2560" t="s">
        <v>4100</v>
      </c>
      <c r="M2560" s="49"/>
    </row>
    <row r="2561" spans="6:13" x14ac:dyDescent="0.25">
      <c r="F2561" t="s">
        <v>4099</v>
      </c>
      <c r="G2561">
        <v>79106</v>
      </c>
      <c r="H2561">
        <v>8311</v>
      </c>
      <c r="I2561" s="25" t="s">
        <v>2018</v>
      </c>
      <c r="J2561" t="s">
        <v>4100</v>
      </c>
      <c r="M2561" s="49"/>
    </row>
    <row r="2562" spans="6:13" x14ac:dyDescent="0.25">
      <c r="F2562" t="s">
        <v>4099</v>
      </c>
      <c r="G2562">
        <v>79115</v>
      </c>
      <c r="H2562">
        <v>8311</v>
      </c>
      <c r="I2562" s="25" t="s">
        <v>2018</v>
      </c>
      <c r="J2562" t="s">
        <v>4100</v>
      </c>
      <c r="M2562" s="49"/>
    </row>
    <row r="2563" spans="6:13" x14ac:dyDescent="0.25">
      <c r="F2563" t="s">
        <v>4099</v>
      </c>
      <c r="G2563">
        <v>79102</v>
      </c>
      <c r="H2563">
        <v>8311</v>
      </c>
      <c r="I2563" s="25" t="s">
        <v>2018</v>
      </c>
      <c r="J2563" t="s">
        <v>4100</v>
      </c>
      <c r="M2563" s="49"/>
    </row>
    <row r="2564" spans="6:13" x14ac:dyDescent="0.25">
      <c r="F2564" t="s">
        <v>4099</v>
      </c>
      <c r="G2564">
        <v>79108</v>
      </c>
      <c r="H2564">
        <v>8311</v>
      </c>
      <c r="I2564" s="25" t="s">
        <v>2018</v>
      </c>
      <c r="J2564" t="s">
        <v>4100</v>
      </c>
      <c r="M2564" s="49"/>
    </row>
    <row r="2565" spans="6:13" x14ac:dyDescent="0.25">
      <c r="F2565" t="s">
        <v>4099</v>
      </c>
      <c r="G2565">
        <v>79100</v>
      </c>
      <c r="H2565">
        <v>8311</v>
      </c>
      <c r="I2565" s="25" t="s">
        <v>2018</v>
      </c>
      <c r="J2565" t="s">
        <v>4100</v>
      </c>
      <c r="M2565" s="49"/>
    </row>
    <row r="2566" spans="6:13" x14ac:dyDescent="0.25">
      <c r="F2566" t="s">
        <v>4099</v>
      </c>
      <c r="G2566">
        <v>79117</v>
      </c>
      <c r="H2566">
        <v>8311</v>
      </c>
      <c r="I2566" s="25" t="s">
        <v>2018</v>
      </c>
      <c r="J2566" t="s">
        <v>4100</v>
      </c>
      <c r="M2566" s="49"/>
    </row>
    <row r="2567" spans="6:13" x14ac:dyDescent="0.25">
      <c r="F2567" t="s">
        <v>4099</v>
      </c>
      <c r="G2567">
        <v>79110</v>
      </c>
      <c r="H2567">
        <v>8311</v>
      </c>
      <c r="I2567" s="25" t="s">
        <v>2018</v>
      </c>
      <c r="J2567" t="s">
        <v>4100</v>
      </c>
      <c r="M2567" s="49"/>
    </row>
    <row r="2568" spans="6:13" x14ac:dyDescent="0.25">
      <c r="F2568" t="s">
        <v>4099</v>
      </c>
      <c r="G2568">
        <v>79098</v>
      </c>
      <c r="H2568">
        <v>8311</v>
      </c>
      <c r="I2568" s="25" t="s">
        <v>2018</v>
      </c>
      <c r="J2568" t="s">
        <v>4100</v>
      </c>
      <c r="M2568" s="49"/>
    </row>
    <row r="2569" spans="6:13" x14ac:dyDescent="0.25">
      <c r="F2569" t="s">
        <v>4099</v>
      </c>
      <c r="G2569">
        <v>79108</v>
      </c>
      <c r="H2569">
        <v>8311</v>
      </c>
      <c r="I2569" s="25" t="s">
        <v>2018</v>
      </c>
      <c r="J2569" t="s">
        <v>4100</v>
      </c>
      <c r="M2569" s="49"/>
    </row>
    <row r="2570" spans="6:13" x14ac:dyDescent="0.25">
      <c r="F2570" t="s">
        <v>4099</v>
      </c>
      <c r="G2570">
        <v>79115</v>
      </c>
      <c r="H2570">
        <v>8311</v>
      </c>
      <c r="I2570" s="25" t="s">
        <v>2018</v>
      </c>
      <c r="J2570" t="s">
        <v>4100</v>
      </c>
      <c r="M2570" s="49"/>
    </row>
    <row r="2571" spans="6:13" x14ac:dyDescent="0.25">
      <c r="F2571" t="s">
        <v>4099</v>
      </c>
      <c r="G2571">
        <v>79112</v>
      </c>
      <c r="H2571">
        <v>8311</v>
      </c>
      <c r="I2571" s="25" t="s">
        <v>2018</v>
      </c>
      <c r="J2571" t="s">
        <v>4100</v>
      </c>
      <c r="M2571" s="49"/>
    </row>
    <row r="2572" spans="6:13" x14ac:dyDescent="0.25">
      <c r="F2572" t="s">
        <v>4099</v>
      </c>
      <c r="G2572">
        <v>79106</v>
      </c>
      <c r="H2572">
        <v>8311</v>
      </c>
      <c r="I2572" s="25" t="s">
        <v>2018</v>
      </c>
      <c r="J2572" t="s">
        <v>4100</v>
      </c>
      <c r="M2572" s="49"/>
    </row>
    <row r="2573" spans="6:13" x14ac:dyDescent="0.25">
      <c r="F2573" t="s">
        <v>4099</v>
      </c>
      <c r="G2573">
        <v>79106</v>
      </c>
      <c r="H2573">
        <v>8311</v>
      </c>
      <c r="I2573" s="25" t="s">
        <v>2018</v>
      </c>
      <c r="J2573" t="s">
        <v>4100</v>
      </c>
      <c r="M2573" s="49"/>
    </row>
    <row r="2574" spans="6:13" x14ac:dyDescent="0.25">
      <c r="F2574" t="s">
        <v>4099</v>
      </c>
      <c r="G2574">
        <v>79117</v>
      </c>
      <c r="H2574">
        <v>8311</v>
      </c>
      <c r="I2574" s="25" t="s">
        <v>2018</v>
      </c>
      <c r="J2574" t="s">
        <v>4100</v>
      </c>
      <c r="M2574" s="49"/>
    </row>
    <row r="2575" spans="6:13" x14ac:dyDescent="0.25">
      <c r="F2575" t="s">
        <v>4099</v>
      </c>
      <c r="G2575">
        <v>79114</v>
      </c>
      <c r="H2575">
        <v>8311</v>
      </c>
      <c r="I2575" s="25" t="s">
        <v>2018</v>
      </c>
      <c r="J2575" t="s">
        <v>4100</v>
      </c>
      <c r="M2575" s="49"/>
    </row>
    <row r="2576" spans="6:13" x14ac:dyDescent="0.25">
      <c r="F2576" t="s">
        <v>4099</v>
      </c>
      <c r="G2576">
        <v>79104</v>
      </c>
      <c r="H2576">
        <v>8311</v>
      </c>
      <c r="I2576" s="25" t="s">
        <v>2018</v>
      </c>
      <c r="J2576" t="s">
        <v>4100</v>
      </c>
      <c r="M2576" s="49"/>
    </row>
    <row r="2577" spans="6:13" x14ac:dyDescent="0.25">
      <c r="F2577" t="s">
        <v>4099</v>
      </c>
      <c r="G2577">
        <v>79110</v>
      </c>
      <c r="H2577">
        <v>8311</v>
      </c>
      <c r="I2577" s="25" t="s">
        <v>2018</v>
      </c>
      <c r="J2577" t="s">
        <v>4100</v>
      </c>
      <c r="M2577" s="49"/>
    </row>
    <row r="2578" spans="6:13" x14ac:dyDescent="0.25">
      <c r="F2578" t="s">
        <v>4099</v>
      </c>
      <c r="G2578">
        <v>79111</v>
      </c>
      <c r="H2578">
        <v>8311</v>
      </c>
      <c r="I2578" s="25" t="s">
        <v>2018</v>
      </c>
      <c r="J2578" t="s">
        <v>4100</v>
      </c>
      <c r="M2578" s="49"/>
    </row>
    <row r="2579" spans="6:13" x14ac:dyDescent="0.25">
      <c r="F2579" t="s">
        <v>4099</v>
      </c>
      <c r="G2579">
        <v>79106</v>
      </c>
      <c r="H2579">
        <v>8311</v>
      </c>
      <c r="I2579" s="25" t="s">
        <v>2018</v>
      </c>
      <c r="J2579" t="s">
        <v>4100</v>
      </c>
      <c r="M2579" s="49"/>
    </row>
    <row r="2580" spans="6:13" x14ac:dyDescent="0.25">
      <c r="F2580" t="s">
        <v>4101</v>
      </c>
      <c r="G2580">
        <v>36399</v>
      </c>
      <c r="H2580">
        <v>6535</v>
      </c>
      <c r="I2580" s="25" t="s">
        <v>2046</v>
      </c>
      <c r="J2580" t="s">
        <v>2346</v>
      </c>
      <c r="M2580" s="49"/>
    </row>
    <row r="2581" spans="6:13" x14ac:dyDescent="0.25">
      <c r="F2581" t="s">
        <v>4102</v>
      </c>
      <c r="G2581">
        <v>63579</v>
      </c>
      <c r="H2581">
        <v>6435</v>
      </c>
      <c r="I2581" s="25" t="s">
        <v>2046</v>
      </c>
      <c r="J2581" t="s">
        <v>2703</v>
      </c>
      <c r="M2581" s="49"/>
    </row>
    <row r="2582" spans="6:13" x14ac:dyDescent="0.25">
      <c r="F2582" t="s">
        <v>4103</v>
      </c>
      <c r="G2582">
        <v>92271</v>
      </c>
      <c r="H2582">
        <v>9371</v>
      </c>
      <c r="I2582" s="25" t="s">
        <v>2050</v>
      </c>
      <c r="J2582" t="s">
        <v>2469</v>
      </c>
      <c r="M2582" s="49"/>
    </row>
    <row r="2583" spans="6:13" x14ac:dyDescent="0.25">
      <c r="F2583" t="s">
        <v>4104</v>
      </c>
      <c r="G2583">
        <v>83395</v>
      </c>
      <c r="H2583">
        <v>9172</v>
      </c>
      <c r="I2583" s="25" t="s">
        <v>2050</v>
      </c>
      <c r="J2583" t="s">
        <v>2042</v>
      </c>
      <c r="M2583" s="49"/>
    </row>
    <row r="2584" spans="6:13" x14ac:dyDescent="0.25">
      <c r="F2584" t="s">
        <v>4105</v>
      </c>
      <c r="G2584">
        <v>56244</v>
      </c>
      <c r="H2584">
        <v>7143</v>
      </c>
      <c r="I2584" s="25" t="s">
        <v>2123</v>
      </c>
      <c r="J2584" t="s">
        <v>2331</v>
      </c>
      <c r="M2584" s="49"/>
    </row>
    <row r="2585" spans="6:13" x14ac:dyDescent="0.25">
      <c r="F2585" t="s">
        <v>4105</v>
      </c>
      <c r="G2585">
        <v>56244</v>
      </c>
      <c r="H2585">
        <v>7143</v>
      </c>
      <c r="I2585" s="25" t="s">
        <v>2123</v>
      </c>
      <c r="J2585" t="s">
        <v>2331</v>
      </c>
      <c r="M2585" s="49"/>
    </row>
    <row r="2586" spans="6:13" x14ac:dyDescent="0.25">
      <c r="F2586" t="s">
        <v>4105</v>
      </c>
      <c r="G2586">
        <v>56244</v>
      </c>
      <c r="H2586">
        <v>7143</v>
      </c>
      <c r="I2586" s="25" t="s">
        <v>2123</v>
      </c>
      <c r="J2586" t="s">
        <v>2331</v>
      </c>
      <c r="M2586" s="49"/>
    </row>
    <row r="2587" spans="6:13" x14ac:dyDescent="0.25">
      <c r="F2587" t="s">
        <v>4106</v>
      </c>
      <c r="G2587">
        <v>67251</v>
      </c>
      <c r="H2587">
        <v>7332</v>
      </c>
      <c r="I2587" s="25" t="s">
        <v>2123</v>
      </c>
      <c r="J2587" t="s">
        <v>2440</v>
      </c>
      <c r="M2587" s="49"/>
    </row>
    <row r="2588" spans="6:13" x14ac:dyDescent="0.25">
      <c r="F2588" t="s">
        <v>4107</v>
      </c>
      <c r="G2588">
        <v>67361</v>
      </c>
      <c r="H2588">
        <v>7334</v>
      </c>
      <c r="I2588" s="25" t="s">
        <v>2123</v>
      </c>
      <c r="J2588" t="s">
        <v>2873</v>
      </c>
      <c r="M2588" s="49"/>
    </row>
    <row r="2589" spans="6:13" x14ac:dyDescent="0.25">
      <c r="F2589" t="s">
        <v>4108</v>
      </c>
      <c r="G2589">
        <v>66629</v>
      </c>
      <c r="H2589">
        <v>10046</v>
      </c>
      <c r="I2589" s="25" t="s">
        <v>2849</v>
      </c>
      <c r="J2589" t="s">
        <v>2375</v>
      </c>
      <c r="M2589" s="49"/>
    </row>
    <row r="2590" spans="6:13" x14ac:dyDescent="0.25">
      <c r="F2590" t="s">
        <v>2315</v>
      </c>
      <c r="G2590">
        <v>85354</v>
      </c>
      <c r="H2590">
        <v>9178</v>
      </c>
      <c r="I2590" s="25" t="s">
        <v>2050</v>
      </c>
      <c r="J2590" t="s">
        <v>2315</v>
      </c>
      <c r="M2590" s="49"/>
    </row>
    <row r="2591" spans="6:13" x14ac:dyDescent="0.25">
      <c r="F2591" t="s">
        <v>2315</v>
      </c>
      <c r="G2591">
        <v>85356</v>
      </c>
      <c r="H2591">
        <v>9178</v>
      </c>
      <c r="I2591" s="25" t="s">
        <v>2050</v>
      </c>
      <c r="J2591" t="s">
        <v>2315</v>
      </c>
      <c r="M2591" s="49"/>
    </row>
    <row r="2592" spans="6:13" x14ac:dyDescent="0.25">
      <c r="F2592" t="s">
        <v>4109</v>
      </c>
      <c r="G2592">
        <v>27259</v>
      </c>
      <c r="H2592">
        <v>3251</v>
      </c>
      <c r="I2592" s="25" t="s">
        <v>2074</v>
      </c>
      <c r="J2592" t="s">
        <v>2094</v>
      </c>
      <c r="M2592" s="49"/>
    </row>
    <row r="2593" spans="6:13" x14ac:dyDescent="0.25">
      <c r="F2593" t="s">
        <v>4110</v>
      </c>
      <c r="G2593">
        <v>1705</v>
      </c>
      <c r="H2593">
        <v>14628</v>
      </c>
      <c r="I2593" s="25" t="s">
        <v>2135</v>
      </c>
      <c r="J2593" t="s">
        <v>2347</v>
      </c>
      <c r="M2593" s="49"/>
    </row>
    <row r="2594" spans="6:13" x14ac:dyDescent="0.25">
      <c r="F2594" t="s">
        <v>4111</v>
      </c>
      <c r="G2594">
        <v>86742</v>
      </c>
      <c r="H2594">
        <v>9779</v>
      </c>
      <c r="I2594" s="25" t="s">
        <v>2050</v>
      </c>
      <c r="J2594" t="s">
        <v>2280</v>
      </c>
      <c r="M2594" s="49"/>
    </row>
    <row r="2595" spans="6:13" x14ac:dyDescent="0.25">
      <c r="F2595" t="s">
        <v>4112</v>
      </c>
      <c r="G2595">
        <v>96158</v>
      </c>
      <c r="H2595">
        <v>9471</v>
      </c>
      <c r="I2595" s="25" t="s">
        <v>2050</v>
      </c>
      <c r="J2595" t="s">
        <v>2392</v>
      </c>
      <c r="M2595" s="49"/>
    </row>
    <row r="2596" spans="6:13" x14ac:dyDescent="0.25">
      <c r="F2596" t="s">
        <v>4113</v>
      </c>
      <c r="G2596">
        <v>57258</v>
      </c>
      <c r="H2596">
        <v>5970</v>
      </c>
      <c r="I2596" s="25" t="s">
        <v>2023</v>
      </c>
      <c r="J2596" t="s">
        <v>2366</v>
      </c>
      <c r="M2596" s="49"/>
    </row>
    <row r="2597" spans="6:13" x14ac:dyDescent="0.25">
      <c r="F2597" t="s">
        <v>4113</v>
      </c>
      <c r="G2597">
        <v>92272</v>
      </c>
      <c r="H2597">
        <v>9371</v>
      </c>
      <c r="I2597" s="25" t="s">
        <v>2050</v>
      </c>
      <c r="J2597" t="s">
        <v>2469</v>
      </c>
      <c r="M2597" s="49"/>
    </row>
    <row r="2598" spans="6:13" x14ac:dyDescent="0.25">
      <c r="F2598" t="s">
        <v>4114</v>
      </c>
      <c r="G2598">
        <v>97896</v>
      </c>
      <c r="H2598">
        <v>8128</v>
      </c>
      <c r="I2598" s="25" t="s">
        <v>2018</v>
      </c>
      <c r="J2598" t="s">
        <v>2175</v>
      </c>
      <c r="M2598" s="49"/>
    </row>
    <row r="2599" spans="6:13" x14ac:dyDescent="0.25">
      <c r="F2599" t="s">
        <v>4114</v>
      </c>
      <c r="G2599">
        <v>97896</v>
      </c>
      <c r="H2599">
        <v>9676</v>
      </c>
      <c r="I2599" s="25" t="s">
        <v>2050</v>
      </c>
      <c r="J2599" t="s">
        <v>2381</v>
      </c>
      <c r="M2599" s="49"/>
    </row>
    <row r="2600" spans="6:13" x14ac:dyDescent="0.25">
      <c r="F2600" t="s">
        <v>4115</v>
      </c>
      <c r="G2600">
        <v>54450</v>
      </c>
      <c r="H2600">
        <v>7235</v>
      </c>
      <c r="I2600" s="25" t="s">
        <v>2123</v>
      </c>
      <c r="J2600" t="s">
        <v>2395</v>
      </c>
      <c r="M2600" s="49"/>
    </row>
    <row r="2601" spans="6:13" x14ac:dyDescent="0.25">
      <c r="F2601" t="s">
        <v>2336</v>
      </c>
      <c r="G2601">
        <v>72250</v>
      </c>
      <c r="H2601">
        <v>8237</v>
      </c>
      <c r="I2601" s="25" t="s">
        <v>2018</v>
      </c>
      <c r="J2601" t="s">
        <v>2336</v>
      </c>
      <c r="M2601" s="49"/>
    </row>
    <row r="2602" spans="6:13" x14ac:dyDescent="0.25">
      <c r="F2602" t="s">
        <v>2336</v>
      </c>
      <c r="G2602">
        <v>72250</v>
      </c>
      <c r="H2602">
        <v>8237</v>
      </c>
      <c r="I2602" s="25" t="s">
        <v>2018</v>
      </c>
      <c r="J2602" t="s">
        <v>2336</v>
      </c>
      <c r="M2602" s="49"/>
    </row>
    <row r="2603" spans="6:13" x14ac:dyDescent="0.25">
      <c r="F2603" t="s">
        <v>2336</v>
      </c>
      <c r="G2603">
        <v>72250</v>
      </c>
      <c r="H2603">
        <v>8317</v>
      </c>
      <c r="I2603" s="25" t="s">
        <v>2018</v>
      </c>
      <c r="J2603" t="s">
        <v>2071</v>
      </c>
      <c r="M2603" s="49"/>
    </row>
    <row r="2604" spans="6:13" x14ac:dyDescent="0.25">
      <c r="F2604" t="s">
        <v>2336</v>
      </c>
      <c r="G2604">
        <v>72250</v>
      </c>
      <c r="H2604">
        <v>8317</v>
      </c>
      <c r="I2604" s="25" t="s">
        <v>2018</v>
      </c>
      <c r="J2604" t="s">
        <v>2071</v>
      </c>
      <c r="M2604" s="49"/>
    </row>
    <row r="2605" spans="6:13" x14ac:dyDescent="0.25">
      <c r="F2605" t="s">
        <v>4116</v>
      </c>
      <c r="G2605">
        <v>74392</v>
      </c>
      <c r="H2605">
        <v>8118</v>
      </c>
      <c r="I2605" s="25" t="s">
        <v>2018</v>
      </c>
      <c r="J2605" t="s">
        <v>2142</v>
      </c>
      <c r="M2605" s="49"/>
    </row>
    <row r="2606" spans="6:13" x14ac:dyDescent="0.25">
      <c r="F2606" t="s">
        <v>4117</v>
      </c>
      <c r="G2606">
        <v>6632</v>
      </c>
      <c r="H2606">
        <v>15084</v>
      </c>
      <c r="I2606" s="25" t="s">
        <v>2241</v>
      </c>
      <c r="J2606" t="s">
        <v>2615</v>
      </c>
      <c r="M2606" s="49"/>
    </row>
    <row r="2607" spans="6:13" x14ac:dyDescent="0.25">
      <c r="F2607" t="s">
        <v>4117</v>
      </c>
      <c r="G2607">
        <v>6632</v>
      </c>
      <c r="H2607">
        <v>15088</v>
      </c>
      <c r="I2607" s="25" t="s">
        <v>2241</v>
      </c>
      <c r="J2607" t="s">
        <v>2344</v>
      </c>
      <c r="M2607" s="49"/>
    </row>
    <row r="2608" spans="6:13" x14ac:dyDescent="0.25">
      <c r="F2608" t="s">
        <v>4118</v>
      </c>
      <c r="G2608">
        <v>92342</v>
      </c>
      <c r="H2608">
        <v>9373</v>
      </c>
      <c r="I2608" s="25" t="s">
        <v>2050</v>
      </c>
      <c r="J2608" t="s">
        <v>2891</v>
      </c>
      <c r="M2608" s="49"/>
    </row>
    <row r="2609" spans="6:13" x14ac:dyDescent="0.25">
      <c r="F2609" t="s">
        <v>4119</v>
      </c>
      <c r="G2609">
        <v>94078</v>
      </c>
      <c r="H2609">
        <v>9272</v>
      </c>
      <c r="I2609" s="25" t="s">
        <v>2050</v>
      </c>
      <c r="J2609" t="s">
        <v>2140</v>
      </c>
      <c r="M2609" s="49"/>
    </row>
    <row r="2610" spans="6:13" x14ac:dyDescent="0.25">
      <c r="F2610" t="s">
        <v>4120</v>
      </c>
      <c r="G2610">
        <v>72636</v>
      </c>
      <c r="H2610">
        <v>8116</v>
      </c>
      <c r="I2610" s="25" t="s">
        <v>2018</v>
      </c>
      <c r="J2610" t="s">
        <v>2213</v>
      </c>
      <c r="M2610" s="49"/>
    </row>
    <row r="2611" spans="6:13" x14ac:dyDescent="0.25">
      <c r="F2611" t="s">
        <v>4120</v>
      </c>
      <c r="G2611">
        <v>97252</v>
      </c>
      <c r="H2611">
        <v>9679</v>
      </c>
      <c r="I2611" s="25" t="s">
        <v>2050</v>
      </c>
      <c r="J2611" t="s">
        <v>2428</v>
      </c>
      <c r="M2611" s="49"/>
    </row>
    <row r="2612" spans="6:13" x14ac:dyDescent="0.25">
      <c r="F2612" t="s">
        <v>4121</v>
      </c>
      <c r="G2612">
        <v>88699</v>
      </c>
      <c r="H2612">
        <v>8435</v>
      </c>
      <c r="I2612" s="25" t="s">
        <v>2018</v>
      </c>
      <c r="J2612" t="s">
        <v>3011</v>
      </c>
      <c r="M2612" s="49"/>
    </row>
    <row r="2613" spans="6:13" x14ac:dyDescent="0.25">
      <c r="F2613" t="s">
        <v>4122</v>
      </c>
      <c r="G2613">
        <v>78567</v>
      </c>
      <c r="H2613">
        <v>8327</v>
      </c>
      <c r="I2613" s="25" t="s">
        <v>2018</v>
      </c>
      <c r="J2613" t="s">
        <v>2277</v>
      </c>
      <c r="M2613" s="49"/>
    </row>
    <row r="2614" spans="6:13" x14ac:dyDescent="0.25">
      <c r="F2614" t="s">
        <v>4123</v>
      </c>
      <c r="G2614">
        <v>83413</v>
      </c>
      <c r="H2614">
        <v>9189</v>
      </c>
      <c r="I2614" s="25" t="s">
        <v>2050</v>
      </c>
      <c r="J2614" t="s">
        <v>2407</v>
      </c>
      <c r="M2614" s="49"/>
    </row>
    <row r="2615" spans="6:13" x14ac:dyDescent="0.25">
      <c r="F2615" t="s">
        <v>4124</v>
      </c>
      <c r="G2615">
        <v>86316</v>
      </c>
      <c r="H2615">
        <v>9771</v>
      </c>
      <c r="I2615" s="25" t="s">
        <v>2050</v>
      </c>
      <c r="J2615" t="s">
        <v>2120</v>
      </c>
      <c r="M2615" s="49"/>
    </row>
    <row r="2616" spans="6:13" x14ac:dyDescent="0.25">
      <c r="F2616" t="s">
        <v>4125</v>
      </c>
      <c r="G2616">
        <v>61169</v>
      </c>
      <c r="H2616">
        <v>6440</v>
      </c>
      <c r="I2616" s="25" t="s">
        <v>2046</v>
      </c>
      <c r="J2616" t="s">
        <v>2415</v>
      </c>
      <c r="M2616" s="49"/>
    </row>
    <row r="2617" spans="6:13" x14ac:dyDescent="0.25">
      <c r="F2617" t="s">
        <v>4126</v>
      </c>
      <c r="G2617">
        <v>26446</v>
      </c>
      <c r="H2617">
        <v>3462</v>
      </c>
      <c r="I2617" s="25" t="s">
        <v>2074</v>
      </c>
      <c r="J2617" t="s">
        <v>2433</v>
      </c>
      <c r="M2617" s="49"/>
    </row>
    <row r="2618" spans="6:13" x14ac:dyDescent="0.25">
      <c r="F2618" t="s">
        <v>4127</v>
      </c>
      <c r="G2618">
        <v>67159</v>
      </c>
      <c r="H2618">
        <v>7332</v>
      </c>
      <c r="I2618" s="25" t="s">
        <v>2123</v>
      </c>
      <c r="J2618" t="s">
        <v>2440</v>
      </c>
      <c r="M2618" s="49"/>
    </row>
    <row r="2619" spans="6:13" x14ac:dyDescent="0.25">
      <c r="F2619" t="s">
        <v>4128</v>
      </c>
      <c r="G2619">
        <v>95688</v>
      </c>
      <c r="H2619">
        <v>9377</v>
      </c>
      <c r="I2619" s="25" t="s">
        <v>2050</v>
      </c>
      <c r="J2619" t="s">
        <v>2393</v>
      </c>
      <c r="M2619" s="49"/>
    </row>
    <row r="2620" spans="6:13" x14ac:dyDescent="0.25">
      <c r="F2620" t="s">
        <v>4129</v>
      </c>
      <c r="G2620">
        <v>79877</v>
      </c>
      <c r="H2620">
        <v>8315</v>
      </c>
      <c r="I2620" s="25" t="s">
        <v>2018</v>
      </c>
      <c r="J2620" t="s">
        <v>2061</v>
      </c>
      <c r="M2620" s="49"/>
    </row>
    <row r="2621" spans="6:13" x14ac:dyDescent="0.25">
      <c r="F2621" t="s">
        <v>4130</v>
      </c>
      <c r="G2621">
        <v>36289</v>
      </c>
      <c r="H2621">
        <v>6632</v>
      </c>
      <c r="I2621" s="25" t="s">
        <v>2046</v>
      </c>
      <c r="J2621" t="s">
        <v>2303</v>
      </c>
      <c r="M2621" s="49"/>
    </row>
    <row r="2622" spans="6:13" x14ac:dyDescent="0.25">
      <c r="F2622" t="s">
        <v>4131</v>
      </c>
      <c r="G2622">
        <v>37133</v>
      </c>
      <c r="H2622">
        <v>3159</v>
      </c>
      <c r="I2622" s="25" t="s">
        <v>2074</v>
      </c>
      <c r="J2622" t="s">
        <v>2093</v>
      </c>
      <c r="M2622" s="49"/>
    </row>
    <row r="2623" spans="6:13" x14ac:dyDescent="0.25">
      <c r="F2623" t="s">
        <v>4131</v>
      </c>
      <c r="G2623">
        <v>17098</v>
      </c>
      <c r="H2623">
        <v>13071</v>
      </c>
      <c r="I2623" s="25" t="s">
        <v>2191</v>
      </c>
      <c r="J2623" t="s">
        <v>2091</v>
      </c>
      <c r="M2623" s="49"/>
    </row>
    <row r="2624" spans="6:13" x14ac:dyDescent="0.25">
      <c r="F2624" t="s">
        <v>4132</v>
      </c>
      <c r="G2624">
        <v>17099</v>
      </c>
      <c r="H2624">
        <v>13071</v>
      </c>
      <c r="I2624" s="25" t="s">
        <v>2191</v>
      </c>
      <c r="J2624" t="s">
        <v>2091</v>
      </c>
      <c r="M2624" s="49"/>
    </row>
    <row r="2625" spans="6:13" x14ac:dyDescent="0.25">
      <c r="F2625" t="s">
        <v>4132</v>
      </c>
      <c r="G2625">
        <v>17099</v>
      </c>
      <c r="H2625">
        <v>13071</v>
      </c>
      <c r="I2625" s="25" t="s">
        <v>2191</v>
      </c>
      <c r="J2625" t="s">
        <v>2091</v>
      </c>
      <c r="M2625" s="49"/>
    </row>
    <row r="2626" spans="6:13" x14ac:dyDescent="0.25">
      <c r="F2626" t="s">
        <v>4133</v>
      </c>
      <c r="G2626">
        <v>61381</v>
      </c>
      <c r="H2626">
        <v>6434</v>
      </c>
      <c r="I2626" s="25" t="s">
        <v>2046</v>
      </c>
      <c r="J2626" t="s">
        <v>2664</v>
      </c>
      <c r="M2626" s="49"/>
    </row>
    <row r="2627" spans="6:13" x14ac:dyDescent="0.25">
      <c r="F2627" t="s">
        <v>4134</v>
      </c>
      <c r="G2627">
        <v>88046</v>
      </c>
      <c r="H2627">
        <v>8435</v>
      </c>
      <c r="I2627" s="25" t="s">
        <v>2018</v>
      </c>
      <c r="J2627" t="s">
        <v>3011</v>
      </c>
      <c r="M2627" s="49"/>
    </row>
    <row r="2628" spans="6:13" x14ac:dyDescent="0.25">
      <c r="F2628" t="s">
        <v>4134</v>
      </c>
      <c r="G2628">
        <v>88045</v>
      </c>
      <c r="H2628">
        <v>8435</v>
      </c>
      <c r="I2628" s="25" t="s">
        <v>2018</v>
      </c>
      <c r="J2628" t="s">
        <v>3011</v>
      </c>
      <c r="M2628" s="49"/>
    </row>
    <row r="2629" spans="6:13" x14ac:dyDescent="0.25">
      <c r="F2629" t="s">
        <v>4134</v>
      </c>
      <c r="G2629">
        <v>88048</v>
      </c>
      <c r="H2629">
        <v>8435</v>
      </c>
      <c r="I2629" s="25" t="s">
        <v>2018</v>
      </c>
      <c r="J2629" t="s">
        <v>3011</v>
      </c>
      <c r="M2629" s="49"/>
    </row>
    <row r="2630" spans="6:13" x14ac:dyDescent="0.25">
      <c r="F2630" t="s">
        <v>4135</v>
      </c>
      <c r="G2630">
        <v>25718</v>
      </c>
      <c r="H2630">
        <v>1051</v>
      </c>
      <c r="I2630" s="25" t="s">
        <v>2085</v>
      </c>
      <c r="J2630" t="s">
        <v>2097</v>
      </c>
      <c r="M2630" s="49"/>
    </row>
    <row r="2631" spans="6:13" x14ac:dyDescent="0.25">
      <c r="F2631" t="s">
        <v>4135</v>
      </c>
      <c r="G2631">
        <v>25718</v>
      </c>
      <c r="H2631">
        <v>1051</v>
      </c>
      <c r="I2631" s="25" t="s">
        <v>2085</v>
      </c>
      <c r="J2631" t="s">
        <v>2097</v>
      </c>
      <c r="M2631" s="49"/>
    </row>
    <row r="2632" spans="6:13" x14ac:dyDescent="0.25">
      <c r="F2632" t="s">
        <v>4136</v>
      </c>
      <c r="G2632">
        <v>25840</v>
      </c>
      <c r="H2632">
        <v>1054</v>
      </c>
      <c r="I2632" s="25" t="s">
        <v>2085</v>
      </c>
      <c r="J2632" t="s">
        <v>2195</v>
      </c>
      <c r="M2632" s="49"/>
    </row>
    <row r="2633" spans="6:13" x14ac:dyDescent="0.25">
      <c r="F2633" t="s">
        <v>4137</v>
      </c>
      <c r="G2633">
        <v>66299</v>
      </c>
      <c r="H2633">
        <v>10041</v>
      </c>
      <c r="I2633" s="25" t="s">
        <v>2849</v>
      </c>
      <c r="J2633" t="s">
        <v>4138</v>
      </c>
      <c r="M2633" s="49"/>
    </row>
    <row r="2634" spans="6:13" x14ac:dyDescent="0.25">
      <c r="F2634" t="s">
        <v>4139</v>
      </c>
      <c r="G2634">
        <v>34621</v>
      </c>
      <c r="H2634">
        <v>6634</v>
      </c>
      <c r="I2634" s="25" t="s">
        <v>2046</v>
      </c>
      <c r="J2634" t="s">
        <v>2360</v>
      </c>
      <c r="M2634" s="49"/>
    </row>
    <row r="2635" spans="6:13" x14ac:dyDescent="0.25">
      <c r="F2635" t="s">
        <v>4140</v>
      </c>
      <c r="G2635">
        <v>14662</v>
      </c>
      <c r="H2635">
        <v>12063</v>
      </c>
      <c r="I2635" s="25" t="s">
        <v>2356</v>
      </c>
      <c r="J2635" t="s">
        <v>2181</v>
      </c>
      <c r="M2635" s="49"/>
    </row>
    <row r="2636" spans="6:13" x14ac:dyDescent="0.25">
      <c r="F2636" t="s">
        <v>4141</v>
      </c>
      <c r="G2636">
        <v>51598</v>
      </c>
      <c r="H2636">
        <v>7132</v>
      </c>
      <c r="I2636" s="25" t="s">
        <v>2123</v>
      </c>
      <c r="J2636" t="s">
        <v>2401</v>
      </c>
      <c r="M2636" s="49"/>
    </row>
    <row r="2637" spans="6:13" x14ac:dyDescent="0.25">
      <c r="F2637" t="s">
        <v>4142</v>
      </c>
      <c r="G2637">
        <v>77948</v>
      </c>
      <c r="H2637">
        <v>8317</v>
      </c>
      <c r="I2637" s="25" t="s">
        <v>2018</v>
      </c>
      <c r="J2637" t="s">
        <v>2071</v>
      </c>
      <c r="M2637" s="49"/>
    </row>
    <row r="2638" spans="6:13" x14ac:dyDescent="0.25">
      <c r="F2638" t="s">
        <v>4143</v>
      </c>
      <c r="G2638">
        <v>87654</v>
      </c>
      <c r="H2638">
        <v>9777</v>
      </c>
      <c r="I2638" s="25" t="s">
        <v>2050</v>
      </c>
      <c r="J2638" t="s">
        <v>2237</v>
      </c>
      <c r="M2638" s="49"/>
    </row>
    <row r="2639" spans="6:13" x14ac:dyDescent="0.25">
      <c r="F2639" t="s">
        <v>4144</v>
      </c>
      <c r="G2639">
        <v>26169</v>
      </c>
      <c r="H2639">
        <v>3453</v>
      </c>
      <c r="I2639" s="25" t="s">
        <v>2074</v>
      </c>
      <c r="J2639" t="s">
        <v>2069</v>
      </c>
      <c r="M2639" s="49"/>
    </row>
    <row r="2640" spans="6:13" x14ac:dyDescent="0.25">
      <c r="F2640" t="s">
        <v>4145</v>
      </c>
      <c r="G2640">
        <v>71292</v>
      </c>
      <c r="H2640">
        <v>8236</v>
      </c>
      <c r="I2640" s="25" t="s">
        <v>2018</v>
      </c>
      <c r="J2640" t="s">
        <v>3087</v>
      </c>
      <c r="M2640" s="49"/>
    </row>
    <row r="2641" spans="6:13" x14ac:dyDescent="0.25">
      <c r="F2641" t="s">
        <v>4146</v>
      </c>
      <c r="G2641">
        <v>78665</v>
      </c>
      <c r="H2641">
        <v>8327</v>
      </c>
      <c r="I2641" s="25" t="s">
        <v>2018</v>
      </c>
      <c r="J2641" t="s">
        <v>2277</v>
      </c>
      <c r="M2641" s="49"/>
    </row>
    <row r="2642" spans="6:13" x14ac:dyDescent="0.25">
      <c r="F2642" t="s">
        <v>4147</v>
      </c>
      <c r="G2642">
        <v>34560</v>
      </c>
      <c r="H2642">
        <v>6634</v>
      </c>
      <c r="I2642" s="25" t="s">
        <v>2046</v>
      </c>
      <c r="J2642" t="s">
        <v>2360</v>
      </c>
      <c r="M2642" s="49"/>
    </row>
    <row r="2643" spans="6:13" x14ac:dyDescent="0.25">
      <c r="F2643" t="s">
        <v>4148</v>
      </c>
      <c r="G2643">
        <v>4654</v>
      </c>
      <c r="H2643">
        <v>14729</v>
      </c>
      <c r="I2643" s="25" t="s">
        <v>2135</v>
      </c>
      <c r="J2643" t="s">
        <v>2684</v>
      </c>
      <c r="M2643" s="49"/>
    </row>
    <row r="2644" spans="6:13" x14ac:dyDescent="0.25">
      <c r="F2644" t="s">
        <v>4149</v>
      </c>
      <c r="G2644">
        <v>58730</v>
      </c>
      <c r="H2644">
        <v>5978</v>
      </c>
      <c r="I2644" s="25" t="s">
        <v>2023</v>
      </c>
      <c r="J2644" t="s">
        <v>2402</v>
      </c>
      <c r="M2644" s="49"/>
    </row>
    <row r="2645" spans="6:13" x14ac:dyDescent="0.25">
      <c r="F2645" t="s">
        <v>4150</v>
      </c>
      <c r="G2645">
        <v>35112</v>
      </c>
      <c r="H2645">
        <v>6534</v>
      </c>
      <c r="I2645" s="25" t="s">
        <v>2046</v>
      </c>
      <c r="J2645" t="s">
        <v>2471</v>
      </c>
      <c r="M2645" s="49"/>
    </row>
    <row r="2646" spans="6:13" x14ac:dyDescent="0.25">
      <c r="F2646" t="s">
        <v>4151</v>
      </c>
      <c r="G2646">
        <v>88273</v>
      </c>
      <c r="H2646">
        <v>8436</v>
      </c>
      <c r="I2646" s="25" t="s">
        <v>2018</v>
      </c>
      <c r="J2646" t="s">
        <v>2068</v>
      </c>
      <c r="M2646" s="49"/>
    </row>
    <row r="2647" spans="6:13" x14ac:dyDescent="0.25">
      <c r="F2647" t="s">
        <v>4152</v>
      </c>
      <c r="G2647">
        <v>84160</v>
      </c>
      <c r="H2647">
        <v>9279</v>
      </c>
      <c r="I2647" s="25" t="s">
        <v>2050</v>
      </c>
      <c r="J2647" t="s">
        <v>3574</v>
      </c>
      <c r="M2647" s="49"/>
    </row>
    <row r="2648" spans="6:13" x14ac:dyDescent="0.25">
      <c r="F2648" t="s">
        <v>4153</v>
      </c>
      <c r="G2648">
        <v>95689</v>
      </c>
      <c r="H2648">
        <v>9377</v>
      </c>
      <c r="I2648" s="25" t="s">
        <v>2050</v>
      </c>
      <c r="J2648" t="s">
        <v>2393</v>
      </c>
      <c r="M2648" s="49"/>
    </row>
    <row r="2649" spans="6:13" x14ac:dyDescent="0.25">
      <c r="F2649" t="s">
        <v>4154</v>
      </c>
      <c r="G2649">
        <v>97727</v>
      </c>
      <c r="H2649">
        <v>9672</v>
      </c>
      <c r="I2649" s="25" t="s">
        <v>2050</v>
      </c>
      <c r="J2649" t="s">
        <v>2620</v>
      </c>
      <c r="M2649" s="49"/>
    </row>
    <row r="2650" spans="6:13" x14ac:dyDescent="0.25">
      <c r="F2650" t="s">
        <v>4155</v>
      </c>
      <c r="G2650">
        <v>86925</v>
      </c>
      <c r="H2650">
        <v>9181</v>
      </c>
      <c r="I2650" s="25" t="s">
        <v>2050</v>
      </c>
      <c r="J2650" t="s">
        <v>2505</v>
      </c>
      <c r="M2650" s="49"/>
    </row>
    <row r="2651" spans="6:13" x14ac:dyDescent="0.25">
      <c r="F2651" t="s">
        <v>4156</v>
      </c>
      <c r="G2651">
        <v>21493</v>
      </c>
      <c r="H2651">
        <v>1053</v>
      </c>
      <c r="I2651" s="25" t="s">
        <v>2085</v>
      </c>
      <c r="J2651" t="s">
        <v>2193</v>
      </c>
      <c r="M2651" s="49"/>
    </row>
    <row r="2652" spans="6:13" x14ac:dyDescent="0.25">
      <c r="F2652" t="s">
        <v>2145</v>
      </c>
      <c r="G2652">
        <v>36037</v>
      </c>
      <c r="H2652">
        <v>6631</v>
      </c>
      <c r="I2652" s="25" t="s">
        <v>2046</v>
      </c>
      <c r="J2652" t="s">
        <v>2145</v>
      </c>
      <c r="M2652" s="49"/>
    </row>
    <row r="2653" spans="6:13" x14ac:dyDescent="0.25">
      <c r="F2653" t="s">
        <v>2145</v>
      </c>
      <c r="G2653">
        <v>36039</v>
      </c>
      <c r="H2653">
        <v>6631</v>
      </c>
      <c r="I2653" s="25" t="s">
        <v>2046</v>
      </c>
      <c r="J2653" t="s">
        <v>2145</v>
      </c>
      <c r="M2653" s="49"/>
    </row>
    <row r="2654" spans="6:13" x14ac:dyDescent="0.25">
      <c r="F2654" t="s">
        <v>2145</v>
      </c>
      <c r="G2654">
        <v>36043</v>
      </c>
      <c r="H2654">
        <v>6631</v>
      </c>
      <c r="I2654" s="25" t="s">
        <v>2046</v>
      </c>
      <c r="J2654" t="s">
        <v>2145</v>
      </c>
      <c r="M2654" s="49"/>
    </row>
    <row r="2655" spans="6:13" x14ac:dyDescent="0.25">
      <c r="F2655" t="s">
        <v>2145</v>
      </c>
      <c r="G2655">
        <v>36041</v>
      </c>
      <c r="H2655">
        <v>6631</v>
      </c>
      <c r="I2655" s="25" t="s">
        <v>2046</v>
      </c>
      <c r="J2655" t="s">
        <v>2145</v>
      </c>
      <c r="M2655" s="49"/>
    </row>
    <row r="2656" spans="6:13" x14ac:dyDescent="0.25">
      <c r="F2656" t="s">
        <v>4157</v>
      </c>
      <c r="G2656">
        <v>34277</v>
      </c>
      <c r="H2656">
        <v>6633</v>
      </c>
      <c r="I2656" s="25" t="s">
        <v>2046</v>
      </c>
      <c r="J2656" t="s">
        <v>2162</v>
      </c>
      <c r="M2656" s="49"/>
    </row>
    <row r="2657" spans="6:13" x14ac:dyDescent="0.25">
      <c r="F2657" t="s">
        <v>4158</v>
      </c>
      <c r="G2657">
        <v>86681</v>
      </c>
      <c r="H2657">
        <v>9779</v>
      </c>
      <c r="I2657" s="25" t="s">
        <v>2050</v>
      </c>
      <c r="J2657" t="s">
        <v>2280</v>
      </c>
      <c r="M2657" s="49"/>
    </row>
    <row r="2658" spans="6:13" x14ac:dyDescent="0.25">
      <c r="F2658" t="s">
        <v>4159</v>
      </c>
      <c r="G2658">
        <v>49584</v>
      </c>
      <c r="H2658">
        <v>3459</v>
      </c>
      <c r="I2658" s="25" t="s">
        <v>2074</v>
      </c>
      <c r="J2658" t="s">
        <v>2292</v>
      </c>
      <c r="M2658" s="49"/>
    </row>
    <row r="2659" spans="6:13" x14ac:dyDescent="0.25">
      <c r="F2659" t="s">
        <v>4160</v>
      </c>
      <c r="G2659">
        <v>37699</v>
      </c>
      <c r="H2659">
        <v>3255</v>
      </c>
      <c r="I2659" s="25" t="s">
        <v>2074</v>
      </c>
      <c r="J2659" t="s">
        <v>3044</v>
      </c>
      <c r="M2659" s="49"/>
    </row>
    <row r="2660" spans="6:13" x14ac:dyDescent="0.25">
      <c r="F2660" t="s">
        <v>4160</v>
      </c>
      <c r="G2660">
        <v>16798</v>
      </c>
      <c r="H2660">
        <v>12065</v>
      </c>
      <c r="I2660" s="25" t="s">
        <v>2356</v>
      </c>
      <c r="J2660" t="s">
        <v>2283</v>
      </c>
      <c r="M2660" s="49"/>
    </row>
    <row r="2661" spans="6:13" x14ac:dyDescent="0.25">
      <c r="F2661" t="s">
        <v>4161</v>
      </c>
      <c r="G2661">
        <v>94142</v>
      </c>
      <c r="H2661">
        <v>9272</v>
      </c>
      <c r="I2661" s="25" t="s">
        <v>2050</v>
      </c>
      <c r="J2661" t="s">
        <v>2140</v>
      </c>
      <c r="M2661" s="49"/>
    </row>
    <row r="2662" spans="6:13" x14ac:dyDescent="0.25">
      <c r="F2662" t="s">
        <v>2111</v>
      </c>
      <c r="G2662">
        <v>82256</v>
      </c>
      <c r="H2662">
        <v>9179</v>
      </c>
      <c r="I2662" s="25" t="s">
        <v>2050</v>
      </c>
      <c r="J2662" t="s">
        <v>2111</v>
      </c>
      <c r="M2662" s="49"/>
    </row>
    <row r="2663" spans="6:13" x14ac:dyDescent="0.25">
      <c r="F2663" t="s">
        <v>4162</v>
      </c>
      <c r="G2663">
        <v>94538</v>
      </c>
      <c r="H2663">
        <v>9275</v>
      </c>
      <c r="I2663" s="25" t="s">
        <v>2050</v>
      </c>
      <c r="J2663" t="s">
        <v>2198</v>
      </c>
      <c r="M2663" s="49"/>
    </row>
    <row r="2664" spans="6:13" x14ac:dyDescent="0.25">
      <c r="F2664" t="s">
        <v>4163</v>
      </c>
      <c r="G2664">
        <v>15517</v>
      </c>
      <c r="H2664">
        <v>12067</v>
      </c>
      <c r="I2664" s="25" t="s">
        <v>2356</v>
      </c>
      <c r="J2664" t="s">
        <v>2711</v>
      </c>
      <c r="M2664" s="49"/>
    </row>
    <row r="2665" spans="6:13" x14ac:dyDescent="0.25">
      <c r="F2665" t="s">
        <v>4164</v>
      </c>
      <c r="G2665">
        <v>94081</v>
      </c>
      <c r="H2665">
        <v>9275</v>
      </c>
      <c r="I2665" s="25" t="s">
        <v>2050</v>
      </c>
      <c r="J2665" t="s">
        <v>2198</v>
      </c>
      <c r="M2665" s="49"/>
    </row>
    <row r="2666" spans="6:13" x14ac:dyDescent="0.25">
      <c r="F2666" t="s">
        <v>4165</v>
      </c>
      <c r="G2666">
        <v>84095</v>
      </c>
      <c r="H2666">
        <v>9274</v>
      </c>
      <c r="I2666" s="25" t="s">
        <v>2050</v>
      </c>
      <c r="J2666" t="s">
        <v>2132</v>
      </c>
      <c r="M2666" s="49"/>
    </row>
    <row r="2667" spans="6:13" x14ac:dyDescent="0.25">
      <c r="F2667" t="s">
        <v>2466</v>
      </c>
      <c r="G2667">
        <v>64658</v>
      </c>
      <c r="H2667">
        <v>6431</v>
      </c>
      <c r="I2667" s="25" t="s">
        <v>2046</v>
      </c>
      <c r="J2667" t="s">
        <v>2065</v>
      </c>
      <c r="M2667" s="49"/>
    </row>
    <row r="2668" spans="6:13" x14ac:dyDescent="0.25">
      <c r="F2668" t="s">
        <v>2466</v>
      </c>
      <c r="G2668">
        <v>90765</v>
      </c>
      <c r="H2668">
        <v>9563</v>
      </c>
      <c r="I2668" s="25" t="s">
        <v>2050</v>
      </c>
      <c r="J2668" t="s">
        <v>4166</v>
      </c>
      <c r="M2668" s="49"/>
    </row>
    <row r="2669" spans="6:13" x14ac:dyDescent="0.25">
      <c r="F2669" t="s">
        <v>2466</v>
      </c>
      <c r="G2669">
        <v>90768</v>
      </c>
      <c r="H2669">
        <v>9563</v>
      </c>
      <c r="I2669" s="25" t="s">
        <v>2050</v>
      </c>
      <c r="J2669" t="s">
        <v>4166</v>
      </c>
      <c r="M2669" s="49"/>
    </row>
    <row r="2670" spans="6:13" x14ac:dyDescent="0.25">
      <c r="F2670" t="s">
        <v>2466</v>
      </c>
      <c r="G2670">
        <v>90762</v>
      </c>
      <c r="H2670">
        <v>9563</v>
      </c>
      <c r="I2670" s="25" t="s">
        <v>2050</v>
      </c>
      <c r="J2670" t="s">
        <v>4166</v>
      </c>
      <c r="M2670" s="49"/>
    </row>
    <row r="2671" spans="6:13" x14ac:dyDescent="0.25">
      <c r="F2671" t="s">
        <v>2466</v>
      </c>
      <c r="G2671">
        <v>90763</v>
      </c>
      <c r="H2671">
        <v>9563</v>
      </c>
      <c r="I2671" s="25" t="s">
        <v>2050</v>
      </c>
      <c r="J2671" t="s">
        <v>4166</v>
      </c>
      <c r="M2671" s="49"/>
    </row>
    <row r="2672" spans="6:13" x14ac:dyDescent="0.25">
      <c r="F2672" t="s">
        <v>2466</v>
      </c>
      <c r="G2672">
        <v>90766</v>
      </c>
      <c r="H2672">
        <v>9563</v>
      </c>
      <c r="I2672" s="25" t="s">
        <v>2050</v>
      </c>
      <c r="J2672" t="s">
        <v>4166</v>
      </c>
      <c r="M2672" s="49"/>
    </row>
    <row r="2673" spans="6:13" x14ac:dyDescent="0.25">
      <c r="F2673" t="s">
        <v>4167</v>
      </c>
      <c r="G2673">
        <v>93437</v>
      </c>
      <c r="H2673">
        <v>9372</v>
      </c>
      <c r="I2673" s="25" t="s">
        <v>2050</v>
      </c>
      <c r="J2673" t="s">
        <v>2523</v>
      </c>
      <c r="M2673" s="49"/>
    </row>
    <row r="2674" spans="6:13" x14ac:dyDescent="0.25">
      <c r="F2674" t="s">
        <v>4168</v>
      </c>
      <c r="G2674">
        <v>57539</v>
      </c>
      <c r="H2674">
        <v>7132</v>
      </c>
      <c r="I2674" s="25" t="s">
        <v>2123</v>
      </c>
      <c r="J2674" t="s">
        <v>2401</v>
      </c>
      <c r="M2674" s="49"/>
    </row>
    <row r="2675" spans="6:13" x14ac:dyDescent="0.25">
      <c r="F2675" t="s">
        <v>4168</v>
      </c>
      <c r="G2675">
        <v>57539</v>
      </c>
      <c r="H2675">
        <v>7132</v>
      </c>
      <c r="I2675" s="25" t="s">
        <v>2123</v>
      </c>
      <c r="J2675" t="s">
        <v>2401</v>
      </c>
      <c r="M2675" s="49"/>
    </row>
    <row r="2676" spans="6:13" x14ac:dyDescent="0.25">
      <c r="F2676" t="s">
        <v>4169</v>
      </c>
      <c r="G2676">
        <v>78120</v>
      </c>
      <c r="H2676">
        <v>8326</v>
      </c>
      <c r="I2676" s="25" t="s">
        <v>2018</v>
      </c>
      <c r="J2676" t="s">
        <v>2638</v>
      </c>
      <c r="M2676" s="49"/>
    </row>
    <row r="2677" spans="6:13" x14ac:dyDescent="0.25">
      <c r="F2677" t="s">
        <v>4170</v>
      </c>
      <c r="G2677">
        <v>87629</v>
      </c>
      <c r="H2677">
        <v>9777</v>
      </c>
      <c r="I2677" s="25" t="s">
        <v>2050</v>
      </c>
      <c r="J2677" t="s">
        <v>2237</v>
      </c>
      <c r="M2677" s="49"/>
    </row>
    <row r="2678" spans="6:13" x14ac:dyDescent="0.25">
      <c r="F2678" t="s">
        <v>4171</v>
      </c>
      <c r="G2678">
        <v>67136</v>
      </c>
      <c r="H2678">
        <v>7338</v>
      </c>
      <c r="I2678" s="25" t="s">
        <v>2123</v>
      </c>
      <c r="J2678" t="s">
        <v>2448</v>
      </c>
      <c r="M2678" s="49"/>
    </row>
    <row r="2679" spans="6:13" x14ac:dyDescent="0.25">
      <c r="F2679" t="s">
        <v>4172</v>
      </c>
      <c r="G2679">
        <v>86456</v>
      </c>
      <c r="H2679">
        <v>9772</v>
      </c>
      <c r="I2679" s="25" t="s">
        <v>2050</v>
      </c>
      <c r="J2679" t="s">
        <v>2117</v>
      </c>
      <c r="M2679" s="49"/>
    </row>
    <row r="2680" spans="6:13" x14ac:dyDescent="0.25">
      <c r="F2680" t="s">
        <v>4173</v>
      </c>
      <c r="G2680">
        <v>86565</v>
      </c>
      <c r="H2680">
        <v>9185</v>
      </c>
      <c r="I2680" s="25" t="s">
        <v>2050</v>
      </c>
      <c r="J2680" t="s">
        <v>2515</v>
      </c>
      <c r="M2680" s="49"/>
    </row>
    <row r="2681" spans="6:13" x14ac:dyDescent="0.25">
      <c r="F2681" t="s">
        <v>4174</v>
      </c>
      <c r="G2681">
        <v>19205</v>
      </c>
      <c r="H2681">
        <v>13074</v>
      </c>
      <c r="I2681" s="25" t="s">
        <v>2191</v>
      </c>
      <c r="J2681" t="s">
        <v>2275</v>
      </c>
      <c r="M2681" s="49"/>
    </row>
    <row r="2682" spans="6:13" x14ac:dyDescent="0.25">
      <c r="F2682" t="s">
        <v>4175</v>
      </c>
      <c r="G2682">
        <v>97503</v>
      </c>
      <c r="H2682">
        <v>9674</v>
      </c>
      <c r="I2682" s="25" t="s">
        <v>2050</v>
      </c>
      <c r="J2682" t="s">
        <v>2218</v>
      </c>
      <c r="M2682" s="49"/>
    </row>
    <row r="2683" spans="6:13" x14ac:dyDescent="0.25">
      <c r="F2683" t="s">
        <v>4176</v>
      </c>
      <c r="G2683">
        <v>76571</v>
      </c>
      <c r="H2683">
        <v>8216</v>
      </c>
      <c r="I2683" s="25" t="s">
        <v>2018</v>
      </c>
      <c r="J2683" t="s">
        <v>2564</v>
      </c>
      <c r="M2683" s="49"/>
    </row>
    <row r="2684" spans="6:13" x14ac:dyDescent="0.25">
      <c r="F2684" t="s">
        <v>4177</v>
      </c>
      <c r="G2684">
        <v>69251</v>
      </c>
      <c r="H2684">
        <v>8226</v>
      </c>
      <c r="I2684" s="25" t="s">
        <v>2018</v>
      </c>
      <c r="J2684" t="s">
        <v>2442</v>
      </c>
      <c r="M2684" s="49"/>
    </row>
    <row r="2685" spans="6:13" x14ac:dyDescent="0.25">
      <c r="F2685" t="s">
        <v>4178</v>
      </c>
      <c r="G2685">
        <v>78343</v>
      </c>
      <c r="H2685">
        <v>8335</v>
      </c>
      <c r="I2685" s="25" t="s">
        <v>2018</v>
      </c>
      <c r="J2685" t="s">
        <v>2019</v>
      </c>
      <c r="M2685" s="49"/>
    </row>
    <row r="2686" spans="6:13" x14ac:dyDescent="0.25">
      <c r="F2686" t="s">
        <v>4179</v>
      </c>
      <c r="G2686">
        <v>74405</v>
      </c>
      <c r="H2686">
        <v>8127</v>
      </c>
      <c r="I2686" s="25" t="s">
        <v>2018</v>
      </c>
      <c r="J2686" t="s">
        <v>3126</v>
      </c>
      <c r="M2686" s="49"/>
    </row>
    <row r="2687" spans="6:13" x14ac:dyDescent="0.25">
      <c r="F2687" t="s">
        <v>4180</v>
      </c>
      <c r="G2687">
        <v>78262</v>
      </c>
      <c r="H2687">
        <v>8335</v>
      </c>
      <c r="I2687" s="25" t="s">
        <v>2018</v>
      </c>
      <c r="J2687" t="s">
        <v>2019</v>
      </c>
      <c r="M2687" s="49"/>
    </row>
    <row r="2688" spans="6:13" x14ac:dyDescent="0.25">
      <c r="F2688" t="s">
        <v>4181</v>
      </c>
      <c r="G2688">
        <v>85080</v>
      </c>
      <c r="H2688">
        <v>9176</v>
      </c>
      <c r="I2688" s="25" t="s">
        <v>2050</v>
      </c>
      <c r="J2688" t="s">
        <v>2102</v>
      </c>
      <c r="M2688" s="49"/>
    </row>
    <row r="2689" spans="6:13" x14ac:dyDescent="0.25">
      <c r="F2689" t="s">
        <v>4182</v>
      </c>
      <c r="G2689">
        <v>83674</v>
      </c>
      <c r="H2689">
        <v>9173</v>
      </c>
      <c r="I2689" s="25" t="s">
        <v>2050</v>
      </c>
      <c r="J2689" t="s">
        <v>2659</v>
      </c>
      <c r="M2689" s="49"/>
    </row>
    <row r="2690" spans="6:13" x14ac:dyDescent="0.25">
      <c r="F2690" t="s">
        <v>4183</v>
      </c>
      <c r="G2690">
        <v>91605</v>
      </c>
      <c r="H2690">
        <v>9575</v>
      </c>
      <c r="I2690" s="25" t="s">
        <v>2050</v>
      </c>
      <c r="J2690" t="s">
        <v>2749</v>
      </c>
      <c r="M2690" s="49"/>
    </row>
    <row r="2691" spans="6:13" x14ac:dyDescent="0.25">
      <c r="F2691" t="s">
        <v>4184</v>
      </c>
      <c r="G2691">
        <v>85408</v>
      </c>
      <c r="H2691">
        <v>9178</v>
      </c>
      <c r="I2691" s="25" t="s">
        <v>2050</v>
      </c>
      <c r="J2691" t="s">
        <v>2315</v>
      </c>
      <c r="M2691" s="49"/>
    </row>
    <row r="2692" spans="6:13" x14ac:dyDescent="0.25">
      <c r="F2692" t="s">
        <v>4185</v>
      </c>
      <c r="G2692">
        <v>73108</v>
      </c>
      <c r="H2692">
        <v>8117</v>
      </c>
      <c r="I2692" s="25" t="s">
        <v>2018</v>
      </c>
      <c r="J2692" t="s">
        <v>2089</v>
      </c>
      <c r="M2692" s="49"/>
    </row>
    <row r="2693" spans="6:13" x14ac:dyDescent="0.25">
      <c r="F2693" t="s">
        <v>4186</v>
      </c>
      <c r="G2693">
        <v>72501</v>
      </c>
      <c r="H2693">
        <v>8437</v>
      </c>
      <c r="I2693" s="25" t="s">
        <v>2018</v>
      </c>
      <c r="J2693" t="s">
        <v>2720</v>
      </c>
      <c r="M2693" s="49"/>
    </row>
    <row r="2694" spans="6:13" x14ac:dyDescent="0.25">
      <c r="F2694" t="s">
        <v>4187</v>
      </c>
      <c r="G2694">
        <v>27777</v>
      </c>
      <c r="H2694">
        <v>3458</v>
      </c>
      <c r="I2694" s="25" t="s">
        <v>2074</v>
      </c>
      <c r="J2694" t="s">
        <v>2285</v>
      </c>
      <c r="M2694" s="49"/>
    </row>
    <row r="2695" spans="6:13" x14ac:dyDescent="0.25">
      <c r="F2695" t="s">
        <v>4188</v>
      </c>
      <c r="G2695">
        <v>52538</v>
      </c>
      <c r="H2695">
        <v>5370</v>
      </c>
      <c r="I2695" s="25" t="s">
        <v>2023</v>
      </c>
      <c r="J2695" t="s">
        <v>2183</v>
      </c>
      <c r="M2695" s="49"/>
    </row>
    <row r="2696" spans="6:13" x14ac:dyDescent="0.25">
      <c r="F2696" t="s">
        <v>4189</v>
      </c>
      <c r="G2696">
        <v>84140</v>
      </c>
      <c r="H2696">
        <v>9277</v>
      </c>
      <c r="I2696" s="25" t="s">
        <v>2050</v>
      </c>
      <c r="J2696" t="s">
        <v>2529</v>
      </c>
      <c r="M2696" s="49"/>
    </row>
    <row r="2697" spans="6:13" x14ac:dyDescent="0.25">
      <c r="F2697" t="s">
        <v>4190</v>
      </c>
      <c r="G2697">
        <v>30826</v>
      </c>
      <c r="H2697">
        <v>3241</v>
      </c>
      <c r="I2697" s="25" t="s">
        <v>2074</v>
      </c>
      <c r="J2697" t="s">
        <v>2321</v>
      </c>
      <c r="M2697" s="49"/>
    </row>
    <row r="2698" spans="6:13" x14ac:dyDescent="0.25">
      <c r="F2698" t="s">
        <v>4190</v>
      </c>
      <c r="G2698">
        <v>30827</v>
      </c>
      <c r="H2698">
        <v>3241</v>
      </c>
      <c r="I2698" s="25" t="s">
        <v>2074</v>
      </c>
      <c r="J2698" t="s">
        <v>2321</v>
      </c>
      <c r="M2698" s="49"/>
    </row>
    <row r="2699" spans="6:13" x14ac:dyDescent="0.25">
      <c r="F2699" t="s">
        <v>4190</v>
      </c>
      <c r="G2699">
        <v>30823</v>
      </c>
      <c r="H2699">
        <v>3241</v>
      </c>
      <c r="I2699" s="25" t="s">
        <v>2074</v>
      </c>
      <c r="J2699" t="s">
        <v>2321</v>
      </c>
      <c r="M2699" s="49"/>
    </row>
    <row r="2700" spans="6:13" x14ac:dyDescent="0.25">
      <c r="F2700" t="s">
        <v>4191</v>
      </c>
      <c r="G2700">
        <v>84518</v>
      </c>
      <c r="H2700">
        <v>9171</v>
      </c>
      <c r="I2700" s="25" t="s">
        <v>2050</v>
      </c>
      <c r="J2700" t="s">
        <v>2446</v>
      </c>
      <c r="M2700" s="49"/>
    </row>
    <row r="2701" spans="6:13" x14ac:dyDescent="0.25">
      <c r="F2701" t="s">
        <v>4192</v>
      </c>
      <c r="G2701">
        <v>85748</v>
      </c>
      <c r="H2701">
        <v>9184</v>
      </c>
      <c r="I2701" s="25" t="s">
        <v>2050</v>
      </c>
      <c r="J2701" t="s">
        <v>2547</v>
      </c>
      <c r="M2701" s="49"/>
    </row>
    <row r="2702" spans="6:13" x14ac:dyDescent="0.25">
      <c r="F2702" t="s">
        <v>4193</v>
      </c>
      <c r="G2702">
        <v>39649</v>
      </c>
      <c r="H2702">
        <v>15081</v>
      </c>
      <c r="I2702" s="25" t="s">
        <v>2241</v>
      </c>
      <c r="J2702" t="s">
        <v>2028</v>
      </c>
      <c r="M2702" s="49"/>
    </row>
    <row r="2703" spans="6:13" x14ac:dyDescent="0.25">
      <c r="F2703" t="s">
        <v>4193</v>
      </c>
      <c r="G2703">
        <v>39638</v>
      </c>
      <c r="H2703">
        <v>15081</v>
      </c>
      <c r="I2703" s="25" t="s">
        <v>2241</v>
      </c>
      <c r="J2703" t="s">
        <v>2028</v>
      </c>
      <c r="M2703" s="49"/>
    </row>
    <row r="2704" spans="6:13" x14ac:dyDescent="0.25">
      <c r="F2704" t="s">
        <v>4193</v>
      </c>
      <c r="G2704">
        <v>39638</v>
      </c>
      <c r="H2704">
        <v>15083</v>
      </c>
      <c r="I2704" s="25" t="s">
        <v>2241</v>
      </c>
      <c r="J2704" t="s">
        <v>2052</v>
      </c>
      <c r="M2704" s="49"/>
    </row>
    <row r="2705" spans="6:13" x14ac:dyDescent="0.25">
      <c r="F2705" t="s">
        <v>4194</v>
      </c>
      <c r="G2705">
        <v>25836</v>
      </c>
      <c r="H2705">
        <v>1054</v>
      </c>
      <c r="I2705" s="25" t="s">
        <v>2085</v>
      </c>
      <c r="J2705" t="s">
        <v>2195</v>
      </c>
      <c r="M2705" s="49"/>
    </row>
    <row r="2706" spans="6:13" x14ac:dyDescent="0.25">
      <c r="F2706" t="s">
        <v>2147</v>
      </c>
      <c r="G2706">
        <v>82467</v>
      </c>
      <c r="H2706">
        <v>9180</v>
      </c>
      <c r="I2706" s="25" t="s">
        <v>2050</v>
      </c>
      <c r="J2706" t="s">
        <v>2147</v>
      </c>
      <c r="M2706" s="49"/>
    </row>
    <row r="2707" spans="6:13" x14ac:dyDescent="0.25">
      <c r="F2707" t="s">
        <v>4195</v>
      </c>
      <c r="G2707">
        <v>82475</v>
      </c>
      <c r="H2707">
        <v>9180</v>
      </c>
      <c r="I2707" s="25" t="s">
        <v>2050</v>
      </c>
      <c r="J2707" t="s">
        <v>2147</v>
      </c>
      <c r="M2707" s="49"/>
    </row>
    <row r="2708" spans="6:13" x14ac:dyDescent="0.25">
      <c r="F2708" t="s">
        <v>4196</v>
      </c>
      <c r="G2708">
        <v>49681</v>
      </c>
      <c r="H2708">
        <v>3453</v>
      </c>
      <c r="I2708" s="25" t="s">
        <v>2074</v>
      </c>
      <c r="J2708" t="s">
        <v>2069</v>
      </c>
      <c r="M2708" s="49"/>
    </row>
    <row r="2709" spans="6:13" x14ac:dyDescent="0.25">
      <c r="F2709" t="s">
        <v>4197</v>
      </c>
      <c r="G2709">
        <v>83536</v>
      </c>
      <c r="H2709">
        <v>9183</v>
      </c>
      <c r="I2709" s="25" t="s">
        <v>2050</v>
      </c>
      <c r="J2709" t="s">
        <v>2474</v>
      </c>
      <c r="M2709" s="49"/>
    </row>
    <row r="2710" spans="6:13" x14ac:dyDescent="0.25">
      <c r="F2710" t="s">
        <v>4197</v>
      </c>
      <c r="G2710">
        <v>83559</v>
      </c>
      <c r="H2710">
        <v>9183</v>
      </c>
      <c r="I2710" s="25" t="s">
        <v>2050</v>
      </c>
      <c r="J2710" t="s">
        <v>2474</v>
      </c>
      <c r="M2710" s="49"/>
    </row>
    <row r="2711" spans="6:13" x14ac:dyDescent="0.25">
      <c r="F2711" t="s">
        <v>4197</v>
      </c>
      <c r="G2711">
        <v>83555</v>
      </c>
      <c r="H2711">
        <v>9183</v>
      </c>
      <c r="I2711" s="25" t="s">
        <v>2050</v>
      </c>
      <c r="J2711" t="s">
        <v>2474</v>
      </c>
      <c r="M2711" s="49"/>
    </row>
    <row r="2712" spans="6:13" x14ac:dyDescent="0.25">
      <c r="F2712" t="s">
        <v>4198</v>
      </c>
      <c r="G2712">
        <v>83546</v>
      </c>
      <c r="H2712">
        <v>9183</v>
      </c>
      <c r="I2712" s="25" t="s">
        <v>2050</v>
      </c>
      <c r="J2712" t="s">
        <v>2474</v>
      </c>
      <c r="M2712" s="49"/>
    </row>
    <row r="2713" spans="6:13" x14ac:dyDescent="0.25">
      <c r="F2713" t="s">
        <v>4199</v>
      </c>
      <c r="G2713">
        <v>21441</v>
      </c>
      <c r="H2713">
        <v>3353</v>
      </c>
      <c r="I2713" s="25" t="s">
        <v>2074</v>
      </c>
      <c r="J2713" t="s">
        <v>2176</v>
      </c>
      <c r="M2713" s="49"/>
    </row>
    <row r="2714" spans="6:13" x14ac:dyDescent="0.25">
      <c r="F2714" t="s">
        <v>4200</v>
      </c>
      <c r="G2714">
        <v>29471</v>
      </c>
      <c r="H2714">
        <v>3354</v>
      </c>
      <c r="I2714" s="25" t="s">
        <v>2074</v>
      </c>
      <c r="J2714" t="s">
        <v>2232</v>
      </c>
      <c r="M2714" s="49"/>
    </row>
    <row r="2715" spans="6:13" x14ac:dyDescent="0.25">
      <c r="F2715" t="s">
        <v>4201</v>
      </c>
      <c r="G2715">
        <v>71116</v>
      </c>
      <c r="H2715">
        <v>8115</v>
      </c>
      <c r="I2715" s="25" t="s">
        <v>2018</v>
      </c>
      <c r="J2715" t="s">
        <v>2222</v>
      </c>
      <c r="M2715" s="49"/>
    </row>
    <row r="2716" spans="6:13" x14ac:dyDescent="0.25">
      <c r="F2716" t="s">
        <v>4202</v>
      </c>
      <c r="G2716">
        <v>16307</v>
      </c>
      <c r="H2716">
        <v>12073</v>
      </c>
      <c r="I2716" s="25" t="s">
        <v>2356</v>
      </c>
      <c r="J2716" t="s">
        <v>2397</v>
      </c>
      <c r="M2716" s="49"/>
    </row>
    <row r="2717" spans="6:13" x14ac:dyDescent="0.25">
      <c r="F2717" t="s">
        <v>4203</v>
      </c>
      <c r="G2717">
        <v>18574</v>
      </c>
      <c r="H2717">
        <v>13073</v>
      </c>
      <c r="I2717" s="25" t="s">
        <v>2191</v>
      </c>
      <c r="J2717" t="s">
        <v>2192</v>
      </c>
      <c r="M2717" s="49"/>
    </row>
    <row r="2718" spans="6:13" x14ac:dyDescent="0.25">
      <c r="F2718" t="s">
        <v>4204</v>
      </c>
      <c r="G2718">
        <v>95185</v>
      </c>
      <c r="H2718">
        <v>9475</v>
      </c>
      <c r="I2718" s="25" t="s">
        <v>2050</v>
      </c>
      <c r="J2718" t="s">
        <v>2201</v>
      </c>
      <c r="M2718" s="49"/>
    </row>
    <row r="2719" spans="6:13" x14ac:dyDescent="0.25">
      <c r="F2719" t="s">
        <v>4205</v>
      </c>
      <c r="G2719">
        <v>55435</v>
      </c>
      <c r="H2719">
        <v>7339</v>
      </c>
      <c r="I2719" s="25" t="s">
        <v>2123</v>
      </c>
      <c r="J2719" t="s">
        <v>2238</v>
      </c>
      <c r="M2719" s="49"/>
    </row>
    <row r="2720" spans="6:13" x14ac:dyDescent="0.25">
      <c r="F2720" t="s">
        <v>4206</v>
      </c>
      <c r="G2720">
        <v>55599</v>
      </c>
      <c r="H2720">
        <v>7331</v>
      </c>
      <c r="I2720" s="25" t="s">
        <v>2123</v>
      </c>
      <c r="J2720" t="s">
        <v>2029</v>
      </c>
      <c r="M2720" s="49"/>
    </row>
    <row r="2721" spans="6:13" x14ac:dyDescent="0.25">
      <c r="F2721" t="s">
        <v>4206</v>
      </c>
      <c r="G2721">
        <v>55599</v>
      </c>
      <c r="H2721">
        <v>7331</v>
      </c>
      <c r="I2721" s="25" t="s">
        <v>2123</v>
      </c>
      <c r="J2721" t="s">
        <v>2029</v>
      </c>
      <c r="M2721" s="49"/>
    </row>
    <row r="2722" spans="6:13" x14ac:dyDescent="0.25">
      <c r="F2722" t="s">
        <v>4207</v>
      </c>
      <c r="G2722">
        <v>71126</v>
      </c>
      <c r="H2722">
        <v>8115</v>
      </c>
      <c r="I2722" s="25" t="s">
        <v>2018</v>
      </c>
      <c r="J2722" t="s">
        <v>2222</v>
      </c>
      <c r="M2722" s="49"/>
    </row>
    <row r="2723" spans="6:13" x14ac:dyDescent="0.25">
      <c r="F2723" t="s">
        <v>4208</v>
      </c>
      <c r="G2723">
        <v>97253</v>
      </c>
      <c r="H2723">
        <v>9679</v>
      </c>
      <c r="I2723" s="25" t="s">
        <v>2050</v>
      </c>
      <c r="J2723" t="s">
        <v>2428</v>
      </c>
      <c r="M2723" s="49"/>
    </row>
    <row r="2724" spans="6:13" x14ac:dyDescent="0.25">
      <c r="F2724" t="s">
        <v>4209</v>
      </c>
      <c r="G2724">
        <v>55239</v>
      </c>
      <c r="H2724">
        <v>7331</v>
      </c>
      <c r="I2724" s="25" t="s">
        <v>2123</v>
      </c>
      <c r="J2724" t="s">
        <v>2029</v>
      </c>
      <c r="M2724" s="49"/>
    </row>
    <row r="2725" spans="6:13" x14ac:dyDescent="0.25">
      <c r="F2725" t="s">
        <v>4210</v>
      </c>
      <c r="G2725">
        <v>82131</v>
      </c>
      <c r="H2725">
        <v>9184</v>
      </c>
      <c r="I2725" s="25" t="s">
        <v>2050</v>
      </c>
      <c r="J2725" t="s">
        <v>2547</v>
      </c>
      <c r="M2725" s="49"/>
    </row>
    <row r="2726" spans="6:13" x14ac:dyDescent="0.25">
      <c r="F2726" t="s">
        <v>4210</v>
      </c>
      <c r="G2726">
        <v>82131</v>
      </c>
      <c r="H2726">
        <v>9188</v>
      </c>
      <c r="I2726" s="25" t="s">
        <v>2050</v>
      </c>
      <c r="J2726" t="s">
        <v>2481</v>
      </c>
      <c r="M2726" s="49"/>
    </row>
    <row r="2727" spans="6:13" x14ac:dyDescent="0.25">
      <c r="F2727" t="s">
        <v>4211</v>
      </c>
      <c r="G2727">
        <v>92274</v>
      </c>
      <c r="H2727">
        <v>9371</v>
      </c>
      <c r="I2727" s="25" t="s">
        <v>2050</v>
      </c>
      <c r="J2727" t="s">
        <v>2469</v>
      </c>
      <c r="M2727" s="49"/>
    </row>
    <row r="2728" spans="6:13" x14ac:dyDescent="0.25">
      <c r="F2728" t="s">
        <v>4212</v>
      </c>
      <c r="G2728">
        <v>99189</v>
      </c>
      <c r="H2728">
        <v>16068</v>
      </c>
      <c r="I2728" s="25" t="s">
        <v>2384</v>
      </c>
      <c r="J2728" t="s">
        <v>3075</v>
      </c>
      <c r="M2728" s="49"/>
    </row>
    <row r="2729" spans="6:13" x14ac:dyDescent="0.25">
      <c r="F2729" t="s">
        <v>4213</v>
      </c>
      <c r="G2729">
        <v>57580</v>
      </c>
      <c r="H2729">
        <v>7132</v>
      </c>
      <c r="I2729" s="25" t="s">
        <v>2123</v>
      </c>
      <c r="J2729" t="s">
        <v>2401</v>
      </c>
      <c r="M2729" s="49"/>
    </row>
    <row r="2730" spans="6:13" x14ac:dyDescent="0.25">
      <c r="F2730" t="s">
        <v>4214</v>
      </c>
      <c r="G2730">
        <v>91607</v>
      </c>
      <c r="H2730">
        <v>9571</v>
      </c>
      <c r="I2730" s="25" t="s">
        <v>2050</v>
      </c>
      <c r="J2730" t="s">
        <v>2113</v>
      </c>
      <c r="M2730" s="49"/>
    </row>
    <row r="2731" spans="6:13" x14ac:dyDescent="0.25">
      <c r="F2731" t="s">
        <v>4215</v>
      </c>
      <c r="G2731">
        <v>75391</v>
      </c>
      <c r="H2731">
        <v>8235</v>
      </c>
      <c r="I2731" s="25" t="s">
        <v>2018</v>
      </c>
      <c r="J2731" t="s">
        <v>2422</v>
      </c>
      <c r="M2731" s="49"/>
    </row>
    <row r="2732" spans="6:13" x14ac:dyDescent="0.25">
      <c r="F2732" t="s">
        <v>4216</v>
      </c>
      <c r="G2732">
        <v>63688</v>
      </c>
      <c r="H2732">
        <v>6440</v>
      </c>
      <c r="I2732" s="25" t="s">
        <v>2046</v>
      </c>
      <c r="J2732" t="s">
        <v>2415</v>
      </c>
      <c r="M2732" s="49"/>
    </row>
    <row r="2733" spans="6:13" x14ac:dyDescent="0.25">
      <c r="F2733" t="s">
        <v>4217</v>
      </c>
      <c r="G2733">
        <v>49744</v>
      </c>
      <c r="H2733">
        <v>3454</v>
      </c>
      <c r="I2733" s="25" t="s">
        <v>2074</v>
      </c>
      <c r="J2733" t="s">
        <v>2118</v>
      </c>
      <c r="M2733" s="49"/>
    </row>
    <row r="2734" spans="6:13" x14ac:dyDescent="0.25">
      <c r="F2734" t="s">
        <v>4218</v>
      </c>
      <c r="G2734">
        <v>21502</v>
      </c>
      <c r="H2734">
        <v>1053</v>
      </c>
      <c r="I2734" s="25" t="s">
        <v>2085</v>
      </c>
      <c r="J2734" t="s">
        <v>2193</v>
      </c>
      <c r="M2734" s="49"/>
    </row>
    <row r="2735" spans="6:13" x14ac:dyDescent="0.25">
      <c r="F2735" t="s">
        <v>4218</v>
      </c>
      <c r="G2735">
        <v>21502</v>
      </c>
      <c r="H2735">
        <v>1053</v>
      </c>
      <c r="I2735" s="25" t="s">
        <v>2085</v>
      </c>
      <c r="J2735" t="s">
        <v>2193</v>
      </c>
      <c r="M2735" s="49"/>
    </row>
    <row r="2736" spans="6:13" x14ac:dyDescent="0.25">
      <c r="F2736" t="s">
        <v>4219</v>
      </c>
      <c r="G2736">
        <v>27607</v>
      </c>
      <c r="H2736">
        <v>3352</v>
      </c>
      <c r="I2736" s="25" t="s">
        <v>2074</v>
      </c>
      <c r="J2736" t="s">
        <v>2079</v>
      </c>
      <c r="M2736" s="49"/>
    </row>
    <row r="2737" spans="6:13" x14ac:dyDescent="0.25">
      <c r="F2737" t="s">
        <v>4219</v>
      </c>
      <c r="G2737">
        <v>27624</v>
      </c>
      <c r="H2737">
        <v>3352</v>
      </c>
      <c r="I2737" s="25" t="s">
        <v>2074</v>
      </c>
      <c r="J2737" t="s">
        <v>2079</v>
      </c>
      <c r="M2737" s="49"/>
    </row>
    <row r="2738" spans="6:13" x14ac:dyDescent="0.25">
      <c r="F2738" t="s">
        <v>4220</v>
      </c>
      <c r="G2738">
        <v>7926</v>
      </c>
      <c r="H2738">
        <v>16075</v>
      </c>
      <c r="I2738" s="25" t="s">
        <v>2384</v>
      </c>
      <c r="J2738" t="s">
        <v>4221</v>
      </c>
      <c r="M2738" s="49"/>
    </row>
    <row r="2739" spans="6:13" x14ac:dyDescent="0.25">
      <c r="F2739" t="s">
        <v>4222</v>
      </c>
      <c r="G2739">
        <v>95482</v>
      </c>
      <c r="H2739">
        <v>9472</v>
      </c>
      <c r="I2739" s="25" t="s">
        <v>2050</v>
      </c>
      <c r="J2739" t="s">
        <v>2180</v>
      </c>
      <c r="M2739" s="49"/>
    </row>
    <row r="2740" spans="6:13" x14ac:dyDescent="0.25">
      <c r="F2740" t="s">
        <v>4223</v>
      </c>
      <c r="G2740">
        <v>49596</v>
      </c>
      <c r="H2740">
        <v>3459</v>
      </c>
      <c r="I2740" s="25" t="s">
        <v>2074</v>
      </c>
      <c r="J2740" t="s">
        <v>2292</v>
      </c>
      <c r="M2740" s="49"/>
    </row>
    <row r="2741" spans="6:13" x14ac:dyDescent="0.25">
      <c r="F2741" t="s">
        <v>4224</v>
      </c>
      <c r="G2741">
        <v>30989</v>
      </c>
      <c r="H2741">
        <v>3241</v>
      </c>
      <c r="I2741" s="25" t="s">
        <v>2074</v>
      </c>
      <c r="J2741" t="s">
        <v>2321</v>
      </c>
      <c r="M2741" s="49"/>
    </row>
    <row r="2742" spans="6:13" x14ac:dyDescent="0.25">
      <c r="F2742" t="s">
        <v>4225</v>
      </c>
      <c r="G2742">
        <v>52511</v>
      </c>
      <c r="H2742">
        <v>5370</v>
      </c>
      <c r="I2742" s="25" t="s">
        <v>2023</v>
      </c>
      <c r="J2742" t="s">
        <v>2183</v>
      </c>
      <c r="M2742" s="49"/>
    </row>
    <row r="2743" spans="6:13" x14ac:dyDescent="0.25">
      <c r="F2743" t="s">
        <v>4226</v>
      </c>
      <c r="G2743">
        <v>36419</v>
      </c>
      <c r="H2743">
        <v>16063</v>
      </c>
      <c r="I2743" s="25" t="s">
        <v>2384</v>
      </c>
      <c r="J2743" t="s">
        <v>2687</v>
      </c>
      <c r="M2743" s="49"/>
    </row>
    <row r="2744" spans="6:13" x14ac:dyDescent="0.25">
      <c r="F2744" t="s">
        <v>4227</v>
      </c>
      <c r="G2744">
        <v>63826</v>
      </c>
      <c r="H2744">
        <v>9671</v>
      </c>
      <c r="I2744" s="25" t="s">
        <v>2050</v>
      </c>
      <c r="J2744" t="s">
        <v>2453</v>
      </c>
      <c r="M2744" s="49"/>
    </row>
    <row r="2745" spans="6:13" x14ac:dyDescent="0.25">
      <c r="F2745" t="s">
        <v>4228</v>
      </c>
      <c r="G2745">
        <v>67715</v>
      </c>
      <c r="H2745">
        <v>7340</v>
      </c>
      <c r="I2745" s="25" t="s">
        <v>2123</v>
      </c>
      <c r="J2745" t="s">
        <v>2826</v>
      </c>
      <c r="M2745" s="49"/>
    </row>
    <row r="2746" spans="6:13" x14ac:dyDescent="0.25">
      <c r="F2746" t="s">
        <v>4229</v>
      </c>
      <c r="G2746">
        <v>94333</v>
      </c>
      <c r="H2746">
        <v>9278</v>
      </c>
      <c r="I2746" s="25" t="s">
        <v>2050</v>
      </c>
      <c r="J2746" t="s">
        <v>2170</v>
      </c>
      <c r="M2746" s="49"/>
    </row>
    <row r="2747" spans="6:13" x14ac:dyDescent="0.25">
      <c r="F2747" t="s">
        <v>4230</v>
      </c>
      <c r="G2747">
        <v>96160</v>
      </c>
      <c r="H2747">
        <v>9675</v>
      </c>
      <c r="I2747" s="25" t="s">
        <v>2050</v>
      </c>
      <c r="J2747" t="s">
        <v>2259</v>
      </c>
      <c r="M2747" s="49"/>
    </row>
    <row r="2748" spans="6:13" x14ac:dyDescent="0.25">
      <c r="F2748" t="s">
        <v>4231</v>
      </c>
      <c r="G2748">
        <v>85290</v>
      </c>
      <c r="H2748">
        <v>9186</v>
      </c>
      <c r="I2748" s="25" t="s">
        <v>2050</v>
      </c>
      <c r="J2748" t="s">
        <v>2594</v>
      </c>
      <c r="M2748" s="49"/>
    </row>
    <row r="2749" spans="6:13" x14ac:dyDescent="0.25">
      <c r="F2749" t="s">
        <v>4232</v>
      </c>
      <c r="G2749">
        <v>84144</v>
      </c>
      <c r="H2749">
        <v>9274</v>
      </c>
      <c r="I2749" s="25" t="s">
        <v>2050</v>
      </c>
      <c r="J2749" t="s">
        <v>2132</v>
      </c>
      <c r="M2749" s="49"/>
    </row>
    <row r="2750" spans="6:13" x14ac:dyDescent="0.25">
      <c r="F2750" t="s">
        <v>4233</v>
      </c>
      <c r="G2750">
        <v>65366</v>
      </c>
      <c r="H2750">
        <v>6439</v>
      </c>
      <c r="I2750" s="25" t="s">
        <v>2046</v>
      </c>
      <c r="J2750" t="s">
        <v>2047</v>
      </c>
      <c r="M2750" s="49"/>
    </row>
    <row r="2751" spans="6:13" x14ac:dyDescent="0.25">
      <c r="F2751" t="s">
        <v>4234</v>
      </c>
      <c r="G2751">
        <v>78187</v>
      </c>
      <c r="H2751">
        <v>8327</v>
      </c>
      <c r="I2751" s="25" t="s">
        <v>2018</v>
      </c>
      <c r="J2751" t="s">
        <v>2277</v>
      </c>
      <c r="M2751" s="49"/>
    </row>
    <row r="2752" spans="6:13" x14ac:dyDescent="0.25">
      <c r="F2752" t="s">
        <v>4235</v>
      </c>
      <c r="G2752">
        <v>72351</v>
      </c>
      <c r="H2752">
        <v>8417</v>
      </c>
      <c r="I2752" s="25" t="s">
        <v>2018</v>
      </c>
      <c r="J2752" t="s">
        <v>2269</v>
      </c>
      <c r="M2752" s="49"/>
    </row>
    <row r="2753" spans="6:13" x14ac:dyDescent="0.25">
      <c r="F2753" t="s">
        <v>4236</v>
      </c>
      <c r="G2753">
        <v>73312</v>
      </c>
      <c r="H2753">
        <v>8117</v>
      </c>
      <c r="I2753" s="25" t="s">
        <v>2018</v>
      </c>
      <c r="J2753" t="s">
        <v>2089</v>
      </c>
      <c r="M2753" s="49"/>
    </row>
    <row r="2754" spans="6:13" x14ac:dyDescent="0.25">
      <c r="F2754" t="s">
        <v>4237</v>
      </c>
      <c r="G2754">
        <v>4643</v>
      </c>
      <c r="H2754">
        <v>14729</v>
      </c>
      <c r="I2754" s="25" t="s">
        <v>2135</v>
      </c>
      <c r="J2754" t="s">
        <v>2684</v>
      </c>
      <c r="M2754" s="49"/>
    </row>
    <row r="2755" spans="6:13" x14ac:dyDescent="0.25">
      <c r="F2755" t="s">
        <v>4238</v>
      </c>
      <c r="G2755">
        <v>97255</v>
      </c>
      <c r="H2755">
        <v>9679</v>
      </c>
      <c r="I2755" s="25" t="s">
        <v>2050</v>
      </c>
      <c r="J2755" t="s">
        <v>2428</v>
      </c>
      <c r="M2755" s="49"/>
    </row>
    <row r="2756" spans="6:13" x14ac:dyDescent="0.25">
      <c r="F2756" t="s">
        <v>4239</v>
      </c>
      <c r="G2756">
        <v>47608</v>
      </c>
      <c r="H2756">
        <v>5154</v>
      </c>
      <c r="I2756" s="25" t="s">
        <v>2023</v>
      </c>
      <c r="J2756" t="s">
        <v>2214</v>
      </c>
      <c r="M2756" s="49"/>
    </row>
    <row r="2757" spans="6:13" x14ac:dyDescent="0.25">
      <c r="F2757" t="s">
        <v>4240</v>
      </c>
      <c r="G2757">
        <v>97505</v>
      </c>
      <c r="H2757">
        <v>9678</v>
      </c>
      <c r="I2757" s="25" t="s">
        <v>2050</v>
      </c>
      <c r="J2757" t="s">
        <v>2918</v>
      </c>
      <c r="M2757" s="49"/>
    </row>
    <row r="2758" spans="6:13" x14ac:dyDescent="0.25">
      <c r="F2758" t="s">
        <v>4241</v>
      </c>
      <c r="G2758">
        <v>9423</v>
      </c>
      <c r="H2758">
        <v>14521</v>
      </c>
      <c r="I2758" s="25" t="s">
        <v>2135</v>
      </c>
      <c r="J2758" t="s">
        <v>2032</v>
      </c>
      <c r="M2758" s="49"/>
    </row>
    <row r="2759" spans="6:13" x14ac:dyDescent="0.25">
      <c r="F2759" t="s">
        <v>1472</v>
      </c>
      <c r="G2759">
        <v>63571</v>
      </c>
      <c r="H2759">
        <v>6435</v>
      </c>
      <c r="I2759" s="25" t="s">
        <v>2046</v>
      </c>
      <c r="J2759" t="s">
        <v>2703</v>
      </c>
      <c r="M2759" s="49"/>
    </row>
    <row r="2760" spans="6:13" x14ac:dyDescent="0.25">
      <c r="F2760" t="s">
        <v>4242</v>
      </c>
      <c r="G2760">
        <v>45892</v>
      </c>
      <c r="H2760">
        <v>5513</v>
      </c>
      <c r="I2760" s="25" t="s">
        <v>2023</v>
      </c>
      <c r="J2760" t="s">
        <v>4243</v>
      </c>
      <c r="M2760" s="49"/>
    </row>
    <row r="2761" spans="6:13" x14ac:dyDescent="0.25">
      <c r="F2761" t="s">
        <v>4242</v>
      </c>
      <c r="G2761">
        <v>45879</v>
      </c>
      <c r="H2761">
        <v>5513</v>
      </c>
      <c r="I2761" s="25" t="s">
        <v>2023</v>
      </c>
      <c r="J2761" t="s">
        <v>4243</v>
      </c>
      <c r="M2761" s="49"/>
    </row>
    <row r="2762" spans="6:13" x14ac:dyDescent="0.25">
      <c r="F2762" t="s">
        <v>4242</v>
      </c>
      <c r="G2762">
        <v>45894</v>
      </c>
      <c r="H2762">
        <v>5513</v>
      </c>
      <c r="I2762" s="25" t="s">
        <v>2023</v>
      </c>
      <c r="J2762" t="s">
        <v>4243</v>
      </c>
      <c r="M2762" s="49"/>
    </row>
    <row r="2763" spans="6:13" x14ac:dyDescent="0.25">
      <c r="F2763" t="s">
        <v>4242</v>
      </c>
      <c r="G2763">
        <v>45899</v>
      </c>
      <c r="H2763">
        <v>5513</v>
      </c>
      <c r="I2763" s="25" t="s">
        <v>2023</v>
      </c>
      <c r="J2763" t="s">
        <v>4243</v>
      </c>
      <c r="M2763" s="49"/>
    </row>
    <row r="2764" spans="6:13" x14ac:dyDescent="0.25">
      <c r="F2764" t="s">
        <v>4242</v>
      </c>
      <c r="G2764">
        <v>45889</v>
      </c>
      <c r="H2764">
        <v>5513</v>
      </c>
      <c r="I2764" s="25" t="s">
        <v>2023</v>
      </c>
      <c r="J2764" t="s">
        <v>4243</v>
      </c>
      <c r="M2764" s="49"/>
    </row>
    <row r="2765" spans="6:13" x14ac:dyDescent="0.25">
      <c r="F2765" t="s">
        <v>4242</v>
      </c>
      <c r="G2765">
        <v>45896</v>
      </c>
      <c r="H2765">
        <v>5513</v>
      </c>
      <c r="I2765" s="25" t="s">
        <v>2023</v>
      </c>
      <c r="J2765" t="s">
        <v>4243</v>
      </c>
      <c r="M2765" s="49"/>
    </row>
    <row r="2766" spans="6:13" x14ac:dyDescent="0.25">
      <c r="F2766" t="s">
        <v>4242</v>
      </c>
      <c r="G2766">
        <v>45897</v>
      </c>
      <c r="H2766">
        <v>5513</v>
      </c>
      <c r="I2766" s="25" t="s">
        <v>2023</v>
      </c>
      <c r="J2766" t="s">
        <v>4243</v>
      </c>
      <c r="M2766" s="49"/>
    </row>
    <row r="2767" spans="6:13" x14ac:dyDescent="0.25">
      <c r="F2767" t="s">
        <v>4242</v>
      </c>
      <c r="G2767">
        <v>45886</v>
      </c>
      <c r="H2767">
        <v>5513</v>
      </c>
      <c r="I2767" s="25" t="s">
        <v>2023</v>
      </c>
      <c r="J2767" t="s">
        <v>4243</v>
      </c>
      <c r="M2767" s="49"/>
    </row>
    <row r="2768" spans="6:13" x14ac:dyDescent="0.25">
      <c r="F2768" t="s">
        <v>4242</v>
      </c>
      <c r="G2768">
        <v>45888</v>
      </c>
      <c r="H2768">
        <v>5513</v>
      </c>
      <c r="I2768" s="25" t="s">
        <v>2023</v>
      </c>
      <c r="J2768" t="s">
        <v>4243</v>
      </c>
      <c r="M2768" s="49"/>
    </row>
    <row r="2769" spans="6:13" x14ac:dyDescent="0.25">
      <c r="F2769" t="s">
        <v>4242</v>
      </c>
      <c r="G2769">
        <v>45881</v>
      </c>
      <c r="H2769">
        <v>5513</v>
      </c>
      <c r="I2769" s="25" t="s">
        <v>2023</v>
      </c>
      <c r="J2769" t="s">
        <v>4243</v>
      </c>
      <c r="M2769" s="49"/>
    </row>
    <row r="2770" spans="6:13" x14ac:dyDescent="0.25">
      <c r="F2770" t="s">
        <v>4242</v>
      </c>
      <c r="G2770">
        <v>45897</v>
      </c>
      <c r="H2770">
        <v>5513</v>
      </c>
      <c r="I2770" s="25" t="s">
        <v>2023</v>
      </c>
      <c r="J2770" t="s">
        <v>4243</v>
      </c>
      <c r="M2770" s="49"/>
    </row>
    <row r="2771" spans="6:13" x14ac:dyDescent="0.25">
      <c r="F2771" t="s">
        <v>4242</v>
      </c>
      <c r="G2771">
        <v>45883</v>
      </c>
      <c r="H2771">
        <v>5513</v>
      </c>
      <c r="I2771" s="25" t="s">
        <v>2023</v>
      </c>
      <c r="J2771" t="s">
        <v>4243</v>
      </c>
      <c r="M2771" s="49"/>
    </row>
    <row r="2772" spans="6:13" x14ac:dyDescent="0.25">
      <c r="F2772" t="s">
        <v>4242</v>
      </c>
      <c r="G2772">
        <v>45891</v>
      </c>
      <c r="H2772">
        <v>5513</v>
      </c>
      <c r="I2772" s="25" t="s">
        <v>2023</v>
      </c>
      <c r="J2772" t="s">
        <v>4243</v>
      </c>
      <c r="M2772" s="49"/>
    </row>
    <row r="2773" spans="6:13" x14ac:dyDescent="0.25">
      <c r="F2773" t="s">
        <v>4244</v>
      </c>
      <c r="G2773">
        <v>45884</v>
      </c>
      <c r="H2773">
        <v>5513</v>
      </c>
      <c r="I2773" s="25" t="s">
        <v>2023</v>
      </c>
      <c r="J2773" t="s">
        <v>4243</v>
      </c>
      <c r="M2773" s="49"/>
    </row>
    <row r="2774" spans="6:13" x14ac:dyDescent="0.25">
      <c r="F2774" t="s">
        <v>4245</v>
      </c>
      <c r="G2774">
        <v>82269</v>
      </c>
      <c r="H2774">
        <v>9181</v>
      </c>
      <c r="I2774" s="25" t="s">
        <v>2050</v>
      </c>
      <c r="J2774" t="s">
        <v>2505</v>
      </c>
      <c r="M2774" s="49"/>
    </row>
    <row r="2775" spans="6:13" x14ac:dyDescent="0.25">
      <c r="F2775" t="s">
        <v>4246</v>
      </c>
      <c r="G2775">
        <v>24395</v>
      </c>
      <c r="H2775">
        <v>1059</v>
      </c>
      <c r="I2775" s="25" t="s">
        <v>2085</v>
      </c>
      <c r="J2775" t="s">
        <v>2354</v>
      </c>
      <c r="M2775" s="49"/>
    </row>
    <row r="2776" spans="6:13" x14ac:dyDescent="0.25">
      <c r="F2776" t="s">
        <v>4247</v>
      </c>
      <c r="G2776">
        <v>75050</v>
      </c>
      <c r="H2776">
        <v>8125</v>
      </c>
      <c r="I2776" s="25" t="s">
        <v>2018</v>
      </c>
      <c r="J2776" t="s">
        <v>2060</v>
      </c>
      <c r="M2776" s="49"/>
    </row>
    <row r="2777" spans="6:13" x14ac:dyDescent="0.25">
      <c r="F2777" t="s">
        <v>4248</v>
      </c>
      <c r="G2777">
        <v>74376</v>
      </c>
      <c r="H2777">
        <v>8118</v>
      </c>
      <c r="I2777" s="25" t="s">
        <v>2018</v>
      </c>
      <c r="J2777" t="s">
        <v>2142</v>
      </c>
      <c r="M2777" s="49"/>
    </row>
    <row r="2778" spans="6:13" x14ac:dyDescent="0.25">
      <c r="F2778" t="s">
        <v>4249</v>
      </c>
      <c r="G2778">
        <v>35285</v>
      </c>
      <c r="H2778">
        <v>6635</v>
      </c>
      <c r="I2778" s="25" t="s">
        <v>2046</v>
      </c>
      <c r="J2778" t="s">
        <v>2308</v>
      </c>
      <c r="M2778" s="49"/>
    </row>
    <row r="2779" spans="6:13" x14ac:dyDescent="0.25">
      <c r="F2779" t="s">
        <v>4249</v>
      </c>
      <c r="G2779">
        <v>55490</v>
      </c>
      <c r="H2779">
        <v>7140</v>
      </c>
      <c r="I2779" s="25" t="s">
        <v>2123</v>
      </c>
      <c r="J2779" t="s">
        <v>2329</v>
      </c>
      <c r="M2779" s="49"/>
    </row>
    <row r="2780" spans="6:13" x14ac:dyDescent="0.25">
      <c r="F2780" t="s">
        <v>4250</v>
      </c>
      <c r="G2780">
        <v>35329</v>
      </c>
      <c r="H2780">
        <v>6535</v>
      </c>
      <c r="I2780" s="25" t="s">
        <v>2046</v>
      </c>
      <c r="J2780" t="s">
        <v>2346</v>
      </c>
      <c r="M2780" s="49"/>
    </row>
    <row r="2781" spans="6:13" x14ac:dyDescent="0.25">
      <c r="F2781" t="s">
        <v>4251</v>
      </c>
      <c r="G2781">
        <v>97737</v>
      </c>
      <c r="H2781">
        <v>9677</v>
      </c>
      <c r="I2781" s="25" t="s">
        <v>2050</v>
      </c>
      <c r="J2781" t="s">
        <v>2527</v>
      </c>
      <c r="M2781" s="49"/>
    </row>
    <row r="2782" spans="6:13" x14ac:dyDescent="0.25">
      <c r="F2782" t="s">
        <v>4252</v>
      </c>
      <c r="G2782">
        <v>86682</v>
      </c>
      <c r="H2782">
        <v>9779</v>
      </c>
      <c r="I2782" s="25" t="s">
        <v>2050</v>
      </c>
      <c r="J2782" t="s">
        <v>2280</v>
      </c>
      <c r="M2782" s="49"/>
    </row>
    <row r="2783" spans="6:13" x14ac:dyDescent="0.25">
      <c r="F2783" t="s">
        <v>4253</v>
      </c>
      <c r="G2783">
        <v>77723</v>
      </c>
      <c r="H2783">
        <v>8317</v>
      </c>
      <c r="I2783" s="25" t="s">
        <v>2018</v>
      </c>
      <c r="J2783" t="s">
        <v>2071</v>
      </c>
      <c r="M2783" s="49"/>
    </row>
    <row r="2784" spans="6:13" x14ac:dyDescent="0.25">
      <c r="F2784" t="s">
        <v>4254</v>
      </c>
      <c r="G2784">
        <v>55457</v>
      </c>
      <c r="H2784">
        <v>7339</v>
      </c>
      <c r="I2784" s="25" t="s">
        <v>2123</v>
      </c>
      <c r="J2784" t="s">
        <v>2238</v>
      </c>
      <c r="M2784" s="49"/>
    </row>
    <row r="2785" spans="6:13" x14ac:dyDescent="0.25">
      <c r="F2785" t="s">
        <v>4255</v>
      </c>
      <c r="G2785">
        <v>39307</v>
      </c>
      <c r="H2785">
        <v>15086</v>
      </c>
      <c r="I2785" s="25" t="s">
        <v>2241</v>
      </c>
      <c r="J2785" t="s">
        <v>3064</v>
      </c>
      <c r="M2785" s="49"/>
    </row>
    <row r="2786" spans="6:13" x14ac:dyDescent="0.25">
      <c r="F2786" t="s">
        <v>4256</v>
      </c>
      <c r="G2786">
        <v>92697</v>
      </c>
      <c r="H2786">
        <v>9374</v>
      </c>
      <c r="I2786" s="25" t="s">
        <v>2050</v>
      </c>
      <c r="J2786" t="s">
        <v>2420</v>
      </c>
      <c r="M2786" s="49"/>
    </row>
    <row r="2787" spans="6:13" x14ac:dyDescent="0.25">
      <c r="F2787" t="s">
        <v>4257</v>
      </c>
      <c r="G2787">
        <v>91166</v>
      </c>
      <c r="H2787">
        <v>9576</v>
      </c>
      <c r="I2787" s="25" t="s">
        <v>2050</v>
      </c>
      <c r="J2787" t="s">
        <v>2051</v>
      </c>
      <c r="M2787" s="49"/>
    </row>
    <row r="2788" spans="6:13" x14ac:dyDescent="0.25">
      <c r="F2788" t="s">
        <v>4258</v>
      </c>
      <c r="G2788">
        <v>99887</v>
      </c>
      <c r="H2788">
        <v>16067</v>
      </c>
      <c r="I2788" s="25" t="s">
        <v>2384</v>
      </c>
      <c r="J2788" t="s">
        <v>2155</v>
      </c>
      <c r="M2788" s="49"/>
    </row>
    <row r="2789" spans="6:13" x14ac:dyDescent="0.25">
      <c r="F2789" t="s">
        <v>4259</v>
      </c>
      <c r="G2789">
        <v>49124</v>
      </c>
      <c r="H2789">
        <v>3459</v>
      </c>
      <c r="I2789" s="25" t="s">
        <v>2074</v>
      </c>
      <c r="J2789" t="s">
        <v>2292</v>
      </c>
      <c r="M2789" s="49"/>
    </row>
    <row r="2790" spans="6:13" x14ac:dyDescent="0.25">
      <c r="F2790" t="s">
        <v>4260</v>
      </c>
      <c r="G2790">
        <v>7545</v>
      </c>
      <c r="H2790">
        <v>16052</v>
      </c>
      <c r="I2790" s="25" t="s">
        <v>2384</v>
      </c>
      <c r="J2790" t="s">
        <v>3229</v>
      </c>
      <c r="M2790" s="49"/>
    </row>
    <row r="2791" spans="6:13" x14ac:dyDescent="0.25">
      <c r="F2791" t="s">
        <v>4260</v>
      </c>
      <c r="G2791">
        <v>7551</v>
      </c>
      <c r="H2791">
        <v>16052</v>
      </c>
      <c r="I2791" s="25" t="s">
        <v>2384</v>
      </c>
      <c r="J2791" t="s">
        <v>3229</v>
      </c>
      <c r="M2791" s="49"/>
    </row>
    <row r="2792" spans="6:13" x14ac:dyDescent="0.25">
      <c r="F2792" t="s">
        <v>4260</v>
      </c>
      <c r="G2792">
        <v>7548</v>
      </c>
      <c r="H2792">
        <v>16052</v>
      </c>
      <c r="I2792" s="25" t="s">
        <v>2384</v>
      </c>
      <c r="J2792" t="s">
        <v>3229</v>
      </c>
      <c r="M2792" s="49"/>
    </row>
    <row r="2793" spans="6:13" x14ac:dyDescent="0.25">
      <c r="F2793" t="s">
        <v>4260</v>
      </c>
      <c r="G2793">
        <v>7551</v>
      </c>
      <c r="H2793">
        <v>16052</v>
      </c>
      <c r="I2793" s="25" t="s">
        <v>2384</v>
      </c>
      <c r="J2793" t="s">
        <v>3229</v>
      </c>
      <c r="M2793" s="49"/>
    </row>
    <row r="2794" spans="6:13" x14ac:dyDescent="0.25">
      <c r="F2794" t="s">
        <v>4260</v>
      </c>
      <c r="G2794">
        <v>7549</v>
      </c>
      <c r="H2794">
        <v>16052</v>
      </c>
      <c r="I2794" s="25" t="s">
        <v>2384</v>
      </c>
      <c r="J2794" t="s">
        <v>3229</v>
      </c>
      <c r="M2794" s="49"/>
    </row>
    <row r="2795" spans="6:13" x14ac:dyDescent="0.25">
      <c r="F2795" t="s">
        <v>4260</v>
      </c>
      <c r="G2795">
        <v>7552</v>
      </c>
      <c r="H2795">
        <v>16052</v>
      </c>
      <c r="I2795" s="25" t="s">
        <v>2384</v>
      </c>
      <c r="J2795" t="s">
        <v>3229</v>
      </c>
      <c r="M2795" s="49"/>
    </row>
    <row r="2796" spans="6:13" x14ac:dyDescent="0.25">
      <c r="F2796" t="s">
        <v>4260</v>
      </c>
      <c r="G2796">
        <v>7546</v>
      </c>
      <c r="H2796">
        <v>16052</v>
      </c>
      <c r="I2796" s="25" t="s">
        <v>2384</v>
      </c>
      <c r="J2796" t="s">
        <v>3229</v>
      </c>
      <c r="M2796" s="49"/>
    </row>
    <row r="2797" spans="6:13" x14ac:dyDescent="0.25">
      <c r="F2797" t="s">
        <v>4261</v>
      </c>
      <c r="G2797">
        <v>7557</v>
      </c>
      <c r="H2797">
        <v>16052</v>
      </c>
      <c r="I2797" s="25" t="s">
        <v>2384</v>
      </c>
      <c r="J2797" t="s">
        <v>3229</v>
      </c>
      <c r="M2797" s="49"/>
    </row>
    <row r="2798" spans="6:13" x14ac:dyDescent="0.25">
      <c r="F2798" t="s">
        <v>4261</v>
      </c>
      <c r="G2798">
        <v>7557</v>
      </c>
      <c r="H2798">
        <v>16076</v>
      </c>
      <c r="I2798" s="25" t="s">
        <v>2384</v>
      </c>
      <c r="J2798" t="s">
        <v>2583</v>
      </c>
      <c r="M2798" s="49"/>
    </row>
    <row r="2799" spans="6:13" x14ac:dyDescent="0.25">
      <c r="F2799" t="s">
        <v>4262</v>
      </c>
      <c r="G2799">
        <v>74582</v>
      </c>
      <c r="H2799">
        <v>8127</v>
      </c>
      <c r="I2799" s="25" t="s">
        <v>2018</v>
      </c>
      <c r="J2799" t="s">
        <v>3126</v>
      </c>
      <c r="M2799" s="49"/>
    </row>
    <row r="2800" spans="6:13" x14ac:dyDescent="0.25">
      <c r="F2800" t="s">
        <v>4263</v>
      </c>
      <c r="G2800">
        <v>96161</v>
      </c>
      <c r="H2800">
        <v>9471</v>
      </c>
      <c r="I2800" s="25" t="s">
        <v>2050</v>
      </c>
      <c r="J2800" t="s">
        <v>2392</v>
      </c>
      <c r="M2800" s="49"/>
    </row>
    <row r="2801" spans="6:13" x14ac:dyDescent="0.25">
      <c r="F2801" t="s">
        <v>4264</v>
      </c>
      <c r="G2801">
        <v>84552</v>
      </c>
      <c r="H2801">
        <v>9277</v>
      </c>
      <c r="I2801" s="25" t="s">
        <v>2050</v>
      </c>
      <c r="J2801" t="s">
        <v>2529</v>
      </c>
      <c r="M2801" s="49"/>
    </row>
    <row r="2802" spans="6:13" x14ac:dyDescent="0.25">
      <c r="F2802" t="s">
        <v>4265</v>
      </c>
      <c r="G2802">
        <v>97218</v>
      </c>
      <c r="H2802">
        <v>9679</v>
      </c>
      <c r="I2802" s="25" t="s">
        <v>2050</v>
      </c>
      <c r="J2802" t="s">
        <v>2428</v>
      </c>
      <c r="M2802" s="49"/>
    </row>
    <row r="2803" spans="6:13" x14ac:dyDescent="0.25">
      <c r="F2803" t="s">
        <v>4266</v>
      </c>
      <c r="G2803">
        <v>6347</v>
      </c>
      <c r="H2803">
        <v>15087</v>
      </c>
      <c r="I2803" s="25" t="s">
        <v>2241</v>
      </c>
      <c r="J2803" t="s">
        <v>2324</v>
      </c>
      <c r="M2803" s="49"/>
    </row>
    <row r="2804" spans="6:13" x14ac:dyDescent="0.25">
      <c r="F2804" t="s">
        <v>4267</v>
      </c>
      <c r="G2804">
        <v>29581</v>
      </c>
      <c r="H2804">
        <v>3360</v>
      </c>
      <c r="I2804" s="25" t="s">
        <v>2074</v>
      </c>
      <c r="J2804" t="s">
        <v>2400</v>
      </c>
      <c r="M2804" s="49"/>
    </row>
    <row r="2805" spans="6:13" x14ac:dyDescent="0.25">
      <c r="F2805" t="s">
        <v>4268</v>
      </c>
      <c r="G2805">
        <v>82538</v>
      </c>
      <c r="H2805">
        <v>9173</v>
      </c>
      <c r="I2805" s="25" t="s">
        <v>2050</v>
      </c>
      <c r="J2805" t="s">
        <v>2659</v>
      </c>
      <c r="M2805" s="49"/>
    </row>
    <row r="2806" spans="6:13" x14ac:dyDescent="0.25">
      <c r="F2806" t="s">
        <v>4269</v>
      </c>
      <c r="G2806">
        <v>91466</v>
      </c>
      <c r="H2806">
        <v>9575</v>
      </c>
      <c r="I2806" s="25" t="s">
        <v>2050</v>
      </c>
      <c r="J2806" t="s">
        <v>2749</v>
      </c>
      <c r="M2806" s="49"/>
    </row>
    <row r="2807" spans="6:13" x14ac:dyDescent="0.25">
      <c r="F2807" t="s">
        <v>4270</v>
      </c>
      <c r="G2807">
        <v>9326</v>
      </c>
      <c r="H2807">
        <v>14522</v>
      </c>
      <c r="I2807" s="25" t="s">
        <v>2135</v>
      </c>
      <c r="J2807" t="s">
        <v>2100</v>
      </c>
      <c r="M2807" s="49"/>
    </row>
    <row r="2808" spans="6:13" x14ac:dyDescent="0.25">
      <c r="F2808" t="s">
        <v>4271</v>
      </c>
      <c r="G2808">
        <v>70839</v>
      </c>
      <c r="H2808">
        <v>8118</v>
      </c>
      <c r="I2808" s="25" t="s">
        <v>2018</v>
      </c>
      <c r="J2808" t="s">
        <v>2142</v>
      </c>
      <c r="M2808" s="49"/>
    </row>
    <row r="2809" spans="6:13" x14ac:dyDescent="0.25">
      <c r="F2809" t="s">
        <v>4272</v>
      </c>
      <c r="G2809">
        <v>87656</v>
      </c>
      <c r="H2809">
        <v>9777</v>
      </c>
      <c r="I2809" s="25" t="s">
        <v>2050</v>
      </c>
      <c r="J2809" t="s">
        <v>2237</v>
      </c>
      <c r="M2809" s="49"/>
    </row>
    <row r="2810" spans="6:13" x14ac:dyDescent="0.25">
      <c r="F2810" t="s">
        <v>4273</v>
      </c>
      <c r="G2810">
        <v>82110</v>
      </c>
      <c r="H2810">
        <v>9179</v>
      </c>
      <c r="I2810" s="25" t="s">
        <v>2050</v>
      </c>
      <c r="J2810" t="s">
        <v>2111</v>
      </c>
      <c r="M2810" s="49"/>
    </row>
    <row r="2811" spans="6:13" x14ac:dyDescent="0.25">
      <c r="F2811" t="s">
        <v>2873</v>
      </c>
      <c r="G2811">
        <v>76726</v>
      </c>
      <c r="H2811">
        <v>7334</v>
      </c>
      <c r="I2811" s="25" t="s">
        <v>2123</v>
      </c>
      <c r="J2811" t="s">
        <v>2873</v>
      </c>
      <c r="M2811" s="49"/>
    </row>
    <row r="2812" spans="6:13" x14ac:dyDescent="0.25">
      <c r="F2812" t="s">
        <v>4274</v>
      </c>
      <c r="G2812">
        <v>76593</v>
      </c>
      <c r="H2812">
        <v>8216</v>
      </c>
      <c r="I2812" s="25" t="s">
        <v>2018</v>
      </c>
      <c r="J2812" t="s">
        <v>2564</v>
      </c>
      <c r="M2812" s="49"/>
    </row>
    <row r="2813" spans="6:13" x14ac:dyDescent="0.25">
      <c r="F2813" t="s">
        <v>4275</v>
      </c>
      <c r="G2813">
        <v>64579</v>
      </c>
      <c r="H2813">
        <v>6433</v>
      </c>
      <c r="I2813" s="25" t="s">
        <v>2046</v>
      </c>
      <c r="J2813" t="s">
        <v>3061</v>
      </c>
      <c r="M2813" s="49"/>
    </row>
    <row r="2814" spans="6:13" x14ac:dyDescent="0.25">
      <c r="F2814" t="s">
        <v>4276</v>
      </c>
      <c r="G2814">
        <v>97779</v>
      </c>
      <c r="H2814">
        <v>9672</v>
      </c>
      <c r="I2814" s="25" t="s">
        <v>2050</v>
      </c>
      <c r="J2814" t="s">
        <v>2620</v>
      </c>
      <c r="M2814" s="49"/>
    </row>
    <row r="2815" spans="6:13" x14ac:dyDescent="0.25">
      <c r="F2815" t="s">
        <v>4277</v>
      </c>
      <c r="G2815">
        <v>95179</v>
      </c>
      <c r="H2815">
        <v>9475</v>
      </c>
      <c r="I2815" s="25" t="s">
        <v>2050</v>
      </c>
      <c r="J2815" t="s">
        <v>2201</v>
      </c>
      <c r="M2815" s="49"/>
    </row>
    <row r="2816" spans="6:13" x14ac:dyDescent="0.25">
      <c r="F2816" t="s">
        <v>4278</v>
      </c>
      <c r="G2816">
        <v>97256</v>
      </c>
      <c r="H2816">
        <v>9679</v>
      </c>
      <c r="I2816" s="25" t="s">
        <v>2050</v>
      </c>
      <c r="J2816" t="s">
        <v>2428</v>
      </c>
      <c r="M2816" s="49"/>
    </row>
    <row r="2817" spans="6:13" x14ac:dyDescent="0.25">
      <c r="F2817" t="s">
        <v>4279</v>
      </c>
      <c r="G2817">
        <v>91726</v>
      </c>
      <c r="H2817">
        <v>9571</v>
      </c>
      <c r="I2817" s="25" t="s">
        <v>2050</v>
      </c>
      <c r="J2817" t="s">
        <v>2113</v>
      </c>
      <c r="M2817" s="49"/>
    </row>
    <row r="2818" spans="6:13" x14ac:dyDescent="0.25">
      <c r="F2818" t="s">
        <v>4280</v>
      </c>
      <c r="G2818">
        <v>85302</v>
      </c>
      <c r="H2818">
        <v>9186</v>
      </c>
      <c r="I2818" s="25" t="s">
        <v>2050</v>
      </c>
      <c r="J2818" t="s">
        <v>2594</v>
      </c>
      <c r="M2818" s="49"/>
    </row>
    <row r="2819" spans="6:13" x14ac:dyDescent="0.25">
      <c r="F2819" t="s">
        <v>4281</v>
      </c>
      <c r="G2819">
        <v>67229</v>
      </c>
      <c r="H2819">
        <v>7332</v>
      </c>
      <c r="I2819" s="25" t="s">
        <v>2123</v>
      </c>
      <c r="J2819" t="s">
        <v>2440</v>
      </c>
      <c r="M2819" s="49"/>
    </row>
    <row r="2820" spans="6:13" x14ac:dyDescent="0.25">
      <c r="F2820" t="s">
        <v>4282</v>
      </c>
      <c r="G2820">
        <v>54568</v>
      </c>
      <c r="H2820">
        <v>7233</v>
      </c>
      <c r="I2820" s="25" t="s">
        <v>2123</v>
      </c>
      <c r="J2820" t="s">
        <v>2416</v>
      </c>
      <c r="M2820" s="49"/>
    </row>
    <row r="2821" spans="6:13" x14ac:dyDescent="0.25">
      <c r="F2821" t="s">
        <v>4283</v>
      </c>
      <c r="G2821">
        <v>97447</v>
      </c>
      <c r="H2821">
        <v>9678</v>
      </c>
      <c r="I2821" s="25" t="s">
        <v>2050</v>
      </c>
      <c r="J2821" t="s">
        <v>2918</v>
      </c>
      <c r="M2821" s="49"/>
    </row>
    <row r="2822" spans="6:13" x14ac:dyDescent="0.25">
      <c r="F2822" t="s">
        <v>4284</v>
      </c>
      <c r="G2822">
        <v>9355</v>
      </c>
      <c r="H2822">
        <v>14524</v>
      </c>
      <c r="I2822" s="25" t="s">
        <v>2135</v>
      </c>
      <c r="J2822" t="s">
        <v>3424</v>
      </c>
      <c r="M2822" s="49"/>
    </row>
    <row r="2823" spans="6:13" x14ac:dyDescent="0.25">
      <c r="F2823" t="s">
        <v>4285</v>
      </c>
      <c r="G2823">
        <v>36129</v>
      </c>
      <c r="H2823">
        <v>6631</v>
      </c>
      <c r="I2823" s="25" t="s">
        <v>2046</v>
      </c>
      <c r="J2823" t="s">
        <v>2145</v>
      </c>
      <c r="M2823" s="49"/>
    </row>
    <row r="2824" spans="6:13" x14ac:dyDescent="0.25">
      <c r="F2824" t="s">
        <v>4286</v>
      </c>
      <c r="G2824">
        <v>66453</v>
      </c>
      <c r="H2824">
        <v>10045</v>
      </c>
      <c r="I2824" s="25" t="s">
        <v>2849</v>
      </c>
      <c r="J2824" t="s">
        <v>3048</v>
      </c>
      <c r="M2824" s="49"/>
    </row>
    <row r="2825" spans="6:13" x14ac:dyDescent="0.25">
      <c r="F2825" t="s">
        <v>4287</v>
      </c>
      <c r="G2825">
        <v>89547</v>
      </c>
      <c r="H2825">
        <v>8135</v>
      </c>
      <c r="I2825" s="25" t="s">
        <v>2018</v>
      </c>
      <c r="J2825" t="s">
        <v>2816</v>
      </c>
      <c r="M2825" s="49"/>
    </row>
    <row r="2826" spans="6:13" x14ac:dyDescent="0.25">
      <c r="F2826" t="s">
        <v>4288</v>
      </c>
      <c r="G2826">
        <v>86368</v>
      </c>
      <c r="H2826">
        <v>9772</v>
      </c>
      <c r="I2826" s="25" t="s">
        <v>2050</v>
      </c>
      <c r="J2826" t="s">
        <v>2117</v>
      </c>
      <c r="M2826" s="49"/>
    </row>
    <row r="2827" spans="6:13" x14ac:dyDescent="0.25">
      <c r="F2827" t="s">
        <v>4289</v>
      </c>
      <c r="G2827">
        <v>99834</v>
      </c>
      <c r="H2827">
        <v>16063</v>
      </c>
      <c r="I2827" s="25" t="s">
        <v>2384</v>
      </c>
      <c r="J2827" t="s">
        <v>2687</v>
      </c>
      <c r="M2827" s="49"/>
    </row>
    <row r="2828" spans="6:13" x14ac:dyDescent="0.25">
      <c r="F2828" t="s">
        <v>4290</v>
      </c>
      <c r="G2828">
        <v>84175</v>
      </c>
      <c r="H2828">
        <v>9274</v>
      </c>
      <c r="I2828" s="25" t="s">
        <v>2050</v>
      </c>
      <c r="J2828" t="s">
        <v>2132</v>
      </c>
      <c r="M2828" s="49"/>
    </row>
    <row r="2829" spans="6:13" x14ac:dyDescent="0.25">
      <c r="F2829" t="s">
        <v>4291</v>
      </c>
      <c r="G2829">
        <v>23815</v>
      </c>
      <c r="H2829">
        <v>1060</v>
      </c>
      <c r="I2829" s="25" t="s">
        <v>2085</v>
      </c>
      <c r="J2829" t="s">
        <v>2363</v>
      </c>
      <c r="M2829" s="49"/>
    </row>
    <row r="2830" spans="6:13" x14ac:dyDescent="0.25">
      <c r="F2830" t="s">
        <v>4292</v>
      </c>
      <c r="G2830">
        <v>48712</v>
      </c>
      <c r="H2830">
        <v>5554</v>
      </c>
      <c r="I2830" s="25" t="s">
        <v>2023</v>
      </c>
      <c r="J2830" t="s">
        <v>2055</v>
      </c>
      <c r="M2830" s="49"/>
    </row>
    <row r="2831" spans="6:13" x14ac:dyDescent="0.25">
      <c r="F2831" t="s">
        <v>4293</v>
      </c>
      <c r="G2831">
        <v>98716</v>
      </c>
      <c r="H2831">
        <v>16070</v>
      </c>
      <c r="I2831" s="25" t="s">
        <v>2384</v>
      </c>
      <c r="J2831" t="s">
        <v>2206</v>
      </c>
      <c r="M2831" s="49"/>
    </row>
    <row r="2832" spans="6:13" x14ac:dyDescent="0.25">
      <c r="F2832" t="s">
        <v>4294</v>
      </c>
      <c r="G2832">
        <v>95494</v>
      </c>
      <c r="H2832">
        <v>9472</v>
      </c>
      <c r="I2832" s="25" t="s">
        <v>2050</v>
      </c>
      <c r="J2832" t="s">
        <v>2180</v>
      </c>
      <c r="M2832" s="49"/>
    </row>
    <row r="2833" spans="6:13" x14ac:dyDescent="0.25">
      <c r="F2833" t="s">
        <v>4295</v>
      </c>
      <c r="G2833">
        <v>59590</v>
      </c>
      <c r="H2833">
        <v>5974</v>
      </c>
      <c r="I2833" s="25" t="s">
        <v>2023</v>
      </c>
      <c r="J2833" t="s">
        <v>2368</v>
      </c>
      <c r="M2833" s="49"/>
    </row>
    <row r="2834" spans="6:13" x14ac:dyDescent="0.25">
      <c r="F2834" t="s">
        <v>4296</v>
      </c>
      <c r="G2834">
        <v>91608</v>
      </c>
      <c r="H2834">
        <v>9571</v>
      </c>
      <c r="I2834" s="25" t="s">
        <v>2050</v>
      </c>
      <c r="J2834" t="s">
        <v>2113</v>
      </c>
      <c r="M2834" s="49"/>
    </row>
    <row r="2835" spans="6:13" x14ac:dyDescent="0.25">
      <c r="F2835" t="s">
        <v>4297</v>
      </c>
      <c r="G2835">
        <v>86459</v>
      </c>
      <c r="H2835">
        <v>9772</v>
      </c>
      <c r="I2835" s="25" t="s">
        <v>2050</v>
      </c>
      <c r="J2835" t="s">
        <v>2117</v>
      </c>
      <c r="M2835" s="49"/>
    </row>
    <row r="2836" spans="6:13" x14ac:dyDescent="0.25">
      <c r="F2836" t="s">
        <v>4298</v>
      </c>
      <c r="G2836">
        <v>24214</v>
      </c>
      <c r="H2836">
        <v>1058</v>
      </c>
      <c r="I2836" s="25" t="s">
        <v>2085</v>
      </c>
      <c r="J2836" t="s">
        <v>2086</v>
      </c>
      <c r="M2836" s="49"/>
    </row>
    <row r="2837" spans="6:13" x14ac:dyDescent="0.25">
      <c r="F2837" t="s">
        <v>4299</v>
      </c>
      <c r="G2837">
        <v>58285</v>
      </c>
      <c r="H2837">
        <v>5954</v>
      </c>
      <c r="I2837" s="25" t="s">
        <v>2023</v>
      </c>
      <c r="J2837" t="s">
        <v>2124</v>
      </c>
      <c r="M2837" s="49"/>
    </row>
    <row r="2838" spans="6:13" x14ac:dyDescent="0.25">
      <c r="F2838" t="s">
        <v>4300</v>
      </c>
      <c r="G2838">
        <v>56825</v>
      </c>
      <c r="H2838">
        <v>7135</v>
      </c>
      <c r="I2838" s="25" t="s">
        <v>2123</v>
      </c>
      <c r="J2838" t="s">
        <v>2072</v>
      </c>
      <c r="M2838" s="49"/>
    </row>
    <row r="2839" spans="6:13" x14ac:dyDescent="0.25">
      <c r="F2839" t="s">
        <v>4301</v>
      </c>
      <c r="G2839">
        <v>38384</v>
      </c>
      <c r="H2839">
        <v>3154</v>
      </c>
      <c r="I2839" s="25" t="s">
        <v>2074</v>
      </c>
      <c r="J2839" t="s">
        <v>2186</v>
      </c>
      <c r="M2839" s="49"/>
    </row>
    <row r="2840" spans="6:13" x14ac:dyDescent="0.25">
      <c r="F2840" t="s">
        <v>4302</v>
      </c>
      <c r="G2840">
        <v>9468</v>
      </c>
      <c r="H2840">
        <v>14521</v>
      </c>
      <c r="I2840" s="25" t="s">
        <v>2135</v>
      </c>
      <c r="J2840" t="s">
        <v>2032</v>
      </c>
      <c r="M2840" s="49"/>
    </row>
    <row r="2841" spans="6:13" x14ac:dyDescent="0.25">
      <c r="F2841" t="s">
        <v>4303</v>
      </c>
      <c r="G2841">
        <v>97232</v>
      </c>
      <c r="H2841">
        <v>9679</v>
      </c>
      <c r="I2841" s="25" t="s">
        <v>2050</v>
      </c>
      <c r="J2841" t="s">
        <v>2428</v>
      </c>
      <c r="M2841" s="49"/>
    </row>
    <row r="2842" spans="6:13" x14ac:dyDescent="0.25">
      <c r="F2842" t="s">
        <v>4304</v>
      </c>
      <c r="G2842">
        <v>37434</v>
      </c>
      <c r="H2842">
        <v>3159</v>
      </c>
      <c r="I2842" s="25" t="s">
        <v>2074</v>
      </c>
      <c r="J2842" t="s">
        <v>2093</v>
      </c>
      <c r="M2842" s="49"/>
    </row>
    <row r="2843" spans="6:13" x14ac:dyDescent="0.25">
      <c r="F2843" t="s">
        <v>4305</v>
      </c>
      <c r="G2843">
        <v>89537</v>
      </c>
      <c r="H2843">
        <v>8135</v>
      </c>
      <c r="I2843" s="25" t="s">
        <v>2018</v>
      </c>
      <c r="J2843" t="s">
        <v>2816</v>
      </c>
      <c r="M2843" s="49"/>
    </row>
    <row r="2844" spans="6:13" x14ac:dyDescent="0.25">
      <c r="F2844" t="s">
        <v>4306</v>
      </c>
      <c r="G2844">
        <v>31180</v>
      </c>
      <c r="H2844">
        <v>3254</v>
      </c>
      <c r="I2844" s="25" t="s">
        <v>2074</v>
      </c>
      <c r="J2844" t="s">
        <v>2196</v>
      </c>
      <c r="M2844" s="49"/>
    </row>
    <row r="2845" spans="6:13" x14ac:dyDescent="0.25">
      <c r="F2845" t="s">
        <v>2306</v>
      </c>
      <c r="G2845">
        <v>35396</v>
      </c>
      <c r="H2845">
        <v>6531</v>
      </c>
      <c r="I2845" s="25" t="s">
        <v>2046</v>
      </c>
      <c r="J2845" t="s">
        <v>2306</v>
      </c>
      <c r="M2845" s="49"/>
    </row>
    <row r="2846" spans="6:13" x14ac:dyDescent="0.25">
      <c r="F2846" t="s">
        <v>2306</v>
      </c>
      <c r="G2846">
        <v>35392</v>
      </c>
      <c r="H2846">
        <v>6531</v>
      </c>
      <c r="I2846" s="25" t="s">
        <v>2046</v>
      </c>
      <c r="J2846" t="s">
        <v>2306</v>
      </c>
      <c r="M2846" s="49"/>
    </row>
    <row r="2847" spans="6:13" x14ac:dyDescent="0.25">
      <c r="F2847" t="s">
        <v>2306</v>
      </c>
      <c r="G2847">
        <v>35394</v>
      </c>
      <c r="H2847">
        <v>6531</v>
      </c>
      <c r="I2847" s="25" t="s">
        <v>2046</v>
      </c>
      <c r="J2847" t="s">
        <v>2306</v>
      </c>
      <c r="M2847" s="49"/>
    </row>
    <row r="2848" spans="6:13" x14ac:dyDescent="0.25">
      <c r="F2848" t="s">
        <v>2306</v>
      </c>
      <c r="G2848">
        <v>35390</v>
      </c>
      <c r="H2848">
        <v>6531</v>
      </c>
      <c r="I2848" s="25" t="s">
        <v>2046</v>
      </c>
      <c r="J2848" t="s">
        <v>2306</v>
      </c>
      <c r="M2848" s="49"/>
    </row>
    <row r="2849" spans="6:13" x14ac:dyDescent="0.25">
      <c r="F2849" t="s">
        <v>2306</v>
      </c>
      <c r="G2849">
        <v>35398</v>
      </c>
      <c r="H2849">
        <v>6531</v>
      </c>
      <c r="I2849" s="25" t="s">
        <v>2046</v>
      </c>
      <c r="J2849" t="s">
        <v>2306</v>
      </c>
      <c r="M2849" s="49"/>
    </row>
    <row r="2850" spans="6:13" x14ac:dyDescent="0.25">
      <c r="F2850" t="s">
        <v>2126</v>
      </c>
      <c r="G2850">
        <v>38518</v>
      </c>
      <c r="H2850">
        <v>3151</v>
      </c>
      <c r="I2850" s="25" t="s">
        <v>2074</v>
      </c>
      <c r="J2850" t="s">
        <v>2126</v>
      </c>
      <c r="M2850" s="49"/>
    </row>
    <row r="2851" spans="6:13" x14ac:dyDescent="0.25">
      <c r="F2851" t="s">
        <v>4307</v>
      </c>
      <c r="G2851">
        <v>82205</v>
      </c>
      <c r="H2851">
        <v>9188</v>
      </c>
      <c r="I2851" s="25" t="s">
        <v>2050</v>
      </c>
      <c r="J2851" t="s">
        <v>2481</v>
      </c>
      <c r="M2851" s="49"/>
    </row>
    <row r="2852" spans="6:13" x14ac:dyDescent="0.25">
      <c r="F2852" t="s">
        <v>4308</v>
      </c>
      <c r="G2852">
        <v>54558</v>
      </c>
      <c r="H2852">
        <v>7233</v>
      </c>
      <c r="I2852" s="25" t="s">
        <v>2123</v>
      </c>
      <c r="J2852" t="s">
        <v>2416</v>
      </c>
      <c r="M2852" s="49"/>
    </row>
    <row r="2853" spans="6:13" x14ac:dyDescent="0.25">
      <c r="F2853" t="s">
        <v>4309</v>
      </c>
      <c r="G2853">
        <v>34630</v>
      </c>
      <c r="H2853">
        <v>6634</v>
      </c>
      <c r="I2853" s="25" t="s">
        <v>2046</v>
      </c>
      <c r="J2853" t="s">
        <v>2360</v>
      </c>
      <c r="M2853" s="49"/>
    </row>
    <row r="2854" spans="6:13" x14ac:dyDescent="0.25">
      <c r="F2854" t="s">
        <v>4310</v>
      </c>
      <c r="G2854">
        <v>67578</v>
      </c>
      <c r="H2854">
        <v>7331</v>
      </c>
      <c r="I2854" s="25" t="s">
        <v>2123</v>
      </c>
      <c r="J2854" t="s">
        <v>2029</v>
      </c>
      <c r="M2854" s="49"/>
    </row>
    <row r="2855" spans="6:13" x14ac:dyDescent="0.25">
      <c r="F2855" t="s">
        <v>4311</v>
      </c>
      <c r="G2855">
        <v>73333</v>
      </c>
      <c r="H2855">
        <v>8117</v>
      </c>
      <c r="I2855" s="25" t="s">
        <v>2018</v>
      </c>
      <c r="J2855" t="s">
        <v>2089</v>
      </c>
      <c r="M2855" s="49"/>
    </row>
    <row r="2856" spans="6:13" x14ac:dyDescent="0.25">
      <c r="F2856" t="s">
        <v>4312</v>
      </c>
      <c r="G2856">
        <v>18569</v>
      </c>
      <c r="H2856">
        <v>13073</v>
      </c>
      <c r="I2856" s="25" t="s">
        <v>2191</v>
      </c>
      <c r="J2856" t="s">
        <v>2192</v>
      </c>
      <c r="M2856" s="49"/>
    </row>
    <row r="2857" spans="6:13" x14ac:dyDescent="0.25">
      <c r="F2857" t="s">
        <v>4312</v>
      </c>
      <c r="G2857">
        <v>18569</v>
      </c>
      <c r="H2857">
        <v>13073</v>
      </c>
      <c r="I2857" s="25" t="s">
        <v>2191</v>
      </c>
      <c r="J2857" t="s">
        <v>2192</v>
      </c>
      <c r="M2857" s="49"/>
    </row>
    <row r="2858" spans="6:13" x14ac:dyDescent="0.25">
      <c r="F2858" t="s">
        <v>4312</v>
      </c>
      <c r="G2858">
        <v>18569</v>
      </c>
      <c r="H2858">
        <v>13073</v>
      </c>
      <c r="I2858" s="25" t="s">
        <v>2191</v>
      </c>
      <c r="J2858" t="s">
        <v>2192</v>
      </c>
      <c r="M2858" s="49"/>
    </row>
    <row r="2859" spans="6:13" x14ac:dyDescent="0.25">
      <c r="F2859" t="s">
        <v>4312</v>
      </c>
      <c r="G2859">
        <v>18569</v>
      </c>
      <c r="H2859">
        <v>13073</v>
      </c>
      <c r="I2859" s="25" t="s">
        <v>2191</v>
      </c>
      <c r="J2859" t="s">
        <v>2192</v>
      </c>
      <c r="M2859" s="49"/>
    </row>
    <row r="2860" spans="6:13" x14ac:dyDescent="0.25">
      <c r="F2860" t="s">
        <v>4312</v>
      </c>
      <c r="G2860">
        <v>18569</v>
      </c>
      <c r="H2860">
        <v>13073</v>
      </c>
      <c r="I2860" s="25" t="s">
        <v>2191</v>
      </c>
      <c r="J2860" t="s">
        <v>2192</v>
      </c>
      <c r="M2860" s="49"/>
    </row>
    <row r="2861" spans="6:13" x14ac:dyDescent="0.25">
      <c r="F2861" t="s">
        <v>4313</v>
      </c>
      <c r="G2861">
        <v>65462</v>
      </c>
      <c r="H2861">
        <v>6433</v>
      </c>
      <c r="I2861" s="25" t="s">
        <v>2046</v>
      </c>
      <c r="J2861" t="s">
        <v>3061</v>
      </c>
      <c r="M2861" s="49"/>
    </row>
    <row r="2862" spans="6:13" x14ac:dyDescent="0.25">
      <c r="F2862" t="s">
        <v>4314</v>
      </c>
      <c r="G2862">
        <v>45966</v>
      </c>
      <c r="H2862">
        <v>5562</v>
      </c>
      <c r="I2862" s="25" t="s">
        <v>2023</v>
      </c>
      <c r="J2862" t="s">
        <v>2318</v>
      </c>
      <c r="M2862" s="49"/>
    </row>
    <row r="2863" spans="6:13" x14ac:dyDescent="0.25">
      <c r="F2863" t="s">
        <v>4314</v>
      </c>
      <c r="G2863">
        <v>45968</v>
      </c>
      <c r="H2863">
        <v>5562</v>
      </c>
      <c r="I2863" s="25" t="s">
        <v>2023</v>
      </c>
      <c r="J2863" t="s">
        <v>2318</v>
      </c>
      <c r="M2863" s="49"/>
    </row>
    <row r="2864" spans="6:13" x14ac:dyDescent="0.25">
      <c r="F2864" t="s">
        <v>4314</v>
      </c>
      <c r="G2864">
        <v>45964</v>
      </c>
      <c r="H2864">
        <v>5562</v>
      </c>
      <c r="I2864" s="25" t="s">
        <v>2023</v>
      </c>
      <c r="J2864" t="s">
        <v>2318</v>
      </c>
      <c r="M2864" s="49"/>
    </row>
    <row r="2865" spans="6:13" x14ac:dyDescent="0.25">
      <c r="F2865" t="s">
        <v>4315</v>
      </c>
      <c r="G2865">
        <v>35075</v>
      </c>
      <c r="H2865">
        <v>6534</v>
      </c>
      <c r="I2865" s="25" t="s">
        <v>2046</v>
      </c>
      <c r="J2865" t="s">
        <v>2471</v>
      </c>
      <c r="M2865" s="49"/>
    </row>
    <row r="2866" spans="6:13" x14ac:dyDescent="0.25">
      <c r="F2866" t="s">
        <v>4316</v>
      </c>
      <c r="G2866">
        <v>49219</v>
      </c>
      <c r="H2866">
        <v>3459</v>
      </c>
      <c r="I2866" s="25" t="s">
        <v>2074</v>
      </c>
      <c r="J2866" t="s">
        <v>2292</v>
      </c>
      <c r="M2866" s="49"/>
    </row>
    <row r="2867" spans="6:13" x14ac:dyDescent="0.25">
      <c r="F2867" t="s">
        <v>4317</v>
      </c>
      <c r="G2867">
        <v>66907</v>
      </c>
      <c r="H2867">
        <v>7336</v>
      </c>
      <c r="I2867" s="25" t="s">
        <v>2123</v>
      </c>
      <c r="J2867" t="s">
        <v>2216</v>
      </c>
      <c r="M2867" s="49"/>
    </row>
    <row r="2868" spans="6:13" x14ac:dyDescent="0.25">
      <c r="F2868" t="s">
        <v>4318</v>
      </c>
      <c r="G2868">
        <v>23719</v>
      </c>
      <c r="H2868">
        <v>1060</v>
      </c>
      <c r="I2868" s="25" t="s">
        <v>2085</v>
      </c>
      <c r="J2868" t="s">
        <v>2363</v>
      </c>
      <c r="M2868" s="49"/>
    </row>
    <row r="2869" spans="6:13" x14ac:dyDescent="0.25">
      <c r="F2869" t="s">
        <v>4319</v>
      </c>
      <c r="G2869">
        <v>1768</v>
      </c>
      <c r="H2869">
        <v>14628</v>
      </c>
      <c r="I2869" s="25" t="s">
        <v>2135</v>
      </c>
      <c r="J2869" t="s">
        <v>2347</v>
      </c>
      <c r="M2869" s="49"/>
    </row>
    <row r="2870" spans="6:13" x14ac:dyDescent="0.25">
      <c r="F2870" t="s">
        <v>4320</v>
      </c>
      <c r="G2870">
        <v>61479</v>
      </c>
      <c r="H2870">
        <v>6434</v>
      </c>
      <c r="I2870" s="25" t="s">
        <v>2046</v>
      </c>
      <c r="J2870" t="s">
        <v>2664</v>
      </c>
      <c r="M2870" s="49"/>
    </row>
    <row r="2871" spans="6:13" x14ac:dyDescent="0.25">
      <c r="F2871" t="s">
        <v>4320</v>
      </c>
      <c r="G2871">
        <v>95496</v>
      </c>
      <c r="H2871">
        <v>9472</v>
      </c>
      <c r="I2871" s="25" t="s">
        <v>2050</v>
      </c>
      <c r="J2871" t="s">
        <v>2180</v>
      </c>
      <c r="M2871" s="49"/>
    </row>
    <row r="2872" spans="6:13" x14ac:dyDescent="0.25">
      <c r="F2872" t="s">
        <v>4320</v>
      </c>
      <c r="G2872">
        <v>95496</v>
      </c>
      <c r="H2872">
        <v>9472</v>
      </c>
      <c r="I2872" s="25" t="s">
        <v>2050</v>
      </c>
      <c r="J2872" t="s">
        <v>2180</v>
      </c>
      <c r="M2872" s="49"/>
    </row>
    <row r="2873" spans="6:13" x14ac:dyDescent="0.25">
      <c r="F2873" t="s">
        <v>4321</v>
      </c>
      <c r="G2873">
        <v>63864</v>
      </c>
      <c r="H2873">
        <v>9671</v>
      </c>
      <c r="I2873" s="25" t="s">
        <v>2050</v>
      </c>
      <c r="J2873" t="s">
        <v>2453</v>
      </c>
      <c r="M2873" s="49"/>
    </row>
    <row r="2874" spans="6:13" x14ac:dyDescent="0.25">
      <c r="F2874" t="s">
        <v>4322</v>
      </c>
      <c r="G2874">
        <v>72293</v>
      </c>
      <c r="H2874">
        <v>8237</v>
      </c>
      <c r="I2874" s="25" t="s">
        <v>2018</v>
      </c>
      <c r="J2874" t="s">
        <v>2336</v>
      </c>
      <c r="M2874" s="49"/>
    </row>
    <row r="2875" spans="6:13" x14ac:dyDescent="0.25">
      <c r="F2875" t="s">
        <v>4323</v>
      </c>
      <c r="G2875">
        <v>63695</v>
      </c>
      <c r="H2875">
        <v>6440</v>
      </c>
      <c r="I2875" s="25" t="s">
        <v>2046</v>
      </c>
      <c r="J2875" t="s">
        <v>2415</v>
      </c>
      <c r="M2875" s="49"/>
    </row>
    <row r="2876" spans="6:13" x14ac:dyDescent="0.25">
      <c r="F2876" t="s">
        <v>4324</v>
      </c>
      <c r="G2876">
        <v>8371</v>
      </c>
      <c r="H2876">
        <v>14524</v>
      </c>
      <c r="I2876" s="25" t="s">
        <v>2135</v>
      </c>
      <c r="J2876" t="s">
        <v>3424</v>
      </c>
      <c r="M2876" s="49"/>
    </row>
    <row r="2877" spans="6:13" x14ac:dyDescent="0.25">
      <c r="F2877" t="s">
        <v>4325</v>
      </c>
      <c r="G2877">
        <v>37130</v>
      </c>
      <c r="H2877">
        <v>3159</v>
      </c>
      <c r="I2877" s="25" t="s">
        <v>2074</v>
      </c>
      <c r="J2877" t="s">
        <v>2093</v>
      </c>
      <c r="M2877" s="49"/>
    </row>
    <row r="2878" spans="6:13" x14ac:dyDescent="0.25">
      <c r="F2878" t="s">
        <v>4326</v>
      </c>
      <c r="G2878">
        <v>93477</v>
      </c>
      <c r="H2878">
        <v>9372</v>
      </c>
      <c r="I2878" s="25" t="s">
        <v>2050</v>
      </c>
      <c r="J2878" t="s">
        <v>2523</v>
      </c>
      <c r="M2878" s="49"/>
    </row>
    <row r="2879" spans="6:13" x14ac:dyDescent="0.25">
      <c r="F2879" t="s">
        <v>4327</v>
      </c>
      <c r="G2879">
        <v>18513</v>
      </c>
      <c r="H2879">
        <v>13073</v>
      </c>
      <c r="I2879" s="25" t="s">
        <v>2191</v>
      </c>
      <c r="J2879" t="s">
        <v>2192</v>
      </c>
      <c r="M2879" s="49"/>
    </row>
    <row r="2880" spans="6:13" x14ac:dyDescent="0.25">
      <c r="F2880" t="s">
        <v>4328</v>
      </c>
      <c r="G2880">
        <v>16548</v>
      </c>
      <c r="H2880">
        <v>12065</v>
      </c>
      <c r="I2880" s="25" t="s">
        <v>2356</v>
      </c>
      <c r="J2880" t="s">
        <v>2283</v>
      </c>
      <c r="M2880" s="49"/>
    </row>
    <row r="2881" spans="6:13" x14ac:dyDescent="0.25">
      <c r="F2881" t="s">
        <v>4329</v>
      </c>
      <c r="G2881">
        <v>21509</v>
      </c>
      <c r="H2881">
        <v>1062</v>
      </c>
      <c r="I2881" s="25" t="s">
        <v>2085</v>
      </c>
      <c r="J2881" t="s">
        <v>2188</v>
      </c>
      <c r="M2881" s="49"/>
    </row>
    <row r="2882" spans="6:13" x14ac:dyDescent="0.25">
      <c r="F2882" t="s">
        <v>4330</v>
      </c>
      <c r="G2882">
        <v>85625</v>
      </c>
      <c r="H2882">
        <v>9175</v>
      </c>
      <c r="I2882" s="25" t="s">
        <v>2050</v>
      </c>
      <c r="J2882" t="s">
        <v>2500</v>
      </c>
      <c r="M2882" s="49"/>
    </row>
    <row r="2883" spans="6:13" x14ac:dyDescent="0.25">
      <c r="F2883" t="s">
        <v>4331</v>
      </c>
      <c r="G2883">
        <v>89353</v>
      </c>
      <c r="H2883">
        <v>9773</v>
      </c>
      <c r="I2883" s="25" t="s">
        <v>2050</v>
      </c>
      <c r="J2883" t="s">
        <v>2231</v>
      </c>
      <c r="M2883" s="49"/>
    </row>
    <row r="2884" spans="6:13" x14ac:dyDescent="0.25">
      <c r="F2884" t="s">
        <v>4332</v>
      </c>
      <c r="G2884">
        <v>79286</v>
      </c>
      <c r="H2884">
        <v>8315</v>
      </c>
      <c r="I2884" s="25" t="s">
        <v>2018</v>
      </c>
      <c r="J2884" t="s">
        <v>2061</v>
      </c>
      <c r="M2884" s="49"/>
    </row>
    <row r="2885" spans="6:13" x14ac:dyDescent="0.25">
      <c r="F2885" t="s">
        <v>4333</v>
      </c>
      <c r="G2885">
        <v>24960</v>
      </c>
      <c r="H2885">
        <v>1059</v>
      </c>
      <c r="I2885" s="25" t="s">
        <v>2085</v>
      </c>
      <c r="J2885" t="s">
        <v>2354</v>
      </c>
      <c r="M2885" s="49"/>
    </row>
    <row r="2886" spans="6:13" x14ac:dyDescent="0.25">
      <c r="F2886" t="s">
        <v>4334</v>
      </c>
      <c r="G2886">
        <v>25348</v>
      </c>
      <c r="H2886">
        <v>1061</v>
      </c>
      <c r="I2886" s="25" t="s">
        <v>2085</v>
      </c>
      <c r="J2886" t="s">
        <v>2377</v>
      </c>
      <c r="M2886" s="49"/>
    </row>
    <row r="2887" spans="6:13" x14ac:dyDescent="0.25">
      <c r="F2887" t="s">
        <v>4335</v>
      </c>
      <c r="G2887">
        <v>83703</v>
      </c>
      <c r="H2887">
        <v>9182</v>
      </c>
      <c r="I2887" s="25" t="s">
        <v>2050</v>
      </c>
      <c r="J2887" t="s">
        <v>2254</v>
      </c>
      <c r="M2887" s="49"/>
    </row>
    <row r="2888" spans="6:13" x14ac:dyDescent="0.25">
      <c r="F2888" t="s">
        <v>4336</v>
      </c>
      <c r="G2888">
        <v>27442</v>
      </c>
      <c r="H2888">
        <v>3357</v>
      </c>
      <c r="I2888" s="25" t="s">
        <v>2074</v>
      </c>
      <c r="J2888" t="s">
        <v>2339</v>
      </c>
      <c r="M2888" s="49"/>
    </row>
    <row r="2889" spans="6:13" x14ac:dyDescent="0.25">
      <c r="F2889" t="s">
        <v>4337</v>
      </c>
      <c r="G2889">
        <v>17179</v>
      </c>
      <c r="H2889">
        <v>13072</v>
      </c>
      <c r="I2889" s="25" t="s">
        <v>2191</v>
      </c>
      <c r="J2889" t="s">
        <v>2036</v>
      </c>
      <c r="M2889" s="49"/>
    </row>
    <row r="2890" spans="6:13" x14ac:dyDescent="0.25">
      <c r="F2890" t="s">
        <v>4338</v>
      </c>
      <c r="G2890">
        <v>91728</v>
      </c>
      <c r="H2890">
        <v>9577</v>
      </c>
      <c r="I2890" s="25" t="s">
        <v>2050</v>
      </c>
      <c r="J2890" t="s">
        <v>2057</v>
      </c>
      <c r="M2890" s="49"/>
    </row>
    <row r="2891" spans="6:13" x14ac:dyDescent="0.25">
      <c r="F2891" t="s">
        <v>4339</v>
      </c>
      <c r="G2891">
        <v>24622</v>
      </c>
      <c r="H2891">
        <v>1058</v>
      </c>
      <c r="I2891" s="25" t="s">
        <v>2085</v>
      </c>
      <c r="J2891" t="s">
        <v>2086</v>
      </c>
      <c r="M2891" s="49"/>
    </row>
    <row r="2892" spans="6:13" x14ac:dyDescent="0.25">
      <c r="F2892" t="s">
        <v>4340</v>
      </c>
      <c r="G2892">
        <v>47574</v>
      </c>
      <c r="H2892">
        <v>5154</v>
      </c>
      <c r="I2892" s="25" t="s">
        <v>2023</v>
      </c>
      <c r="J2892" t="s">
        <v>2214</v>
      </c>
      <c r="M2892" s="49"/>
    </row>
    <row r="2893" spans="6:13" x14ac:dyDescent="0.25">
      <c r="F2893" t="s">
        <v>4341</v>
      </c>
      <c r="G2893">
        <v>97469</v>
      </c>
      <c r="H2893">
        <v>9678</v>
      </c>
      <c r="I2893" s="25" t="s">
        <v>2050</v>
      </c>
      <c r="J2893" t="s">
        <v>2918</v>
      </c>
      <c r="M2893" s="49"/>
    </row>
    <row r="2894" spans="6:13" x14ac:dyDescent="0.25">
      <c r="F2894" t="s">
        <v>4342</v>
      </c>
      <c r="G2894">
        <v>2633</v>
      </c>
      <c r="H2894">
        <v>14625</v>
      </c>
      <c r="I2894" s="25" t="s">
        <v>2135</v>
      </c>
      <c r="J2894" t="s">
        <v>2041</v>
      </c>
      <c r="M2894" s="49"/>
    </row>
    <row r="2895" spans="6:13" x14ac:dyDescent="0.25">
      <c r="F2895" t="s">
        <v>4343</v>
      </c>
      <c r="G2895">
        <v>73571</v>
      </c>
      <c r="H2895">
        <v>8136</v>
      </c>
      <c r="I2895" s="25" t="s">
        <v>2018</v>
      </c>
      <c r="J2895" t="s">
        <v>2039</v>
      </c>
      <c r="M2895" s="49"/>
    </row>
    <row r="2896" spans="6:13" x14ac:dyDescent="0.25">
      <c r="F2896" t="s">
        <v>4344</v>
      </c>
      <c r="G2896">
        <v>29473</v>
      </c>
      <c r="H2896">
        <v>3354</v>
      </c>
      <c r="I2896" s="25" t="s">
        <v>2074</v>
      </c>
      <c r="J2896" t="s">
        <v>2232</v>
      </c>
      <c r="M2896" s="49"/>
    </row>
    <row r="2897" spans="6:13" x14ac:dyDescent="0.25">
      <c r="F2897" t="s">
        <v>4345</v>
      </c>
      <c r="G2897">
        <v>63773</v>
      </c>
      <c r="H2897">
        <v>9671</v>
      </c>
      <c r="I2897" s="25" t="s">
        <v>2050</v>
      </c>
      <c r="J2897" t="s">
        <v>2453</v>
      </c>
      <c r="M2897" s="49"/>
    </row>
    <row r="2898" spans="6:13" x14ac:dyDescent="0.25">
      <c r="F2898" t="s">
        <v>4346</v>
      </c>
      <c r="G2898">
        <v>39596</v>
      </c>
      <c r="H2898">
        <v>15090</v>
      </c>
      <c r="I2898" s="25" t="s">
        <v>2241</v>
      </c>
      <c r="J2898" t="s">
        <v>2382</v>
      </c>
      <c r="M2898" s="49"/>
    </row>
    <row r="2899" spans="6:13" x14ac:dyDescent="0.25">
      <c r="F2899" t="s">
        <v>4347</v>
      </c>
      <c r="G2899">
        <v>19399</v>
      </c>
      <c r="H2899">
        <v>13076</v>
      </c>
      <c r="I2899" s="25" t="s">
        <v>2191</v>
      </c>
      <c r="J2899" t="s">
        <v>2234</v>
      </c>
      <c r="M2899" s="49"/>
    </row>
    <row r="2900" spans="6:13" x14ac:dyDescent="0.25">
      <c r="F2900" t="s">
        <v>4348</v>
      </c>
      <c r="G2900">
        <v>49424</v>
      </c>
      <c r="H2900">
        <v>3460</v>
      </c>
      <c r="I2900" s="25" t="s">
        <v>2074</v>
      </c>
      <c r="J2900" t="s">
        <v>2408</v>
      </c>
      <c r="M2900" s="49"/>
    </row>
    <row r="2901" spans="6:13" x14ac:dyDescent="0.25">
      <c r="F2901" t="s">
        <v>4349</v>
      </c>
      <c r="G2901">
        <v>95497</v>
      </c>
      <c r="H2901">
        <v>9472</v>
      </c>
      <c r="I2901" s="25" t="s">
        <v>2050</v>
      </c>
      <c r="J2901" t="s">
        <v>2180</v>
      </c>
      <c r="M2901" s="49"/>
    </row>
    <row r="2902" spans="6:13" x14ac:dyDescent="0.25">
      <c r="F2902" t="s">
        <v>4350</v>
      </c>
      <c r="G2902">
        <v>67307</v>
      </c>
      <c r="H2902">
        <v>7333</v>
      </c>
      <c r="I2902" s="25" t="s">
        <v>2123</v>
      </c>
      <c r="J2902" t="s">
        <v>2103</v>
      </c>
      <c r="M2902" s="49"/>
    </row>
    <row r="2903" spans="6:13" x14ac:dyDescent="0.25">
      <c r="F2903" t="s">
        <v>4351</v>
      </c>
      <c r="G2903">
        <v>37640</v>
      </c>
      <c r="H2903">
        <v>3255</v>
      </c>
      <c r="I2903" s="25" t="s">
        <v>2074</v>
      </c>
      <c r="J2903" t="s">
        <v>3044</v>
      </c>
      <c r="M2903" s="49"/>
    </row>
    <row r="2904" spans="6:13" x14ac:dyDescent="0.25">
      <c r="F2904" t="s">
        <v>4352</v>
      </c>
      <c r="G2904">
        <v>15938</v>
      </c>
      <c r="H2904">
        <v>12061</v>
      </c>
      <c r="I2904" s="25" t="s">
        <v>2356</v>
      </c>
      <c r="J2904" t="s">
        <v>3033</v>
      </c>
      <c r="M2904" s="49"/>
    </row>
    <row r="2905" spans="6:13" x14ac:dyDescent="0.25">
      <c r="F2905" t="s">
        <v>4353</v>
      </c>
      <c r="G2905">
        <v>15328</v>
      </c>
      <c r="H2905">
        <v>12064</v>
      </c>
      <c r="I2905" s="25" t="s">
        <v>2356</v>
      </c>
      <c r="J2905" t="s">
        <v>2243</v>
      </c>
      <c r="M2905" s="49"/>
    </row>
    <row r="2906" spans="6:13" x14ac:dyDescent="0.25">
      <c r="F2906" t="s">
        <v>4354</v>
      </c>
      <c r="G2906">
        <v>72532</v>
      </c>
      <c r="H2906">
        <v>8415</v>
      </c>
      <c r="I2906" s="25" t="s">
        <v>2018</v>
      </c>
      <c r="J2906" t="s">
        <v>2325</v>
      </c>
      <c r="M2906" s="49"/>
    </row>
    <row r="2907" spans="6:13" x14ac:dyDescent="0.25">
      <c r="F2907" t="s">
        <v>4355</v>
      </c>
      <c r="G2907">
        <v>72810</v>
      </c>
      <c r="H2907">
        <v>8416</v>
      </c>
      <c r="I2907" s="25" t="s">
        <v>2018</v>
      </c>
      <c r="J2907" t="s">
        <v>2464</v>
      </c>
      <c r="M2907" s="49"/>
    </row>
    <row r="2908" spans="6:13" x14ac:dyDescent="0.25">
      <c r="F2908" t="s">
        <v>4356</v>
      </c>
      <c r="G2908">
        <v>39245</v>
      </c>
      <c r="H2908">
        <v>15086</v>
      </c>
      <c r="I2908" s="25" t="s">
        <v>2241</v>
      </c>
      <c r="J2908" t="s">
        <v>3064</v>
      </c>
      <c r="M2908" s="49"/>
    </row>
    <row r="2909" spans="6:13" x14ac:dyDescent="0.25">
      <c r="F2909" t="s">
        <v>4357</v>
      </c>
      <c r="G2909">
        <v>67377</v>
      </c>
      <c r="H2909">
        <v>7337</v>
      </c>
      <c r="I2909" s="25" t="s">
        <v>2123</v>
      </c>
      <c r="J2909" t="s">
        <v>2256</v>
      </c>
      <c r="M2909" s="49"/>
    </row>
    <row r="2910" spans="6:13" x14ac:dyDescent="0.25">
      <c r="F2910" t="s">
        <v>4357</v>
      </c>
      <c r="G2910">
        <v>67377</v>
      </c>
      <c r="H2910">
        <v>7337</v>
      </c>
      <c r="I2910" s="25" t="s">
        <v>2123</v>
      </c>
      <c r="J2910" t="s">
        <v>2256</v>
      </c>
      <c r="M2910" s="49"/>
    </row>
    <row r="2911" spans="6:13" x14ac:dyDescent="0.25">
      <c r="F2911" t="s">
        <v>4357</v>
      </c>
      <c r="G2911">
        <v>67377</v>
      </c>
      <c r="H2911">
        <v>7337</v>
      </c>
      <c r="I2911" s="25" t="s">
        <v>2123</v>
      </c>
      <c r="J2911" t="s">
        <v>2256</v>
      </c>
      <c r="M2911" s="49"/>
    </row>
    <row r="2912" spans="6:13" x14ac:dyDescent="0.25">
      <c r="F2912" t="s">
        <v>4358</v>
      </c>
      <c r="G2912">
        <v>75053</v>
      </c>
      <c r="H2912">
        <v>8215</v>
      </c>
      <c r="I2912" s="25" t="s">
        <v>2018</v>
      </c>
      <c r="J2912" t="s">
        <v>2724</v>
      </c>
      <c r="M2912" s="49"/>
    </row>
    <row r="2913" spans="6:13" x14ac:dyDescent="0.25">
      <c r="F2913" t="s">
        <v>4359</v>
      </c>
      <c r="G2913">
        <v>67161</v>
      </c>
      <c r="H2913">
        <v>7332</v>
      </c>
      <c r="I2913" s="25" t="s">
        <v>2123</v>
      </c>
      <c r="J2913" t="s">
        <v>2440</v>
      </c>
      <c r="M2913" s="49"/>
    </row>
    <row r="2914" spans="6:13" x14ac:dyDescent="0.25">
      <c r="F2914" t="s">
        <v>2089</v>
      </c>
      <c r="G2914">
        <v>73035</v>
      </c>
      <c r="H2914">
        <v>8117</v>
      </c>
      <c r="I2914" s="25" t="s">
        <v>2018</v>
      </c>
      <c r="J2914" t="s">
        <v>2089</v>
      </c>
      <c r="M2914" s="49"/>
    </row>
    <row r="2915" spans="6:13" x14ac:dyDescent="0.25">
      <c r="F2915" t="s">
        <v>2089</v>
      </c>
      <c r="G2915">
        <v>73037</v>
      </c>
      <c r="H2915">
        <v>8117</v>
      </c>
      <c r="I2915" s="25" t="s">
        <v>2018</v>
      </c>
      <c r="J2915" t="s">
        <v>2089</v>
      </c>
      <c r="M2915" s="49"/>
    </row>
    <row r="2916" spans="6:13" x14ac:dyDescent="0.25">
      <c r="F2916" t="s">
        <v>2089</v>
      </c>
      <c r="G2916">
        <v>73033</v>
      </c>
      <c r="H2916">
        <v>8117</v>
      </c>
      <c r="I2916" s="25" t="s">
        <v>2018</v>
      </c>
      <c r="J2916" t="s">
        <v>2089</v>
      </c>
      <c r="M2916" s="49"/>
    </row>
    <row r="2917" spans="6:13" x14ac:dyDescent="0.25">
      <c r="F2917" t="s">
        <v>4360</v>
      </c>
      <c r="G2917">
        <v>87657</v>
      </c>
      <c r="H2917">
        <v>9777</v>
      </c>
      <c r="I2917" s="25" t="s">
        <v>2050</v>
      </c>
      <c r="J2917" t="s">
        <v>2237</v>
      </c>
      <c r="M2917" s="49"/>
    </row>
    <row r="2918" spans="6:13" x14ac:dyDescent="0.25">
      <c r="F2918" t="s">
        <v>4361</v>
      </c>
      <c r="G2918">
        <v>29475</v>
      </c>
      <c r="H2918">
        <v>3354</v>
      </c>
      <c r="I2918" s="25" t="s">
        <v>2074</v>
      </c>
      <c r="J2918" t="s">
        <v>2232</v>
      </c>
      <c r="M2918" s="49"/>
    </row>
    <row r="2919" spans="6:13" x14ac:dyDescent="0.25">
      <c r="F2919" t="s">
        <v>2150</v>
      </c>
      <c r="G2919">
        <v>2828</v>
      </c>
      <c r="H2919">
        <v>14626</v>
      </c>
      <c r="I2919" s="25" t="s">
        <v>2135</v>
      </c>
      <c r="J2919" t="s">
        <v>2150</v>
      </c>
      <c r="M2919" s="49"/>
    </row>
    <row r="2920" spans="6:13" x14ac:dyDescent="0.25">
      <c r="F2920" t="s">
        <v>2150</v>
      </c>
      <c r="G2920">
        <v>2826</v>
      </c>
      <c r="H2920">
        <v>14626</v>
      </c>
      <c r="I2920" s="25" t="s">
        <v>2135</v>
      </c>
      <c r="J2920" t="s">
        <v>2150</v>
      </c>
      <c r="M2920" s="49"/>
    </row>
    <row r="2921" spans="6:13" x14ac:dyDescent="0.25">
      <c r="F2921" t="s">
        <v>2150</v>
      </c>
      <c r="G2921">
        <v>2827</v>
      </c>
      <c r="H2921">
        <v>14626</v>
      </c>
      <c r="I2921" s="25" t="s">
        <v>2135</v>
      </c>
      <c r="J2921" t="s">
        <v>2150</v>
      </c>
      <c r="M2921" s="49"/>
    </row>
    <row r="2922" spans="6:13" x14ac:dyDescent="0.25">
      <c r="F2922" t="s">
        <v>4362</v>
      </c>
      <c r="G2922">
        <v>9390</v>
      </c>
      <c r="H2922">
        <v>14521</v>
      </c>
      <c r="I2922" s="25" t="s">
        <v>2135</v>
      </c>
      <c r="J2922" t="s">
        <v>2032</v>
      </c>
      <c r="M2922" s="49"/>
    </row>
    <row r="2923" spans="6:13" x14ac:dyDescent="0.25">
      <c r="F2923" t="s">
        <v>4363</v>
      </c>
      <c r="G2923">
        <v>79733</v>
      </c>
      <c r="H2923">
        <v>8337</v>
      </c>
      <c r="I2923" s="25" t="s">
        <v>2018</v>
      </c>
      <c r="J2923" t="s">
        <v>2248</v>
      </c>
      <c r="M2923" s="49"/>
    </row>
    <row r="2924" spans="6:13" x14ac:dyDescent="0.25">
      <c r="F2924" t="s">
        <v>4364</v>
      </c>
      <c r="G2924">
        <v>69517</v>
      </c>
      <c r="H2924">
        <v>6431</v>
      </c>
      <c r="I2924" s="25" t="s">
        <v>2046</v>
      </c>
      <c r="J2924" t="s">
        <v>2065</v>
      </c>
      <c r="M2924" s="49"/>
    </row>
    <row r="2925" spans="6:13" x14ac:dyDescent="0.25">
      <c r="F2925" t="s">
        <v>4365</v>
      </c>
      <c r="G2925">
        <v>14828</v>
      </c>
      <c r="H2925">
        <v>12069</v>
      </c>
      <c r="I2925" s="25" t="s">
        <v>2356</v>
      </c>
      <c r="J2925" t="s">
        <v>2857</v>
      </c>
      <c r="M2925" s="49"/>
    </row>
    <row r="2926" spans="6:13" x14ac:dyDescent="0.25">
      <c r="F2926" t="s">
        <v>4366</v>
      </c>
      <c r="G2926">
        <v>78559</v>
      </c>
      <c r="H2926">
        <v>8327</v>
      </c>
      <c r="I2926" s="25" t="s">
        <v>2018</v>
      </c>
      <c r="J2926" t="s">
        <v>2277</v>
      </c>
      <c r="M2926" s="49"/>
    </row>
    <row r="2927" spans="6:13" x14ac:dyDescent="0.25">
      <c r="F2927" t="s">
        <v>2152</v>
      </c>
      <c r="G2927">
        <v>38644</v>
      </c>
      <c r="H2927">
        <v>3153</v>
      </c>
      <c r="I2927" s="25" t="s">
        <v>2074</v>
      </c>
      <c r="J2927" t="s">
        <v>2152</v>
      </c>
      <c r="M2927" s="49"/>
    </row>
    <row r="2928" spans="6:13" x14ac:dyDescent="0.25">
      <c r="F2928" t="s">
        <v>2152</v>
      </c>
      <c r="G2928">
        <v>38690</v>
      </c>
      <c r="H2928">
        <v>3153</v>
      </c>
      <c r="I2928" s="25" t="s">
        <v>2074</v>
      </c>
      <c r="J2928" t="s">
        <v>2152</v>
      </c>
      <c r="M2928" s="49"/>
    </row>
    <row r="2929" spans="6:13" x14ac:dyDescent="0.25">
      <c r="F2929" t="s">
        <v>2152</v>
      </c>
      <c r="G2929">
        <v>38642</v>
      </c>
      <c r="H2929">
        <v>3153</v>
      </c>
      <c r="I2929" s="25" t="s">
        <v>2074</v>
      </c>
      <c r="J2929" t="s">
        <v>2152</v>
      </c>
      <c r="M2929" s="49"/>
    </row>
    <row r="2930" spans="6:13" x14ac:dyDescent="0.25">
      <c r="F2930" t="s">
        <v>2152</v>
      </c>
      <c r="G2930">
        <v>38642</v>
      </c>
      <c r="H2930">
        <v>3153</v>
      </c>
      <c r="I2930" s="25" t="s">
        <v>2074</v>
      </c>
      <c r="J2930" t="s">
        <v>2152</v>
      </c>
      <c r="M2930" s="49"/>
    </row>
    <row r="2931" spans="6:13" x14ac:dyDescent="0.25">
      <c r="F2931" t="s">
        <v>2152</v>
      </c>
      <c r="G2931">
        <v>38644</v>
      </c>
      <c r="H2931">
        <v>3153</v>
      </c>
      <c r="I2931" s="25" t="s">
        <v>2074</v>
      </c>
      <c r="J2931" t="s">
        <v>2152</v>
      </c>
      <c r="M2931" s="49"/>
    </row>
    <row r="2932" spans="6:13" x14ac:dyDescent="0.25">
      <c r="F2932" t="s">
        <v>2152</v>
      </c>
      <c r="G2932">
        <v>38640</v>
      </c>
      <c r="H2932">
        <v>3153</v>
      </c>
      <c r="I2932" s="25" t="s">
        <v>2074</v>
      </c>
      <c r="J2932" t="s">
        <v>2152</v>
      </c>
      <c r="M2932" s="49"/>
    </row>
    <row r="2933" spans="6:13" x14ac:dyDescent="0.25">
      <c r="F2933" t="s">
        <v>2152</v>
      </c>
      <c r="G2933">
        <v>38644</v>
      </c>
      <c r="H2933">
        <v>3153</v>
      </c>
      <c r="I2933" s="25" t="s">
        <v>2074</v>
      </c>
      <c r="J2933" t="s">
        <v>2152</v>
      </c>
      <c r="M2933" s="49"/>
    </row>
    <row r="2934" spans="6:13" x14ac:dyDescent="0.25">
      <c r="F2934" t="s">
        <v>2152</v>
      </c>
      <c r="G2934">
        <v>38644</v>
      </c>
      <c r="H2934">
        <v>3153</v>
      </c>
      <c r="I2934" s="25" t="s">
        <v>2074</v>
      </c>
      <c r="J2934" t="s">
        <v>2152</v>
      </c>
      <c r="M2934" s="49"/>
    </row>
    <row r="2935" spans="6:13" x14ac:dyDescent="0.25">
      <c r="F2935" t="s">
        <v>2152</v>
      </c>
      <c r="G2935">
        <v>38642</v>
      </c>
      <c r="H2935">
        <v>3153</v>
      </c>
      <c r="I2935" s="25" t="s">
        <v>2074</v>
      </c>
      <c r="J2935" t="s">
        <v>2152</v>
      </c>
      <c r="M2935" s="49"/>
    </row>
    <row r="2936" spans="6:13" x14ac:dyDescent="0.25">
      <c r="F2936" t="s">
        <v>4367</v>
      </c>
      <c r="G2936">
        <v>97780</v>
      </c>
      <c r="H2936">
        <v>9677</v>
      </c>
      <c r="I2936" s="25" t="s">
        <v>2050</v>
      </c>
      <c r="J2936" t="s">
        <v>2527</v>
      </c>
      <c r="M2936" s="49"/>
    </row>
    <row r="2937" spans="6:13" x14ac:dyDescent="0.25">
      <c r="F2937" t="s">
        <v>4368</v>
      </c>
      <c r="G2937">
        <v>4639</v>
      </c>
      <c r="H2937">
        <v>16077</v>
      </c>
      <c r="I2937" s="25" t="s">
        <v>2384</v>
      </c>
      <c r="J2937" t="s">
        <v>2385</v>
      </c>
      <c r="M2937" s="49"/>
    </row>
    <row r="2938" spans="6:13" x14ac:dyDescent="0.25">
      <c r="F2938" t="s">
        <v>4369</v>
      </c>
      <c r="G2938">
        <v>91327</v>
      </c>
      <c r="H2938">
        <v>9474</v>
      </c>
      <c r="I2938" s="25" t="s">
        <v>2050</v>
      </c>
      <c r="J2938" t="s">
        <v>3692</v>
      </c>
      <c r="M2938" s="49"/>
    </row>
    <row r="2939" spans="6:13" x14ac:dyDescent="0.25">
      <c r="F2939" t="s">
        <v>2155</v>
      </c>
      <c r="G2939">
        <v>99867</v>
      </c>
      <c r="H2939">
        <v>16067</v>
      </c>
      <c r="I2939" s="25" t="s">
        <v>2384</v>
      </c>
      <c r="J2939" t="s">
        <v>2155</v>
      </c>
      <c r="M2939" s="49"/>
    </row>
    <row r="2940" spans="6:13" x14ac:dyDescent="0.25">
      <c r="F2940" t="s">
        <v>4370</v>
      </c>
      <c r="G2940">
        <v>79288</v>
      </c>
      <c r="H2940">
        <v>8315</v>
      </c>
      <c r="I2940" s="25" t="s">
        <v>2018</v>
      </c>
      <c r="J2940" t="s">
        <v>2061</v>
      </c>
      <c r="M2940" s="49"/>
    </row>
    <row r="2941" spans="6:13" x14ac:dyDescent="0.25">
      <c r="F2941" t="s">
        <v>4371</v>
      </c>
      <c r="G2941">
        <v>84177</v>
      </c>
      <c r="H2941">
        <v>9279</v>
      </c>
      <c r="I2941" s="25" t="s">
        <v>2050</v>
      </c>
      <c r="J2941" t="s">
        <v>3574</v>
      </c>
      <c r="M2941" s="49"/>
    </row>
    <row r="2942" spans="6:13" x14ac:dyDescent="0.25">
      <c r="F2942" t="s">
        <v>2093</v>
      </c>
      <c r="G2942">
        <v>37075</v>
      </c>
      <c r="H2942">
        <v>3159</v>
      </c>
      <c r="I2942" s="25" t="s">
        <v>2074</v>
      </c>
      <c r="J2942" t="s">
        <v>2093</v>
      </c>
      <c r="M2942" s="49"/>
    </row>
    <row r="2943" spans="6:13" x14ac:dyDescent="0.25">
      <c r="F2943" t="s">
        <v>2093</v>
      </c>
      <c r="G2943">
        <v>37077</v>
      </c>
      <c r="H2943">
        <v>3159</v>
      </c>
      <c r="I2943" s="25" t="s">
        <v>2074</v>
      </c>
      <c r="J2943" t="s">
        <v>2093</v>
      </c>
      <c r="M2943" s="49"/>
    </row>
    <row r="2944" spans="6:13" x14ac:dyDescent="0.25">
      <c r="F2944" t="s">
        <v>2093</v>
      </c>
      <c r="G2944">
        <v>37079</v>
      </c>
      <c r="H2944">
        <v>3159</v>
      </c>
      <c r="I2944" s="25" t="s">
        <v>2074</v>
      </c>
      <c r="J2944" t="s">
        <v>2093</v>
      </c>
      <c r="M2944" s="49"/>
    </row>
    <row r="2945" spans="6:13" x14ac:dyDescent="0.25">
      <c r="F2945" t="s">
        <v>2093</v>
      </c>
      <c r="G2945">
        <v>37085</v>
      </c>
      <c r="H2945">
        <v>3159</v>
      </c>
      <c r="I2945" s="25" t="s">
        <v>2074</v>
      </c>
      <c r="J2945" t="s">
        <v>2093</v>
      </c>
      <c r="M2945" s="49"/>
    </row>
    <row r="2946" spans="6:13" x14ac:dyDescent="0.25">
      <c r="F2946" t="s">
        <v>2093</v>
      </c>
      <c r="G2946">
        <v>37081</v>
      </c>
      <c r="H2946">
        <v>3159</v>
      </c>
      <c r="I2946" s="25" t="s">
        <v>2074</v>
      </c>
      <c r="J2946" t="s">
        <v>2093</v>
      </c>
      <c r="M2946" s="49"/>
    </row>
    <row r="2947" spans="6:13" x14ac:dyDescent="0.25">
      <c r="F2947" t="s">
        <v>2093</v>
      </c>
      <c r="G2947">
        <v>37083</v>
      </c>
      <c r="H2947">
        <v>3159</v>
      </c>
      <c r="I2947" s="25" t="s">
        <v>2074</v>
      </c>
      <c r="J2947" t="s">
        <v>2093</v>
      </c>
      <c r="M2947" s="49"/>
    </row>
    <row r="2948" spans="6:13" x14ac:dyDescent="0.25">
      <c r="F2948" t="s">
        <v>2093</v>
      </c>
      <c r="G2948">
        <v>37085</v>
      </c>
      <c r="H2948">
        <v>3159</v>
      </c>
      <c r="I2948" s="25" t="s">
        <v>2074</v>
      </c>
      <c r="J2948" t="s">
        <v>2093</v>
      </c>
      <c r="M2948" s="49"/>
    </row>
    <row r="2949" spans="6:13" x14ac:dyDescent="0.25">
      <c r="F2949" t="s">
        <v>2093</v>
      </c>
      <c r="G2949">
        <v>37073</v>
      </c>
      <c r="H2949">
        <v>3159</v>
      </c>
      <c r="I2949" s="25" t="s">
        <v>2074</v>
      </c>
      <c r="J2949" t="s">
        <v>2093</v>
      </c>
      <c r="M2949" s="49"/>
    </row>
    <row r="2950" spans="6:13" x14ac:dyDescent="0.25">
      <c r="F2950" t="s">
        <v>4372</v>
      </c>
      <c r="G2950">
        <v>78244</v>
      </c>
      <c r="H2950">
        <v>8335</v>
      </c>
      <c r="I2950" s="25" t="s">
        <v>2018</v>
      </c>
      <c r="J2950" t="s">
        <v>2019</v>
      </c>
      <c r="M2950" s="49"/>
    </row>
    <row r="2951" spans="6:13" x14ac:dyDescent="0.25">
      <c r="F2951" t="s">
        <v>4373</v>
      </c>
      <c r="G2951">
        <v>76676</v>
      </c>
      <c r="H2951">
        <v>8215</v>
      </c>
      <c r="I2951" s="25" t="s">
        <v>2018</v>
      </c>
      <c r="J2951" t="s">
        <v>2724</v>
      </c>
      <c r="M2951" s="49"/>
    </row>
    <row r="2952" spans="6:13" x14ac:dyDescent="0.25">
      <c r="F2952" t="s">
        <v>4374</v>
      </c>
      <c r="G2952">
        <v>83355</v>
      </c>
      <c r="H2952">
        <v>9189</v>
      </c>
      <c r="I2952" s="25" t="s">
        <v>2050</v>
      </c>
      <c r="J2952" t="s">
        <v>2407</v>
      </c>
      <c r="M2952" s="49"/>
    </row>
    <row r="2953" spans="6:13" x14ac:dyDescent="0.25">
      <c r="F2953" t="s">
        <v>4375</v>
      </c>
      <c r="G2953">
        <v>72582</v>
      </c>
      <c r="H2953">
        <v>8415</v>
      </c>
      <c r="I2953" s="25" t="s">
        <v>2018</v>
      </c>
      <c r="J2953" t="s">
        <v>2325</v>
      </c>
      <c r="M2953" s="49"/>
    </row>
    <row r="2954" spans="6:13" x14ac:dyDescent="0.25">
      <c r="F2954" t="s">
        <v>4376</v>
      </c>
      <c r="G2954">
        <v>98631</v>
      </c>
      <c r="H2954">
        <v>16066</v>
      </c>
      <c r="I2954" s="25" t="s">
        <v>2384</v>
      </c>
      <c r="J2954" t="s">
        <v>2358</v>
      </c>
      <c r="M2954" s="49"/>
    </row>
    <row r="2955" spans="6:13" x14ac:dyDescent="0.25">
      <c r="F2955" t="s">
        <v>4377</v>
      </c>
      <c r="G2955">
        <v>19300</v>
      </c>
      <c r="H2955">
        <v>13076</v>
      </c>
      <c r="I2955" s="25" t="s">
        <v>2191</v>
      </c>
      <c r="J2955" t="s">
        <v>2234</v>
      </c>
      <c r="M2955" s="49"/>
    </row>
    <row r="2956" spans="6:13" x14ac:dyDescent="0.25">
      <c r="F2956" t="s">
        <v>4378</v>
      </c>
      <c r="G2956">
        <v>17194</v>
      </c>
      <c r="H2956">
        <v>13071</v>
      </c>
      <c r="I2956" s="25" t="s">
        <v>2191</v>
      </c>
      <c r="J2956" t="s">
        <v>2091</v>
      </c>
      <c r="M2956" s="49"/>
    </row>
    <row r="2957" spans="6:13" x14ac:dyDescent="0.25">
      <c r="F2957" t="s">
        <v>4379</v>
      </c>
      <c r="G2957">
        <v>82166</v>
      </c>
      <c r="H2957">
        <v>9184</v>
      </c>
      <c r="I2957" s="25" t="s">
        <v>2050</v>
      </c>
      <c r="J2957" t="s">
        <v>2547</v>
      </c>
      <c r="M2957" s="49"/>
    </row>
    <row r="2958" spans="6:13" x14ac:dyDescent="0.25">
      <c r="F2958" t="s">
        <v>4380</v>
      </c>
      <c r="G2958">
        <v>71120</v>
      </c>
      <c r="H2958">
        <v>8115</v>
      </c>
      <c r="I2958" s="25" t="s">
        <v>2018</v>
      </c>
      <c r="J2958" t="s">
        <v>2222</v>
      </c>
      <c r="M2958" s="49"/>
    </row>
    <row r="2959" spans="6:13" x14ac:dyDescent="0.25">
      <c r="F2959" t="s">
        <v>4380</v>
      </c>
      <c r="G2959">
        <v>94481</v>
      </c>
      <c r="H2959">
        <v>9272</v>
      </c>
      <c r="I2959" s="25" t="s">
        <v>2050</v>
      </c>
      <c r="J2959" t="s">
        <v>2140</v>
      </c>
      <c r="M2959" s="49"/>
    </row>
    <row r="2960" spans="6:13" x14ac:dyDescent="0.25">
      <c r="F2960" t="s">
        <v>4381</v>
      </c>
      <c r="G2960">
        <v>72661</v>
      </c>
      <c r="H2960">
        <v>8415</v>
      </c>
      <c r="I2960" s="25" t="s">
        <v>2018</v>
      </c>
      <c r="J2960" t="s">
        <v>2325</v>
      </c>
      <c r="M2960" s="49"/>
    </row>
    <row r="2961" spans="6:13" x14ac:dyDescent="0.25">
      <c r="F2961" t="s">
        <v>4382</v>
      </c>
      <c r="G2961">
        <v>91322</v>
      </c>
      <c r="H2961">
        <v>9474</v>
      </c>
      <c r="I2961" s="25" t="s">
        <v>2050</v>
      </c>
      <c r="J2961" t="s">
        <v>3692</v>
      </c>
      <c r="M2961" s="49"/>
    </row>
    <row r="2962" spans="6:13" x14ac:dyDescent="0.25">
      <c r="F2962" t="s">
        <v>4383</v>
      </c>
      <c r="G2962">
        <v>97782</v>
      </c>
      <c r="H2962">
        <v>9677</v>
      </c>
      <c r="I2962" s="25" t="s">
        <v>2050</v>
      </c>
      <c r="J2962" t="s">
        <v>2527</v>
      </c>
      <c r="M2962" s="49"/>
    </row>
    <row r="2963" spans="6:13" x14ac:dyDescent="0.25">
      <c r="F2963" t="s">
        <v>4384</v>
      </c>
      <c r="G2963">
        <v>95356</v>
      </c>
      <c r="H2963">
        <v>9477</v>
      </c>
      <c r="I2963" s="25" t="s">
        <v>2050</v>
      </c>
      <c r="J2963" t="s">
        <v>4385</v>
      </c>
      <c r="M2963" s="49"/>
    </row>
    <row r="2964" spans="6:13" x14ac:dyDescent="0.25">
      <c r="F2964" t="s">
        <v>4386</v>
      </c>
      <c r="G2964">
        <v>6772</v>
      </c>
      <c r="H2964">
        <v>15091</v>
      </c>
      <c r="I2964" s="25" t="s">
        <v>2241</v>
      </c>
      <c r="J2964" t="s">
        <v>1509</v>
      </c>
      <c r="M2964" s="49"/>
    </row>
    <row r="2965" spans="6:13" x14ac:dyDescent="0.25">
      <c r="F2965" t="s">
        <v>4386</v>
      </c>
      <c r="G2965">
        <v>6773</v>
      </c>
      <c r="H2965">
        <v>15091</v>
      </c>
      <c r="I2965" s="25" t="s">
        <v>2241</v>
      </c>
      <c r="J2965" t="s">
        <v>1509</v>
      </c>
      <c r="M2965" s="49"/>
    </row>
    <row r="2966" spans="6:13" x14ac:dyDescent="0.25">
      <c r="F2966" t="s">
        <v>4386</v>
      </c>
      <c r="G2966">
        <v>6772</v>
      </c>
      <c r="H2966">
        <v>15091</v>
      </c>
      <c r="I2966" s="25" t="s">
        <v>2241</v>
      </c>
      <c r="J2966" t="s">
        <v>1509</v>
      </c>
      <c r="M2966" s="49"/>
    </row>
    <row r="2967" spans="6:13" x14ac:dyDescent="0.25">
      <c r="F2967" t="s">
        <v>4387</v>
      </c>
      <c r="G2967">
        <v>79865</v>
      </c>
      <c r="H2967">
        <v>8337</v>
      </c>
      <c r="I2967" s="25" t="s">
        <v>2018</v>
      </c>
      <c r="J2967" t="s">
        <v>2248</v>
      </c>
      <c r="M2967" s="49"/>
    </row>
    <row r="2968" spans="6:13" x14ac:dyDescent="0.25">
      <c r="F2968" t="s">
        <v>4388</v>
      </c>
      <c r="G2968">
        <v>97506</v>
      </c>
      <c r="H2968">
        <v>9678</v>
      </c>
      <c r="I2968" s="25" t="s">
        <v>2050</v>
      </c>
      <c r="J2968" t="s">
        <v>2918</v>
      </c>
      <c r="M2968" s="49"/>
    </row>
    <row r="2969" spans="6:13" x14ac:dyDescent="0.25">
      <c r="F2969" t="s">
        <v>4389</v>
      </c>
      <c r="G2969">
        <v>99330</v>
      </c>
      <c r="H2969">
        <v>16070</v>
      </c>
      <c r="I2969" s="25" t="s">
        <v>2384</v>
      </c>
      <c r="J2969" t="s">
        <v>2206</v>
      </c>
      <c r="M2969" s="49"/>
    </row>
    <row r="2970" spans="6:13" x14ac:dyDescent="0.25">
      <c r="F2970" t="s">
        <v>4390</v>
      </c>
      <c r="G2970">
        <v>98743</v>
      </c>
      <c r="H2970">
        <v>16073</v>
      </c>
      <c r="I2970" s="25" t="s">
        <v>2384</v>
      </c>
      <c r="J2970" t="s">
        <v>2618</v>
      </c>
      <c r="M2970" s="49"/>
    </row>
    <row r="2971" spans="6:13" x14ac:dyDescent="0.25">
      <c r="F2971" t="s">
        <v>4391</v>
      </c>
      <c r="G2971">
        <v>93479</v>
      </c>
      <c r="H2971">
        <v>9372</v>
      </c>
      <c r="I2971" s="25" t="s">
        <v>2050</v>
      </c>
      <c r="J2971" t="s">
        <v>2523</v>
      </c>
      <c r="M2971" s="49"/>
    </row>
    <row r="2972" spans="6:13" x14ac:dyDescent="0.25">
      <c r="F2972" t="s">
        <v>4392</v>
      </c>
      <c r="G2972">
        <v>92655</v>
      </c>
      <c r="H2972">
        <v>9374</v>
      </c>
      <c r="I2972" s="25" t="s">
        <v>2050</v>
      </c>
      <c r="J2972" t="s">
        <v>2420</v>
      </c>
      <c r="M2972" s="49"/>
    </row>
    <row r="2973" spans="6:13" x14ac:dyDescent="0.25">
      <c r="F2973" t="s">
        <v>4393</v>
      </c>
      <c r="G2973">
        <v>38462</v>
      </c>
      <c r="H2973">
        <v>3154</v>
      </c>
      <c r="I2973" s="25" t="s">
        <v>2074</v>
      </c>
      <c r="J2973" t="s">
        <v>2186</v>
      </c>
      <c r="M2973" s="49"/>
    </row>
    <row r="2974" spans="6:13" x14ac:dyDescent="0.25">
      <c r="F2974" t="s">
        <v>4394</v>
      </c>
      <c r="G2974">
        <v>85567</v>
      </c>
      <c r="H2974">
        <v>9175</v>
      </c>
      <c r="I2974" s="25" t="s">
        <v>2050</v>
      </c>
      <c r="J2974" t="s">
        <v>2500</v>
      </c>
      <c r="M2974" s="49"/>
    </row>
    <row r="2975" spans="6:13" x14ac:dyDescent="0.25">
      <c r="F2975" t="s">
        <v>4395</v>
      </c>
      <c r="G2975">
        <v>94539</v>
      </c>
      <c r="H2975">
        <v>9271</v>
      </c>
      <c r="I2975" s="25" t="s">
        <v>2050</v>
      </c>
      <c r="J2975" t="s">
        <v>2172</v>
      </c>
      <c r="M2975" s="49"/>
    </row>
    <row r="2976" spans="6:13" x14ac:dyDescent="0.25">
      <c r="F2976" t="s">
        <v>4396</v>
      </c>
      <c r="G2976">
        <v>82284</v>
      </c>
      <c r="H2976">
        <v>9179</v>
      </c>
      <c r="I2976" s="25" t="s">
        <v>2050</v>
      </c>
      <c r="J2976" t="s">
        <v>2111</v>
      </c>
      <c r="M2976" s="49"/>
    </row>
    <row r="2977" spans="6:13" x14ac:dyDescent="0.25">
      <c r="F2977" t="s">
        <v>4397</v>
      </c>
      <c r="G2977">
        <v>53501</v>
      </c>
      <c r="H2977">
        <v>7131</v>
      </c>
      <c r="I2977" s="25" t="s">
        <v>2123</v>
      </c>
      <c r="J2977" t="s">
        <v>2022</v>
      </c>
      <c r="M2977" s="49"/>
    </row>
    <row r="2978" spans="6:13" x14ac:dyDescent="0.25">
      <c r="F2978" t="s">
        <v>4398</v>
      </c>
      <c r="G2978">
        <v>82491</v>
      </c>
      <c r="H2978">
        <v>9180</v>
      </c>
      <c r="I2978" s="25" t="s">
        <v>2050</v>
      </c>
      <c r="J2978" t="s">
        <v>2147</v>
      </c>
      <c r="M2978" s="49"/>
    </row>
    <row r="2979" spans="6:13" x14ac:dyDescent="0.25">
      <c r="F2979" t="s">
        <v>4399</v>
      </c>
      <c r="G2979">
        <v>94143</v>
      </c>
      <c r="H2979">
        <v>9272</v>
      </c>
      <c r="I2979" s="25" t="s">
        <v>2050</v>
      </c>
      <c r="J2979" t="s">
        <v>2140</v>
      </c>
      <c r="M2979" s="49"/>
    </row>
    <row r="2980" spans="6:13" x14ac:dyDescent="0.25">
      <c r="F2980" t="s">
        <v>4400</v>
      </c>
      <c r="G2980">
        <v>16775</v>
      </c>
      <c r="H2980">
        <v>12065</v>
      </c>
      <c r="I2980" s="25" t="s">
        <v>2356</v>
      </c>
      <c r="J2980" t="s">
        <v>2283</v>
      </c>
      <c r="M2980" s="49"/>
    </row>
    <row r="2981" spans="6:13" x14ac:dyDescent="0.25">
      <c r="F2981" t="s">
        <v>4401</v>
      </c>
      <c r="G2981">
        <v>28879</v>
      </c>
      <c r="H2981">
        <v>3356</v>
      </c>
      <c r="I2981" s="25" t="s">
        <v>2074</v>
      </c>
      <c r="J2981" t="s">
        <v>2295</v>
      </c>
      <c r="M2981" s="49"/>
    </row>
    <row r="2982" spans="6:13" x14ac:dyDescent="0.25">
      <c r="F2982" t="s">
        <v>4402</v>
      </c>
      <c r="G2982">
        <v>85630</v>
      </c>
      <c r="H2982">
        <v>9184</v>
      </c>
      <c r="I2982" s="25" t="s">
        <v>2050</v>
      </c>
      <c r="J2982" t="s">
        <v>2547</v>
      </c>
      <c r="M2982" s="49"/>
    </row>
    <row r="2983" spans="6:13" x14ac:dyDescent="0.25">
      <c r="F2983" t="s">
        <v>4403</v>
      </c>
      <c r="G2983">
        <v>64689</v>
      </c>
      <c r="H2983">
        <v>6431</v>
      </c>
      <c r="I2983" s="25" t="s">
        <v>2046</v>
      </c>
      <c r="J2983" t="s">
        <v>2065</v>
      </c>
      <c r="M2983" s="49"/>
    </row>
    <row r="2984" spans="6:13" x14ac:dyDescent="0.25">
      <c r="F2984" t="s">
        <v>4404</v>
      </c>
      <c r="G2984">
        <v>83224</v>
      </c>
      <c r="H2984">
        <v>9189</v>
      </c>
      <c r="I2984" s="25" t="s">
        <v>2050</v>
      </c>
      <c r="J2984" t="s">
        <v>2407</v>
      </c>
      <c r="M2984" s="49"/>
    </row>
    <row r="2985" spans="6:13" x14ac:dyDescent="0.25">
      <c r="F2985" t="s">
        <v>4405</v>
      </c>
      <c r="G2985">
        <v>94541</v>
      </c>
      <c r="H2985">
        <v>9271</v>
      </c>
      <c r="I2985" s="25" t="s">
        <v>2050</v>
      </c>
      <c r="J2985" t="s">
        <v>2172</v>
      </c>
      <c r="M2985" s="49"/>
    </row>
    <row r="2986" spans="6:13" x14ac:dyDescent="0.25">
      <c r="F2986" t="s">
        <v>4406</v>
      </c>
      <c r="G2986">
        <v>61279</v>
      </c>
      <c r="H2986">
        <v>6434</v>
      </c>
      <c r="I2986" s="25" t="s">
        <v>2046</v>
      </c>
      <c r="J2986" t="s">
        <v>2664</v>
      </c>
      <c r="M2986" s="49"/>
    </row>
    <row r="2987" spans="6:13" x14ac:dyDescent="0.25">
      <c r="F2987" t="s">
        <v>4407</v>
      </c>
      <c r="G2987">
        <v>36323</v>
      </c>
      <c r="H2987">
        <v>6535</v>
      </c>
      <c r="I2987" s="25" t="s">
        <v>2046</v>
      </c>
      <c r="J2987" t="s">
        <v>2346</v>
      </c>
      <c r="M2987" s="49"/>
    </row>
    <row r="2988" spans="6:13" x14ac:dyDescent="0.25">
      <c r="F2988" t="s">
        <v>4408</v>
      </c>
      <c r="G2988">
        <v>36355</v>
      </c>
      <c r="H2988">
        <v>6535</v>
      </c>
      <c r="I2988" s="25" t="s">
        <v>2046</v>
      </c>
      <c r="J2988" t="s">
        <v>2346</v>
      </c>
      <c r="M2988" s="49"/>
    </row>
    <row r="2989" spans="6:13" x14ac:dyDescent="0.25">
      <c r="F2989" t="s">
        <v>4409</v>
      </c>
      <c r="G2989">
        <v>34393</v>
      </c>
      <c r="H2989">
        <v>6633</v>
      </c>
      <c r="I2989" s="25" t="s">
        <v>2046</v>
      </c>
      <c r="J2989" t="s">
        <v>2162</v>
      </c>
      <c r="M2989" s="49"/>
    </row>
    <row r="2990" spans="6:13" x14ac:dyDescent="0.25">
      <c r="F2990" t="s">
        <v>4410</v>
      </c>
      <c r="G2990">
        <v>24329</v>
      </c>
      <c r="H2990">
        <v>1057</v>
      </c>
      <c r="I2990" s="25" t="s">
        <v>2085</v>
      </c>
      <c r="J2990" t="s">
        <v>2313</v>
      </c>
      <c r="M2990" s="49"/>
    </row>
    <row r="2991" spans="6:13" x14ac:dyDescent="0.25">
      <c r="F2991" t="s">
        <v>4411</v>
      </c>
      <c r="G2991">
        <v>91171</v>
      </c>
      <c r="H2991">
        <v>9576</v>
      </c>
      <c r="I2991" s="25" t="s">
        <v>2050</v>
      </c>
      <c r="J2991" t="s">
        <v>2051</v>
      </c>
      <c r="M2991" s="49"/>
    </row>
    <row r="2992" spans="6:13" x14ac:dyDescent="0.25">
      <c r="F2992" t="s">
        <v>4412</v>
      </c>
      <c r="G2992">
        <v>47929</v>
      </c>
      <c r="H2992">
        <v>5166</v>
      </c>
      <c r="I2992" s="25" t="s">
        <v>2023</v>
      </c>
      <c r="J2992" t="s">
        <v>2412</v>
      </c>
      <c r="M2992" s="49"/>
    </row>
    <row r="2993" spans="6:13" x14ac:dyDescent="0.25">
      <c r="F2993" t="s">
        <v>4413</v>
      </c>
      <c r="G2993">
        <v>86926</v>
      </c>
      <c r="H2993">
        <v>9181</v>
      </c>
      <c r="I2993" s="25" t="s">
        <v>2050</v>
      </c>
      <c r="J2993" t="s">
        <v>2505</v>
      </c>
      <c r="M2993" s="49"/>
    </row>
    <row r="2994" spans="6:13" x14ac:dyDescent="0.25">
      <c r="F2994" t="s">
        <v>4414</v>
      </c>
      <c r="G2994">
        <v>35753</v>
      </c>
      <c r="H2994">
        <v>6532</v>
      </c>
      <c r="I2994" s="25" t="s">
        <v>2046</v>
      </c>
      <c r="J2994" t="s">
        <v>2555</v>
      </c>
      <c r="M2994" s="49"/>
    </row>
    <row r="2995" spans="6:13" x14ac:dyDescent="0.25">
      <c r="F2995" t="s">
        <v>2159</v>
      </c>
      <c r="G2995">
        <v>17491</v>
      </c>
      <c r="H2995">
        <v>13075</v>
      </c>
      <c r="I2995" s="25" t="s">
        <v>2191</v>
      </c>
      <c r="J2995" t="s">
        <v>2160</v>
      </c>
      <c r="M2995" s="49"/>
    </row>
    <row r="2996" spans="6:13" x14ac:dyDescent="0.25">
      <c r="F2996" t="s">
        <v>2159</v>
      </c>
      <c r="G2996">
        <v>17489</v>
      </c>
      <c r="H2996">
        <v>13075</v>
      </c>
      <c r="I2996" s="25" t="s">
        <v>2191</v>
      </c>
      <c r="J2996" t="s">
        <v>2160</v>
      </c>
      <c r="M2996" s="49"/>
    </row>
    <row r="2997" spans="6:13" x14ac:dyDescent="0.25">
      <c r="F2997" t="s">
        <v>2159</v>
      </c>
      <c r="G2997">
        <v>17493</v>
      </c>
      <c r="H2997">
        <v>13075</v>
      </c>
      <c r="I2997" s="25" t="s">
        <v>2191</v>
      </c>
      <c r="J2997" t="s">
        <v>2160</v>
      </c>
      <c r="M2997" s="49"/>
    </row>
    <row r="2998" spans="6:13" x14ac:dyDescent="0.25">
      <c r="F2998" t="s">
        <v>2159</v>
      </c>
      <c r="G2998">
        <v>17489</v>
      </c>
      <c r="H2998">
        <v>13075</v>
      </c>
      <c r="I2998" s="25" t="s">
        <v>2191</v>
      </c>
      <c r="J2998" t="s">
        <v>2160</v>
      </c>
      <c r="M2998" s="49"/>
    </row>
    <row r="2999" spans="6:13" x14ac:dyDescent="0.25">
      <c r="F2999" t="s">
        <v>2159</v>
      </c>
      <c r="G2999">
        <v>17493</v>
      </c>
      <c r="H2999">
        <v>13075</v>
      </c>
      <c r="I2999" s="25" t="s">
        <v>2191</v>
      </c>
      <c r="J2999" t="s">
        <v>2160</v>
      </c>
      <c r="M2999" s="49"/>
    </row>
    <row r="3000" spans="6:13" x14ac:dyDescent="0.25">
      <c r="F3000" t="s">
        <v>2159</v>
      </c>
      <c r="G3000">
        <v>17493</v>
      </c>
      <c r="H3000">
        <v>13075</v>
      </c>
      <c r="I3000" s="25" t="s">
        <v>2191</v>
      </c>
      <c r="J3000" t="s">
        <v>2160</v>
      </c>
      <c r="M3000" s="49"/>
    </row>
    <row r="3001" spans="6:13" x14ac:dyDescent="0.25">
      <c r="F3001" t="s">
        <v>2159</v>
      </c>
      <c r="G3001">
        <v>17493</v>
      </c>
      <c r="H3001">
        <v>13075</v>
      </c>
      <c r="I3001" s="25" t="s">
        <v>2191</v>
      </c>
      <c r="J3001" t="s">
        <v>2160</v>
      </c>
      <c r="M3001" s="49"/>
    </row>
    <row r="3002" spans="6:13" x14ac:dyDescent="0.25">
      <c r="F3002" t="s">
        <v>2159</v>
      </c>
      <c r="G3002">
        <v>17493</v>
      </c>
      <c r="H3002">
        <v>13075</v>
      </c>
      <c r="I3002" s="25" t="s">
        <v>2191</v>
      </c>
      <c r="J3002" t="s">
        <v>2160</v>
      </c>
      <c r="M3002" s="49"/>
    </row>
    <row r="3003" spans="6:13" x14ac:dyDescent="0.25">
      <c r="F3003" t="s">
        <v>2583</v>
      </c>
      <c r="G3003">
        <v>7973</v>
      </c>
      <c r="H3003">
        <v>16076</v>
      </c>
      <c r="I3003" s="25" t="s">
        <v>2384</v>
      </c>
      <c r="J3003" t="s">
        <v>2583</v>
      </c>
      <c r="M3003" s="49"/>
    </row>
    <row r="3004" spans="6:13" x14ac:dyDescent="0.25">
      <c r="F3004" t="s">
        <v>4415</v>
      </c>
      <c r="G3004">
        <v>91350</v>
      </c>
      <c r="H3004">
        <v>9572</v>
      </c>
      <c r="I3004" s="25" t="s">
        <v>2050</v>
      </c>
      <c r="J3004" t="s">
        <v>2105</v>
      </c>
      <c r="M3004" s="49"/>
    </row>
    <row r="3005" spans="6:13" x14ac:dyDescent="0.25">
      <c r="F3005" t="s">
        <v>4416</v>
      </c>
      <c r="G3005">
        <v>79639</v>
      </c>
      <c r="H3005">
        <v>8336</v>
      </c>
      <c r="I3005" s="25" t="s">
        <v>2018</v>
      </c>
      <c r="J3005" t="s">
        <v>2227</v>
      </c>
      <c r="M3005" s="49"/>
    </row>
    <row r="3006" spans="6:13" x14ac:dyDescent="0.25">
      <c r="F3006" t="s">
        <v>4417</v>
      </c>
      <c r="G3006">
        <v>97508</v>
      </c>
      <c r="H3006">
        <v>9678</v>
      </c>
      <c r="I3006" s="25" t="s">
        <v>2050</v>
      </c>
      <c r="J3006" t="s">
        <v>2918</v>
      </c>
      <c r="M3006" s="49"/>
    </row>
    <row r="3007" spans="6:13" x14ac:dyDescent="0.25">
      <c r="F3007" t="s">
        <v>4418</v>
      </c>
      <c r="G3007">
        <v>99718</v>
      </c>
      <c r="H3007">
        <v>16065</v>
      </c>
      <c r="I3007" s="25" t="s">
        <v>2384</v>
      </c>
      <c r="J3007" t="s">
        <v>2532</v>
      </c>
      <c r="M3007" s="49"/>
    </row>
    <row r="3008" spans="6:13" x14ac:dyDescent="0.25">
      <c r="F3008" t="s">
        <v>4419</v>
      </c>
      <c r="G3008">
        <v>97259</v>
      </c>
      <c r="H3008">
        <v>9679</v>
      </c>
      <c r="I3008" s="25" t="s">
        <v>2050</v>
      </c>
      <c r="J3008" t="s">
        <v>2428</v>
      </c>
      <c r="M3008" s="49"/>
    </row>
    <row r="3009" spans="6:13" x14ac:dyDescent="0.25">
      <c r="F3009" t="s">
        <v>4420</v>
      </c>
      <c r="G3009">
        <v>48268</v>
      </c>
      <c r="H3009">
        <v>5566</v>
      </c>
      <c r="I3009" s="25" t="s">
        <v>2023</v>
      </c>
      <c r="J3009" t="s">
        <v>2379</v>
      </c>
      <c r="M3009" s="49"/>
    </row>
    <row r="3010" spans="6:13" x14ac:dyDescent="0.25">
      <c r="F3010" t="s">
        <v>4421</v>
      </c>
      <c r="G3010">
        <v>41516</v>
      </c>
      <c r="H3010">
        <v>5162</v>
      </c>
      <c r="I3010" s="25" t="s">
        <v>2023</v>
      </c>
      <c r="J3010" t="s">
        <v>2333</v>
      </c>
      <c r="M3010" s="49"/>
    </row>
    <row r="3011" spans="6:13" x14ac:dyDescent="0.25">
      <c r="F3011" t="s">
        <v>4421</v>
      </c>
      <c r="G3011">
        <v>41517</v>
      </c>
      <c r="H3011">
        <v>5162</v>
      </c>
      <c r="I3011" s="25" t="s">
        <v>2023</v>
      </c>
      <c r="J3011" t="s">
        <v>2333</v>
      </c>
      <c r="M3011" s="49"/>
    </row>
    <row r="3012" spans="6:13" x14ac:dyDescent="0.25">
      <c r="F3012" t="s">
        <v>4421</v>
      </c>
      <c r="G3012">
        <v>41515</v>
      </c>
      <c r="H3012">
        <v>5162</v>
      </c>
      <c r="I3012" s="25" t="s">
        <v>2023</v>
      </c>
      <c r="J3012" t="s">
        <v>2333</v>
      </c>
      <c r="M3012" s="49"/>
    </row>
    <row r="3013" spans="6:13" x14ac:dyDescent="0.25">
      <c r="F3013" t="s">
        <v>4422</v>
      </c>
      <c r="G3013">
        <v>23936</v>
      </c>
      <c r="H3013">
        <v>13074</v>
      </c>
      <c r="I3013" s="25" t="s">
        <v>2191</v>
      </c>
      <c r="J3013" t="s">
        <v>2275</v>
      </c>
      <c r="M3013" s="49"/>
    </row>
    <row r="3014" spans="6:13" x14ac:dyDescent="0.25">
      <c r="F3014" t="s">
        <v>4423</v>
      </c>
      <c r="G3014">
        <v>94086</v>
      </c>
      <c r="H3014">
        <v>9275</v>
      </c>
      <c r="I3014" s="25" t="s">
        <v>2050</v>
      </c>
      <c r="J3014" t="s">
        <v>2198</v>
      </c>
      <c r="M3014" s="49"/>
    </row>
    <row r="3015" spans="6:13" x14ac:dyDescent="0.25">
      <c r="F3015" t="s">
        <v>4424</v>
      </c>
      <c r="G3015">
        <v>64347</v>
      </c>
      <c r="H3015">
        <v>6432</v>
      </c>
      <c r="I3015" s="25" t="s">
        <v>2046</v>
      </c>
      <c r="J3015" t="s">
        <v>2338</v>
      </c>
      <c r="M3015" s="49"/>
    </row>
    <row r="3016" spans="6:13" x14ac:dyDescent="0.25">
      <c r="F3016" t="s">
        <v>4425</v>
      </c>
      <c r="G3016">
        <v>89608</v>
      </c>
      <c r="H3016">
        <v>8425</v>
      </c>
      <c r="I3016" s="25" t="s">
        <v>2018</v>
      </c>
      <c r="J3016" t="s">
        <v>2027</v>
      </c>
      <c r="M3016" s="49"/>
    </row>
    <row r="3017" spans="6:13" x14ac:dyDescent="0.25">
      <c r="F3017" t="s">
        <v>4426</v>
      </c>
      <c r="G3017">
        <v>83556</v>
      </c>
      <c r="H3017">
        <v>9187</v>
      </c>
      <c r="I3017" s="25" t="s">
        <v>2050</v>
      </c>
      <c r="J3017" t="s">
        <v>2245</v>
      </c>
      <c r="M3017" s="49"/>
    </row>
    <row r="3018" spans="6:13" x14ac:dyDescent="0.25">
      <c r="F3018" t="s">
        <v>4427</v>
      </c>
      <c r="G3018">
        <v>4668</v>
      </c>
      <c r="H3018">
        <v>14729</v>
      </c>
      <c r="I3018" s="25" t="s">
        <v>2135</v>
      </c>
      <c r="J3018" t="s">
        <v>2684</v>
      </c>
      <c r="M3018" s="49"/>
    </row>
    <row r="3019" spans="6:13" x14ac:dyDescent="0.25">
      <c r="F3019" t="s">
        <v>4428</v>
      </c>
      <c r="G3019">
        <v>18507</v>
      </c>
      <c r="H3019">
        <v>13073</v>
      </c>
      <c r="I3019" s="25" t="s">
        <v>2191</v>
      </c>
      <c r="J3019" t="s">
        <v>2192</v>
      </c>
      <c r="M3019" s="49"/>
    </row>
    <row r="3020" spans="6:13" x14ac:dyDescent="0.25">
      <c r="F3020" t="s">
        <v>4429</v>
      </c>
      <c r="G3020">
        <v>82194</v>
      </c>
      <c r="H3020">
        <v>9179</v>
      </c>
      <c r="I3020" s="25" t="s">
        <v>2050</v>
      </c>
      <c r="J3020" t="s">
        <v>2111</v>
      </c>
      <c r="M3020" s="49"/>
    </row>
    <row r="3021" spans="6:13" x14ac:dyDescent="0.25">
      <c r="F3021" t="s">
        <v>4430</v>
      </c>
      <c r="G3021">
        <v>1609</v>
      </c>
      <c r="H3021">
        <v>14627</v>
      </c>
      <c r="I3021" s="25" t="s">
        <v>2135</v>
      </c>
      <c r="J3021" t="s">
        <v>2251</v>
      </c>
      <c r="M3021" s="49"/>
    </row>
    <row r="3022" spans="6:13" x14ac:dyDescent="0.25">
      <c r="F3022" t="s">
        <v>4431</v>
      </c>
      <c r="G3022">
        <v>4539</v>
      </c>
      <c r="H3022">
        <v>14729</v>
      </c>
      <c r="I3022" s="25" t="s">
        <v>2135</v>
      </c>
      <c r="J3022" t="s">
        <v>2684</v>
      </c>
      <c r="M3022" s="49"/>
    </row>
    <row r="3023" spans="6:13" x14ac:dyDescent="0.25">
      <c r="F3023" t="s">
        <v>4432</v>
      </c>
      <c r="G3023">
        <v>72294</v>
      </c>
      <c r="H3023">
        <v>8237</v>
      </c>
      <c r="I3023" s="25" t="s">
        <v>2018</v>
      </c>
      <c r="J3023" t="s">
        <v>2336</v>
      </c>
      <c r="M3023" s="49"/>
    </row>
    <row r="3024" spans="6:13" x14ac:dyDescent="0.25">
      <c r="F3024" t="s">
        <v>4433</v>
      </c>
      <c r="G3024">
        <v>23743</v>
      </c>
      <c r="H3024">
        <v>1055</v>
      </c>
      <c r="I3024" s="25" t="s">
        <v>2085</v>
      </c>
      <c r="J3024" t="s">
        <v>2185</v>
      </c>
      <c r="M3024" s="49"/>
    </row>
    <row r="3025" spans="6:13" x14ac:dyDescent="0.25">
      <c r="F3025" t="s">
        <v>4434</v>
      </c>
      <c r="G3025">
        <v>48599</v>
      </c>
      <c r="H3025">
        <v>5554</v>
      </c>
      <c r="I3025" s="25" t="s">
        <v>2023</v>
      </c>
      <c r="J3025" t="s">
        <v>2055</v>
      </c>
      <c r="M3025" s="49"/>
    </row>
    <row r="3026" spans="6:13" x14ac:dyDescent="0.25">
      <c r="F3026" t="s">
        <v>4435</v>
      </c>
      <c r="G3026">
        <v>31028</v>
      </c>
      <c r="H3026">
        <v>3254</v>
      </c>
      <c r="I3026" s="25" t="s">
        <v>2074</v>
      </c>
      <c r="J3026" t="s">
        <v>2196</v>
      </c>
      <c r="M3026" s="49"/>
    </row>
    <row r="3027" spans="6:13" x14ac:dyDescent="0.25">
      <c r="F3027" t="s">
        <v>4436</v>
      </c>
      <c r="G3027">
        <v>22956</v>
      </c>
      <c r="H3027">
        <v>1062</v>
      </c>
      <c r="I3027" s="25" t="s">
        <v>2085</v>
      </c>
      <c r="J3027" t="s">
        <v>2188</v>
      </c>
      <c r="M3027" s="49"/>
    </row>
    <row r="3028" spans="6:13" x14ac:dyDescent="0.25">
      <c r="F3028" t="s">
        <v>4437</v>
      </c>
      <c r="G3028">
        <v>23627</v>
      </c>
      <c r="H3028">
        <v>1053</v>
      </c>
      <c r="I3028" s="25" t="s">
        <v>2085</v>
      </c>
      <c r="J3028" t="s">
        <v>2193</v>
      </c>
      <c r="M3028" s="49"/>
    </row>
    <row r="3029" spans="6:13" x14ac:dyDescent="0.25">
      <c r="F3029" t="s">
        <v>4438</v>
      </c>
      <c r="G3029">
        <v>15746</v>
      </c>
      <c r="H3029">
        <v>12061</v>
      </c>
      <c r="I3029" s="25" t="s">
        <v>2356</v>
      </c>
      <c r="J3029" t="s">
        <v>3033</v>
      </c>
      <c r="M3029" s="49"/>
    </row>
    <row r="3030" spans="6:13" x14ac:dyDescent="0.25">
      <c r="F3030" t="s">
        <v>4439</v>
      </c>
      <c r="G3030">
        <v>14550</v>
      </c>
      <c r="H3030">
        <v>12069</v>
      </c>
      <c r="I3030" s="25" t="s">
        <v>2356</v>
      </c>
      <c r="J3030" t="s">
        <v>2857</v>
      </c>
      <c r="M3030" s="49"/>
    </row>
    <row r="3031" spans="6:13" x14ac:dyDescent="0.25">
      <c r="F3031" t="s">
        <v>4440</v>
      </c>
      <c r="G3031">
        <v>24626</v>
      </c>
      <c r="H3031">
        <v>1060</v>
      </c>
      <c r="I3031" s="25" t="s">
        <v>2085</v>
      </c>
      <c r="J3031" t="s">
        <v>2363</v>
      </c>
      <c r="M3031" s="49"/>
    </row>
    <row r="3032" spans="6:13" x14ac:dyDescent="0.25">
      <c r="F3032" t="s">
        <v>4441</v>
      </c>
      <c r="G3032">
        <v>17349</v>
      </c>
      <c r="H3032">
        <v>13071</v>
      </c>
      <c r="I3032" s="25" t="s">
        <v>2191</v>
      </c>
      <c r="J3032" t="s">
        <v>2091</v>
      </c>
      <c r="M3032" s="49"/>
    </row>
    <row r="3033" spans="6:13" x14ac:dyDescent="0.25">
      <c r="F3033" t="s">
        <v>4442</v>
      </c>
      <c r="G3033">
        <v>29393</v>
      </c>
      <c r="H3033">
        <v>3151</v>
      </c>
      <c r="I3033" s="25" t="s">
        <v>2074</v>
      </c>
      <c r="J3033" t="s">
        <v>2126</v>
      </c>
      <c r="M3033" s="49"/>
    </row>
    <row r="3034" spans="6:13" x14ac:dyDescent="0.25">
      <c r="F3034" t="s">
        <v>4443</v>
      </c>
      <c r="G3034">
        <v>24872</v>
      </c>
      <c r="H3034">
        <v>1059</v>
      </c>
      <c r="I3034" s="25" t="s">
        <v>2085</v>
      </c>
      <c r="J3034" t="s">
        <v>2354</v>
      </c>
      <c r="M3034" s="49"/>
    </row>
    <row r="3035" spans="6:13" x14ac:dyDescent="0.25">
      <c r="F3035" t="s">
        <v>4444</v>
      </c>
      <c r="G3035">
        <v>38464</v>
      </c>
      <c r="H3035">
        <v>3154</v>
      </c>
      <c r="I3035" s="25" t="s">
        <v>2074</v>
      </c>
      <c r="J3035" t="s">
        <v>2186</v>
      </c>
      <c r="M3035" s="49"/>
    </row>
    <row r="3036" spans="6:13" x14ac:dyDescent="0.25">
      <c r="F3036" t="s">
        <v>4445</v>
      </c>
      <c r="G3036">
        <v>24361</v>
      </c>
      <c r="H3036">
        <v>1058</v>
      </c>
      <c r="I3036" s="25" t="s">
        <v>2085</v>
      </c>
      <c r="J3036" t="s">
        <v>2086</v>
      </c>
      <c r="M3036" s="49"/>
    </row>
    <row r="3037" spans="6:13" x14ac:dyDescent="0.25">
      <c r="F3037" t="s">
        <v>4446</v>
      </c>
      <c r="G3037">
        <v>86845</v>
      </c>
      <c r="H3037">
        <v>9772</v>
      </c>
      <c r="I3037" s="25" t="s">
        <v>2050</v>
      </c>
      <c r="J3037" t="s">
        <v>2117</v>
      </c>
      <c r="M3037" s="49"/>
    </row>
    <row r="3038" spans="6:13" x14ac:dyDescent="0.25">
      <c r="F3038" t="s">
        <v>4447</v>
      </c>
      <c r="G3038">
        <v>37247</v>
      </c>
      <c r="H3038">
        <v>6636</v>
      </c>
      <c r="I3038" s="25" t="s">
        <v>2046</v>
      </c>
      <c r="J3038" t="s">
        <v>2733</v>
      </c>
      <c r="M3038" s="49"/>
    </row>
    <row r="3039" spans="6:13" x14ac:dyDescent="0.25">
      <c r="F3039" t="s">
        <v>4447</v>
      </c>
      <c r="G3039">
        <v>37247</v>
      </c>
      <c r="H3039">
        <v>6636</v>
      </c>
      <c r="I3039" s="25" t="s">
        <v>2046</v>
      </c>
      <c r="J3039" t="s">
        <v>2733</v>
      </c>
      <c r="M3039" s="49"/>
    </row>
    <row r="3040" spans="6:13" x14ac:dyDescent="0.25">
      <c r="F3040" t="s">
        <v>4448</v>
      </c>
      <c r="G3040">
        <v>14979</v>
      </c>
      <c r="H3040">
        <v>12072</v>
      </c>
      <c r="I3040" s="25" t="s">
        <v>2356</v>
      </c>
      <c r="J3040" t="s">
        <v>2456</v>
      </c>
      <c r="M3040" s="49"/>
    </row>
    <row r="3041" spans="6:13" x14ac:dyDescent="0.25">
      <c r="F3041" t="s">
        <v>4449</v>
      </c>
      <c r="G3041">
        <v>72663</v>
      </c>
      <c r="H3041">
        <v>8116</v>
      </c>
      <c r="I3041" s="25" t="s">
        <v>2018</v>
      </c>
      <c r="J3041" t="s">
        <v>2213</v>
      </c>
      <c r="M3041" s="49"/>
    </row>
    <row r="3042" spans="6:13" x14ac:dyDescent="0.25">
      <c r="F3042" t="s">
        <v>4449</v>
      </c>
      <c r="G3042">
        <v>72663</v>
      </c>
      <c r="H3042">
        <v>8116</v>
      </c>
      <c r="I3042" s="25" t="s">
        <v>2018</v>
      </c>
      <c r="J3042" t="s">
        <v>2213</v>
      </c>
      <c r="M3042" s="49"/>
    </row>
    <row r="3043" spans="6:13" x14ac:dyDescent="0.25">
      <c r="F3043" t="s">
        <v>4450</v>
      </c>
      <c r="G3043">
        <v>64401</v>
      </c>
      <c r="H3043">
        <v>6432</v>
      </c>
      <c r="I3043" s="25" t="s">
        <v>2046</v>
      </c>
      <c r="J3043" t="s">
        <v>2338</v>
      </c>
      <c r="M3043" s="49"/>
    </row>
    <row r="3044" spans="6:13" x14ac:dyDescent="0.25">
      <c r="F3044" t="s">
        <v>4451</v>
      </c>
      <c r="G3044">
        <v>71723</v>
      </c>
      <c r="H3044">
        <v>8118</v>
      </c>
      <c r="I3044" s="25" t="s">
        <v>2018</v>
      </c>
      <c r="J3044" t="s">
        <v>2142</v>
      </c>
      <c r="M3044" s="49"/>
    </row>
    <row r="3045" spans="6:13" x14ac:dyDescent="0.25">
      <c r="F3045" t="s">
        <v>4452</v>
      </c>
      <c r="G3045">
        <v>98701</v>
      </c>
      <c r="H3045">
        <v>16070</v>
      </c>
      <c r="I3045" s="25" t="s">
        <v>2384</v>
      </c>
      <c r="J3045" t="s">
        <v>2206</v>
      </c>
      <c r="M3045" s="49"/>
    </row>
    <row r="3046" spans="6:13" x14ac:dyDescent="0.25">
      <c r="F3046" t="s">
        <v>4453</v>
      </c>
      <c r="G3046">
        <v>2694</v>
      </c>
      <c r="H3046">
        <v>14625</v>
      </c>
      <c r="I3046" s="25" t="s">
        <v>2135</v>
      </c>
      <c r="J3046" t="s">
        <v>2041</v>
      </c>
      <c r="M3046" s="49"/>
    </row>
    <row r="3047" spans="6:13" x14ac:dyDescent="0.25">
      <c r="F3047" t="s">
        <v>4454</v>
      </c>
      <c r="G3047">
        <v>26629</v>
      </c>
      <c r="H3047">
        <v>3452</v>
      </c>
      <c r="I3047" s="25" t="s">
        <v>2074</v>
      </c>
      <c r="J3047" t="s">
        <v>2034</v>
      </c>
      <c r="M3047" s="49"/>
    </row>
    <row r="3048" spans="6:13" x14ac:dyDescent="0.25">
      <c r="F3048" t="s">
        <v>4455</v>
      </c>
      <c r="G3048">
        <v>72415</v>
      </c>
      <c r="H3048">
        <v>8417</v>
      </c>
      <c r="I3048" s="25" t="s">
        <v>2018</v>
      </c>
      <c r="J3048" t="s">
        <v>2269</v>
      </c>
      <c r="M3048" s="49"/>
    </row>
    <row r="3049" spans="6:13" x14ac:dyDescent="0.25">
      <c r="F3049" t="s">
        <v>4456</v>
      </c>
      <c r="G3049">
        <v>24623</v>
      </c>
      <c r="H3049">
        <v>1060</v>
      </c>
      <c r="I3049" s="25" t="s">
        <v>2085</v>
      </c>
      <c r="J3049" t="s">
        <v>2363</v>
      </c>
      <c r="M3049" s="49"/>
    </row>
    <row r="3050" spans="6:13" x14ac:dyDescent="0.25">
      <c r="F3050" t="s">
        <v>4457</v>
      </c>
      <c r="G3050">
        <v>23775</v>
      </c>
      <c r="H3050">
        <v>1055</v>
      </c>
      <c r="I3050" s="25" t="s">
        <v>2085</v>
      </c>
      <c r="J3050" t="s">
        <v>2185</v>
      </c>
      <c r="M3050" s="49"/>
    </row>
    <row r="3051" spans="6:13" x14ac:dyDescent="0.25">
      <c r="F3051" t="s">
        <v>4458</v>
      </c>
      <c r="G3051">
        <v>99991</v>
      </c>
      <c r="H3051">
        <v>16064</v>
      </c>
      <c r="I3051" s="25" t="s">
        <v>2384</v>
      </c>
      <c r="J3051" t="s">
        <v>2405</v>
      </c>
      <c r="M3051" s="49"/>
    </row>
    <row r="3052" spans="6:13" x14ac:dyDescent="0.25">
      <c r="F3052" t="s">
        <v>4459</v>
      </c>
      <c r="G3052">
        <v>1558</v>
      </c>
      <c r="H3052">
        <v>14627</v>
      </c>
      <c r="I3052" s="25" t="s">
        <v>2135</v>
      </c>
      <c r="J3052" t="s">
        <v>2251</v>
      </c>
      <c r="M3052" s="49"/>
    </row>
    <row r="3053" spans="6:13" x14ac:dyDescent="0.25">
      <c r="F3053" t="s">
        <v>4460</v>
      </c>
      <c r="G3053">
        <v>1561</v>
      </c>
      <c r="H3053">
        <v>14627</v>
      </c>
      <c r="I3053" s="25" t="s">
        <v>2135</v>
      </c>
      <c r="J3053" t="s">
        <v>2251</v>
      </c>
      <c r="M3053" s="49"/>
    </row>
    <row r="3054" spans="6:13" x14ac:dyDescent="0.25">
      <c r="F3054" t="s">
        <v>4461</v>
      </c>
      <c r="G3054">
        <v>26197</v>
      </c>
      <c r="H3054">
        <v>3458</v>
      </c>
      <c r="I3054" s="25" t="s">
        <v>2074</v>
      </c>
      <c r="J3054" t="s">
        <v>2285</v>
      </c>
      <c r="M3054" s="49"/>
    </row>
    <row r="3055" spans="6:13" x14ac:dyDescent="0.25">
      <c r="F3055" t="s">
        <v>4462</v>
      </c>
      <c r="G3055">
        <v>36137</v>
      </c>
      <c r="H3055">
        <v>6631</v>
      </c>
      <c r="I3055" s="25" t="s">
        <v>2046</v>
      </c>
      <c r="J3055" t="s">
        <v>2145</v>
      </c>
      <c r="M3055" s="49"/>
    </row>
    <row r="3056" spans="6:13" x14ac:dyDescent="0.25">
      <c r="F3056" t="s">
        <v>4463</v>
      </c>
      <c r="G3056">
        <v>91091</v>
      </c>
      <c r="H3056">
        <v>9572</v>
      </c>
      <c r="I3056" s="25" t="s">
        <v>2050</v>
      </c>
      <c r="J3056" t="s">
        <v>2105</v>
      </c>
      <c r="M3056" s="49"/>
    </row>
    <row r="3057" spans="6:13" x14ac:dyDescent="0.25">
      <c r="F3057" t="s">
        <v>4464</v>
      </c>
      <c r="G3057">
        <v>24969</v>
      </c>
      <c r="H3057">
        <v>1059</v>
      </c>
      <c r="I3057" s="25" t="s">
        <v>2085</v>
      </c>
      <c r="J3057" t="s">
        <v>2354</v>
      </c>
      <c r="M3057" s="49"/>
    </row>
    <row r="3058" spans="6:13" x14ac:dyDescent="0.25">
      <c r="F3058" t="s">
        <v>4465</v>
      </c>
      <c r="G3058">
        <v>21712</v>
      </c>
      <c r="H3058">
        <v>3359</v>
      </c>
      <c r="I3058" s="25" t="s">
        <v>2074</v>
      </c>
      <c r="J3058" t="s">
        <v>2158</v>
      </c>
      <c r="M3058" s="49"/>
    </row>
    <row r="3059" spans="6:13" x14ac:dyDescent="0.25">
      <c r="F3059" t="s">
        <v>4466</v>
      </c>
      <c r="G3059">
        <v>71577</v>
      </c>
      <c r="H3059">
        <v>8119</v>
      </c>
      <c r="I3059" s="25" t="s">
        <v>2018</v>
      </c>
      <c r="J3059" t="s">
        <v>2287</v>
      </c>
      <c r="M3059" s="49"/>
    </row>
    <row r="3060" spans="6:13" x14ac:dyDescent="0.25">
      <c r="F3060" t="s">
        <v>4467</v>
      </c>
      <c r="G3060">
        <v>99100</v>
      </c>
      <c r="H3060">
        <v>16067</v>
      </c>
      <c r="I3060" s="25" t="s">
        <v>2384</v>
      </c>
      <c r="J3060" t="s">
        <v>2155</v>
      </c>
      <c r="M3060" s="49"/>
    </row>
    <row r="3061" spans="6:13" x14ac:dyDescent="0.25">
      <c r="F3061" t="s">
        <v>3061</v>
      </c>
      <c r="G3061">
        <v>64521</v>
      </c>
      <c r="H3061">
        <v>6433</v>
      </c>
      <c r="I3061" s="25" t="s">
        <v>2046</v>
      </c>
      <c r="J3061" t="s">
        <v>3061</v>
      </c>
      <c r="M3061" s="49"/>
    </row>
    <row r="3062" spans="6:13" x14ac:dyDescent="0.25">
      <c r="F3062" t="s">
        <v>4468</v>
      </c>
      <c r="G3062">
        <v>90613</v>
      </c>
      <c r="H3062">
        <v>9573</v>
      </c>
      <c r="I3062" s="25" t="s">
        <v>2050</v>
      </c>
      <c r="J3062" t="s">
        <v>2466</v>
      </c>
      <c r="M3062" s="49"/>
    </row>
    <row r="3063" spans="6:13" x14ac:dyDescent="0.25">
      <c r="F3063" t="s">
        <v>4469</v>
      </c>
      <c r="G3063">
        <v>22927</v>
      </c>
      <c r="H3063">
        <v>1062</v>
      </c>
      <c r="I3063" s="25" t="s">
        <v>2085</v>
      </c>
      <c r="J3063" t="s">
        <v>2188</v>
      </c>
      <c r="M3063" s="49"/>
    </row>
    <row r="3064" spans="6:13" x14ac:dyDescent="0.25">
      <c r="F3064" t="s">
        <v>4470</v>
      </c>
      <c r="G3064">
        <v>24625</v>
      </c>
      <c r="H3064">
        <v>1057</v>
      </c>
      <c r="I3064" s="25" t="s">
        <v>2085</v>
      </c>
      <c r="J3064" t="s">
        <v>2313</v>
      </c>
      <c r="M3064" s="49"/>
    </row>
    <row r="3065" spans="6:13" x14ac:dyDescent="0.25">
      <c r="F3065" t="s">
        <v>4470</v>
      </c>
      <c r="G3065">
        <v>24625</v>
      </c>
      <c r="H3065">
        <v>1058</v>
      </c>
      <c r="I3065" s="25" t="s">
        <v>2085</v>
      </c>
      <c r="J3065" t="s">
        <v>2086</v>
      </c>
      <c r="M3065" s="49"/>
    </row>
    <row r="3066" spans="6:13" x14ac:dyDescent="0.25">
      <c r="F3066" t="s">
        <v>4471</v>
      </c>
      <c r="G3066">
        <v>1909</v>
      </c>
      <c r="H3066">
        <v>14625</v>
      </c>
      <c r="I3066" s="25" t="s">
        <v>2135</v>
      </c>
      <c r="J3066" t="s">
        <v>2041</v>
      </c>
      <c r="M3066" s="49"/>
    </row>
    <row r="3067" spans="6:13" x14ac:dyDescent="0.25">
      <c r="F3067" t="s">
        <v>4472</v>
      </c>
      <c r="G3067">
        <v>26532</v>
      </c>
      <c r="H3067">
        <v>3452</v>
      </c>
      <c r="I3067" s="25" t="s">
        <v>2074</v>
      </c>
      <c r="J3067" t="s">
        <v>2034</v>
      </c>
      <c r="M3067" s="49"/>
    </row>
    <row r="3068" spans="6:13" x14ac:dyDescent="0.25">
      <c r="F3068" t="s">
        <v>4473</v>
      </c>
      <c r="G3068">
        <v>96269</v>
      </c>
      <c r="H3068">
        <v>9473</v>
      </c>
      <c r="I3068" s="25" t="s">
        <v>2050</v>
      </c>
      <c r="J3068" t="s">
        <v>2177</v>
      </c>
      <c r="M3068" s="49"/>
    </row>
    <row r="3069" spans="6:13" x14ac:dyDescent="0.25">
      <c r="F3069" t="s">
        <v>4474</v>
      </c>
      <c r="G3069">
        <v>63920</v>
      </c>
      <c r="H3069">
        <v>9676</v>
      </c>
      <c r="I3069" s="25" t="s">
        <v>2050</v>
      </c>
      <c r="J3069" t="s">
        <v>2381</v>
      </c>
      <c r="M3069" s="49"/>
    </row>
    <row r="3070" spans="6:13" x14ac:dyDescent="0.25">
      <c r="F3070" t="s">
        <v>4475</v>
      </c>
      <c r="G3070">
        <v>83109</v>
      </c>
      <c r="H3070">
        <v>9187</v>
      </c>
      <c r="I3070" s="25" t="s">
        <v>2050</v>
      </c>
      <c r="J3070" t="s">
        <v>2245</v>
      </c>
      <c r="M3070" s="49"/>
    </row>
    <row r="3071" spans="6:13" x14ac:dyDescent="0.25">
      <c r="F3071" t="s">
        <v>4476</v>
      </c>
      <c r="G3071">
        <v>63538</v>
      </c>
      <c r="H3071">
        <v>6435</v>
      </c>
      <c r="I3071" s="25" t="s">
        <v>2046</v>
      </c>
      <c r="J3071" t="s">
        <v>2703</v>
      </c>
      <c r="M3071" s="49"/>
    </row>
    <row r="3072" spans="6:13" x14ac:dyDescent="0.25">
      <c r="F3072" t="s">
        <v>4477</v>
      </c>
      <c r="G3072">
        <v>54534</v>
      </c>
      <c r="H3072">
        <v>7231</v>
      </c>
      <c r="I3072" s="25" t="s">
        <v>2123</v>
      </c>
      <c r="J3072" t="s">
        <v>2043</v>
      </c>
      <c r="M3072" s="49"/>
    </row>
    <row r="3073" spans="6:13" x14ac:dyDescent="0.25">
      <c r="F3073" t="s">
        <v>4478</v>
      </c>
      <c r="G3073">
        <v>56276</v>
      </c>
      <c r="H3073">
        <v>7138</v>
      </c>
      <c r="I3073" s="25" t="s">
        <v>2123</v>
      </c>
      <c r="J3073" t="s">
        <v>2489</v>
      </c>
      <c r="M3073" s="49"/>
    </row>
    <row r="3074" spans="6:13" x14ac:dyDescent="0.25">
      <c r="F3074" t="s">
        <v>4479</v>
      </c>
      <c r="G3074">
        <v>85098</v>
      </c>
      <c r="H3074">
        <v>9176</v>
      </c>
      <c r="I3074" s="25" t="s">
        <v>2050</v>
      </c>
      <c r="J3074" t="s">
        <v>2102</v>
      </c>
      <c r="M3074" s="49"/>
    </row>
    <row r="3075" spans="6:13" x14ac:dyDescent="0.25">
      <c r="F3075" t="s">
        <v>4480</v>
      </c>
      <c r="G3075">
        <v>9432</v>
      </c>
      <c r="H3075">
        <v>14521</v>
      </c>
      <c r="I3075" s="25" t="s">
        <v>2135</v>
      </c>
      <c r="J3075" t="s">
        <v>2032</v>
      </c>
      <c r="M3075" s="49"/>
    </row>
    <row r="3076" spans="6:13" x14ac:dyDescent="0.25">
      <c r="F3076" t="s">
        <v>4481</v>
      </c>
      <c r="G3076">
        <v>63762</v>
      </c>
      <c r="H3076">
        <v>9671</v>
      </c>
      <c r="I3076" s="25" t="s">
        <v>2050</v>
      </c>
      <c r="J3076" t="s">
        <v>2453</v>
      </c>
      <c r="M3076" s="49"/>
    </row>
    <row r="3077" spans="6:13" x14ac:dyDescent="0.25">
      <c r="F3077" t="s">
        <v>4482</v>
      </c>
      <c r="G3077">
        <v>4463</v>
      </c>
      <c r="H3077">
        <v>14729</v>
      </c>
      <c r="I3077" s="25" t="s">
        <v>2135</v>
      </c>
      <c r="J3077" t="s">
        <v>2684</v>
      </c>
      <c r="M3077" s="49"/>
    </row>
    <row r="3078" spans="6:13" x14ac:dyDescent="0.25">
      <c r="F3078" t="s">
        <v>4483</v>
      </c>
      <c r="G3078">
        <v>1983</v>
      </c>
      <c r="H3078">
        <v>12066</v>
      </c>
      <c r="I3078" s="25" t="s">
        <v>2356</v>
      </c>
      <c r="J3078" t="s">
        <v>2357</v>
      </c>
      <c r="M3078" s="49"/>
    </row>
    <row r="3079" spans="6:13" x14ac:dyDescent="0.25">
      <c r="F3079" t="s">
        <v>4484</v>
      </c>
      <c r="G3079">
        <v>97950</v>
      </c>
      <c r="H3079">
        <v>8128</v>
      </c>
      <c r="I3079" s="25" t="s">
        <v>2018</v>
      </c>
      <c r="J3079" t="s">
        <v>2175</v>
      </c>
      <c r="M3079" s="49"/>
    </row>
    <row r="3080" spans="6:13" x14ac:dyDescent="0.25">
      <c r="F3080" t="s">
        <v>4485</v>
      </c>
      <c r="G3080">
        <v>68649</v>
      </c>
      <c r="H3080">
        <v>6431</v>
      </c>
      <c r="I3080" s="25" t="s">
        <v>2046</v>
      </c>
      <c r="J3080" t="s">
        <v>2065</v>
      </c>
      <c r="M3080" s="49"/>
    </row>
    <row r="3081" spans="6:13" x14ac:dyDescent="0.25">
      <c r="F3081" t="s">
        <v>4486</v>
      </c>
      <c r="G3081">
        <v>1900</v>
      </c>
      <c r="H3081">
        <v>14625</v>
      </c>
      <c r="I3081" s="25" t="s">
        <v>2135</v>
      </c>
      <c r="J3081" t="s">
        <v>2041</v>
      </c>
      <c r="M3081" s="49"/>
    </row>
    <row r="3082" spans="6:13" x14ac:dyDescent="0.25">
      <c r="F3082" t="s">
        <v>4487</v>
      </c>
      <c r="G3082">
        <v>66352</v>
      </c>
      <c r="H3082">
        <v>10041</v>
      </c>
      <c r="I3082" s="25" t="s">
        <v>2849</v>
      </c>
      <c r="J3082" t="s">
        <v>4138</v>
      </c>
      <c r="M3082" s="49"/>
    </row>
    <row r="3083" spans="6:13" x14ac:dyDescent="0.25">
      <c r="F3083" t="s">
        <v>4488</v>
      </c>
      <c r="G3083">
        <v>9518</v>
      </c>
      <c r="H3083">
        <v>14521</v>
      </c>
      <c r="I3083" s="25" t="s">
        <v>2135</v>
      </c>
      <c r="J3083" t="s">
        <v>2032</v>
      </c>
      <c r="M3083" s="49"/>
    </row>
    <row r="3084" spans="6:13" x14ac:dyDescent="0.25">
      <c r="F3084" t="s">
        <v>4489</v>
      </c>
      <c r="G3084">
        <v>99195</v>
      </c>
      <c r="H3084">
        <v>16068</v>
      </c>
      <c r="I3084" s="25" t="s">
        <v>2384</v>
      </c>
      <c r="J3084" t="s">
        <v>3075</v>
      </c>
      <c r="M3084" s="49"/>
    </row>
    <row r="3085" spans="6:13" x14ac:dyDescent="0.25">
      <c r="F3085" t="s">
        <v>4490</v>
      </c>
      <c r="G3085">
        <v>9603</v>
      </c>
      <c r="H3085">
        <v>14522</v>
      </c>
      <c r="I3085" s="25" t="s">
        <v>2135</v>
      </c>
      <c r="J3085" t="s">
        <v>2100</v>
      </c>
      <c r="M3085" s="49"/>
    </row>
    <row r="3086" spans="6:13" x14ac:dyDescent="0.25">
      <c r="F3086" t="s">
        <v>4491</v>
      </c>
      <c r="G3086">
        <v>2779</v>
      </c>
      <c r="H3086">
        <v>14626</v>
      </c>
      <c r="I3086" s="25" t="s">
        <v>2135</v>
      </c>
      <c r="J3086" t="s">
        <v>2150</v>
      </c>
      <c r="M3086" s="49"/>
    </row>
    <row r="3087" spans="6:13" x14ac:dyDescent="0.25">
      <c r="F3087" t="s">
        <v>4491</v>
      </c>
      <c r="G3087">
        <v>2799</v>
      </c>
      <c r="H3087">
        <v>14626</v>
      </c>
      <c r="I3087" s="25" t="s">
        <v>2135</v>
      </c>
      <c r="J3087" t="s">
        <v>2150</v>
      </c>
      <c r="M3087" s="49"/>
    </row>
    <row r="3088" spans="6:13" x14ac:dyDescent="0.25">
      <c r="F3088" t="s">
        <v>4492</v>
      </c>
      <c r="G3088">
        <v>24991</v>
      </c>
      <c r="H3088">
        <v>1059</v>
      </c>
      <c r="I3088" s="25" t="s">
        <v>2085</v>
      </c>
      <c r="J3088" t="s">
        <v>2354</v>
      </c>
      <c r="M3088" s="49"/>
    </row>
    <row r="3089" spans="6:13" x14ac:dyDescent="0.25">
      <c r="F3089" t="s">
        <v>4493</v>
      </c>
      <c r="G3089">
        <v>64823</v>
      </c>
      <c r="H3089">
        <v>6432</v>
      </c>
      <c r="I3089" s="25" t="s">
        <v>2046</v>
      </c>
      <c r="J3089" t="s">
        <v>2338</v>
      </c>
      <c r="M3089" s="49"/>
    </row>
    <row r="3090" spans="6:13" x14ac:dyDescent="0.25">
      <c r="F3090" t="s">
        <v>4494</v>
      </c>
      <c r="G3090">
        <v>99958</v>
      </c>
      <c r="H3090">
        <v>16064</v>
      </c>
      <c r="I3090" s="25" t="s">
        <v>2384</v>
      </c>
      <c r="J3090" t="s">
        <v>2405</v>
      </c>
      <c r="M3090" s="49"/>
    </row>
    <row r="3091" spans="6:13" x14ac:dyDescent="0.25">
      <c r="F3091" t="s">
        <v>4494</v>
      </c>
      <c r="G3091">
        <v>99958</v>
      </c>
      <c r="H3091">
        <v>16067</v>
      </c>
      <c r="I3091" s="25" t="s">
        <v>2384</v>
      </c>
      <c r="J3091" t="s">
        <v>2155</v>
      </c>
      <c r="M3091" s="49"/>
    </row>
    <row r="3092" spans="6:13" x14ac:dyDescent="0.25">
      <c r="F3092" t="s">
        <v>4495</v>
      </c>
      <c r="G3092">
        <v>63868</v>
      </c>
      <c r="H3092">
        <v>9676</v>
      </c>
      <c r="I3092" s="25" t="s">
        <v>2050</v>
      </c>
      <c r="J3092" t="s">
        <v>2381</v>
      </c>
      <c r="M3092" s="49"/>
    </row>
    <row r="3093" spans="6:13" x14ac:dyDescent="0.25">
      <c r="F3093" t="s">
        <v>4496</v>
      </c>
      <c r="G3093">
        <v>82439</v>
      </c>
      <c r="H3093">
        <v>9173</v>
      </c>
      <c r="I3093" s="25" t="s">
        <v>2050</v>
      </c>
      <c r="J3093" t="s">
        <v>2659</v>
      </c>
      <c r="M3093" s="49"/>
    </row>
    <row r="3094" spans="6:13" x14ac:dyDescent="0.25">
      <c r="F3094" t="s">
        <v>4496</v>
      </c>
      <c r="G3094">
        <v>82439</v>
      </c>
      <c r="H3094">
        <v>9180</v>
      </c>
      <c r="I3094" s="25" t="s">
        <v>2050</v>
      </c>
      <c r="J3094" t="s">
        <v>2147</v>
      </c>
      <c r="M3094" s="49"/>
    </row>
    <row r="3095" spans="6:13" x14ac:dyDescent="0.25">
      <c r="F3095" t="s">
        <v>4497</v>
      </c>
      <c r="G3095">
        <v>64846</v>
      </c>
      <c r="H3095">
        <v>6432</v>
      </c>
      <c r="I3095" s="25" t="s">
        <v>2046</v>
      </c>
      <c r="J3095" t="s">
        <v>2338</v>
      </c>
      <c r="M3095" s="49"/>
    </row>
    <row r="3096" spans="6:13" x14ac:dyDescent="0.25">
      <c r="F3096" t="s">
        <v>4498</v>
      </c>
      <c r="G3096">
        <v>96271</v>
      </c>
      <c r="H3096">
        <v>9473</v>
      </c>
      <c r="I3096" s="25" t="s">
        <v>2050</v>
      </c>
      <c r="J3096" t="s">
        <v>2177</v>
      </c>
      <c r="M3096" s="49"/>
    </row>
    <row r="3097" spans="6:13" x14ac:dyDescent="0.25">
      <c r="F3097" t="s">
        <v>4499</v>
      </c>
      <c r="G3097">
        <v>23749</v>
      </c>
      <c r="H3097">
        <v>1055</v>
      </c>
      <c r="I3097" s="25" t="s">
        <v>2085</v>
      </c>
      <c r="J3097" t="s">
        <v>2185</v>
      </c>
      <c r="M3097" s="49"/>
    </row>
    <row r="3098" spans="6:13" x14ac:dyDescent="0.25">
      <c r="F3098" t="s">
        <v>4500</v>
      </c>
      <c r="G3098">
        <v>73344</v>
      </c>
      <c r="H3098">
        <v>8117</v>
      </c>
      <c r="I3098" s="25" t="s">
        <v>2018</v>
      </c>
      <c r="J3098" t="s">
        <v>2089</v>
      </c>
      <c r="M3098" s="49"/>
    </row>
    <row r="3099" spans="6:13" x14ac:dyDescent="0.25">
      <c r="F3099" t="s">
        <v>4501</v>
      </c>
      <c r="G3099">
        <v>67745</v>
      </c>
      <c r="H3099">
        <v>7336</v>
      </c>
      <c r="I3099" s="25" t="s">
        <v>2123</v>
      </c>
      <c r="J3099" t="s">
        <v>2216</v>
      </c>
      <c r="M3099" s="49"/>
    </row>
    <row r="3100" spans="6:13" x14ac:dyDescent="0.25">
      <c r="F3100" t="s">
        <v>4501</v>
      </c>
      <c r="G3100">
        <v>67745</v>
      </c>
      <c r="H3100">
        <v>7336</v>
      </c>
      <c r="I3100" s="25" t="s">
        <v>2123</v>
      </c>
      <c r="J3100" t="s">
        <v>2216</v>
      </c>
      <c r="M3100" s="49"/>
    </row>
    <row r="3101" spans="6:13" x14ac:dyDescent="0.25">
      <c r="F3101" t="s">
        <v>4502</v>
      </c>
      <c r="G3101">
        <v>35305</v>
      </c>
      <c r="H3101">
        <v>6531</v>
      </c>
      <c r="I3101" s="25" t="s">
        <v>2046</v>
      </c>
      <c r="J3101" t="s">
        <v>2306</v>
      </c>
      <c r="M3101" s="49"/>
    </row>
    <row r="3102" spans="6:13" x14ac:dyDescent="0.25">
      <c r="F3102" t="s">
        <v>4503</v>
      </c>
      <c r="G3102">
        <v>63584</v>
      </c>
      <c r="H3102">
        <v>6435</v>
      </c>
      <c r="I3102" s="25" t="s">
        <v>2046</v>
      </c>
      <c r="J3102" t="s">
        <v>2703</v>
      </c>
      <c r="M3102" s="49"/>
    </row>
    <row r="3103" spans="6:13" x14ac:dyDescent="0.25">
      <c r="F3103" t="s">
        <v>4504</v>
      </c>
      <c r="G3103">
        <v>21720</v>
      </c>
      <c r="H3103">
        <v>3359</v>
      </c>
      <c r="I3103" s="25" t="s">
        <v>2074</v>
      </c>
      <c r="J3103" t="s">
        <v>2158</v>
      </c>
      <c r="M3103" s="49"/>
    </row>
    <row r="3104" spans="6:13" x14ac:dyDescent="0.25">
      <c r="F3104" t="s">
        <v>4505</v>
      </c>
      <c r="G3104">
        <v>31073</v>
      </c>
      <c r="H3104">
        <v>3255</v>
      </c>
      <c r="I3104" s="25" t="s">
        <v>2074</v>
      </c>
      <c r="J3104" t="s">
        <v>3044</v>
      </c>
      <c r="M3104" s="49"/>
    </row>
    <row r="3105" spans="6:13" x14ac:dyDescent="0.25">
      <c r="F3105" t="s">
        <v>4506</v>
      </c>
      <c r="G3105">
        <v>8344</v>
      </c>
      <c r="H3105">
        <v>14521</v>
      </c>
      <c r="I3105" s="25" t="s">
        <v>2135</v>
      </c>
      <c r="J3105" t="s">
        <v>2032</v>
      </c>
      <c r="M3105" s="49"/>
    </row>
    <row r="3106" spans="6:13" x14ac:dyDescent="0.25">
      <c r="F3106" t="s">
        <v>4507</v>
      </c>
      <c r="G3106">
        <v>9579</v>
      </c>
      <c r="H3106">
        <v>14521</v>
      </c>
      <c r="I3106" s="25" t="s">
        <v>2135</v>
      </c>
      <c r="J3106" t="s">
        <v>2032</v>
      </c>
      <c r="M3106" s="49"/>
    </row>
    <row r="3107" spans="6:13" x14ac:dyDescent="0.25">
      <c r="F3107" t="s">
        <v>4508</v>
      </c>
      <c r="G3107">
        <v>88287</v>
      </c>
      <c r="H3107">
        <v>8436</v>
      </c>
      <c r="I3107" s="25" t="s">
        <v>2018</v>
      </c>
      <c r="J3107" t="s">
        <v>2068</v>
      </c>
      <c r="M3107" s="49"/>
    </row>
    <row r="3108" spans="6:13" x14ac:dyDescent="0.25">
      <c r="F3108" t="s">
        <v>4509</v>
      </c>
      <c r="G3108">
        <v>97947</v>
      </c>
      <c r="H3108">
        <v>8128</v>
      </c>
      <c r="I3108" s="25" t="s">
        <v>2018</v>
      </c>
      <c r="J3108" t="s">
        <v>2175</v>
      </c>
      <c r="M3108" s="49"/>
    </row>
    <row r="3109" spans="6:13" x14ac:dyDescent="0.25">
      <c r="F3109" t="s">
        <v>4510</v>
      </c>
      <c r="G3109">
        <v>67269</v>
      </c>
      <c r="H3109">
        <v>7332</v>
      </c>
      <c r="I3109" s="25" t="s">
        <v>2123</v>
      </c>
      <c r="J3109" t="s">
        <v>2440</v>
      </c>
      <c r="M3109" s="49"/>
    </row>
    <row r="3110" spans="6:13" x14ac:dyDescent="0.25">
      <c r="F3110" t="s">
        <v>4511</v>
      </c>
      <c r="G3110">
        <v>82031</v>
      </c>
      <c r="H3110">
        <v>9184</v>
      </c>
      <c r="I3110" s="25" t="s">
        <v>2050</v>
      </c>
      <c r="J3110" t="s">
        <v>2547</v>
      </c>
      <c r="M3110" s="49"/>
    </row>
    <row r="3111" spans="6:13" x14ac:dyDescent="0.25">
      <c r="F3111" t="s">
        <v>4512</v>
      </c>
      <c r="G3111">
        <v>74417</v>
      </c>
      <c r="H3111">
        <v>8136</v>
      </c>
      <c r="I3111" s="25" t="s">
        <v>2018</v>
      </c>
      <c r="J3111" t="s">
        <v>2039</v>
      </c>
      <c r="M3111" s="49"/>
    </row>
    <row r="3112" spans="6:13" x14ac:dyDescent="0.25">
      <c r="F3112" t="s">
        <v>4513</v>
      </c>
      <c r="G3112">
        <v>83257</v>
      </c>
      <c r="H3112">
        <v>9187</v>
      </c>
      <c r="I3112" s="25" t="s">
        <v>2050</v>
      </c>
      <c r="J3112" t="s">
        <v>2245</v>
      </c>
      <c r="M3112" s="49"/>
    </row>
    <row r="3113" spans="6:13" x14ac:dyDescent="0.25">
      <c r="F3113" t="s">
        <v>4514</v>
      </c>
      <c r="G3113">
        <v>3172</v>
      </c>
      <c r="H3113">
        <v>12071</v>
      </c>
      <c r="I3113" s="25" t="s">
        <v>2356</v>
      </c>
      <c r="J3113" t="s">
        <v>3364</v>
      </c>
      <c r="M3113" s="49"/>
    </row>
    <row r="3114" spans="6:13" x14ac:dyDescent="0.25">
      <c r="F3114" t="s">
        <v>4515</v>
      </c>
      <c r="G3114">
        <v>34281</v>
      </c>
      <c r="H3114">
        <v>6634</v>
      </c>
      <c r="I3114" s="25" t="s">
        <v>2046</v>
      </c>
      <c r="J3114" t="s">
        <v>2360</v>
      </c>
      <c r="M3114" s="49"/>
    </row>
    <row r="3115" spans="6:13" x14ac:dyDescent="0.25">
      <c r="F3115" t="s">
        <v>4516</v>
      </c>
      <c r="G3115">
        <v>23899</v>
      </c>
      <c r="H3115">
        <v>1053</v>
      </c>
      <c r="I3115" s="25" t="s">
        <v>2085</v>
      </c>
      <c r="J3115" t="s">
        <v>2193</v>
      </c>
      <c r="M3115" s="49"/>
    </row>
    <row r="3116" spans="6:13" x14ac:dyDescent="0.25">
      <c r="F3116" t="s">
        <v>4517</v>
      </c>
      <c r="G3116">
        <v>74363</v>
      </c>
      <c r="H3116">
        <v>8125</v>
      </c>
      <c r="I3116" s="25" t="s">
        <v>2018</v>
      </c>
      <c r="J3116" t="s">
        <v>2060</v>
      </c>
      <c r="M3116" s="49"/>
    </row>
    <row r="3117" spans="6:13" x14ac:dyDescent="0.25">
      <c r="F3117" t="s">
        <v>4518</v>
      </c>
      <c r="G3117">
        <v>55452</v>
      </c>
      <c r="H3117">
        <v>7133</v>
      </c>
      <c r="I3117" s="25" t="s">
        <v>2123</v>
      </c>
      <c r="J3117" t="s">
        <v>2037</v>
      </c>
      <c r="M3117" s="49"/>
    </row>
    <row r="3118" spans="6:13" x14ac:dyDescent="0.25">
      <c r="F3118" t="s">
        <v>4518</v>
      </c>
      <c r="G3118">
        <v>55452</v>
      </c>
      <c r="H3118">
        <v>7133</v>
      </c>
      <c r="I3118" s="25" t="s">
        <v>2123</v>
      </c>
      <c r="J3118" t="s">
        <v>2037</v>
      </c>
      <c r="M3118" s="49"/>
    </row>
    <row r="3119" spans="6:13" x14ac:dyDescent="0.25">
      <c r="F3119" t="s">
        <v>4519</v>
      </c>
      <c r="G3119">
        <v>21483</v>
      </c>
      <c r="H3119">
        <v>1053</v>
      </c>
      <c r="I3119" s="25" t="s">
        <v>2085</v>
      </c>
      <c r="J3119" t="s">
        <v>2193</v>
      </c>
      <c r="M3119" s="49"/>
    </row>
    <row r="3120" spans="6:13" x14ac:dyDescent="0.25">
      <c r="F3120" t="s">
        <v>4520</v>
      </c>
      <c r="G3120">
        <v>51645</v>
      </c>
      <c r="H3120">
        <v>5374</v>
      </c>
      <c r="I3120" s="25" t="s">
        <v>2023</v>
      </c>
      <c r="J3120" t="s">
        <v>2281</v>
      </c>
      <c r="M3120" s="49"/>
    </row>
    <row r="3121" spans="6:13" x14ac:dyDescent="0.25">
      <c r="F3121" t="s">
        <v>4520</v>
      </c>
      <c r="G3121">
        <v>51643</v>
      </c>
      <c r="H3121">
        <v>5374</v>
      </c>
      <c r="I3121" s="25" t="s">
        <v>2023</v>
      </c>
      <c r="J3121" t="s">
        <v>2281</v>
      </c>
      <c r="M3121" s="49"/>
    </row>
    <row r="3122" spans="6:13" x14ac:dyDescent="0.25">
      <c r="F3122" t="s">
        <v>4520</v>
      </c>
      <c r="G3122">
        <v>51647</v>
      </c>
      <c r="H3122">
        <v>5374</v>
      </c>
      <c r="I3122" s="25" t="s">
        <v>2023</v>
      </c>
      <c r="J3122" t="s">
        <v>2281</v>
      </c>
      <c r="M3122" s="49"/>
    </row>
    <row r="3123" spans="6:13" x14ac:dyDescent="0.25">
      <c r="F3123" t="s">
        <v>4521</v>
      </c>
      <c r="G3123">
        <v>16866</v>
      </c>
      <c r="H3123">
        <v>12068</v>
      </c>
      <c r="I3123" s="25" t="s">
        <v>2356</v>
      </c>
      <c r="J3123" t="s">
        <v>2299</v>
      </c>
      <c r="M3123" s="49"/>
    </row>
    <row r="3124" spans="6:13" x14ac:dyDescent="0.25">
      <c r="F3124" t="s">
        <v>4521</v>
      </c>
      <c r="G3124">
        <v>16866</v>
      </c>
      <c r="H3124">
        <v>12070</v>
      </c>
      <c r="I3124" s="25" t="s">
        <v>2356</v>
      </c>
      <c r="J3124" t="s">
        <v>2316</v>
      </c>
      <c r="M3124" s="49"/>
    </row>
    <row r="3125" spans="6:13" x14ac:dyDescent="0.25">
      <c r="F3125" t="s">
        <v>4522</v>
      </c>
      <c r="G3125">
        <v>89423</v>
      </c>
      <c r="H3125">
        <v>9773</v>
      </c>
      <c r="I3125" s="25" t="s">
        <v>2050</v>
      </c>
      <c r="J3125" t="s">
        <v>2231</v>
      </c>
      <c r="M3125" s="49"/>
    </row>
    <row r="3126" spans="6:13" x14ac:dyDescent="0.25">
      <c r="F3126" t="s">
        <v>4523</v>
      </c>
      <c r="G3126">
        <v>79194</v>
      </c>
      <c r="H3126">
        <v>8315</v>
      </c>
      <c r="I3126" s="25" t="s">
        <v>2018</v>
      </c>
      <c r="J3126" t="s">
        <v>2061</v>
      </c>
      <c r="M3126" s="49"/>
    </row>
    <row r="3127" spans="6:13" x14ac:dyDescent="0.25">
      <c r="F3127" t="s">
        <v>4524</v>
      </c>
      <c r="G3127">
        <v>74831</v>
      </c>
      <c r="H3127">
        <v>8125</v>
      </c>
      <c r="I3127" s="25" t="s">
        <v>2018</v>
      </c>
      <c r="J3127" t="s">
        <v>2060</v>
      </c>
      <c r="M3127" s="49"/>
    </row>
    <row r="3128" spans="6:13" x14ac:dyDescent="0.25">
      <c r="F3128" t="s">
        <v>4524</v>
      </c>
      <c r="G3128">
        <v>96163</v>
      </c>
      <c r="H3128">
        <v>9471</v>
      </c>
      <c r="I3128" s="25" t="s">
        <v>2050</v>
      </c>
      <c r="J3128" t="s">
        <v>2392</v>
      </c>
      <c r="M3128" s="49"/>
    </row>
    <row r="3129" spans="6:13" x14ac:dyDescent="0.25">
      <c r="F3129" t="s">
        <v>4525</v>
      </c>
      <c r="G3129">
        <v>67598</v>
      </c>
      <c r="H3129">
        <v>7331</v>
      </c>
      <c r="I3129" s="25" t="s">
        <v>2123</v>
      </c>
      <c r="J3129" t="s">
        <v>2029</v>
      </c>
      <c r="M3129" s="49"/>
    </row>
    <row r="3130" spans="6:13" x14ac:dyDescent="0.25">
      <c r="F3130" t="s">
        <v>4526</v>
      </c>
      <c r="G3130">
        <v>67724</v>
      </c>
      <c r="H3130">
        <v>7333</v>
      </c>
      <c r="I3130" s="25" t="s">
        <v>2123</v>
      </c>
      <c r="J3130" t="s">
        <v>2103</v>
      </c>
      <c r="M3130" s="49"/>
    </row>
    <row r="3131" spans="6:13" x14ac:dyDescent="0.25">
      <c r="F3131" t="s">
        <v>4526</v>
      </c>
      <c r="G3131">
        <v>67724</v>
      </c>
      <c r="H3131">
        <v>7333</v>
      </c>
      <c r="I3131" s="25" t="s">
        <v>2123</v>
      </c>
      <c r="J3131" t="s">
        <v>2103</v>
      </c>
      <c r="M3131" s="49"/>
    </row>
    <row r="3132" spans="6:13" x14ac:dyDescent="0.25">
      <c r="F3132" t="s">
        <v>4527</v>
      </c>
      <c r="G3132">
        <v>67599</v>
      </c>
      <c r="H3132">
        <v>7331</v>
      </c>
      <c r="I3132" s="25" t="s">
        <v>2123</v>
      </c>
      <c r="J3132" t="s">
        <v>2029</v>
      </c>
      <c r="M3132" s="49"/>
    </row>
    <row r="3133" spans="6:13" x14ac:dyDescent="0.25">
      <c r="F3133" t="s">
        <v>4528</v>
      </c>
      <c r="G3133">
        <v>89355</v>
      </c>
      <c r="H3133">
        <v>9774</v>
      </c>
      <c r="I3133" s="25" t="s">
        <v>2050</v>
      </c>
      <c r="J3133" t="s">
        <v>2205</v>
      </c>
      <c r="M3133" s="49"/>
    </row>
    <row r="3134" spans="6:13" x14ac:dyDescent="0.25">
      <c r="F3134" t="s">
        <v>4529</v>
      </c>
      <c r="G3134">
        <v>78594</v>
      </c>
      <c r="H3134">
        <v>8327</v>
      </c>
      <c r="I3134" s="25" t="s">
        <v>2018</v>
      </c>
      <c r="J3134" t="s">
        <v>2277</v>
      </c>
      <c r="M3134" s="49"/>
    </row>
    <row r="3135" spans="6:13" x14ac:dyDescent="0.25">
      <c r="F3135" t="s">
        <v>4530</v>
      </c>
      <c r="G3135">
        <v>67583</v>
      </c>
      <c r="H3135">
        <v>7339</v>
      </c>
      <c r="I3135" s="25" t="s">
        <v>2123</v>
      </c>
      <c r="J3135" t="s">
        <v>2238</v>
      </c>
      <c r="M3135" s="49"/>
    </row>
    <row r="3136" spans="6:13" x14ac:dyDescent="0.25">
      <c r="F3136" t="s">
        <v>4531</v>
      </c>
      <c r="G3136">
        <v>97261</v>
      </c>
      <c r="H3136">
        <v>9679</v>
      </c>
      <c r="I3136" s="25" t="s">
        <v>2050</v>
      </c>
      <c r="J3136" t="s">
        <v>2428</v>
      </c>
      <c r="M3136" s="49"/>
    </row>
    <row r="3137" spans="6:13" x14ac:dyDescent="0.25">
      <c r="F3137" t="s">
        <v>2205</v>
      </c>
      <c r="G3137">
        <v>89312</v>
      </c>
      <c r="H3137">
        <v>9774</v>
      </c>
      <c r="I3137" s="25" t="s">
        <v>2050</v>
      </c>
      <c r="J3137" t="s">
        <v>2205</v>
      </c>
      <c r="M3137" s="49"/>
    </row>
    <row r="3138" spans="6:13" x14ac:dyDescent="0.25">
      <c r="F3138" t="s">
        <v>4532</v>
      </c>
      <c r="G3138">
        <v>91710</v>
      </c>
      <c r="H3138">
        <v>9577</v>
      </c>
      <c r="I3138" s="25" t="s">
        <v>2050</v>
      </c>
      <c r="J3138" t="s">
        <v>2057</v>
      </c>
      <c r="M3138" s="49"/>
    </row>
    <row r="3139" spans="6:13" x14ac:dyDescent="0.25">
      <c r="F3139" t="s">
        <v>4533</v>
      </c>
      <c r="G3139">
        <v>29476</v>
      </c>
      <c r="H3139">
        <v>3354</v>
      </c>
      <c r="I3139" s="25" t="s">
        <v>2074</v>
      </c>
      <c r="J3139" t="s">
        <v>2232</v>
      </c>
      <c r="M3139" s="49"/>
    </row>
    <row r="3140" spans="6:13" x14ac:dyDescent="0.25">
      <c r="F3140" t="s">
        <v>4534</v>
      </c>
      <c r="G3140">
        <v>54413</v>
      </c>
      <c r="H3140">
        <v>7235</v>
      </c>
      <c r="I3140" s="25" t="s">
        <v>2123</v>
      </c>
      <c r="J3140" t="s">
        <v>2395</v>
      </c>
      <c r="M3140" s="49"/>
    </row>
    <row r="3141" spans="6:13" x14ac:dyDescent="0.25">
      <c r="F3141" t="s">
        <v>4534</v>
      </c>
      <c r="G3141">
        <v>54413</v>
      </c>
      <c r="H3141">
        <v>7235</v>
      </c>
      <c r="I3141" s="25" t="s">
        <v>2123</v>
      </c>
      <c r="J3141" t="s">
        <v>2395</v>
      </c>
      <c r="M3141" s="49"/>
    </row>
    <row r="3142" spans="6:13" x14ac:dyDescent="0.25">
      <c r="F3142" t="s">
        <v>4534</v>
      </c>
      <c r="G3142">
        <v>54413</v>
      </c>
      <c r="H3142">
        <v>7235</v>
      </c>
      <c r="I3142" s="25" t="s">
        <v>2123</v>
      </c>
      <c r="J3142" t="s">
        <v>2395</v>
      </c>
      <c r="M3142" s="49"/>
    </row>
    <row r="3143" spans="6:13" x14ac:dyDescent="0.25">
      <c r="F3143" t="s">
        <v>4535</v>
      </c>
      <c r="G3143">
        <v>39439</v>
      </c>
      <c r="H3143">
        <v>15089</v>
      </c>
      <c r="I3143" s="25" t="s">
        <v>2241</v>
      </c>
      <c r="J3143" t="s">
        <v>2351</v>
      </c>
      <c r="M3143" s="49"/>
    </row>
    <row r="3144" spans="6:13" x14ac:dyDescent="0.25">
      <c r="F3144" t="s">
        <v>2163</v>
      </c>
      <c r="G3144">
        <v>18273</v>
      </c>
      <c r="H3144">
        <v>13072</v>
      </c>
      <c r="I3144" s="25" t="s">
        <v>2191</v>
      </c>
      <c r="J3144" t="s">
        <v>2036</v>
      </c>
      <c r="M3144" s="49"/>
    </row>
    <row r="3145" spans="6:13" x14ac:dyDescent="0.25">
      <c r="F3145" t="s">
        <v>4536</v>
      </c>
      <c r="G3145">
        <v>77793</v>
      </c>
      <c r="H3145">
        <v>8317</v>
      </c>
      <c r="I3145" s="25" t="s">
        <v>2018</v>
      </c>
      <c r="J3145" t="s">
        <v>2071</v>
      </c>
      <c r="M3145" s="49"/>
    </row>
    <row r="3146" spans="6:13" x14ac:dyDescent="0.25">
      <c r="F3146" t="s">
        <v>4537</v>
      </c>
      <c r="G3146">
        <v>79261</v>
      </c>
      <c r="H3146">
        <v>8316</v>
      </c>
      <c r="I3146" s="25" t="s">
        <v>2018</v>
      </c>
      <c r="J3146" t="s">
        <v>2764</v>
      </c>
      <c r="M3146" s="49"/>
    </row>
    <row r="3147" spans="6:13" x14ac:dyDescent="0.25">
      <c r="F3147" t="s">
        <v>4538</v>
      </c>
      <c r="G3147">
        <v>78148</v>
      </c>
      <c r="H3147">
        <v>8326</v>
      </c>
      <c r="I3147" s="25" t="s">
        <v>2018</v>
      </c>
      <c r="J3147" t="s">
        <v>2638</v>
      </c>
      <c r="M3147" s="49"/>
    </row>
    <row r="3148" spans="6:13" x14ac:dyDescent="0.25">
      <c r="F3148" t="s">
        <v>4539</v>
      </c>
      <c r="G3148">
        <v>92543</v>
      </c>
      <c r="H3148">
        <v>9376</v>
      </c>
      <c r="I3148" s="25" t="s">
        <v>2050</v>
      </c>
      <c r="J3148" t="s">
        <v>2390</v>
      </c>
      <c r="M3148" s="49"/>
    </row>
    <row r="3149" spans="6:13" x14ac:dyDescent="0.25">
      <c r="F3149" t="s">
        <v>4540</v>
      </c>
      <c r="G3149">
        <v>91468</v>
      </c>
      <c r="H3149">
        <v>9575</v>
      </c>
      <c r="I3149" s="25" t="s">
        <v>2050</v>
      </c>
      <c r="J3149" t="s">
        <v>2749</v>
      </c>
      <c r="M3149" s="49"/>
    </row>
    <row r="3150" spans="6:13" x14ac:dyDescent="0.25">
      <c r="F3150" t="s">
        <v>4541</v>
      </c>
      <c r="G3150">
        <v>88484</v>
      </c>
      <c r="H3150">
        <v>8426</v>
      </c>
      <c r="I3150" s="25" t="s">
        <v>2018</v>
      </c>
      <c r="J3150" t="s">
        <v>2081</v>
      </c>
      <c r="M3150" s="49"/>
    </row>
    <row r="3151" spans="6:13" x14ac:dyDescent="0.25">
      <c r="F3151" t="s">
        <v>4542</v>
      </c>
      <c r="G3151">
        <v>39264</v>
      </c>
      <c r="H3151">
        <v>15082</v>
      </c>
      <c r="I3151" s="25" t="s">
        <v>2241</v>
      </c>
      <c r="J3151" t="s">
        <v>2242</v>
      </c>
      <c r="M3151" s="49"/>
    </row>
    <row r="3152" spans="6:13" x14ac:dyDescent="0.25">
      <c r="F3152" t="s">
        <v>4542</v>
      </c>
      <c r="G3152">
        <v>39264</v>
      </c>
      <c r="H3152">
        <v>15086</v>
      </c>
      <c r="I3152" s="25" t="s">
        <v>2241</v>
      </c>
      <c r="J3152" t="s">
        <v>3064</v>
      </c>
      <c r="M3152" s="49"/>
    </row>
    <row r="3153" spans="6:13" x14ac:dyDescent="0.25">
      <c r="F3153" t="s">
        <v>2165</v>
      </c>
      <c r="G3153">
        <v>33332</v>
      </c>
      <c r="H3153">
        <v>5754</v>
      </c>
      <c r="I3153" s="25" t="s">
        <v>2023</v>
      </c>
      <c r="J3153" t="s">
        <v>2165</v>
      </c>
      <c r="M3153" s="49"/>
    </row>
    <row r="3154" spans="6:13" x14ac:dyDescent="0.25">
      <c r="F3154" t="s">
        <v>2165</v>
      </c>
      <c r="G3154">
        <v>33330</v>
      </c>
      <c r="H3154">
        <v>5754</v>
      </c>
      <c r="I3154" s="25" t="s">
        <v>2023</v>
      </c>
      <c r="J3154" t="s">
        <v>2165</v>
      </c>
      <c r="M3154" s="49"/>
    </row>
    <row r="3155" spans="6:13" x14ac:dyDescent="0.25">
      <c r="F3155" t="s">
        <v>2165</v>
      </c>
      <c r="G3155">
        <v>33330</v>
      </c>
      <c r="H3155">
        <v>5754</v>
      </c>
      <c r="I3155" s="25" t="s">
        <v>2023</v>
      </c>
      <c r="J3155" t="s">
        <v>2165</v>
      </c>
      <c r="M3155" s="49"/>
    </row>
    <row r="3156" spans="6:13" x14ac:dyDescent="0.25">
      <c r="F3156" t="s">
        <v>2165</v>
      </c>
      <c r="G3156">
        <v>33335</v>
      </c>
      <c r="H3156">
        <v>5754</v>
      </c>
      <c r="I3156" s="25" t="s">
        <v>2023</v>
      </c>
      <c r="J3156" t="s">
        <v>2165</v>
      </c>
      <c r="M3156" s="49"/>
    </row>
    <row r="3157" spans="6:13" x14ac:dyDescent="0.25">
      <c r="F3157" t="s">
        <v>2165</v>
      </c>
      <c r="G3157">
        <v>33334</v>
      </c>
      <c r="H3157">
        <v>5754</v>
      </c>
      <c r="I3157" s="25" t="s">
        <v>2023</v>
      </c>
      <c r="J3157" t="s">
        <v>2165</v>
      </c>
      <c r="M3157" s="49"/>
    </row>
    <row r="3158" spans="6:13" x14ac:dyDescent="0.25">
      <c r="F3158" t="s">
        <v>4543</v>
      </c>
      <c r="G3158">
        <v>95358</v>
      </c>
      <c r="H3158">
        <v>9477</v>
      </c>
      <c r="I3158" s="25" t="s">
        <v>2050</v>
      </c>
      <c r="J3158" t="s">
        <v>4385</v>
      </c>
      <c r="M3158" s="49"/>
    </row>
    <row r="3159" spans="6:13" x14ac:dyDescent="0.25">
      <c r="F3159" t="s">
        <v>4544</v>
      </c>
      <c r="G3159">
        <v>17506</v>
      </c>
      <c r="H3159">
        <v>13075</v>
      </c>
      <c r="I3159" s="25" t="s">
        <v>2191</v>
      </c>
      <c r="J3159" t="s">
        <v>2160</v>
      </c>
      <c r="M3159" s="49"/>
    </row>
    <row r="3160" spans="6:13" x14ac:dyDescent="0.25">
      <c r="F3160" t="s">
        <v>4545</v>
      </c>
      <c r="G3160">
        <v>34302</v>
      </c>
      <c r="H3160">
        <v>6634</v>
      </c>
      <c r="I3160" s="25" t="s">
        <v>2046</v>
      </c>
      <c r="J3160" t="s">
        <v>2360</v>
      </c>
      <c r="M3160" s="49"/>
    </row>
    <row r="3161" spans="6:13" x14ac:dyDescent="0.25">
      <c r="F3161" t="s">
        <v>4546</v>
      </c>
      <c r="G3161">
        <v>85410</v>
      </c>
      <c r="H3161">
        <v>9178</v>
      </c>
      <c r="I3161" s="25" t="s">
        <v>2050</v>
      </c>
      <c r="J3161" t="s">
        <v>2315</v>
      </c>
      <c r="M3161" s="49"/>
    </row>
    <row r="3162" spans="6:13" x14ac:dyDescent="0.25">
      <c r="F3162" t="s">
        <v>4547</v>
      </c>
      <c r="G3162">
        <v>83527</v>
      </c>
      <c r="H3162">
        <v>9183</v>
      </c>
      <c r="I3162" s="25" t="s">
        <v>2050</v>
      </c>
      <c r="J3162" t="s">
        <v>2474</v>
      </c>
      <c r="M3162" s="49"/>
    </row>
    <row r="3163" spans="6:13" x14ac:dyDescent="0.25">
      <c r="F3163" t="s">
        <v>4548</v>
      </c>
      <c r="G3163">
        <v>42781</v>
      </c>
      <c r="H3163">
        <v>5158</v>
      </c>
      <c r="I3163" s="25" t="s">
        <v>2023</v>
      </c>
      <c r="J3163" t="s">
        <v>2252</v>
      </c>
      <c r="M3163" s="49"/>
    </row>
    <row r="3164" spans="6:13" x14ac:dyDescent="0.25">
      <c r="F3164" t="s">
        <v>4549</v>
      </c>
      <c r="G3164">
        <v>85540</v>
      </c>
      <c r="H3164">
        <v>9162</v>
      </c>
      <c r="I3164" s="25" t="s">
        <v>2050</v>
      </c>
      <c r="J3164" t="s">
        <v>4550</v>
      </c>
      <c r="M3164" s="49"/>
    </row>
    <row r="3165" spans="6:13" x14ac:dyDescent="0.25">
      <c r="F3165" t="s">
        <v>4549</v>
      </c>
      <c r="G3165">
        <v>85540</v>
      </c>
      <c r="H3165">
        <v>9184</v>
      </c>
      <c r="I3165" s="25" t="s">
        <v>2050</v>
      </c>
      <c r="J3165" t="s">
        <v>2547</v>
      </c>
      <c r="M3165" s="49"/>
    </row>
    <row r="3166" spans="6:13" x14ac:dyDescent="0.25">
      <c r="F3166" t="s">
        <v>4551</v>
      </c>
      <c r="G3166">
        <v>94542</v>
      </c>
      <c r="H3166">
        <v>9275</v>
      </c>
      <c r="I3166" s="25" t="s">
        <v>2050</v>
      </c>
      <c r="J3166" t="s">
        <v>2198</v>
      </c>
      <c r="M3166" s="49"/>
    </row>
    <row r="3167" spans="6:13" x14ac:dyDescent="0.25">
      <c r="F3167" t="s">
        <v>4552</v>
      </c>
      <c r="G3167">
        <v>82392</v>
      </c>
      <c r="H3167">
        <v>9190</v>
      </c>
      <c r="I3167" s="25" t="s">
        <v>2050</v>
      </c>
      <c r="J3167" t="s">
        <v>2417</v>
      </c>
      <c r="M3167" s="49"/>
    </row>
    <row r="3168" spans="6:13" x14ac:dyDescent="0.25">
      <c r="F3168" t="s">
        <v>4553</v>
      </c>
      <c r="G3168">
        <v>25869</v>
      </c>
      <c r="H3168">
        <v>1054</v>
      </c>
      <c r="I3168" s="25" t="s">
        <v>2085</v>
      </c>
      <c r="J3168" t="s">
        <v>2195</v>
      </c>
      <c r="M3168" s="49"/>
    </row>
    <row r="3169" spans="6:13" x14ac:dyDescent="0.25">
      <c r="F3169" t="s">
        <v>4553</v>
      </c>
      <c r="G3169">
        <v>25869</v>
      </c>
      <c r="H3169">
        <v>1054</v>
      </c>
      <c r="I3169" s="25" t="s">
        <v>2085</v>
      </c>
      <c r="J3169" t="s">
        <v>2195</v>
      </c>
      <c r="M3169" s="49"/>
    </row>
    <row r="3170" spans="6:13" x14ac:dyDescent="0.25">
      <c r="F3170" t="s">
        <v>4554</v>
      </c>
      <c r="G3170">
        <v>34317</v>
      </c>
      <c r="H3170">
        <v>6633</v>
      </c>
      <c r="I3170" s="25" t="s">
        <v>2046</v>
      </c>
      <c r="J3170" t="s">
        <v>2162</v>
      </c>
      <c r="M3170" s="49"/>
    </row>
    <row r="3171" spans="6:13" x14ac:dyDescent="0.25">
      <c r="F3171" t="s">
        <v>4555</v>
      </c>
      <c r="G3171">
        <v>29359</v>
      </c>
      <c r="H3171">
        <v>3351</v>
      </c>
      <c r="I3171" s="25" t="s">
        <v>2074</v>
      </c>
      <c r="J3171" t="s">
        <v>2096</v>
      </c>
      <c r="M3171" s="49"/>
    </row>
    <row r="3172" spans="6:13" x14ac:dyDescent="0.25">
      <c r="F3172" t="s">
        <v>4556</v>
      </c>
      <c r="G3172">
        <v>57627</v>
      </c>
      <c r="H3172">
        <v>7143</v>
      </c>
      <c r="I3172" s="25" t="s">
        <v>2123</v>
      </c>
      <c r="J3172" t="s">
        <v>2331</v>
      </c>
      <c r="M3172" s="49"/>
    </row>
    <row r="3173" spans="6:13" x14ac:dyDescent="0.25">
      <c r="F3173" t="s">
        <v>4556</v>
      </c>
      <c r="G3173">
        <v>57627</v>
      </c>
      <c r="H3173">
        <v>7143</v>
      </c>
      <c r="I3173" s="25" t="s">
        <v>2123</v>
      </c>
      <c r="J3173" t="s">
        <v>2331</v>
      </c>
      <c r="M3173" s="49"/>
    </row>
    <row r="3174" spans="6:13" x14ac:dyDescent="0.25">
      <c r="F3174" t="s">
        <v>4557</v>
      </c>
      <c r="G3174">
        <v>55546</v>
      </c>
      <c r="H3174">
        <v>7133</v>
      </c>
      <c r="I3174" s="25" t="s">
        <v>2123</v>
      </c>
      <c r="J3174" t="s">
        <v>2037</v>
      </c>
      <c r="M3174" s="49"/>
    </row>
    <row r="3175" spans="6:13" x14ac:dyDescent="0.25">
      <c r="F3175" t="s">
        <v>4558</v>
      </c>
      <c r="G3175">
        <v>65589</v>
      </c>
      <c r="H3175">
        <v>6533</v>
      </c>
      <c r="I3175" s="25" t="s">
        <v>2046</v>
      </c>
      <c r="J3175" t="s">
        <v>2629</v>
      </c>
      <c r="M3175" s="49"/>
    </row>
    <row r="3176" spans="6:13" x14ac:dyDescent="0.25">
      <c r="F3176" t="s">
        <v>4559</v>
      </c>
      <c r="G3176">
        <v>97840</v>
      </c>
      <c r="H3176">
        <v>9671</v>
      </c>
      <c r="I3176" s="25" t="s">
        <v>2050</v>
      </c>
      <c r="J3176" t="s">
        <v>2453</v>
      </c>
      <c r="M3176" s="49"/>
    </row>
    <row r="3177" spans="6:13" x14ac:dyDescent="0.25">
      <c r="F3177" t="s">
        <v>4559</v>
      </c>
      <c r="G3177">
        <v>97840</v>
      </c>
      <c r="H3177">
        <v>9677</v>
      </c>
      <c r="I3177" s="25" t="s">
        <v>2050</v>
      </c>
      <c r="J3177" t="s">
        <v>2527</v>
      </c>
      <c r="M3177" s="49"/>
    </row>
    <row r="3178" spans="6:13" x14ac:dyDescent="0.25">
      <c r="F3178" t="s">
        <v>4560</v>
      </c>
      <c r="G3178">
        <v>26524</v>
      </c>
      <c r="H3178">
        <v>3452</v>
      </c>
      <c r="I3178" s="25" t="s">
        <v>2074</v>
      </c>
      <c r="J3178" t="s">
        <v>2034</v>
      </c>
      <c r="M3178" s="49"/>
    </row>
    <row r="3179" spans="6:13" x14ac:dyDescent="0.25">
      <c r="F3179" t="s">
        <v>4561</v>
      </c>
      <c r="G3179">
        <v>79685</v>
      </c>
      <c r="H3179">
        <v>8336</v>
      </c>
      <c r="I3179" s="25" t="s">
        <v>2018</v>
      </c>
      <c r="J3179" t="s">
        <v>2227</v>
      </c>
      <c r="M3179" s="49"/>
    </row>
    <row r="3180" spans="6:13" x14ac:dyDescent="0.25">
      <c r="F3180" t="s">
        <v>4562</v>
      </c>
      <c r="G3180">
        <v>93095</v>
      </c>
      <c r="H3180">
        <v>9375</v>
      </c>
      <c r="I3180" s="25" t="s">
        <v>2050</v>
      </c>
      <c r="J3180" t="s">
        <v>2365</v>
      </c>
      <c r="M3180" s="49"/>
    </row>
    <row r="3181" spans="6:13" x14ac:dyDescent="0.25">
      <c r="F3181" t="s">
        <v>4563</v>
      </c>
      <c r="G3181">
        <v>27628</v>
      </c>
      <c r="H3181">
        <v>3352</v>
      </c>
      <c r="I3181" s="25" t="s">
        <v>2074</v>
      </c>
      <c r="J3181" t="s">
        <v>2079</v>
      </c>
      <c r="M3181" s="49"/>
    </row>
    <row r="3182" spans="6:13" x14ac:dyDescent="0.25">
      <c r="F3182" t="s">
        <v>4563</v>
      </c>
      <c r="G3182">
        <v>58093</v>
      </c>
      <c r="H3182">
        <v>5914</v>
      </c>
      <c r="I3182" s="25" t="s">
        <v>2023</v>
      </c>
      <c r="J3182" t="s">
        <v>4564</v>
      </c>
      <c r="M3182" s="49"/>
    </row>
    <row r="3183" spans="6:13" x14ac:dyDescent="0.25">
      <c r="F3183" t="s">
        <v>4563</v>
      </c>
      <c r="G3183">
        <v>58095</v>
      </c>
      <c r="H3183">
        <v>5914</v>
      </c>
      <c r="I3183" s="25" t="s">
        <v>2023</v>
      </c>
      <c r="J3183" t="s">
        <v>4564</v>
      </c>
      <c r="M3183" s="49"/>
    </row>
    <row r="3184" spans="6:13" x14ac:dyDescent="0.25">
      <c r="F3184" t="s">
        <v>4563</v>
      </c>
      <c r="G3184">
        <v>58119</v>
      </c>
      <c r="H3184">
        <v>5914</v>
      </c>
      <c r="I3184" s="25" t="s">
        <v>2023</v>
      </c>
      <c r="J3184" t="s">
        <v>4564</v>
      </c>
      <c r="M3184" s="49"/>
    </row>
    <row r="3185" spans="6:13" x14ac:dyDescent="0.25">
      <c r="F3185" t="s">
        <v>4563</v>
      </c>
      <c r="G3185">
        <v>58091</v>
      </c>
      <c r="H3185">
        <v>5914</v>
      </c>
      <c r="I3185" s="25" t="s">
        <v>2023</v>
      </c>
      <c r="J3185" t="s">
        <v>4564</v>
      </c>
      <c r="M3185" s="49"/>
    </row>
    <row r="3186" spans="6:13" x14ac:dyDescent="0.25">
      <c r="F3186" t="s">
        <v>4563</v>
      </c>
      <c r="G3186">
        <v>58099</v>
      </c>
      <c r="H3186">
        <v>5914</v>
      </c>
      <c r="I3186" s="25" t="s">
        <v>2023</v>
      </c>
      <c r="J3186" t="s">
        <v>4564</v>
      </c>
      <c r="M3186" s="49"/>
    </row>
    <row r="3187" spans="6:13" x14ac:dyDescent="0.25">
      <c r="F3187" t="s">
        <v>4563</v>
      </c>
      <c r="G3187">
        <v>58099</v>
      </c>
      <c r="H3187">
        <v>5914</v>
      </c>
      <c r="I3187" s="25" t="s">
        <v>2023</v>
      </c>
      <c r="J3187" t="s">
        <v>4564</v>
      </c>
      <c r="M3187" s="49"/>
    </row>
    <row r="3188" spans="6:13" x14ac:dyDescent="0.25">
      <c r="F3188" t="s">
        <v>4563</v>
      </c>
      <c r="G3188">
        <v>58097</v>
      </c>
      <c r="H3188">
        <v>5914</v>
      </c>
      <c r="I3188" s="25" t="s">
        <v>2023</v>
      </c>
      <c r="J3188" t="s">
        <v>4564</v>
      </c>
      <c r="M3188" s="49"/>
    </row>
    <row r="3189" spans="6:13" x14ac:dyDescent="0.25">
      <c r="F3189" t="s">
        <v>4563</v>
      </c>
      <c r="G3189">
        <v>58095</v>
      </c>
      <c r="H3189">
        <v>5914</v>
      </c>
      <c r="I3189" s="25" t="s">
        <v>2023</v>
      </c>
      <c r="J3189" t="s">
        <v>4564</v>
      </c>
      <c r="M3189" s="49"/>
    </row>
    <row r="3190" spans="6:13" x14ac:dyDescent="0.25">
      <c r="F3190" t="s">
        <v>4563</v>
      </c>
      <c r="G3190">
        <v>58089</v>
      </c>
      <c r="H3190">
        <v>5914</v>
      </c>
      <c r="I3190" s="25" t="s">
        <v>2023</v>
      </c>
      <c r="J3190" t="s">
        <v>4564</v>
      </c>
      <c r="M3190" s="49"/>
    </row>
    <row r="3191" spans="6:13" x14ac:dyDescent="0.25">
      <c r="F3191" t="s">
        <v>4563</v>
      </c>
      <c r="G3191">
        <v>58089</v>
      </c>
      <c r="H3191">
        <v>5914</v>
      </c>
      <c r="I3191" s="25" t="s">
        <v>2023</v>
      </c>
      <c r="J3191" t="s">
        <v>4564</v>
      </c>
      <c r="M3191" s="49"/>
    </row>
    <row r="3192" spans="6:13" x14ac:dyDescent="0.25">
      <c r="F3192" t="s">
        <v>4563</v>
      </c>
      <c r="G3192">
        <v>58093</v>
      </c>
      <c r="H3192">
        <v>5914</v>
      </c>
      <c r="I3192" s="25" t="s">
        <v>2023</v>
      </c>
      <c r="J3192" t="s">
        <v>4564</v>
      </c>
      <c r="M3192" s="49"/>
    </row>
    <row r="3193" spans="6:13" x14ac:dyDescent="0.25">
      <c r="F3193" t="s">
        <v>4563</v>
      </c>
      <c r="G3193">
        <v>58135</v>
      </c>
      <c r="H3193">
        <v>5914</v>
      </c>
      <c r="I3193" s="25" t="s">
        <v>2023</v>
      </c>
      <c r="J3193" t="s">
        <v>4564</v>
      </c>
      <c r="M3193" s="49"/>
    </row>
    <row r="3194" spans="6:13" x14ac:dyDescent="0.25">
      <c r="F3194" t="s">
        <v>4565</v>
      </c>
      <c r="G3194">
        <v>49170</v>
      </c>
      <c r="H3194">
        <v>3459</v>
      </c>
      <c r="I3194" s="25" t="s">
        <v>2074</v>
      </c>
      <c r="J3194" t="s">
        <v>2292</v>
      </c>
      <c r="M3194" s="49"/>
    </row>
    <row r="3195" spans="6:13" x14ac:dyDescent="0.25">
      <c r="F3195" t="s">
        <v>4566</v>
      </c>
      <c r="G3195">
        <v>76767</v>
      </c>
      <c r="H3195">
        <v>7334</v>
      </c>
      <c r="I3195" s="25" t="s">
        <v>2123</v>
      </c>
      <c r="J3195" t="s">
        <v>2873</v>
      </c>
      <c r="M3195" s="49"/>
    </row>
    <row r="3196" spans="6:13" x14ac:dyDescent="0.25">
      <c r="F3196" t="s">
        <v>4567</v>
      </c>
      <c r="G3196">
        <v>91469</v>
      </c>
      <c r="H3196">
        <v>9575</v>
      </c>
      <c r="I3196" s="25" t="s">
        <v>2050</v>
      </c>
      <c r="J3196" t="s">
        <v>2749</v>
      </c>
      <c r="M3196" s="49"/>
    </row>
    <row r="3197" spans="6:13" x14ac:dyDescent="0.25">
      <c r="F3197" t="s">
        <v>4568</v>
      </c>
      <c r="G3197">
        <v>31558</v>
      </c>
      <c r="H3197">
        <v>3257</v>
      </c>
      <c r="I3197" s="25" t="s">
        <v>2074</v>
      </c>
      <c r="J3197" t="s">
        <v>2167</v>
      </c>
      <c r="M3197" s="49"/>
    </row>
    <row r="3198" spans="6:13" x14ac:dyDescent="0.25">
      <c r="F3198" t="s">
        <v>4569</v>
      </c>
      <c r="G3198">
        <v>19230</v>
      </c>
      <c r="H3198">
        <v>13076</v>
      </c>
      <c r="I3198" s="25" t="s">
        <v>2191</v>
      </c>
      <c r="J3198" t="s">
        <v>2234</v>
      </c>
      <c r="M3198" s="49"/>
    </row>
    <row r="3199" spans="6:13" x14ac:dyDescent="0.25">
      <c r="F3199" t="s">
        <v>4570</v>
      </c>
      <c r="G3199">
        <v>38729</v>
      </c>
      <c r="H3199">
        <v>3153</v>
      </c>
      <c r="I3199" s="25" t="s">
        <v>2074</v>
      </c>
      <c r="J3199" t="s">
        <v>2152</v>
      </c>
      <c r="M3199" s="49"/>
    </row>
    <row r="3200" spans="6:13" x14ac:dyDescent="0.25">
      <c r="F3200" t="s">
        <v>4571</v>
      </c>
      <c r="G3200">
        <v>92256</v>
      </c>
      <c r="H3200">
        <v>9371</v>
      </c>
      <c r="I3200" s="25" t="s">
        <v>2050</v>
      </c>
      <c r="J3200" t="s">
        <v>2469</v>
      </c>
      <c r="M3200" s="49"/>
    </row>
    <row r="3201" spans="6:13" x14ac:dyDescent="0.25">
      <c r="F3201" t="s">
        <v>4572</v>
      </c>
      <c r="G3201">
        <v>2923</v>
      </c>
      <c r="H3201">
        <v>14626</v>
      </c>
      <c r="I3201" s="25" t="s">
        <v>2135</v>
      </c>
      <c r="J3201" t="s">
        <v>2150</v>
      </c>
      <c r="M3201" s="49"/>
    </row>
    <row r="3202" spans="6:13" x14ac:dyDescent="0.25">
      <c r="F3202" t="s">
        <v>4573</v>
      </c>
      <c r="G3202">
        <v>65623</v>
      </c>
      <c r="H3202">
        <v>7141</v>
      </c>
      <c r="I3202" s="25" t="s">
        <v>2123</v>
      </c>
      <c r="J3202" t="s">
        <v>2388</v>
      </c>
      <c r="M3202" s="49"/>
    </row>
    <row r="3203" spans="6:13" x14ac:dyDescent="0.25">
      <c r="F3203" t="s">
        <v>4574</v>
      </c>
      <c r="G3203">
        <v>94353</v>
      </c>
      <c r="H3203">
        <v>9278</v>
      </c>
      <c r="I3203" s="25" t="s">
        <v>2050</v>
      </c>
      <c r="J3203" t="s">
        <v>2170</v>
      </c>
      <c r="M3203" s="49"/>
    </row>
    <row r="3204" spans="6:13" x14ac:dyDescent="0.25">
      <c r="F3204" t="s">
        <v>4574</v>
      </c>
      <c r="G3204">
        <v>63808</v>
      </c>
      <c r="H3204">
        <v>9671</v>
      </c>
      <c r="I3204" s="25" t="s">
        <v>2050</v>
      </c>
      <c r="J3204" t="s">
        <v>2453</v>
      </c>
      <c r="M3204" s="49"/>
    </row>
    <row r="3205" spans="6:13" x14ac:dyDescent="0.25">
      <c r="F3205" t="s">
        <v>4575</v>
      </c>
      <c r="G3205">
        <v>94145</v>
      </c>
      <c r="H3205">
        <v>9272</v>
      </c>
      <c r="I3205" s="25" t="s">
        <v>2050</v>
      </c>
      <c r="J3205" t="s">
        <v>2140</v>
      </c>
      <c r="M3205" s="49"/>
    </row>
    <row r="3206" spans="6:13" x14ac:dyDescent="0.25">
      <c r="F3206" t="s">
        <v>4576</v>
      </c>
      <c r="G3206">
        <v>35708</v>
      </c>
      <c r="H3206">
        <v>6532</v>
      </c>
      <c r="I3206" s="25" t="s">
        <v>2046</v>
      </c>
      <c r="J3206" t="s">
        <v>2555</v>
      </c>
      <c r="M3206" s="49"/>
    </row>
    <row r="3207" spans="6:13" x14ac:dyDescent="0.25">
      <c r="F3207" t="s">
        <v>4577</v>
      </c>
      <c r="G3207">
        <v>72401</v>
      </c>
      <c r="H3207">
        <v>8417</v>
      </c>
      <c r="I3207" s="25" t="s">
        <v>2018</v>
      </c>
      <c r="J3207" t="s">
        <v>2269</v>
      </c>
      <c r="M3207" s="49"/>
    </row>
    <row r="3208" spans="6:13" x14ac:dyDescent="0.25">
      <c r="F3208" t="s">
        <v>4578</v>
      </c>
      <c r="G3208">
        <v>85778</v>
      </c>
      <c r="H3208">
        <v>9174</v>
      </c>
      <c r="I3208" s="25" t="s">
        <v>2050</v>
      </c>
      <c r="J3208" t="s">
        <v>2445</v>
      </c>
      <c r="M3208" s="49"/>
    </row>
    <row r="3209" spans="6:13" x14ac:dyDescent="0.25">
      <c r="F3209" t="s">
        <v>4579</v>
      </c>
      <c r="G3209">
        <v>35114</v>
      </c>
      <c r="H3209">
        <v>6635</v>
      </c>
      <c r="I3209" s="25" t="s">
        <v>2046</v>
      </c>
      <c r="J3209" t="s">
        <v>2308</v>
      </c>
      <c r="M3209" s="49"/>
    </row>
    <row r="3210" spans="6:13" x14ac:dyDescent="0.25">
      <c r="F3210" t="s">
        <v>4580</v>
      </c>
      <c r="G3210">
        <v>63512</v>
      </c>
      <c r="H3210">
        <v>6438</v>
      </c>
      <c r="I3210" s="25" t="s">
        <v>2046</v>
      </c>
      <c r="J3210" t="s">
        <v>3567</v>
      </c>
      <c r="M3210" s="49"/>
    </row>
    <row r="3211" spans="6:13" x14ac:dyDescent="0.25">
      <c r="F3211" t="s">
        <v>4581</v>
      </c>
      <c r="G3211">
        <v>9661</v>
      </c>
      <c r="H3211">
        <v>14522</v>
      </c>
      <c r="I3211" s="25" t="s">
        <v>2135</v>
      </c>
      <c r="J3211" t="s">
        <v>2100</v>
      </c>
      <c r="M3211" s="49"/>
    </row>
    <row r="3212" spans="6:13" x14ac:dyDescent="0.25">
      <c r="F3212" t="s">
        <v>4582</v>
      </c>
      <c r="G3212">
        <v>86744</v>
      </c>
      <c r="H3212">
        <v>9779</v>
      </c>
      <c r="I3212" s="25" t="s">
        <v>2050</v>
      </c>
      <c r="J3212" t="s">
        <v>2280</v>
      </c>
      <c r="M3212" s="49"/>
    </row>
    <row r="3213" spans="6:13" x14ac:dyDescent="0.25">
      <c r="F3213" t="s">
        <v>4583</v>
      </c>
      <c r="G3213">
        <v>72221</v>
      </c>
      <c r="H3213">
        <v>8235</v>
      </c>
      <c r="I3213" s="25" t="s">
        <v>2018</v>
      </c>
      <c r="J3213" t="s">
        <v>2422</v>
      </c>
      <c r="M3213" s="49"/>
    </row>
    <row r="3214" spans="6:13" x14ac:dyDescent="0.25">
      <c r="F3214" t="s">
        <v>4584</v>
      </c>
      <c r="G3214">
        <v>15757</v>
      </c>
      <c r="H3214">
        <v>12061</v>
      </c>
      <c r="I3214" s="25" t="s">
        <v>2356</v>
      </c>
      <c r="J3214" t="s">
        <v>3033</v>
      </c>
      <c r="M3214" s="49"/>
    </row>
    <row r="3215" spans="6:13" x14ac:dyDescent="0.25">
      <c r="F3215" t="s">
        <v>4585</v>
      </c>
      <c r="G3215">
        <v>38820</v>
      </c>
      <c r="H3215">
        <v>15085</v>
      </c>
      <c r="I3215" s="25" t="s">
        <v>2241</v>
      </c>
      <c r="J3215" t="s">
        <v>2178</v>
      </c>
      <c r="M3215" s="49"/>
    </row>
    <row r="3216" spans="6:13" x14ac:dyDescent="0.25">
      <c r="F3216" t="s">
        <v>4586</v>
      </c>
      <c r="G3216">
        <v>38822</v>
      </c>
      <c r="H3216">
        <v>15085</v>
      </c>
      <c r="I3216" s="25" t="s">
        <v>2241</v>
      </c>
      <c r="J3216" t="s">
        <v>2178</v>
      </c>
      <c r="M3216" s="49"/>
    </row>
    <row r="3217" spans="6:13" x14ac:dyDescent="0.25">
      <c r="F3217" t="s">
        <v>4587</v>
      </c>
      <c r="G3217">
        <v>87642</v>
      </c>
      <c r="H3217">
        <v>9777</v>
      </c>
      <c r="I3217" s="25" t="s">
        <v>2050</v>
      </c>
      <c r="J3217" t="s">
        <v>2237</v>
      </c>
      <c r="M3217" s="49"/>
    </row>
    <row r="3218" spans="6:13" x14ac:dyDescent="0.25">
      <c r="F3218" t="s">
        <v>4588</v>
      </c>
      <c r="G3218">
        <v>39340</v>
      </c>
      <c r="H3218">
        <v>15083</v>
      </c>
      <c r="I3218" s="25" t="s">
        <v>2241</v>
      </c>
      <c r="J3218" t="s">
        <v>2052</v>
      </c>
      <c r="M3218" s="49"/>
    </row>
    <row r="3219" spans="6:13" x14ac:dyDescent="0.25">
      <c r="F3219" t="s">
        <v>4589</v>
      </c>
      <c r="G3219">
        <v>39345</v>
      </c>
      <c r="H3219">
        <v>15083</v>
      </c>
      <c r="I3219" s="25" t="s">
        <v>2241</v>
      </c>
      <c r="J3219" t="s">
        <v>2052</v>
      </c>
      <c r="M3219" s="49"/>
    </row>
    <row r="3220" spans="6:13" x14ac:dyDescent="0.25">
      <c r="F3220" t="s">
        <v>4590</v>
      </c>
      <c r="G3220">
        <v>89356</v>
      </c>
      <c r="H3220">
        <v>9774</v>
      </c>
      <c r="I3220" s="25" t="s">
        <v>2050</v>
      </c>
      <c r="J3220" t="s">
        <v>2205</v>
      </c>
      <c r="M3220" s="49"/>
    </row>
    <row r="3221" spans="6:13" x14ac:dyDescent="0.25">
      <c r="F3221" t="s">
        <v>4590</v>
      </c>
      <c r="G3221">
        <v>87490</v>
      </c>
      <c r="H3221">
        <v>9780</v>
      </c>
      <c r="I3221" s="25" t="s">
        <v>2050</v>
      </c>
      <c r="J3221" t="s">
        <v>2278</v>
      </c>
      <c r="M3221" s="49"/>
    </row>
    <row r="3222" spans="6:13" x14ac:dyDescent="0.25">
      <c r="F3222" t="s">
        <v>4591</v>
      </c>
      <c r="G3222">
        <v>83128</v>
      </c>
      <c r="H3222">
        <v>9187</v>
      </c>
      <c r="I3222" s="25" t="s">
        <v>2050</v>
      </c>
      <c r="J3222" t="s">
        <v>2245</v>
      </c>
      <c r="M3222" s="49"/>
    </row>
    <row r="3223" spans="6:13" x14ac:dyDescent="0.25">
      <c r="F3223" t="s">
        <v>4592</v>
      </c>
      <c r="G3223">
        <v>85399</v>
      </c>
      <c r="H3223">
        <v>9178</v>
      </c>
      <c r="I3223" s="25" t="s">
        <v>2050</v>
      </c>
      <c r="J3223" t="s">
        <v>2315</v>
      </c>
      <c r="M3223" s="49"/>
    </row>
    <row r="3224" spans="6:13" x14ac:dyDescent="0.25">
      <c r="F3224" t="s">
        <v>4593</v>
      </c>
      <c r="G3224">
        <v>37620</v>
      </c>
      <c r="H3224">
        <v>3255</v>
      </c>
      <c r="I3224" s="25" t="s">
        <v>2074</v>
      </c>
      <c r="J3224" t="s">
        <v>3044</v>
      </c>
      <c r="M3224" s="49"/>
    </row>
    <row r="3225" spans="6:13" x14ac:dyDescent="0.25">
      <c r="F3225" t="s">
        <v>4594</v>
      </c>
      <c r="G3225">
        <v>33790</v>
      </c>
      <c r="H3225">
        <v>5754</v>
      </c>
      <c r="I3225" s="25" t="s">
        <v>2023</v>
      </c>
      <c r="J3225" t="s">
        <v>2165</v>
      </c>
      <c r="M3225" s="49"/>
    </row>
    <row r="3226" spans="6:13" x14ac:dyDescent="0.25">
      <c r="F3226" t="s">
        <v>4595</v>
      </c>
      <c r="G3226">
        <v>6120</v>
      </c>
      <c r="H3226">
        <v>15002</v>
      </c>
      <c r="I3226" s="25" t="s">
        <v>2241</v>
      </c>
      <c r="J3226" t="s">
        <v>4596</v>
      </c>
      <c r="M3226" s="49"/>
    </row>
    <row r="3227" spans="6:13" x14ac:dyDescent="0.25">
      <c r="F3227" t="s">
        <v>4595</v>
      </c>
      <c r="G3227">
        <v>6118</v>
      </c>
      <c r="H3227">
        <v>15002</v>
      </c>
      <c r="I3227" s="25" t="s">
        <v>2241</v>
      </c>
      <c r="J3227" t="s">
        <v>4596</v>
      </c>
      <c r="M3227" s="49"/>
    </row>
    <row r="3228" spans="6:13" x14ac:dyDescent="0.25">
      <c r="F3228" t="s">
        <v>4595</v>
      </c>
      <c r="G3228">
        <v>6122</v>
      </c>
      <c r="H3228">
        <v>15002</v>
      </c>
      <c r="I3228" s="25" t="s">
        <v>2241</v>
      </c>
      <c r="J3228" t="s">
        <v>4596</v>
      </c>
      <c r="M3228" s="49"/>
    </row>
    <row r="3229" spans="6:13" x14ac:dyDescent="0.25">
      <c r="F3229" t="s">
        <v>4595</v>
      </c>
      <c r="G3229">
        <v>6126</v>
      </c>
      <c r="H3229">
        <v>15002</v>
      </c>
      <c r="I3229" s="25" t="s">
        <v>2241</v>
      </c>
      <c r="J3229" t="s">
        <v>4596</v>
      </c>
      <c r="M3229" s="49"/>
    </row>
    <row r="3230" spans="6:13" x14ac:dyDescent="0.25">
      <c r="F3230" t="s">
        <v>4595</v>
      </c>
      <c r="G3230">
        <v>6116</v>
      </c>
      <c r="H3230">
        <v>15002</v>
      </c>
      <c r="I3230" s="25" t="s">
        <v>2241</v>
      </c>
      <c r="J3230" t="s">
        <v>4596</v>
      </c>
      <c r="M3230" s="49"/>
    </row>
    <row r="3231" spans="6:13" x14ac:dyDescent="0.25">
      <c r="F3231" t="s">
        <v>4595</v>
      </c>
      <c r="G3231">
        <v>6110</v>
      </c>
      <c r="H3231">
        <v>15002</v>
      </c>
      <c r="I3231" s="25" t="s">
        <v>2241</v>
      </c>
      <c r="J3231" t="s">
        <v>4596</v>
      </c>
      <c r="M3231" s="49"/>
    </row>
    <row r="3232" spans="6:13" x14ac:dyDescent="0.25">
      <c r="F3232" t="s">
        <v>4595</v>
      </c>
      <c r="G3232">
        <v>6124</v>
      </c>
      <c r="H3232">
        <v>15002</v>
      </c>
      <c r="I3232" s="25" t="s">
        <v>2241</v>
      </c>
      <c r="J3232" t="s">
        <v>4596</v>
      </c>
      <c r="M3232" s="49"/>
    </row>
    <row r="3233" spans="6:13" x14ac:dyDescent="0.25">
      <c r="F3233" t="s">
        <v>4595</v>
      </c>
      <c r="G3233">
        <v>6108</v>
      </c>
      <c r="H3233">
        <v>15002</v>
      </c>
      <c r="I3233" s="25" t="s">
        <v>2241</v>
      </c>
      <c r="J3233" t="s">
        <v>4596</v>
      </c>
      <c r="M3233" s="49"/>
    </row>
    <row r="3234" spans="6:13" x14ac:dyDescent="0.25">
      <c r="F3234" t="s">
        <v>4595</v>
      </c>
      <c r="G3234">
        <v>6128</v>
      </c>
      <c r="H3234">
        <v>15002</v>
      </c>
      <c r="I3234" s="25" t="s">
        <v>2241</v>
      </c>
      <c r="J3234" t="s">
        <v>4596</v>
      </c>
      <c r="M3234" s="49"/>
    </row>
    <row r="3235" spans="6:13" x14ac:dyDescent="0.25">
      <c r="F3235" t="s">
        <v>4595</v>
      </c>
      <c r="G3235">
        <v>6112</v>
      </c>
      <c r="H3235">
        <v>15002</v>
      </c>
      <c r="I3235" s="25" t="s">
        <v>2241</v>
      </c>
      <c r="J3235" t="s">
        <v>4596</v>
      </c>
      <c r="M3235" s="49"/>
    </row>
    <row r="3236" spans="6:13" x14ac:dyDescent="0.25">
      <c r="F3236" t="s">
        <v>4595</v>
      </c>
      <c r="G3236">
        <v>6114</v>
      </c>
      <c r="H3236">
        <v>15002</v>
      </c>
      <c r="I3236" s="25" t="s">
        <v>2241</v>
      </c>
      <c r="J3236" t="s">
        <v>4596</v>
      </c>
      <c r="M3236" s="49"/>
    </row>
    <row r="3237" spans="6:13" x14ac:dyDescent="0.25">
      <c r="F3237" t="s">
        <v>4595</v>
      </c>
      <c r="G3237">
        <v>6132</v>
      </c>
      <c r="H3237">
        <v>15002</v>
      </c>
      <c r="I3237" s="25" t="s">
        <v>2241</v>
      </c>
      <c r="J3237" t="s">
        <v>4596</v>
      </c>
      <c r="M3237" s="49"/>
    </row>
    <row r="3238" spans="6:13" x14ac:dyDescent="0.25">
      <c r="F3238" t="s">
        <v>4595</v>
      </c>
      <c r="G3238">
        <v>6130</v>
      </c>
      <c r="H3238">
        <v>15002</v>
      </c>
      <c r="I3238" s="25" t="s">
        <v>2241</v>
      </c>
      <c r="J3238" t="s">
        <v>4596</v>
      </c>
      <c r="M3238" s="49"/>
    </row>
    <row r="3239" spans="6:13" x14ac:dyDescent="0.25">
      <c r="F3239" t="s">
        <v>4597</v>
      </c>
      <c r="G3239">
        <v>91352</v>
      </c>
      <c r="H3239">
        <v>9474</v>
      </c>
      <c r="I3239" s="25" t="s">
        <v>2050</v>
      </c>
      <c r="J3239" t="s">
        <v>3692</v>
      </c>
      <c r="M3239" s="49"/>
    </row>
    <row r="3240" spans="6:13" x14ac:dyDescent="0.25">
      <c r="F3240" t="s">
        <v>4598</v>
      </c>
      <c r="G3240">
        <v>67826</v>
      </c>
      <c r="H3240">
        <v>7133</v>
      </c>
      <c r="I3240" s="25" t="s">
        <v>2123</v>
      </c>
      <c r="J3240" t="s">
        <v>2037</v>
      </c>
      <c r="M3240" s="49"/>
    </row>
    <row r="3241" spans="6:13" x14ac:dyDescent="0.25">
      <c r="F3241" t="s">
        <v>4599</v>
      </c>
      <c r="G3241">
        <v>25859</v>
      </c>
      <c r="H3241">
        <v>1054</v>
      </c>
      <c r="I3241" s="25" t="s">
        <v>2085</v>
      </c>
      <c r="J3241" t="s">
        <v>2195</v>
      </c>
      <c r="M3241" s="49"/>
    </row>
    <row r="3242" spans="6:13" x14ac:dyDescent="0.25">
      <c r="F3242" t="s">
        <v>4599</v>
      </c>
      <c r="G3242">
        <v>25859</v>
      </c>
      <c r="H3242">
        <v>1054</v>
      </c>
      <c r="I3242" s="25" t="s">
        <v>2085</v>
      </c>
      <c r="J3242" t="s">
        <v>2195</v>
      </c>
      <c r="M3242" s="49"/>
    </row>
    <row r="3243" spans="6:13" x14ac:dyDescent="0.25">
      <c r="F3243" t="s">
        <v>4600</v>
      </c>
      <c r="G3243">
        <v>54611</v>
      </c>
      <c r="H3243">
        <v>7233</v>
      </c>
      <c r="I3243" s="25" t="s">
        <v>2123</v>
      </c>
      <c r="J3243" t="s">
        <v>2416</v>
      </c>
      <c r="M3243" s="49"/>
    </row>
    <row r="3244" spans="6:13" x14ac:dyDescent="0.25">
      <c r="F3244" t="s">
        <v>4601</v>
      </c>
      <c r="G3244">
        <v>96103</v>
      </c>
      <c r="H3244">
        <v>9471</v>
      </c>
      <c r="I3244" s="25" t="s">
        <v>2050</v>
      </c>
      <c r="J3244" t="s">
        <v>2392</v>
      </c>
      <c r="M3244" s="49"/>
    </row>
    <row r="3245" spans="6:13" x14ac:dyDescent="0.25">
      <c r="F3245" t="s">
        <v>4602</v>
      </c>
      <c r="G3245">
        <v>84553</v>
      </c>
      <c r="H3245">
        <v>9171</v>
      </c>
      <c r="I3245" s="25" t="s">
        <v>2050</v>
      </c>
      <c r="J3245" t="s">
        <v>2446</v>
      </c>
      <c r="M3245" s="49"/>
    </row>
    <row r="3246" spans="6:13" x14ac:dyDescent="0.25">
      <c r="F3246" t="s">
        <v>4603</v>
      </c>
      <c r="G3246">
        <v>9633</v>
      </c>
      <c r="H3246">
        <v>14522</v>
      </c>
      <c r="I3246" s="25" t="s">
        <v>2135</v>
      </c>
      <c r="J3246" t="s">
        <v>2100</v>
      </c>
      <c r="M3246" s="49"/>
    </row>
    <row r="3247" spans="6:13" x14ac:dyDescent="0.25">
      <c r="F3247" t="s">
        <v>4604</v>
      </c>
      <c r="G3247">
        <v>25469</v>
      </c>
      <c r="H3247">
        <v>1056</v>
      </c>
      <c r="I3247" s="25" t="s">
        <v>2085</v>
      </c>
      <c r="J3247" t="s">
        <v>2311</v>
      </c>
      <c r="M3247" s="49"/>
    </row>
    <row r="3248" spans="6:13" x14ac:dyDescent="0.25">
      <c r="F3248" t="s">
        <v>4605</v>
      </c>
      <c r="G3248">
        <v>45721</v>
      </c>
      <c r="H3248">
        <v>5562</v>
      </c>
      <c r="I3248" s="25" t="s">
        <v>2023</v>
      </c>
      <c r="J3248" t="s">
        <v>2318</v>
      </c>
      <c r="M3248" s="49"/>
    </row>
    <row r="3249" spans="6:13" x14ac:dyDescent="0.25">
      <c r="F3249" t="s">
        <v>4606</v>
      </c>
      <c r="G3249">
        <v>58553</v>
      </c>
      <c r="H3249">
        <v>5962</v>
      </c>
      <c r="I3249" s="25" t="s">
        <v>2023</v>
      </c>
      <c r="J3249" t="s">
        <v>2239</v>
      </c>
      <c r="M3249" s="49"/>
    </row>
    <row r="3250" spans="6:13" x14ac:dyDescent="0.25">
      <c r="F3250" t="s">
        <v>4607</v>
      </c>
      <c r="G3250">
        <v>21646</v>
      </c>
      <c r="H3250">
        <v>3353</v>
      </c>
      <c r="I3250" s="25" t="s">
        <v>2074</v>
      </c>
      <c r="J3250" t="s">
        <v>2176</v>
      </c>
      <c r="M3250" s="49"/>
    </row>
    <row r="3251" spans="6:13" x14ac:dyDescent="0.25">
      <c r="F3251" t="s">
        <v>4608</v>
      </c>
      <c r="G3251">
        <v>27729</v>
      </c>
      <c r="H3251">
        <v>3356</v>
      </c>
      <c r="I3251" s="25" t="s">
        <v>2074</v>
      </c>
      <c r="J3251" t="s">
        <v>2295</v>
      </c>
      <c r="M3251" s="49"/>
    </row>
    <row r="3252" spans="6:13" x14ac:dyDescent="0.25">
      <c r="F3252" t="s">
        <v>4609</v>
      </c>
      <c r="G3252">
        <v>76707</v>
      </c>
      <c r="H3252">
        <v>8215</v>
      </c>
      <c r="I3252" s="25" t="s">
        <v>2018</v>
      </c>
      <c r="J3252" t="s">
        <v>2724</v>
      </c>
      <c r="M3252" s="49"/>
    </row>
    <row r="3253" spans="6:13" x14ac:dyDescent="0.25">
      <c r="F3253" t="s">
        <v>4610</v>
      </c>
      <c r="G3253">
        <v>29313</v>
      </c>
      <c r="H3253">
        <v>3351</v>
      </c>
      <c r="I3253" s="25" t="s">
        <v>2074</v>
      </c>
      <c r="J3253" t="s">
        <v>2096</v>
      </c>
      <c r="M3253" s="49"/>
    </row>
    <row r="3254" spans="6:13" x14ac:dyDescent="0.25">
      <c r="F3254" t="s">
        <v>4611</v>
      </c>
      <c r="G3254">
        <v>21039</v>
      </c>
      <c r="H3254">
        <v>1053</v>
      </c>
      <c r="I3254" s="25" t="s">
        <v>2085</v>
      </c>
      <c r="J3254" t="s">
        <v>2193</v>
      </c>
      <c r="M3254" s="49"/>
    </row>
    <row r="3255" spans="6:13" x14ac:dyDescent="0.25">
      <c r="F3255" t="s">
        <v>4611</v>
      </c>
      <c r="G3255">
        <v>22145</v>
      </c>
      <c r="H3255">
        <v>1062</v>
      </c>
      <c r="I3255" s="25" t="s">
        <v>2085</v>
      </c>
      <c r="J3255" t="s">
        <v>2188</v>
      </c>
      <c r="M3255" s="49"/>
    </row>
    <row r="3256" spans="6:13" x14ac:dyDescent="0.25">
      <c r="F3256" t="s">
        <v>4611</v>
      </c>
      <c r="G3256">
        <v>20359</v>
      </c>
      <c r="H3256">
        <v>2000</v>
      </c>
      <c r="I3256" s="25" t="s">
        <v>4611</v>
      </c>
      <c r="J3256" t="s">
        <v>2168</v>
      </c>
      <c r="M3256" s="49"/>
    </row>
    <row r="3257" spans="6:13" x14ac:dyDescent="0.25">
      <c r="F3257" t="s">
        <v>4611</v>
      </c>
      <c r="G3257">
        <v>22159</v>
      </c>
      <c r="H3257">
        <v>2000</v>
      </c>
      <c r="I3257" s="25" t="s">
        <v>4611</v>
      </c>
      <c r="J3257" t="s">
        <v>2168</v>
      </c>
      <c r="M3257" s="49"/>
    </row>
    <row r="3258" spans="6:13" x14ac:dyDescent="0.25">
      <c r="F3258" t="s">
        <v>4611</v>
      </c>
      <c r="G3258">
        <v>22549</v>
      </c>
      <c r="H3258">
        <v>2000</v>
      </c>
      <c r="I3258" s="25" t="s">
        <v>4611</v>
      </c>
      <c r="J3258" t="s">
        <v>2168</v>
      </c>
      <c r="M3258" s="49"/>
    </row>
    <row r="3259" spans="6:13" x14ac:dyDescent="0.25">
      <c r="F3259" t="s">
        <v>4611</v>
      </c>
      <c r="G3259">
        <v>21079</v>
      </c>
      <c r="H3259">
        <v>2000</v>
      </c>
      <c r="I3259" s="25" t="s">
        <v>4611</v>
      </c>
      <c r="J3259" t="s">
        <v>2168</v>
      </c>
      <c r="M3259" s="49"/>
    </row>
    <row r="3260" spans="6:13" x14ac:dyDescent="0.25">
      <c r="F3260" t="s">
        <v>4611</v>
      </c>
      <c r="G3260">
        <v>20459</v>
      </c>
      <c r="H3260">
        <v>2000</v>
      </c>
      <c r="I3260" s="25" t="s">
        <v>4611</v>
      </c>
      <c r="J3260" t="s">
        <v>2168</v>
      </c>
      <c r="M3260" s="49"/>
    </row>
    <row r="3261" spans="6:13" x14ac:dyDescent="0.25">
      <c r="F3261" t="s">
        <v>4611</v>
      </c>
      <c r="G3261">
        <v>20148</v>
      </c>
      <c r="H3261">
        <v>2000</v>
      </c>
      <c r="I3261" s="25" t="s">
        <v>4611</v>
      </c>
      <c r="J3261" t="s">
        <v>2168</v>
      </c>
      <c r="M3261" s="49"/>
    </row>
    <row r="3262" spans="6:13" x14ac:dyDescent="0.25">
      <c r="F3262" t="s">
        <v>4611</v>
      </c>
      <c r="G3262">
        <v>22309</v>
      </c>
      <c r="H3262">
        <v>2000</v>
      </c>
      <c r="I3262" s="25" t="s">
        <v>4611</v>
      </c>
      <c r="J3262" t="s">
        <v>2168</v>
      </c>
      <c r="M3262" s="49"/>
    </row>
    <row r="3263" spans="6:13" x14ac:dyDescent="0.25">
      <c r="F3263" t="s">
        <v>4611</v>
      </c>
      <c r="G3263">
        <v>22609</v>
      </c>
      <c r="H3263">
        <v>2000</v>
      </c>
      <c r="I3263" s="25" t="s">
        <v>4611</v>
      </c>
      <c r="J3263" t="s">
        <v>2168</v>
      </c>
      <c r="M3263" s="49"/>
    </row>
    <row r="3264" spans="6:13" x14ac:dyDescent="0.25">
      <c r="F3264" t="s">
        <v>4611</v>
      </c>
      <c r="G3264">
        <v>22769</v>
      </c>
      <c r="H3264">
        <v>2000</v>
      </c>
      <c r="I3264" s="25" t="s">
        <v>4611</v>
      </c>
      <c r="J3264" t="s">
        <v>2168</v>
      </c>
      <c r="M3264" s="49"/>
    </row>
    <row r="3265" spans="6:13" x14ac:dyDescent="0.25">
      <c r="F3265" t="s">
        <v>4611</v>
      </c>
      <c r="G3265">
        <v>22117</v>
      </c>
      <c r="H3265">
        <v>2000</v>
      </c>
      <c r="I3265" s="25" t="s">
        <v>4611</v>
      </c>
      <c r="J3265" t="s">
        <v>2168</v>
      </c>
      <c r="M3265" s="49"/>
    </row>
    <row r="3266" spans="6:13" x14ac:dyDescent="0.25">
      <c r="F3266" t="s">
        <v>4611</v>
      </c>
      <c r="G3266">
        <v>22589</v>
      </c>
      <c r="H3266">
        <v>2000</v>
      </c>
      <c r="I3266" s="25" t="s">
        <v>4611</v>
      </c>
      <c r="J3266" t="s">
        <v>2168</v>
      </c>
      <c r="M3266" s="49"/>
    </row>
    <row r="3267" spans="6:13" x14ac:dyDescent="0.25">
      <c r="F3267" t="s">
        <v>4611</v>
      </c>
      <c r="G3267">
        <v>21149</v>
      </c>
      <c r="H3267">
        <v>2000</v>
      </c>
      <c r="I3267" s="25" t="s">
        <v>4611</v>
      </c>
      <c r="J3267" t="s">
        <v>2168</v>
      </c>
      <c r="M3267" s="49"/>
    </row>
    <row r="3268" spans="6:13" x14ac:dyDescent="0.25">
      <c r="F3268" t="s">
        <v>4611</v>
      </c>
      <c r="G3268">
        <v>22527</v>
      </c>
      <c r="H3268">
        <v>2000</v>
      </c>
      <c r="I3268" s="25" t="s">
        <v>4611</v>
      </c>
      <c r="J3268" t="s">
        <v>2168</v>
      </c>
      <c r="M3268" s="49"/>
    </row>
    <row r="3269" spans="6:13" x14ac:dyDescent="0.25">
      <c r="F3269" t="s">
        <v>4611</v>
      </c>
      <c r="G3269">
        <v>21077</v>
      </c>
      <c r="H3269">
        <v>2000</v>
      </c>
      <c r="I3269" s="25" t="s">
        <v>4611</v>
      </c>
      <c r="J3269" t="s">
        <v>2168</v>
      </c>
      <c r="M3269" s="49"/>
    </row>
    <row r="3270" spans="6:13" x14ac:dyDescent="0.25">
      <c r="F3270" t="s">
        <v>4611</v>
      </c>
      <c r="G3270">
        <v>22453</v>
      </c>
      <c r="H3270">
        <v>2000</v>
      </c>
      <c r="I3270" s="25" t="s">
        <v>4611</v>
      </c>
      <c r="J3270" t="s">
        <v>2168</v>
      </c>
      <c r="M3270" s="49"/>
    </row>
    <row r="3271" spans="6:13" x14ac:dyDescent="0.25">
      <c r="F3271" t="s">
        <v>4611</v>
      </c>
      <c r="G3271">
        <v>20249</v>
      </c>
      <c r="H3271">
        <v>2000</v>
      </c>
      <c r="I3271" s="25" t="s">
        <v>4611</v>
      </c>
      <c r="J3271" t="s">
        <v>2168</v>
      </c>
      <c r="M3271" s="49"/>
    </row>
    <row r="3272" spans="6:13" x14ac:dyDescent="0.25">
      <c r="F3272" t="s">
        <v>4611</v>
      </c>
      <c r="G3272">
        <v>22177</v>
      </c>
      <c r="H3272">
        <v>2000</v>
      </c>
      <c r="I3272" s="25" t="s">
        <v>4611</v>
      </c>
      <c r="J3272" t="s">
        <v>2168</v>
      </c>
      <c r="M3272" s="49"/>
    </row>
    <row r="3273" spans="6:13" x14ac:dyDescent="0.25">
      <c r="F3273" t="s">
        <v>4611</v>
      </c>
      <c r="G3273">
        <v>22111</v>
      </c>
      <c r="H3273">
        <v>2000</v>
      </c>
      <c r="I3273" s="25" t="s">
        <v>4611</v>
      </c>
      <c r="J3273" t="s">
        <v>2168</v>
      </c>
      <c r="M3273" s="49"/>
    </row>
    <row r="3274" spans="6:13" x14ac:dyDescent="0.25">
      <c r="F3274" t="s">
        <v>4611</v>
      </c>
      <c r="G3274">
        <v>22045</v>
      </c>
      <c r="H3274">
        <v>2000</v>
      </c>
      <c r="I3274" s="25" t="s">
        <v>4611</v>
      </c>
      <c r="J3274" t="s">
        <v>2168</v>
      </c>
      <c r="M3274" s="49"/>
    </row>
    <row r="3275" spans="6:13" x14ac:dyDescent="0.25">
      <c r="F3275" t="s">
        <v>4611</v>
      </c>
      <c r="G3275">
        <v>22081</v>
      </c>
      <c r="H3275">
        <v>2000</v>
      </c>
      <c r="I3275" s="25" t="s">
        <v>4611</v>
      </c>
      <c r="J3275" t="s">
        <v>2168</v>
      </c>
      <c r="M3275" s="49"/>
    </row>
    <row r="3276" spans="6:13" x14ac:dyDescent="0.25">
      <c r="F3276" t="s">
        <v>4611</v>
      </c>
      <c r="G3276">
        <v>22147</v>
      </c>
      <c r="H3276">
        <v>2000</v>
      </c>
      <c r="I3276" s="25" t="s">
        <v>4611</v>
      </c>
      <c r="J3276" t="s">
        <v>2168</v>
      </c>
      <c r="M3276" s="49"/>
    </row>
    <row r="3277" spans="6:13" x14ac:dyDescent="0.25">
      <c r="F3277" t="s">
        <v>4611</v>
      </c>
      <c r="G3277">
        <v>20097</v>
      </c>
      <c r="H3277">
        <v>2000</v>
      </c>
      <c r="I3277" s="25" t="s">
        <v>4611</v>
      </c>
      <c r="J3277" t="s">
        <v>2168</v>
      </c>
      <c r="M3277" s="49"/>
    </row>
    <row r="3278" spans="6:13" x14ac:dyDescent="0.25">
      <c r="F3278" t="s">
        <v>4611</v>
      </c>
      <c r="G3278">
        <v>21035</v>
      </c>
      <c r="H3278">
        <v>2000</v>
      </c>
      <c r="I3278" s="25" t="s">
        <v>4611</v>
      </c>
      <c r="J3278" t="s">
        <v>2168</v>
      </c>
      <c r="M3278" s="49"/>
    </row>
    <row r="3279" spans="6:13" x14ac:dyDescent="0.25">
      <c r="F3279" t="s">
        <v>4611</v>
      </c>
      <c r="G3279">
        <v>21129</v>
      </c>
      <c r="H3279">
        <v>2000</v>
      </c>
      <c r="I3279" s="25" t="s">
        <v>4611</v>
      </c>
      <c r="J3279" t="s">
        <v>2168</v>
      </c>
      <c r="M3279" s="49"/>
    </row>
    <row r="3280" spans="6:13" x14ac:dyDescent="0.25">
      <c r="F3280" t="s">
        <v>4611</v>
      </c>
      <c r="G3280">
        <v>22607</v>
      </c>
      <c r="H3280">
        <v>2000</v>
      </c>
      <c r="I3280" s="25" t="s">
        <v>4611</v>
      </c>
      <c r="J3280" t="s">
        <v>2168</v>
      </c>
      <c r="M3280" s="49"/>
    </row>
    <row r="3281" spans="6:13" x14ac:dyDescent="0.25">
      <c r="F3281" t="s">
        <v>4611</v>
      </c>
      <c r="G3281">
        <v>22767</v>
      </c>
      <c r="H3281">
        <v>2000</v>
      </c>
      <c r="I3281" s="25" t="s">
        <v>4611</v>
      </c>
      <c r="J3281" t="s">
        <v>2168</v>
      </c>
      <c r="M3281" s="49"/>
    </row>
    <row r="3282" spans="6:13" x14ac:dyDescent="0.25">
      <c r="F3282" t="s">
        <v>4611</v>
      </c>
      <c r="G3282">
        <v>20144</v>
      </c>
      <c r="H3282">
        <v>2000</v>
      </c>
      <c r="I3282" s="25" t="s">
        <v>4611</v>
      </c>
      <c r="J3282" t="s">
        <v>2168</v>
      </c>
      <c r="M3282" s="49"/>
    </row>
    <row r="3283" spans="6:13" x14ac:dyDescent="0.25">
      <c r="F3283" t="s">
        <v>4611</v>
      </c>
      <c r="G3283">
        <v>22391</v>
      </c>
      <c r="H3283">
        <v>2000</v>
      </c>
      <c r="I3283" s="25" t="s">
        <v>4611</v>
      </c>
      <c r="J3283" t="s">
        <v>2168</v>
      </c>
      <c r="M3283" s="49"/>
    </row>
    <row r="3284" spans="6:13" x14ac:dyDescent="0.25">
      <c r="F3284" t="s">
        <v>4611</v>
      </c>
      <c r="G3284">
        <v>21039</v>
      </c>
      <c r="H3284">
        <v>2000</v>
      </c>
      <c r="I3284" s="25" t="s">
        <v>4611</v>
      </c>
      <c r="J3284" t="s">
        <v>2168</v>
      </c>
      <c r="M3284" s="49"/>
    </row>
    <row r="3285" spans="6:13" x14ac:dyDescent="0.25">
      <c r="F3285" t="s">
        <v>4611</v>
      </c>
      <c r="G3285">
        <v>22559</v>
      </c>
      <c r="H3285">
        <v>2000</v>
      </c>
      <c r="I3285" s="25" t="s">
        <v>4611</v>
      </c>
      <c r="J3285" t="s">
        <v>2168</v>
      </c>
      <c r="M3285" s="49"/>
    </row>
    <row r="3286" spans="6:13" x14ac:dyDescent="0.25">
      <c r="F3286" t="s">
        <v>4611</v>
      </c>
      <c r="G3286">
        <v>22767</v>
      </c>
      <c r="H3286">
        <v>2000</v>
      </c>
      <c r="I3286" s="25" t="s">
        <v>4611</v>
      </c>
      <c r="J3286" t="s">
        <v>2168</v>
      </c>
      <c r="M3286" s="49"/>
    </row>
    <row r="3287" spans="6:13" x14ac:dyDescent="0.25">
      <c r="F3287" t="s">
        <v>4611</v>
      </c>
      <c r="G3287">
        <v>22041</v>
      </c>
      <c r="H3287">
        <v>2000</v>
      </c>
      <c r="I3287" s="25" t="s">
        <v>4611</v>
      </c>
      <c r="J3287" t="s">
        <v>2168</v>
      </c>
      <c r="M3287" s="49"/>
    </row>
    <row r="3288" spans="6:13" x14ac:dyDescent="0.25">
      <c r="F3288" t="s">
        <v>4611</v>
      </c>
      <c r="G3288">
        <v>21147</v>
      </c>
      <c r="H3288">
        <v>2000</v>
      </c>
      <c r="I3288" s="25" t="s">
        <v>4611</v>
      </c>
      <c r="J3288" t="s">
        <v>2168</v>
      </c>
      <c r="M3288" s="49"/>
    </row>
    <row r="3289" spans="6:13" x14ac:dyDescent="0.25">
      <c r="F3289" t="s">
        <v>4611</v>
      </c>
      <c r="G3289">
        <v>22547</v>
      </c>
      <c r="H3289">
        <v>2000</v>
      </c>
      <c r="I3289" s="25" t="s">
        <v>4611</v>
      </c>
      <c r="J3289" t="s">
        <v>2168</v>
      </c>
      <c r="M3289" s="49"/>
    </row>
    <row r="3290" spans="6:13" x14ac:dyDescent="0.25">
      <c r="F3290" t="s">
        <v>4611</v>
      </c>
      <c r="G3290">
        <v>21073</v>
      </c>
      <c r="H3290">
        <v>2000</v>
      </c>
      <c r="I3290" s="25" t="s">
        <v>4611</v>
      </c>
      <c r="J3290" t="s">
        <v>2168</v>
      </c>
      <c r="M3290" s="49"/>
    </row>
    <row r="3291" spans="6:13" x14ac:dyDescent="0.25">
      <c r="F3291" t="s">
        <v>4611</v>
      </c>
      <c r="G3291">
        <v>22453</v>
      </c>
      <c r="H3291">
        <v>2000</v>
      </c>
      <c r="I3291" s="25" t="s">
        <v>4611</v>
      </c>
      <c r="J3291" t="s">
        <v>2168</v>
      </c>
      <c r="M3291" s="49"/>
    </row>
    <row r="3292" spans="6:13" x14ac:dyDescent="0.25">
      <c r="F3292" t="s">
        <v>4611</v>
      </c>
      <c r="G3292">
        <v>22085</v>
      </c>
      <c r="H3292">
        <v>2000</v>
      </c>
      <c r="I3292" s="25" t="s">
        <v>4611</v>
      </c>
      <c r="J3292" t="s">
        <v>2168</v>
      </c>
      <c r="M3292" s="49"/>
    </row>
    <row r="3293" spans="6:13" x14ac:dyDescent="0.25">
      <c r="F3293" t="s">
        <v>4611</v>
      </c>
      <c r="G3293">
        <v>22399</v>
      </c>
      <c r="H3293">
        <v>2000</v>
      </c>
      <c r="I3293" s="25" t="s">
        <v>4611</v>
      </c>
      <c r="J3293" t="s">
        <v>2168</v>
      </c>
      <c r="M3293" s="49"/>
    </row>
    <row r="3294" spans="6:13" x14ac:dyDescent="0.25">
      <c r="F3294" t="s">
        <v>4611</v>
      </c>
      <c r="G3294">
        <v>21033</v>
      </c>
      <c r="H3294">
        <v>2000</v>
      </c>
      <c r="I3294" s="25" t="s">
        <v>4611</v>
      </c>
      <c r="J3294" t="s">
        <v>2168</v>
      </c>
      <c r="M3294" s="49"/>
    </row>
    <row r="3295" spans="6:13" x14ac:dyDescent="0.25">
      <c r="F3295" t="s">
        <v>4611</v>
      </c>
      <c r="G3295">
        <v>22605</v>
      </c>
      <c r="H3295">
        <v>2000</v>
      </c>
      <c r="I3295" s="25" t="s">
        <v>4611</v>
      </c>
      <c r="J3295" t="s">
        <v>2168</v>
      </c>
      <c r="M3295" s="49"/>
    </row>
    <row r="3296" spans="6:13" x14ac:dyDescent="0.25">
      <c r="F3296" t="s">
        <v>4611</v>
      </c>
      <c r="G3296">
        <v>22523</v>
      </c>
      <c r="H3296">
        <v>2000</v>
      </c>
      <c r="I3296" s="25" t="s">
        <v>4611</v>
      </c>
      <c r="J3296" t="s">
        <v>2168</v>
      </c>
      <c r="M3296" s="49"/>
    </row>
    <row r="3297" spans="6:13" x14ac:dyDescent="0.25">
      <c r="F3297" t="s">
        <v>4611</v>
      </c>
      <c r="G3297">
        <v>22337</v>
      </c>
      <c r="H3297">
        <v>2000</v>
      </c>
      <c r="I3297" s="25" t="s">
        <v>4611</v>
      </c>
      <c r="J3297" t="s">
        <v>2168</v>
      </c>
      <c r="M3297" s="49"/>
    </row>
    <row r="3298" spans="6:13" x14ac:dyDescent="0.25">
      <c r="F3298" t="s">
        <v>4611</v>
      </c>
      <c r="G3298">
        <v>22359</v>
      </c>
      <c r="H3298">
        <v>2000</v>
      </c>
      <c r="I3298" s="25" t="s">
        <v>4611</v>
      </c>
      <c r="J3298" t="s">
        <v>2168</v>
      </c>
      <c r="M3298" s="49"/>
    </row>
    <row r="3299" spans="6:13" x14ac:dyDescent="0.25">
      <c r="F3299" t="s">
        <v>4611</v>
      </c>
      <c r="G3299">
        <v>22609</v>
      </c>
      <c r="H3299">
        <v>2000</v>
      </c>
      <c r="I3299" s="25" t="s">
        <v>4611</v>
      </c>
      <c r="J3299" t="s">
        <v>2168</v>
      </c>
      <c r="M3299" s="49"/>
    </row>
    <row r="3300" spans="6:13" x14ac:dyDescent="0.25">
      <c r="F3300" t="s">
        <v>4611</v>
      </c>
      <c r="G3300">
        <v>20354</v>
      </c>
      <c r="H3300">
        <v>2000</v>
      </c>
      <c r="I3300" s="25" t="s">
        <v>4611</v>
      </c>
      <c r="J3300" t="s">
        <v>2168</v>
      </c>
      <c r="M3300" s="49"/>
    </row>
    <row r="3301" spans="6:13" x14ac:dyDescent="0.25">
      <c r="F3301" t="s">
        <v>4611</v>
      </c>
      <c r="G3301">
        <v>22089</v>
      </c>
      <c r="H3301">
        <v>2000</v>
      </c>
      <c r="I3301" s="25" t="s">
        <v>4611</v>
      </c>
      <c r="J3301" t="s">
        <v>2168</v>
      </c>
      <c r="M3301" s="49"/>
    </row>
    <row r="3302" spans="6:13" x14ac:dyDescent="0.25">
      <c r="F3302" t="s">
        <v>4611</v>
      </c>
      <c r="G3302">
        <v>22043</v>
      </c>
      <c r="H3302">
        <v>2000</v>
      </c>
      <c r="I3302" s="25" t="s">
        <v>4611</v>
      </c>
      <c r="J3302" t="s">
        <v>2168</v>
      </c>
      <c r="M3302" s="49"/>
    </row>
    <row r="3303" spans="6:13" x14ac:dyDescent="0.25">
      <c r="F3303" t="s">
        <v>4611</v>
      </c>
      <c r="G3303">
        <v>22459</v>
      </c>
      <c r="H3303">
        <v>2000</v>
      </c>
      <c r="I3303" s="25" t="s">
        <v>4611</v>
      </c>
      <c r="J3303" t="s">
        <v>2168</v>
      </c>
      <c r="M3303" s="49"/>
    </row>
    <row r="3304" spans="6:13" x14ac:dyDescent="0.25">
      <c r="F3304" t="s">
        <v>4611</v>
      </c>
      <c r="G3304">
        <v>20355</v>
      </c>
      <c r="H3304">
        <v>2000</v>
      </c>
      <c r="I3304" s="25" t="s">
        <v>4611</v>
      </c>
      <c r="J3304" t="s">
        <v>2168</v>
      </c>
      <c r="M3304" s="49"/>
    </row>
    <row r="3305" spans="6:13" x14ac:dyDescent="0.25">
      <c r="F3305" t="s">
        <v>4611</v>
      </c>
      <c r="G3305">
        <v>20146</v>
      </c>
      <c r="H3305">
        <v>2000</v>
      </c>
      <c r="I3305" s="25" t="s">
        <v>4611</v>
      </c>
      <c r="J3305" t="s">
        <v>2168</v>
      </c>
      <c r="M3305" s="49"/>
    </row>
    <row r="3306" spans="6:13" x14ac:dyDescent="0.25">
      <c r="F3306" t="s">
        <v>4611</v>
      </c>
      <c r="G3306">
        <v>22083</v>
      </c>
      <c r="H3306">
        <v>2000</v>
      </c>
      <c r="I3306" s="25" t="s">
        <v>4611</v>
      </c>
      <c r="J3306" t="s">
        <v>2168</v>
      </c>
      <c r="M3306" s="49"/>
    </row>
    <row r="3307" spans="6:13" x14ac:dyDescent="0.25">
      <c r="F3307" t="s">
        <v>4611</v>
      </c>
      <c r="G3307">
        <v>22415</v>
      </c>
      <c r="H3307">
        <v>2000</v>
      </c>
      <c r="I3307" s="25" t="s">
        <v>4611</v>
      </c>
      <c r="J3307" t="s">
        <v>2168</v>
      </c>
      <c r="M3307" s="49"/>
    </row>
    <row r="3308" spans="6:13" x14ac:dyDescent="0.25">
      <c r="F3308" t="s">
        <v>4611</v>
      </c>
      <c r="G3308">
        <v>22049</v>
      </c>
      <c r="H3308">
        <v>2000</v>
      </c>
      <c r="I3308" s="25" t="s">
        <v>4611</v>
      </c>
      <c r="J3308" t="s">
        <v>2168</v>
      </c>
      <c r="M3308" s="49"/>
    </row>
    <row r="3309" spans="6:13" x14ac:dyDescent="0.25">
      <c r="F3309" t="s">
        <v>4611</v>
      </c>
      <c r="G3309">
        <v>22395</v>
      </c>
      <c r="H3309">
        <v>2000</v>
      </c>
      <c r="I3309" s="25" t="s">
        <v>4611</v>
      </c>
      <c r="J3309" t="s">
        <v>2168</v>
      </c>
      <c r="M3309" s="49"/>
    </row>
    <row r="3310" spans="6:13" x14ac:dyDescent="0.25">
      <c r="F3310" t="s">
        <v>4611</v>
      </c>
      <c r="G3310">
        <v>20457</v>
      </c>
      <c r="H3310">
        <v>2000</v>
      </c>
      <c r="I3310" s="25" t="s">
        <v>4611</v>
      </c>
      <c r="J3310" t="s">
        <v>2168</v>
      </c>
      <c r="M3310" s="49"/>
    </row>
    <row r="3311" spans="6:13" x14ac:dyDescent="0.25">
      <c r="F3311" t="s">
        <v>4611</v>
      </c>
      <c r="G3311">
        <v>21107</v>
      </c>
      <c r="H3311">
        <v>2000</v>
      </c>
      <c r="I3311" s="25" t="s">
        <v>4611</v>
      </c>
      <c r="J3311" t="s">
        <v>2168</v>
      </c>
      <c r="M3311" s="49"/>
    </row>
    <row r="3312" spans="6:13" x14ac:dyDescent="0.25">
      <c r="F3312" t="s">
        <v>4611</v>
      </c>
      <c r="G3312">
        <v>20251</v>
      </c>
      <c r="H3312">
        <v>2000</v>
      </c>
      <c r="I3312" s="25" t="s">
        <v>4611</v>
      </c>
      <c r="J3312" t="s">
        <v>2168</v>
      </c>
      <c r="M3312" s="49"/>
    </row>
    <row r="3313" spans="6:13" x14ac:dyDescent="0.25">
      <c r="F3313" t="s">
        <v>4611</v>
      </c>
      <c r="G3313">
        <v>20537</v>
      </c>
      <c r="H3313">
        <v>2000</v>
      </c>
      <c r="I3313" s="25" t="s">
        <v>4611</v>
      </c>
      <c r="J3313" t="s">
        <v>2168</v>
      </c>
      <c r="M3313" s="49"/>
    </row>
    <row r="3314" spans="6:13" x14ac:dyDescent="0.25">
      <c r="F3314" t="s">
        <v>4611</v>
      </c>
      <c r="G3314">
        <v>22393</v>
      </c>
      <c r="H3314">
        <v>2000</v>
      </c>
      <c r="I3314" s="25" t="s">
        <v>4611</v>
      </c>
      <c r="J3314" t="s">
        <v>2168</v>
      </c>
      <c r="M3314" s="49"/>
    </row>
    <row r="3315" spans="6:13" x14ac:dyDescent="0.25">
      <c r="F3315" t="s">
        <v>4611</v>
      </c>
      <c r="G3315">
        <v>22763</v>
      </c>
      <c r="H3315">
        <v>2000</v>
      </c>
      <c r="I3315" s="25" t="s">
        <v>4611</v>
      </c>
      <c r="J3315" t="s">
        <v>2168</v>
      </c>
      <c r="M3315" s="49"/>
    </row>
    <row r="3316" spans="6:13" x14ac:dyDescent="0.25">
      <c r="F3316" t="s">
        <v>4611</v>
      </c>
      <c r="G3316">
        <v>22335</v>
      </c>
      <c r="H3316">
        <v>2000</v>
      </c>
      <c r="I3316" s="25" t="s">
        <v>4611</v>
      </c>
      <c r="J3316" t="s">
        <v>2168</v>
      </c>
      <c r="M3316" s="49"/>
    </row>
    <row r="3317" spans="6:13" x14ac:dyDescent="0.25">
      <c r="F3317" t="s">
        <v>4611</v>
      </c>
      <c r="G3317">
        <v>22297</v>
      </c>
      <c r="H3317">
        <v>2000</v>
      </c>
      <c r="I3317" s="25" t="s">
        <v>4611</v>
      </c>
      <c r="J3317" t="s">
        <v>2168</v>
      </c>
      <c r="M3317" s="49"/>
    </row>
    <row r="3318" spans="6:13" x14ac:dyDescent="0.25">
      <c r="F3318" t="s">
        <v>4611</v>
      </c>
      <c r="G3318">
        <v>22299</v>
      </c>
      <c r="H3318">
        <v>2000</v>
      </c>
      <c r="I3318" s="25" t="s">
        <v>4611</v>
      </c>
      <c r="J3318" t="s">
        <v>2168</v>
      </c>
      <c r="M3318" s="49"/>
    </row>
    <row r="3319" spans="6:13" x14ac:dyDescent="0.25">
      <c r="F3319" t="s">
        <v>4611</v>
      </c>
      <c r="G3319">
        <v>22047</v>
      </c>
      <c r="H3319">
        <v>2000</v>
      </c>
      <c r="I3319" s="25" t="s">
        <v>4611</v>
      </c>
      <c r="J3319" t="s">
        <v>2168</v>
      </c>
      <c r="M3319" s="49"/>
    </row>
    <row r="3320" spans="6:13" x14ac:dyDescent="0.25">
      <c r="F3320" t="s">
        <v>4611</v>
      </c>
      <c r="G3320">
        <v>22765</v>
      </c>
      <c r="H3320">
        <v>2000</v>
      </c>
      <c r="I3320" s="25" t="s">
        <v>4611</v>
      </c>
      <c r="J3320" t="s">
        <v>2168</v>
      </c>
      <c r="M3320" s="49"/>
    </row>
    <row r="3321" spans="6:13" x14ac:dyDescent="0.25">
      <c r="F3321" t="s">
        <v>4611</v>
      </c>
      <c r="G3321">
        <v>21109</v>
      </c>
      <c r="H3321">
        <v>2000</v>
      </c>
      <c r="I3321" s="25" t="s">
        <v>4611</v>
      </c>
      <c r="J3321" t="s">
        <v>2168</v>
      </c>
      <c r="M3321" s="49"/>
    </row>
    <row r="3322" spans="6:13" x14ac:dyDescent="0.25">
      <c r="F3322" t="s">
        <v>4611</v>
      </c>
      <c r="G3322">
        <v>22179</v>
      </c>
      <c r="H3322">
        <v>2000</v>
      </c>
      <c r="I3322" s="25" t="s">
        <v>4611</v>
      </c>
      <c r="J3322" t="s">
        <v>2168</v>
      </c>
      <c r="M3322" s="49"/>
    </row>
    <row r="3323" spans="6:13" x14ac:dyDescent="0.25">
      <c r="F3323" t="s">
        <v>4611</v>
      </c>
      <c r="G3323">
        <v>22397</v>
      </c>
      <c r="H3323">
        <v>2000</v>
      </c>
      <c r="I3323" s="25" t="s">
        <v>4611</v>
      </c>
      <c r="J3323" t="s">
        <v>2168</v>
      </c>
      <c r="M3323" s="49"/>
    </row>
    <row r="3324" spans="6:13" x14ac:dyDescent="0.25">
      <c r="F3324" t="s">
        <v>4611</v>
      </c>
      <c r="G3324">
        <v>22457</v>
      </c>
      <c r="H3324">
        <v>2000</v>
      </c>
      <c r="I3324" s="25" t="s">
        <v>4611</v>
      </c>
      <c r="J3324" t="s">
        <v>2168</v>
      </c>
      <c r="M3324" s="49"/>
    </row>
    <row r="3325" spans="6:13" x14ac:dyDescent="0.25">
      <c r="F3325" t="s">
        <v>4611</v>
      </c>
      <c r="G3325">
        <v>20257</v>
      </c>
      <c r="H3325">
        <v>2000</v>
      </c>
      <c r="I3325" s="25" t="s">
        <v>4611</v>
      </c>
      <c r="J3325" t="s">
        <v>2168</v>
      </c>
      <c r="M3325" s="49"/>
    </row>
    <row r="3326" spans="6:13" x14ac:dyDescent="0.25">
      <c r="F3326" t="s">
        <v>4611</v>
      </c>
      <c r="G3326">
        <v>20539</v>
      </c>
      <c r="H3326">
        <v>2000</v>
      </c>
      <c r="I3326" s="25" t="s">
        <v>4611</v>
      </c>
      <c r="J3326" t="s">
        <v>2168</v>
      </c>
      <c r="M3326" s="49"/>
    </row>
    <row r="3327" spans="6:13" x14ac:dyDescent="0.25">
      <c r="F3327" t="s">
        <v>4611</v>
      </c>
      <c r="G3327">
        <v>22303</v>
      </c>
      <c r="H3327">
        <v>2000</v>
      </c>
      <c r="I3327" s="25" t="s">
        <v>4611</v>
      </c>
      <c r="J3327" t="s">
        <v>2168</v>
      </c>
      <c r="M3327" s="49"/>
    </row>
    <row r="3328" spans="6:13" x14ac:dyDescent="0.25">
      <c r="F3328" t="s">
        <v>4611</v>
      </c>
      <c r="G3328">
        <v>21075</v>
      </c>
      <c r="H3328">
        <v>2000</v>
      </c>
      <c r="I3328" s="25" t="s">
        <v>4611</v>
      </c>
      <c r="J3328" t="s">
        <v>2168</v>
      </c>
      <c r="M3328" s="49"/>
    </row>
    <row r="3329" spans="6:13" x14ac:dyDescent="0.25">
      <c r="F3329" t="s">
        <v>4611</v>
      </c>
      <c r="G3329">
        <v>22119</v>
      </c>
      <c r="H3329">
        <v>2000</v>
      </c>
      <c r="I3329" s="25" t="s">
        <v>4611</v>
      </c>
      <c r="J3329" t="s">
        <v>2168</v>
      </c>
      <c r="M3329" s="49"/>
    </row>
    <row r="3330" spans="6:13" x14ac:dyDescent="0.25">
      <c r="F3330" t="s">
        <v>4611</v>
      </c>
      <c r="G3330">
        <v>22457</v>
      </c>
      <c r="H3330">
        <v>2000</v>
      </c>
      <c r="I3330" s="25" t="s">
        <v>4611</v>
      </c>
      <c r="J3330" t="s">
        <v>2168</v>
      </c>
      <c r="M3330" s="49"/>
    </row>
    <row r="3331" spans="6:13" x14ac:dyDescent="0.25">
      <c r="F3331" t="s">
        <v>4611</v>
      </c>
      <c r="G3331">
        <v>20255</v>
      </c>
      <c r="H3331">
        <v>2000</v>
      </c>
      <c r="I3331" s="25" t="s">
        <v>4611</v>
      </c>
      <c r="J3331" t="s">
        <v>2168</v>
      </c>
      <c r="M3331" s="49"/>
    </row>
    <row r="3332" spans="6:13" x14ac:dyDescent="0.25">
      <c r="F3332" t="s">
        <v>4611</v>
      </c>
      <c r="G3332">
        <v>20357</v>
      </c>
      <c r="H3332">
        <v>2000</v>
      </c>
      <c r="I3332" s="25" t="s">
        <v>4611</v>
      </c>
      <c r="J3332" t="s">
        <v>2168</v>
      </c>
      <c r="M3332" s="49"/>
    </row>
    <row r="3333" spans="6:13" x14ac:dyDescent="0.25">
      <c r="F3333" t="s">
        <v>4611</v>
      </c>
      <c r="G3333">
        <v>20149</v>
      </c>
      <c r="H3333">
        <v>2000</v>
      </c>
      <c r="I3333" s="25" t="s">
        <v>4611</v>
      </c>
      <c r="J3333" t="s">
        <v>2168</v>
      </c>
      <c r="M3333" s="49"/>
    </row>
    <row r="3334" spans="6:13" x14ac:dyDescent="0.25">
      <c r="F3334" t="s">
        <v>4611</v>
      </c>
      <c r="G3334">
        <v>21037</v>
      </c>
      <c r="H3334">
        <v>2000</v>
      </c>
      <c r="I3334" s="25" t="s">
        <v>4611</v>
      </c>
      <c r="J3334" t="s">
        <v>2168</v>
      </c>
      <c r="M3334" s="49"/>
    </row>
    <row r="3335" spans="6:13" x14ac:dyDescent="0.25">
      <c r="F3335" t="s">
        <v>4611</v>
      </c>
      <c r="G3335">
        <v>21029</v>
      </c>
      <c r="H3335">
        <v>2000</v>
      </c>
      <c r="I3335" s="25" t="s">
        <v>4611</v>
      </c>
      <c r="J3335" t="s">
        <v>2168</v>
      </c>
      <c r="M3335" s="49"/>
    </row>
    <row r="3336" spans="6:13" x14ac:dyDescent="0.25">
      <c r="F3336" t="s">
        <v>4611</v>
      </c>
      <c r="G3336">
        <v>20095</v>
      </c>
      <c r="H3336">
        <v>2000</v>
      </c>
      <c r="I3336" s="25" t="s">
        <v>4611</v>
      </c>
      <c r="J3336" t="s">
        <v>2168</v>
      </c>
      <c r="M3336" s="49"/>
    </row>
    <row r="3337" spans="6:13" x14ac:dyDescent="0.25">
      <c r="F3337" t="s">
        <v>4611</v>
      </c>
      <c r="G3337">
        <v>22305</v>
      </c>
      <c r="H3337">
        <v>2000</v>
      </c>
      <c r="I3337" s="25" t="s">
        <v>4611</v>
      </c>
      <c r="J3337" t="s">
        <v>2168</v>
      </c>
      <c r="M3337" s="49"/>
    </row>
    <row r="3338" spans="6:13" x14ac:dyDescent="0.25">
      <c r="F3338" t="s">
        <v>4611</v>
      </c>
      <c r="G3338">
        <v>22175</v>
      </c>
      <c r="H3338">
        <v>2000</v>
      </c>
      <c r="I3338" s="25" t="s">
        <v>4611</v>
      </c>
      <c r="J3338" t="s">
        <v>2168</v>
      </c>
      <c r="M3338" s="49"/>
    </row>
    <row r="3339" spans="6:13" x14ac:dyDescent="0.25">
      <c r="F3339" t="s">
        <v>4611</v>
      </c>
      <c r="G3339">
        <v>22115</v>
      </c>
      <c r="H3339">
        <v>2000</v>
      </c>
      <c r="I3339" s="25" t="s">
        <v>4611</v>
      </c>
      <c r="J3339" t="s">
        <v>2168</v>
      </c>
      <c r="M3339" s="49"/>
    </row>
    <row r="3340" spans="6:13" x14ac:dyDescent="0.25">
      <c r="F3340" t="s">
        <v>4611</v>
      </c>
      <c r="G3340">
        <v>22143</v>
      </c>
      <c r="H3340">
        <v>2000</v>
      </c>
      <c r="I3340" s="25" t="s">
        <v>4611</v>
      </c>
      <c r="J3340" t="s">
        <v>2168</v>
      </c>
      <c r="M3340" s="49"/>
    </row>
    <row r="3341" spans="6:13" x14ac:dyDescent="0.25">
      <c r="F3341" t="s">
        <v>4611</v>
      </c>
      <c r="G3341">
        <v>22145</v>
      </c>
      <c r="H3341">
        <v>2000</v>
      </c>
      <c r="I3341" s="25" t="s">
        <v>4611</v>
      </c>
      <c r="J3341" t="s">
        <v>2168</v>
      </c>
      <c r="M3341" s="49"/>
    </row>
    <row r="3342" spans="6:13" x14ac:dyDescent="0.25">
      <c r="F3342" t="s">
        <v>4611</v>
      </c>
      <c r="G3342">
        <v>22761</v>
      </c>
      <c r="H3342">
        <v>2000</v>
      </c>
      <c r="I3342" s="25" t="s">
        <v>4611</v>
      </c>
      <c r="J3342" t="s">
        <v>2168</v>
      </c>
      <c r="M3342" s="49"/>
    </row>
    <row r="3343" spans="6:13" x14ac:dyDescent="0.25">
      <c r="F3343" t="s">
        <v>4611</v>
      </c>
      <c r="G3343">
        <v>22455</v>
      </c>
      <c r="H3343">
        <v>2000</v>
      </c>
      <c r="I3343" s="25" t="s">
        <v>4611</v>
      </c>
      <c r="J3343" t="s">
        <v>2168</v>
      </c>
      <c r="M3343" s="49"/>
    </row>
    <row r="3344" spans="6:13" x14ac:dyDescent="0.25">
      <c r="F3344" t="s">
        <v>4611</v>
      </c>
      <c r="G3344">
        <v>20259</v>
      </c>
      <c r="H3344">
        <v>2000</v>
      </c>
      <c r="I3344" s="25" t="s">
        <v>4611</v>
      </c>
      <c r="J3344" t="s">
        <v>2168</v>
      </c>
      <c r="M3344" s="49"/>
    </row>
    <row r="3345" spans="6:13" x14ac:dyDescent="0.25">
      <c r="F3345" t="s">
        <v>4611</v>
      </c>
      <c r="G3345">
        <v>20099</v>
      </c>
      <c r="H3345">
        <v>2000</v>
      </c>
      <c r="I3345" s="25" t="s">
        <v>4611</v>
      </c>
      <c r="J3345" t="s">
        <v>2168</v>
      </c>
      <c r="M3345" s="49"/>
    </row>
    <row r="3346" spans="6:13" x14ac:dyDescent="0.25">
      <c r="F3346" t="s">
        <v>4611</v>
      </c>
      <c r="G3346">
        <v>22149</v>
      </c>
      <c r="H3346">
        <v>2000</v>
      </c>
      <c r="I3346" s="25" t="s">
        <v>4611</v>
      </c>
      <c r="J3346" t="s">
        <v>2168</v>
      </c>
      <c r="M3346" s="49"/>
    </row>
    <row r="3347" spans="6:13" x14ac:dyDescent="0.25">
      <c r="F3347" t="s">
        <v>4611</v>
      </c>
      <c r="G3347">
        <v>22453</v>
      </c>
      <c r="H3347">
        <v>2000</v>
      </c>
      <c r="I3347" s="25" t="s">
        <v>4611</v>
      </c>
      <c r="J3347" t="s">
        <v>2168</v>
      </c>
      <c r="M3347" s="49"/>
    </row>
    <row r="3348" spans="6:13" x14ac:dyDescent="0.25">
      <c r="F3348" t="s">
        <v>4611</v>
      </c>
      <c r="G3348">
        <v>22301</v>
      </c>
      <c r="H3348">
        <v>2000</v>
      </c>
      <c r="I3348" s="25" t="s">
        <v>4611</v>
      </c>
      <c r="J3348" t="s">
        <v>2168</v>
      </c>
      <c r="M3348" s="49"/>
    </row>
    <row r="3349" spans="6:13" x14ac:dyDescent="0.25">
      <c r="F3349" t="s">
        <v>4611</v>
      </c>
      <c r="G3349">
        <v>22307</v>
      </c>
      <c r="H3349">
        <v>2000</v>
      </c>
      <c r="I3349" s="25" t="s">
        <v>4611</v>
      </c>
      <c r="J3349" t="s">
        <v>2168</v>
      </c>
      <c r="M3349" s="49"/>
    </row>
    <row r="3350" spans="6:13" x14ac:dyDescent="0.25">
      <c r="F3350" t="s">
        <v>4611</v>
      </c>
      <c r="G3350">
        <v>22339</v>
      </c>
      <c r="H3350">
        <v>2000</v>
      </c>
      <c r="I3350" s="25" t="s">
        <v>4611</v>
      </c>
      <c r="J3350" t="s">
        <v>2168</v>
      </c>
      <c r="M3350" s="49"/>
    </row>
    <row r="3351" spans="6:13" x14ac:dyDescent="0.25">
      <c r="F3351" t="s">
        <v>4611</v>
      </c>
      <c r="G3351">
        <v>20253</v>
      </c>
      <c r="H3351">
        <v>2000</v>
      </c>
      <c r="I3351" s="25" t="s">
        <v>4611</v>
      </c>
      <c r="J3351" t="s">
        <v>2168</v>
      </c>
      <c r="M3351" s="49"/>
    </row>
    <row r="3352" spans="6:13" x14ac:dyDescent="0.25">
      <c r="F3352" t="s">
        <v>4611</v>
      </c>
      <c r="G3352">
        <v>22525</v>
      </c>
      <c r="H3352">
        <v>2000</v>
      </c>
      <c r="I3352" s="25" t="s">
        <v>4611</v>
      </c>
      <c r="J3352" t="s">
        <v>2168</v>
      </c>
      <c r="M3352" s="49"/>
    </row>
    <row r="3353" spans="6:13" x14ac:dyDescent="0.25">
      <c r="F3353" t="s">
        <v>4611</v>
      </c>
      <c r="G3353">
        <v>22415</v>
      </c>
      <c r="H3353">
        <v>2000</v>
      </c>
      <c r="I3353" s="25" t="s">
        <v>4611</v>
      </c>
      <c r="J3353" t="s">
        <v>2168</v>
      </c>
      <c r="M3353" s="49"/>
    </row>
    <row r="3354" spans="6:13" x14ac:dyDescent="0.25">
      <c r="F3354" t="s">
        <v>4611</v>
      </c>
      <c r="G3354">
        <v>22417</v>
      </c>
      <c r="H3354">
        <v>2000</v>
      </c>
      <c r="I3354" s="25" t="s">
        <v>4611</v>
      </c>
      <c r="J3354" t="s">
        <v>2168</v>
      </c>
      <c r="M3354" s="49"/>
    </row>
    <row r="3355" spans="6:13" x14ac:dyDescent="0.25">
      <c r="F3355" t="s">
        <v>4611</v>
      </c>
      <c r="G3355">
        <v>22587</v>
      </c>
      <c r="H3355">
        <v>2000</v>
      </c>
      <c r="I3355" s="25" t="s">
        <v>4611</v>
      </c>
      <c r="J3355" t="s">
        <v>2168</v>
      </c>
      <c r="M3355" s="49"/>
    </row>
    <row r="3356" spans="6:13" x14ac:dyDescent="0.25">
      <c r="F3356" t="s">
        <v>4611</v>
      </c>
      <c r="G3356">
        <v>22529</v>
      </c>
      <c r="H3356">
        <v>2000</v>
      </c>
      <c r="I3356" s="25" t="s">
        <v>4611</v>
      </c>
      <c r="J3356" t="s">
        <v>2168</v>
      </c>
      <c r="M3356" s="49"/>
    </row>
    <row r="3357" spans="6:13" x14ac:dyDescent="0.25">
      <c r="F3357" t="s">
        <v>4611</v>
      </c>
      <c r="G3357">
        <v>22419</v>
      </c>
      <c r="H3357">
        <v>2000</v>
      </c>
      <c r="I3357" s="25" t="s">
        <v>4611</v>
      </c>
      <c r="J3357" t="s">
        <v>2168</v>
      </c>
      <c r="M3357" s="49"/>
    </row>
    <row r="3358" spans="6:13" x14ac:dyDescent="0.25">
      <c r="F3358" t="s">
        <v>4611</v>
      </c>
      <c r="G3358">
        <v>22087</v>
      </c>
      <c r="H3358">
        <v>2000</v>
      </c>
      <c r="I3358" s="25" t="s">
        <v>4611</v>
      </c>
      <c r="J3358" t="s">
        <v>2168</v>
      </c>
      <c r="M3358" s="49"/>
    </row>
    <row r="3359" spans="6:13" x14ac:dyDescent="0.25">
      <c r="F3359" t="s">
        <v>4611</v>
      </c>
      <c r="G3359">
        <v>20535</v>
      </c>
      <c r="H3359">
        <v>2000</v>
      </c>
      <c r="I3359" s="25" t="s">
        <v>4611</v>
      </c>
      <c r="J3359" t="s">
        <v>2168</v>
      </c>
      <c r="M3359" s="49"/>
    </row>
    <row r="3360" spans="6:13" x14ac:dyDescent="0.25">
      <c r="F3360" t="s">
        <v>4611</v>
      </c>
      <c r="G3360">
        <v>21031</v>
      </c>
      <c r="H3360">
        <v>2000</v>
      </c>
      <c r="I3360" s="25" t="s">
        <v>4611</v>
      </c>
      <c r="J3360" t="s">
        <v>2168</v>
      </c>
      <c r="M3360" s="49"/>
    </row>
    <row r="3361" spans="6:13" x14ac:dyDescent="0.25">
      <c r="F3361" t="s">
        <v>4612</v>
      </c>
      <c r="G3361">
        <v>22113</v>
      </c>
      <c r="H3361">
        <v>1062</v>
      </c>
      <c r="I3361" s="25" t="s">
        <v>2085</v>
      </c>
      <c r="J3361" t="s">
        <v>2188</v>
      </c>
      <c r="M3361" s="49"/>
    </row>
    <row r="3362" spans="6:13" x14ac:dyDescent="0.25">
      <c r="F3362" t="s">
        <v>4612</v>
      </c>
      <c r="G3362">
        <v>22113</v>
      </c>
      <c r="H3362">
        <v>1062</v>
      </c>
      <c r="I3362" s="25" t="s">
        <v>2085</v>
      </c>
      <c r="J3362" t="s">
        <v>2188</v>
      </c>
      <c r="M3362" s="49"/>
    </row>
    <row r="3363" spans="6:13" x14ac:dyDescent="0.25">
      <c r="F3363" t="s">
        <v>4612</v>
      </c>
      <c r="G3363">
        <v>22113</v>
      </c>
      <c r="H3363">
        <v>2000</v>
      </c>
      <c r="I3363" s="25" t="s">
        <v>4611</v>
      </c>
      <c r="J3363" t="s">
        <v>2168</v>
      </c>
      <c r="M3363" s="49"/>
    </row>
    <row r="3364" spans="6:13" x14ac:dyDescent="0.25">
      <c r="F3364" t="s">
        <v>4612</v>
      </c>
      <c r="G3364">
        <v>22113</v>
      </c>
      <c r="H3364">
        <v>2000</v>
      </c>
      <c r="I3364" s="25" t="s">
        <v>4611</v>
      </c>
      <c r="J3364" t="s">
        <v>2168</v>
      </c>
      <c r="M3364" s="49"/>
    </row>
    <row r="3365" spans="6:13" x14ac:dyDescent="0.25">
      <c r="F3365" t="s">
        <v>4613</v>
      </c>
      <c r="G3365">
        <v>24805</v>
      </c>
      <c r="H3365">
        <v>1058</v>
      </c>
      <c r="I3365" s="25" t="s">
        <v>2085</v>
      </c>
      <c r="J3365" t="s">
        <v>2086</v>
      </c>
      <c r="M3365" s="49"/>
    </row>
    <row r="3366" spans="6:13" x14ac:dyDescent="0.25">
      <c r="F3366" t="s">
        <v>4614</v>
      </c>
      <c r="G3366">
        <v>31785</v>
      </c>
      <c r="H3366">
        <v>3252</v>
      </c>
      <c r="I3366" s="25" t="s">
        <v>2074</v>
      </c>
      <c r="J3366" t="s">
        <v>2139</v>
      </c>
      <c r="M3366" s="49"/>
    </row>
    <row r="3367" spans="6:13" x14ac:dyDescent="0.25">
      <c r="F3367" t="s">
        <v>4614</v>
      </c>
      <c r="G3367">
        <v>31789</v>
      </c>
      <c r="H3367">
        <v>3252</v>
      </c>
      <c r="I3367" s="25" t="s">
        <v>2074</v>
      </c>
      <c r="J3367" t="s">
        <v>2139</v>
      </c>
      <c r="M3367" s="49"/>
    </row>
    <row r="3368" spans="6:13" x14ac:dyDescent="0.25">
      <c r="F3368" t="s">
        <v>4614</v>
      </c>
      <c r="G3368">
        <v>31789</v>
      </c>
      <c r="H3368">
        <v>3252</v>
      </c>
      <c r="I3368" s="25" t="s">
        <v>2074</v>
      </c>
      <c r="J3368" t="s">
        <v>2139</v>
      </c>
      <c r="M3368" s="49"/>
    </row>
    <row r="3369" spans="6:13" x14ac:dyDescent="0.25">
      <c r="F3369" t="s">
        <v>4614</v>
      </c>
      <c r="G3369">
        <v>31789</v>
      </c>
      <c r="H3369">
        <v>3252</v>
      </c>
      <c r="I3369" s="25" t="s">
        <v>2074</v>
      </c>
      <c r="J3369" t="s">
        <v>2139</v>
      </c>
      <c r="M3369" s="49"/>
    </row>
    <row r="3370" spans="6:13" x14ac:dyDescent="0.25">
      <c r="F3370" t="s">
        <v>4614</v>
      </c>
      <c r="G3370">
        <v>31787</v>
      </c>
      <c r="H3370">
        <v>3252</v>
      </c>
      <c r="I3370" s="25" t="s">
        <v>2074</v>
      </c>
      <c r="J3370" t="s">
        <v>2139</v>
      </c>
      <c r="M3370" s="49"/>
    </row>
    <row r="3371" spans="6:13" x14ac:dyDescent="0.25">
      <c r="F3371" t="s">
        <v>4614</v>
      </c>
      <c r="G3371">
        <v>31789</v>
      </c>
      <c r="H3371">
        <v>3252</v>
      </c>
      <c r="I3371" s="25" t="s">
        <v>2074</v>
      </c>
      <c r="J3371" t="s">
        <v>2139</v>
      </c>
      <c r="M3371" s="49"/>
    </row>
    <row r="3372" spans="6:13" x14ac:dyDescent="0.25">
      <c r="F3372" t="s">
        <v>4615</v>
      </c>
      <c r="G3372">
        <v>22929</v>
      </c>
      <c r="H3372">
        <v>1053</v>
      </c>
      <c r="I3372" s="25" t="s">
        <v>2085</v>
      </c>
      <c r="J3372" t="s">
        <v>2193</v>
      </c>
      <c r="M3372" s="49"/>
    </row>
    <row r="3373" spans="6:13" x14ac:dyDescent="0.25">
      <c r="F3373" t="s">
        <v>4615</v>
      </c>
      <c r="G3373">
        <v>22929</v>
      </c>
      <c r="H3373">
        <v>1053</v>
      </c>
      <c r="I3373" s="25" t="s">
        <v>2085</v>
      </c>
      <c r="J3373" t="s">
        <v>2193</v>
      </c>
      <c r="M3373" s="49"/>
    </row>
    <row r="3374" spans="6:13" x14ac:dyDescent="0.25">
      <c r="F3374" t="s">
        <v>4615</v>
      </c>
      <c r="G3374">
        <v>22929</v>
      </c>
      <c r="H3374">
        <v>1053</v>
      </c>
      <c r="I3374" s="25" t="s">
        <v>2085</v>
      </c>
      <c r="J3374" t="s">
        <v>2193</v>
      </c>
      <c r="M3374" s="49"/>
    </row>
    <row r="3375" spans="6:13" x14ac:dyDescent="0.25">
      <c r="F3375" t="s">
        <v>4615</v>
      </c>
      <c r="G3375">
        <v>22929</v>
      </c>
      <c r="H3375">
        <v>1053</v>
      </c>
      <c r="I3375" s="25" t="s">
        <v>2085</v>
      </c>
      <c r="J3375" t="s">
        <v>2193</v>
      </c>
      <c r="M3375" s="49"/>
    </row>
    <row r="3376" spans="6:13" x14ac:dyDescent="0.25">
      <c r="F3376" t="s">
        <v>4615</v>
      </c>
      <c r="G3376">
        <v>22929</v>
      </c>
      <c r="H3376">
        <v>1062</v>
      </c>
      <c r="I3376" s="25" t="s">
        <v>2085</v>
      </c>
      <c r="J3376" t="s">
        <v>2188</v>
      </c>
      <c r="M3376" s="49"/>
    </row>
    <row r="3377" spans="6:13" x14ac:dyDescent="0.25">
      <c r="F3377" t="s">
        <v>4615</v>
      </c>
      <c r="G3377">
        <v>22929</v>
      </c>
      <c r="H3377">
        <v>1062</v>
      </c>
      <c r="I3377" s="25" t="s">
        <v>2085</v>
      </c>
      <c r="J3377" t="s">
        <v>2188</v>
      </c>
      <c r="M3377" s="49"/>
    </row>
    <row r="3378" spans="6:13" x14ac:dyDescent="0.25">
      <c r="F3378" t="s">
        <v>4615</v>
      </c>
      <c r="G3378">
        <v>22929</v>
      </c>
      <c r="H3378">
        <v>1062</v>
      </c>
      <c r="I3378" s="25" t="s">
        <v>2085</v>
      </c>
      <c r="J3378" t="s">
        <v>2188</v>
      </c>
      <c r="M3378" s="49"/>
    </row>
    <row r="3379" spans="6:13" x14ac:dyDescent="0.25">
      <c r="F3379" t="s">
        <v>4615</v>
      </c>
      <c r="G3379">
        <v>22929</v>
      </c>
      <c r="H3379">
        <v>1062</v>
      </c>
      <c r="I3379" s="25" t="s">
        <v>2085</v>
      </c>
      <c r="J3379" t="s">
        <v>2188</v>
      </c>
      <c r="M3379" s="49"/>
    </row>
    <row r="3380" spans="6:13" x14ac:dyDescent="0.25">
      <c r="F3380" t="s">
        <v>4616</v>
      </c>
      <c r="G3380">
        <v>59069</v>
      </c>
      <c r="H3380">
        <v>5915</v>
      </c>
      <c r="I3380" s="25" t="s">
        <v>2023</v>
      </c>
      <c r="J3380" t="s">
        <v>2173</v>
      </c>
      <c r="M3380" s="49"/>
    </row>
    <row r="3381" spans="6:13" x14ac:dyDescent="0.25">
      <c r="F3381" t="s">
        <v>4616</v>
      </c>
      <c r="G3381">
        <v>59077</v>
      </c>
      <c r="H3381">
        <v>5915</v>
      </c>
      <c r="I3381" s="25" t="s">
        <v>2023</v>
      </c>
      <c r="J3381" t="s">
        <v>2173</v>
      </c>
      <c r="M3381" s="49"/>
    </row>
    <row r="3382" spans="6:13" x14ac:dyDescent="0.25">
      <c r="F3382" t="s">
        <v>4616</v>
      </c>
      <c r="G3382">
        <v>59063</v>
      </c>
      <c r="H3382">
        <v>5915</v>
      </c>
      <c r="I3382" s="25" t="s">
        <v>2023</v>
      </c>
      <c r="J3382" t="s">
        <v>2173</v>
      </c>
      <c r="M3382" s="49"/>
    </row>
    <row r="3383" spans="6:13" x14ac:dyDescent="0.25">
      <c r="F3383" t="s">
        <v>4616</v>
      </c>
      <c r="G3383">
        <v>59067</v>
      </c>
      <c r="H3383">
        <v>5915</v>
      </c>
      <c r="I3383" s="25" t="s">
        <v>2023</v>
      </c>
      <c r="J3383" t="s">
        <v>2173</v>
      </c>
      <c r="M3383" s="49"/>
    </row>
    <row r="3384" spans="6:13" x14ac:dyDescent="0.25">
      <c r="F3384" t="s">
        <v>4616</v>
      </c>
      <c r="G3384">
        <v>59075</v>
      </c>
      <c r="H3384">
        <v>5915</v>
      </c>
      <c r="I3384" s="25" t="s">
        <v>2023</v>
      </c>
      <c r="J3384" t="s">
        <v>2173</v>
      </c>
      <c r="M3384" s="49"/>
    </row>
    <row r="3385" spans="6:13" x14ac:dyDescent="0.25">
      <c r="F3385" t="s">
        <v>4616</v>
      </c>
      <c r="G3385">
        <v>59073</v>
      </c>
      <c r="H3385">
        <v>5915</v>
      </c>
      <c r="I3385" s="25" t="s">
        <v>2023</v>
      </c>
      <c r="J3385" t="s">
        <v>2173</v>
      </c>
      <c r="M3385" s="49"/>
    </row>
    <row r="3386" spans="6:13" x14ac:dyDescent="0.25">
      <c r="F3386" t="s">
        <v>4616</v>
      </c>
      <c r="G3386">
        <v>59071</v>
      </c>
      <c r="H3386">
        <v>5915</v>
      </c>
      <c r="I3386" s="25" t="s">
        <v>2023</v>
      </c>
      <c r="J3386" t="s">
        <v>2173</v>
      </c>
      <c r="M3386" s="49"/>
    </row>
    <row r="3387" spans="6:13" x14ac:dyDescent="0.25">
      <c r="F3387" t="s">
        <v>4616</v>
      </c>
      <c r="G3387">
        <v>59065</v>
      </c>
      <c r="H3387">
        <v>5915</v>
      </c>
      <c r="I3387" s="25" t="s">
        <v>2023</v>
      </c>
      <c r="J3387" t="s">
        <v>2173</v>
      </c>
      <c r="M3387" s="49"/>
    </row>
    <row r="3388" spans="6:13" x14ac:dyDescent="0.25">
      <c r="F3388" t="s">
        <v>4616</v>
      </c>
      <c r="G3388">
        <v>67580</v>
      </c>
      <c r="H3388">
        <v>7331</v>
      </c>
      <c r="I3388" s="25" t="s">
        <v>2123</v>
      </c>
      <c r="J3388" t="s">
        <v>2029</v>
      </c>
      <c r="M3388" s="49"/>
    </row>
    <row r="3389" spans="6:13" x14ac:dyDescent="0.25">
      <c r="F3389" t="s">
        <v>4617</v>
      </c>
      <c r="G3389">
        <v>57577</v>
      </c>
      <c r="H3389">
        <v>7132</v>
      </c>
      <c r="I3389" s="25" t="s">
        <v>2123</v>
      </c>
      <c r="J3389" t="s">
        <v>2401</v>
      </c>
      <c r="M3389" s="49"/>
    </row>
    <row r="3390" spans="6:13" x14ac:dyDescent="0.25">
      <c r="F3390" t="s">
        <v>4618</v>
      </c>
      <c r="G3390">
        <v>21714</v>
      </c>
      <c r="H3390">
        <v>3359</v>
      </c>
      <c r="I3390" s="25" t="s">
        <v>2074</v>
      </c>
      <c r="J3390" t="s">
        <v>2158</v>
      </c>
      <c r="M3390" s="49"/>
    </row>
    <row r="3391" spans="6:13" x14ac:dyDescent="0.25">
      <c r="F3391" t="s">
        <v>4619</v>
      </c>
      <c r="G3391">
        <v>97762</v>
      </c>
      <c r="H3391">
        <v>9672</v>
      </c>
      <c r="I3391" s="25" t="s">
        <v>2050</v>
      </c>
      <c r="J3391" t="s">
        <v>2620</v>
      </c>
      <c r="M3391" s="49"/>
    </row>
    <row r="3392" spans="6:13" x14ac:dyDescent="0.25">
      <c r="F3392" t="s">
        <v>4620</v>
      </c>
      <c r="G3392">
        <v>63546</v>
      </c>
      <c r="H3392">
        <v>6435</v>
      </c>
      <c r="I3392" s="25" t="s">
        <v>2046</v>
      </c>
      <c r="J3392" t="s">
        <v>2703</v>
      </c>
      <c r="M3392" s="49"/>
    </row>
    <row r="3393" spans="6:13" x14ac:dyDescent="0.25">
      <c r="F3393" t="s">
        <v>4621</v>
      </c>
      <c r="G3393">
        <v>46499</v>
      </c>
      <c r="H3393">
        <v>5170</v>
      </c>
      <c r="I3393" s="25" t="s">
        <v>2023</v>
      </c>
      <c r="J3393" t="s">
        <v>2328</v>
      </c>
      <c r="M3393" s="49"/>
    </row>
    <row r="3394" spans="6:13" x14ac:dyDescent="0.25">
      <c r="F3394" t="s">
        <v>4622</v>
      </c>
      <c r="G3394">
        <v>24816</v>
      </c>
      <c r="H3394">
        <v>1058</v>
      </c>
      <c r="I3394" s="25" t="s">
        <v>2085</v>
      </c>
      <c r="J3394" t="s">
        <v>2086</v>
      </c>
      <c r="M3394" s="49"/>
    </row>
    <row r="3395" spans="6:13" x14ac:dyDescent="0.25">
      <c r="F3395" t="s">
        <v>4623</v>
      </c>
      <c r="G3395">
        <v>63450</v>
      </c>
      <c r="H3395">
        <v>6435</v>
      </c>
      <c r="I3395" s="25" t="s">
        <v>2046</v>
      </c>
      <c r="J3395" t="s">
        <v>2703</v>
      </c>
      <c r="M3395" s="49"/>
    </row>
    <row r="3396" spans="6:13" x14ac:dyDescent="0.25">
      <c r="F3396" t="s">
        <v>4623</v>
      </c>
      <c r="G3396">
        <v>63456</v>
      </c>
      <c r="H3396">
        <v>6435</v>
      </c>
      <c r="I3396" s="25" t="s">
        <v>2046</v>
      </c>
      <c r="J3396" t="s">
        <v>2703</v>
      </c>
      <c r="M3396" s="49"/>
    </row>
    <row r="3397" spans="6:13" x14ac:dyDescent="0.25">
      <c r="F3397" t="s">
        <v>4623</v>
      </c>
      <c r="G3397">
        <v>63457</v>
      </c>
      <c r="H3397">
        <v>6435</v>
      </c>
      <c r="I3397" s="25" t="s">
        <v>2046</v>
      </c>
      <c r="J3397" t="s">
        <v>2703</v>
      </c>
      <c r="M3397" s="49"/>
    </row>
    <row r="3398" spans="6:13" x14ac:dyDescent="0.25">
      <c r="F3398" t="s">
        <v>4623</v>
      </c>
      <c r="G3398">
        <v>63452</v>
      </c>
      <c r="H3398">
        <v>6435</v>
      </c>
      <c r="I3398" s="25" t="s">
        <v>2046</v>
      </c>
      <c r="J3398" t="s">
        <v>2703</v>
      </c>
      <c r="M3398" s="49"/>
    </row>
    <row r="3399" spans="6:13" x14ac:dyDescent="0.25">
      <c r="F3399" t="s">
        <v>4623</v>
      </c>
      <c r="G3399">
        <v>63454</v>
      </c>
      <c r="H3399">
        <v>6435</v>
      </c>
      <c r="I3399" s="25" t="s">
        <v>2046</v>
      </c>
      <c r="J3399" t="s">
        <v>2703</v>
      </c>
      <c r="M3399" s="49"/>
    </row>
    <row r="3400" spans="6:13" x14ac:dyDescent="0.25">
      <c r="F3400" t="s">
        <v>4624</v>
      </c>
      <c r="G3400">
        <v>21256</v>
      </c>
      <c r="H3400">
        <v>3353</v>
      </c>
      <c r="I3400" s="25" t="s">
        <v>2074</v>
      </c>
      <c r="J3400" t="s">
        <v>2176</v>
      </c>
      <c r="M3400" s="49"/>
    </row>
    <row r="3401" spans="6:13" x14ac:dyDescent="0.25">
      <c r="F3401" t="s">
        <v>4625</v>
      </c>
      <c r="G3401">
        <v>24983</v>
      </c>
      <c r="H3401">
        <v>1059</v>
      </c>
      <c r="I3401" s="25" t="s">
        <v>2085</v>
      </c>
      <c r="J3401" t="s">
        <v>2354</v>
      </c>
      <c r="M3401" s="49"/>
    </row>
    <row r="3402" spans="6:13" x14ac:dyDescent="0.25">
      <c r="F3402" t="s">
        <v>4625</v>
      </c>
      <c r="G3402">
        <v>24976</v>
      </c>
      <c r="H3402">
        <v>1059</v>
      </c>
      <c r="I3402" s="25" t="s">
        <v>2085</v>
      </c>
      <c r="J3402" t="s">
        <v>2354</v>
      </c>
      <c r="M3402" s="49"/>
    </row>
    <row r="3403" spans="6:13" x14ac:dyDescent="0.25">
      <c r="F3403" t="s">
        <v>4626</v>
      </c>
      <c r="G3403">
        <v>21447</v>
      </c>
      <c r="H3403">
        <v>3355</v>
      </c>
      <c r="I3403" s="25" t="s">
        <v>2074</v>
      </c>
      <c r="J3403" t="s">
        <v>2129</v>
      </c>
      <c r="M3403" s="49"/>
    </row>
    <row r="3404" spans="6:13" x14ac:dyDescent="0.25">
      <c r="F3404" t="s">
        <v>4627</v>
      </c>
      <c r="G3404">
        <v>25557</v>
      </c>
      <c r="H3404">
        <v>1058</v>
      </c>
      <c r="I3404" s="25" t="s">
        <v>2085</v>
      </c>
      <c r="J3404" t="s">
        <v>2086</v>
      </c>
      <c r="M3404" s="49"/>
    </row>
    <row r="3405" spans="6:13" x14ac:dyDescent="0.25">
      <c r="F3405" t="s">
        <v>4628</v>
      </c>
      <c r="G3405">
        <v>67374</v>
      </c>
      <c r="H3405">
        <v>7338</v>
      </c>
      <c r="I3405" s="25" t="s">
        <v>2123</v>
      </c>
      <c r="J3405" t="s">
        <v>2448</v>
      </c>
      <c r="M3405" s="49"/>
    </row>
    <row r="3406" spans="6:13" x14ac:dyDescent="0.25">
      <c r="F3406" t="s">
        <v>4629</v>
      </c>
      <c r="G3406">
        <v>29386</v>
      </c>
      <c r="H3406">
        <v>3151</v>
      </c>
      <c r="I3406" s="25" t="s">
        <v>2074</v>
      </c>
      <c r="J3406" t="s">
        <v>2126</v>
      </c>
      <c r="M3406" s="49"/>
    </row>
    <row r="3407" spans="6:13" x14ac:dyDescent="0.25">
      <c r="F3407" t="s">
        <v>4630</v>
      </c>
      <c r="G3407">
        <v>34346</v>
      </c>
      <c r="H3407">
        <v>3159</v>
      </c>
      <c r="I3407" s="25" t="s">
        <v>2074</v>
      </c>
      <c r="J3407" t="s">
        <v>2093</v>
      </c>
      <c r="M3407" s="49"/>
    </row>
    <row r="3408" spans="6:13" x14ac:dyDescent="0.25">
      <c r="F3408" t="s">
        <v>2320</v>
      </c>
      <c r="G3408">
        <v>30629</v>
      </c>
      <c r="H3408">
        <v>3241</v>
      </c>
      <c r="I3408" s="25" t="s">
        <v>2074</v>
      </c>
      <c r="J3408" t="s">
        <v>2321</v>
      </c>
      <c r="M3408" s="49"/>
    </row>
    <row r="3409" spans="6:13" x14ac:dyDescent="0.25">
      <c r="F3409" t="s">
        <v>2320</v>
      </c>
      <c r="G3409">
        <v>30459</v>
      </c>
      <c r="H3409">
        <v>3241</v>
      </c>
      <c r="I3409" s="25" t="s">
        <v>2074</v>
      </c>
      <c r="J3409" t="s">
        <v>2321</v>
      </c>
      <c r="M3409" s="49"/>
    </row>
    <row r="3410" spans="6:13" x14ac:dyDescent="0.25">
      <c r="F3410" t="s">
        <v>2320</v>
      </c>
      <c r="G3410">
        <v>30165</v>
      </c>
      <c r="H3410">
        <v>3241</v>
      </c>
      <c r="I3410" s="25" t="s">
        <v>2074</v>
      </c>
      <c r="J3410" t="s">
        <v>2321</v>
      </c>
      <c r="M3410" s="49"/>
    </row>
    <row r="3411" spans="6:13" x14ac:dyDescent="0.25">
      <c r="F3411" t="s">
        <v>2320</v>
      </c>
      <c r="G3411">
        <v>30163</v>
      </c>
      <c r="H3411">
        <v>3241</v>
      </c>
      <c r="I3411" s="25" t="s">
        <v>2074</v>
      </c>
      <c r="J3411" t="s">
        <v>2321</v>
      </c>
      <c r="M3411" s="49"/>
    </row>
    <row r="3412" spans="6:13" x14ac:dyDescent="0.25">
      <c r="F3412" t="s">
        <v>2320</v>
      </c>
      <c r="G3412">
        <v>30169</v>
      </c>
      <c r="H3412">
        <v>3241</v>
      </c>
      <c r="I3412" s="25" t="s">
        <v>2074</v>
      </c>
      <c r="J3412" t="s">
        <v>2321</v>
      </c>
      <c r="M3412" s="49"/>
    </row>
    <row r="3413" spans="6:13" x14ac:dyDescent="0.25">
      <c r="F3413" t="s">
        <v>2320</v>
      </c>
      <c r="G3413">
        <v>30159</v>
      </c>
      <c r="H3413">
        <v>3241</v>
      </c>
      <c r="I3413" s="25" t="s">
        <v>2074</v>
      </c>
      <c r="J3413" t="s">
        <v>2321</v>
      </c>
      <c r="M3413" s="49"/>
    </row>
    <row r="3414" spans="6:13" x14ac:dyDescent="0.25">
      <c r="F3414" t="s">
        <v>2320</v>
      </c>
      <c r="G3414">
        <v>30655</v>
      </c>
      <c r="H3414">
        <v>3241</v>
      </c>
      <c r="I3414" s="25" t="s">
        <v>2074</v>
      </c>
      <c r="J3414" t="s">
        <v>2321</v>
      </c>
      <c r="M3414" s="49"/>
    </row>
    <row r="3415" spans="6:13" x14ac:dyDescent="0.25">
      <c r="F3415" t="s">
        <v>2320</v>
      </c>
      <c r="G3415">
        <v>30161</v>
      </c>
      <c r="H3415">
        <v>3241</v>
      </c>
      <c r="I3415" s="25" t="s">
        <v>2074</v>
      </c>
      <c r="J3415" t="s">
        <v>2321</v>
      </c>
      <c r="M3415" s="49"/>
    </row>
    <row r="3416" spans="6:13" x14ac:dyDescent="0.25">
      <c r="F3416" t="s">
        <v>2320</v>
      </c>
      <c r="G3416">
        <v>30161</v>
      </c>
      <c r="H3416">
        <v>3241</v>
      </c>
      <c r="I3416" s="25" t="s">
        <v>2074</v>
      </c>
      <c r="J3416" t="s">
        <v>2321</v>
      </c>
      <c r="M3416" s="49"/>
    </row>
    <row r="3417" spans="6:13" x14ac:dyDescent="0.25">
      <c r="F3417" t="s">
        <v>2320</v>
      </c>
      <c r="G3417">
        <v>30559</v>
      </c>
      <c r="H3417">
        <v>3241</v>
      </c>
      <c r="I3417" s="25" t="s">
        <v>2074</v>
      </c>
      <c r="J3417" t="s">
        <v>2321</v>
      </c>
      <c r="M3417" s="49"/>
    </row>
    <row r="3418" spans="6:13" x14ac:dyDescent="0.25">
      <c r="F3418" t="s">
        <v>2320</v>
      </c>
      <c r="G3418">
        <v>30521</v>
      </c>
      <c r="H3418">
        <v>3241</v>
      </c>
      <c r="I3418" s="25" t="s">
        <v>2074</v>
      </c>
      <c r="J3418" t="s">
        <v>2321</v>
      </c>
      <c r="M3418" s="49"/>
    </row>
    <row r="3419" spans="6:13" x14ac:dyDescent="0.25">
      <c r="F3419" t="s">
        <v>2320</v>
      </c>
      <c r="G3419">
        <v>30175</v>
      </c>
      <c r="H3419">
        <v>3241</v>
      </c>
      <c r="I3419" s="25" t="s">
        <v>2074</v>
      </c>
      <c r="J3419" t="s">
        <v>2321</v>
      </c>
      <c r="M3419" s="49"/>
    </row>
    <row r="3420" spans="6:13" x14ac:dyDescent="0.25">
      <c r="F3420" t="s">
        <v>2320</v>
      </c>
      <c r="G3420">
        <v>30625</v>
      </c>
      <c r="H3420">
        <v>3241</v>
      </c>
      <c r="I3420" s="25" t="s">
        <v>2074</v>
      </c>
      <c r="J3420" t="s">
        <v>2321</v>
      </c>
      <c r="M3420" s="49"/>
    </row>
    <row r="3421" spans="6:13" x14ac:dyDescent="0.25">
      <c r="F3421" t="s">
        <v>2320</v>
      </c>
      <c r="G3421">
        <v>30179</v>
      </c>
      <c r="H3421">
        <v>3241</v>
      </c>
      <c r="I3421" s="25" t="s">
        <v>2074</v>
      </c>
      <c r="J3421" t="s">
        <v>2321</v>
      </c>
      <c r="M3421" s="49"/>
    </row>
    <row r="3422" spans="6:13" x14ac:dyDescent="0.25">
      <c r="F3422" t="s">
        <v>2320</v>
      </c>
      <c r="G3422">
        <v>30167</v>
      </c>
      <c r="H3422">
        <v>3241</v>
      </c>
      <c r="I3422" s="25" t="s">
        <v>2074</v>
      </c>
      <c r="J3422" t="s">
        <v>2321</v>
      </c>
      <c r="M3422" s="49"/>
    </row>
    <row r="3423" spans="6:13" x14ac:dyDescent="0.25">
      <c r="F3423" t="s">
        <v>2320</v>
      </c>
      <c r="G3423">
        <v>30419</v>
      </c>
      <c r="H3423">
        <v>3241</v>
      </c>
      <c r="I3423" s="25" t="s">
        <v>2074</v>
      </c>
      <c r="J3423" t="s">
        <v>2321</v>
      </c>
      <c r="M3423" s="49"/>
    </row>
    <row r="3424" spans="6:13" x14ac:dyDescent="0.25">
      <c r="F3424" t="s">
        <v>2320</v>
      </c>
      <c r="G3424">
        <v>30171</v>
      </c>
      <c r="H3424">
        <v>3241</v>
      </c>
      <c r="I3424" s="25" t="s">
        <v>2074</v>
      </c>
      <c r="J3424" t="s">
        <v>2321</v>
      </c>
      <c r="M3424" s="49"/>
    </row>
    <row r="3425" spans="6:13" x14ac:dyDescent="0.25">
      <c r="F3425" t="s">
        <v>2320</v>
      </c>
      <c r="G3425">
        <v>30659</v>
      </c>
      <c r="H3425">
        <v>3241</v>
      </c>
      <c r="I3425" s="25" t="s">
        <v>2074</v>
      </c>
      <c r="J3425" t="s">
        <v>2321</v>
      </c>
      <c r="M3425" s="49"/>
    </row>
    <row r="3426" spans="6:13" x14ac:dyDescent="0.25">
      <c r="F3426" t="s">
        <v>2320</v>
      </c>
      <c r="G3426">
        <v>30455</v>
      </c>
      <c r="H3426">
        <v>3241</v>
      </c>
      <c r="I3426" s="25" t="s">
        <v>2074</v>
      </c>
      <c r="J3426" t="s">
        <v>2321</v>
      </c>
      <c r="M3426" s="49"/>
    </row>
    <row r="3427" spans="6:13" x14ac:dyDescent="0.25">
      <c r="F3427" t="s">
        <v>2320</v>
      </c>
      <c r="G3427">
        <v>30453</v>
      </c>
      <c r="H3427">
        <v>3241</v>
      </c>
      <c r="I3427" s="25" t="s">
        <v>2074</v>
      </c>
      <c r="J3427" t="s">
        <v>2321</v>
      </c>
      <c r="M3427" s="49"/>
    </row>
    <row r="3428" spans="6:13" x14ac:dyDescent="0.25">
      <c r="F3428" t="s">
        <v>2320</v>
      </c>
      <c r="G3428">
        <v>30449</v>
      </c>
      <c r="H3428">
        <v>3241</v>
      </c>
      <c r="I3428" s="25" t="s">
        <v>2074</v>
      </c>
      <c r="J3428" t="s">
        <v>2321</v>
      </c>
      <c r="M3428" s="49"/>
    </row>
    <row r="3429" spans="6:13" x14ac:dyDescent="0.25">
      <c r="F3429" t="s">
        <v>2320</v>
      </c>
      <c r="G3429">
        <v>30173</v>
      </c>
      <c r="H3429">
        <v>3241</v>
      </c>
      <c r="I3429" s="25" t="s">
        <v>2074</v>
      </c>
      <c r="J3429" t="s">
        <v>2321</v>
      </c>
      <c r="M3429" s="49"/>
    </row>
    <row r="3430" spans="6:13" x14ac:dyDescent="0.25">
      <c r="F3430" t="s">
        <v>2320</v>
      </c>
      <c r="G3430">
        <v>30539</v>
      </c>
      <c r="H3430">
        <v>3241</v>
      </c>
      <c r="I3430" s="25" t="s">
        <v>2074</v>
      </c>
      <c r="J3430" t="s">
        <v>2321</v>
      </c>
      <c r="M3430" s="49"/>
    </row>
    <row r="3431" spans="6:13" x14ac:dyDescent="0.25">
      <c r="F3431" t="s">
        <v>2320</v>
      </c>
      <c r="G3431">
        <v>30457</v>
      </c>
      <c r="H3431">
        <v>3241</v>
      </c>
      <c r="I3431" s="25" t="s">
        <v>2074</v>
      </c>
      <c r="J3431" t="s">
        <v>2321</v>
      </c>
      <c r="M3431" s="49"/>
    </row>
    <row r="3432" spans="6:13" x14ac:dyDescent="0.25">
      <c r="F3432" t="s">
        <v>2320</v>
      </c>
      <c r="G3432">
        <v>30627</v>
      </c>
      <c r="H3432">
        <v>3241</v>
      </c>
      <c r="I3432" s="25" t="s">
        <v>2074</v>
      </c>
      <c r="J3432" t="s">
        <v>2321</v>
      </c>
      <c r="M3432" s="49"/>
    </row>
    <row r="3433" spans="6:13" x14ac:dyDescent="0.25">
      <c r="F3433" t="s">
        <v>2320</v>
      </c>
      <c r="G3433">
        <v>30451</v>
      </c>
      <c r="H3433">
        <v>3241</v>
      </c>
      <c r="I3433" s="25" t="s">
        <v>2074</v>
      </c>
      <c r="J3433" t="s">
        <v>2321</v>
      </c>
      <c r="M3433" s="49"/>
    </row>
    <row r="3434" spans="6:13" x14ac:dyDescent="0.25">
      <c r="F3434" t="s">
        <v>2320</v>
      </c>
      <c r="G3434">
        <v>30177</v>
      </c>
      <c r="H3434">
        <v>3241</v>
      </c>
      <c r="I3434" s="25" t="s">
        <v>2074</v>
      </c>
      <c r="J3434" t="s">
        <v>2321</v>
      </c>
      <c r="M3434" s="49"/>
    </row>
    <row r="3435" spans="6:13" x14ac:dyDescent="0.25">
      <c r="F3435" t="s">
        <v>2320</v>
      </c>
      <c r="G3435">
        <v>30519</v>
      </c>
      <c r="H3435">
        <v>3241</v>
      </c>
      <c r="I3435" s="25" t="s">
        <v>2074</v>
      </c>
      <c r="J3435" t="s">
        <v>2321</v>
      </c>
      <c r="M3435" s="49"/>
    </row>
    <row r="3436" spans="6:13" x14ac:dyDescent="0.25">
      <c r="F3436" t="s">
        <v>2320</v>
      </c>
      <c r="G3436">
        <v>30657</v>
      </c>
      <c r="H3436">
        <v>3241</v>
      </c>
      <c r="I3436" s="25" t="s">
        <v>2074</v>
      </c>
      <c r="J3436" t="s">
        <v>2321</v>
      </c>
      <c r="M3436" s="49"/>
    </row>
    <row r="3437" spans="6:13" x14ac:dyDescent="0.25">
      <c r="F3437" t="s">
        <v>2320</v>
      </c>
      <c r="G3437">
        <v>30159</v>
      </c>
      <c r="H3437">
        <v>3241</v>
      </c>
      <c r="I3437" s="25" t="s">
        <v>2074</v>
      </c>
      <c r="J3437" t="s">
        <v>2321</v>
      </c>
      <c r="M3437" s="49"/>
    </row>
    <row r="3438" spans="6:13" x14ac:dyDescent="0.25">
      <c r="F3438" t="s">
        <v>4631</v>
      </c>
      <c r="G3438">
        <v>29582</v>
      </c>
      <c r="H3438">
        <v>3360</v>
      </c>
      <c r="I3438" s="25" t="s">
        <v>2074</v>
      </c>
      <c r="J3438" t="s">
        <v>2400</v>
      </c>
      <c r="M3438" s="49"/>
    </row>
    <row r="3439" spans="6:13" x14ac:dyDescent="0.25">
      <c r="F3439" t="s">
        <v>4632</v>
      </c>
      <c r="G3439">
        <v>21271</v>
      </c>
      <c r="H3439">
        <v>3353</v>
      </c>
      <c r="I3439" s="25" t="s">
        <v>2074</v>
      </c>
      <c r="J3439" t="s">
        <v>2176</v>
      </c>
      <c r="M3439" s="49"/>
    </row>
    <row r="3440" spans="6:13" x14ac:dyDescent="0.25">
      <c r="F3440" t="s">
        <v>4633</v>
      </c>
      <c r="G3440">
        <v>91230</v>
      </c>
      <c r="H3440">
        <v>9574</v>
      </c>
      <c r="I3440" s="25" t="s">
        <v>2050</v>
      </c>
      <c r="J3440" t="s">
        <v>2291</v>
      </c>
      <c r="M3440" s="49"/>
    </row>
    <row r="3441" spans="6:13" x14ac:dyDescent="0.25">
      <c r="F3441" t="s">
        <v>4634</v>
      </c>
      <c r="G3441">
        <v>39365</v>
      </c>
      <c r="H3441">
        <v>15083</v>
      </c>
      <c r="I3441" s="25" t="s">
        <v>2241</v>
      </c>
      <c r="J3441" t="s">
        <v>2052</v>
      </c>
      <c r="M3441" s="49"/>
    </row>
    <row r="3442" spans="6:13" x14ac:dyDescent="0.25">
      <c r="F3442" t="s">
        <v>2176</v>
      </c>
      <c r="G3442">
        <v>86655</v>
      </c>
      <c r="H3442">
        <v>9779</v>
      </c>
      <c r="I3442" s="25" t="s">
        <v>2050</v>
      </c>
      <c r="J3442" t="s">
        <v>2280</v>
      </c>
      <c r="M3442" s="49"/>
    </row>
    <row r="3443" spans="6:13" x14ac:dyDescent="0.25">
      <c r="F3443" t="s">
        <v>4635</v>
      </c>
      <c r="G3443">
        <v>37181</v>
      </c>
      <c r="H3443">
        <v>3155</v>
      </c>
      <c r="I3443" s="25" t="s">
        <v>2074</v>
      </c>
      <c r="J3443" t="s">
        <v>2653</v>
      </c>
      <c r="M3443" s="49"/>
    </row>
    <row r="3444" spans="6:13" x14ac:dyDescent="0.25">
      <c r="F3444" t="s">
        <v>4636</v>
      </c>
      <c r="G3444">
        <v>74736</v>
      </c>
      <c r="H3444">
        <v>8225</v>
      </c>
      <c r="I3444" s="25" t="s">
        <v>2018</v>
      </c>
      <c r="J3444" t="s">
        <v>2108</v>
      </c>
      <c r="M3444" s="49"/>
    </row>
    <row r="3445" spans="6:13" x14ac:dyDescent="0.25">
      <c r="F3445" t="s">
        <v>4637</v>
      </c>
      <c r="G3445">
        <v>78739</v>
      </c>
      <c r="H3445">
        <v>8325</v>
      </c>
      <c r="I3445" s="25" t="s">
        <v>2018</v>
      </c>
      <c r="J3445" t="s">
        <v>2208</v>
      </c>
      <c r="M3445" s="49"/>
    </row>
    <row r="3446" spans="6:13" x14ac:dyDescent="0.25">
      <c r="F3446" t="s">
        <v>4638</v>
      </c>
      <c r="G3446">
        <v>74239</v>
      </c>
      <c r="H3446">
        <v>8125</v>
      </c>
      <c r="I3446" s="25" t="s">
        <v>2018</v>
      </c>
      <c r="J3446" t="s">
        <v>2060</v>
      </c>
      <c r="M3446" s="49"/>
    </row>
    <row r="3447" spans="6:13" x14ac:dyDescent="0.25">
      <c r="F3447" t="s">
        <v>4639</v>
      </c>
      <c r="G3447">
        <v>49733</v>
      </c>
      <c r="H3447">
        <v>3454</v>
      </c>
      <c r="I3447" s="25" t="s">
        <v>2074</v>
      </c>
      <c r="J3447" t="s">
        <v>2118</v>
      </c>
      <c r="M3447" s="49"/>
    </row>
    <row r="3448" spans="6:13" x14ac:dyDescent="0.25">
      <c r="F3448" t="s">
        <v>4640</v>
      </c>
      <c r="G3448">
        <v>55595</v>
      </c>
      <c r="H3448">
        <v>7133</v>
      </c>
      <c r="I3448" s="25" t="s">
        <v>2123</v>
      </c>
      <c r="J3448" t="s">
        <v>2037</v>
      </c>
      <c r="M3448" s="49"/>
    </row>
    <row r="3449" spans="6:13" x14ac:dyDescent="0.25">
      <c r="F3449" t="s">
        <v>4640</v>
      </c>
      <c r="G3449">
        <v>55595</v>
      </c>
      <c r="H3449">
        <v>7133</v>
      </c>
      <c r="I3449" s="25" t="s">
        <v>2123</v>
      </c>
      <c r="J3449" t="s">
        <v>2037</v>
      </c>
      <c r="M3449" s="49"/>
    </row>
    <row r="3450" spans="6:13" x14ac:dyDescent="0.25">
      <c r="F3450" t="s">
        <v>4641</v>
      </c>
      <c r="G3450">
        <v>21228</v>
      </c>
      <c r="H3450">
        <v>3353</v>
      </c>
      <c r="I3450" s="25" t="s">
        <v>2074</v>
      </c>
      <c r="J3450" t="s">
        <v>2176</v>
      </c>
      <c r="M3450" s="49"/>
    </row>
    <row r="3451" spans="6:13" x14ac:dyDescent="0.25">
      <c r="F3451" t="s">
        <v>4642</v>
      </c>
      <c r="G3451">
        <v>27243</v>
      </c>
      <c r="H3451">
        <v>3458</v>
      </c>
      <c r="I3451" s="25" t="s">
        <v>2074</v>
      </c>
      <c r="J3451" t="s">
        <v>2285</v>
      </c>
      <c r="M3451" s="49"/>
    </row>
    <row r="3452" spans="6:13" x14ac:dyDescent="0.25">
      <c r="F3452" t="s">
        <v>4643</v>
      </c>
      <c r="G3452">
        <v>24955</v>
      </c>
      <c r="H3452">
        <v>1059</v>
      </c>
      <c r="I3452" s="25" t="s">
        <v>2085</v>
      </c>
      <c r="J3452" t="s">
        <v>2354</v>
      </c>
      <c r="M3452" s="49"/>
    </row>
    <row r="3453" spans="6:13" x14ac:dyDescent="0.25">
      <c r="F3453" t="s">
        <v>4644</v>
      </c>
      <c r="G3453">
        <v>95499</v>
      </c>
      <c r="H3453">
        <v>9477</v>
      </c>
      <c r="I3453" s="25" t="s">
        <v>2050</v>
      </c>
      <c r="J3453" t="s">
        <v>4385</v>
      </c>
      <c r="M3453" s="49"/>
    </row>
    <row r="3454" spans="6:13" x14ac:dyDescent="0.25">
      <c r="F3454" t="s">
        <v>4645</v>
      </c>
      <c r="G3454">
        <v>21698</v>
      </c>
      <c r="H3454">
        <v>3359</v>
      </c>
      <c r="I3454" s="25" t="s">
        <v>2074</v>
      </c>
      <c r="J3454" t="s">
        <v>2158</v>
      </c>
      <c r="M3454" s="49"/>
    </row>
    <row r="3455" spans="6:13" x14ac:dyDescent="0.25">
      <c r="F3455" t="s">
        <v>4646</v>
      </c>
      <c r="G3455">
        <v>33428</v>
      </c>
      <c r="H3455">
        <v>5754</v>
      </c>
      <c r="I3455" s="25" t="s">
        <v>2023</v>
      </c>
      <c r="J3455" t="s">
        <v>2165</v>
      </c>
      <c r="M3455" s="49"/>
    </row>
    <row r="3456" spans="6:13" x14ac:dyDescent="0.25">
      <c r="F3456" t="s">
        <v>4647</v>
      </c>
      <c r="G3456">
        <v>38829</v>
      </c>
      <c r="H3456">
        <v>15085</v>
      </c>
      <c r="I3456" s="25" t="s">
        <v>2241</v>
      </c>
      <c r="J3456" t="s">
        <v>2178</v>
      </c>
      <c r="M3456" s="49"/>
    </row>
    <row r="3457" spans="6:13" x14ac:dyDescent="0.25">
      <c r="F3457" t="s">
        <v>4648</v>
      </c>
      <c r="G3457">
        <v>31177</v>
      </c>
      <c r="H3457">
        <v>3254</v>
      </c>
      <c r="I3457" s="25" t="s">
        <v>2074</v>
      </c>
      <c r="J3457" t="s">
        <v>2196</v>
      </c>
      <c r="M3457" s="49"/>
    </row>
    <row r="3458" spans="6:13" x14ac:dyDescent="0.25">
      <c r="F3458" t="s">
        <v>4649</v>
      </c>
      <c r="G3458">
        <v>24628</v>
      </c>
      <c r="H3458">
        <v>1060</v>
      </c>
      <c r="I3458" s="25" t="s">
        <v>2085</v>
      </c>
      <c r="J3458" t="s">
        <v>2363</v>
      </c>
      <c r="M3458" s="49"/>
    </row>
    <row r="3459" spans="6:13" x14ac:dyDescent="0.25">
      <c r="F3459" t="s">
        <v>4650</v>
      </c>
      <c r="G3459">
        <v>8118</v>
      </c>
      <c r="H3459">
        <v>14524</v>
      </c>
      <c r="I3459" s="25" t="s">
        <v>2135</v>
      </c>
      <c r="J3459" t="s">
        <v>3424</v>
      </c>
      <c r="M3459" s="49"/>
    </row>
    <row r="3460" spans="6:13" x14ac:dyDescent="0.25">
      <c r="F3460" t="s">
        <v>4651</v>
      </c>
      <c r="G3460">
        <v>4746</v>
      </c>
      <c r="H3460">
        <v>14522</v>
      </c>
      <c r="I3460" s="25" t="s">
        <v>2135</v>
      </c>
      <c r="J3460" t="s">
        <v>2100</v>
      </c>
      <c r="M3460" s="49"/>
    </row>
    <row r="3461" spans="6:13" x14ac:dyDescent="0.25">
      <c r="F3461" t="s">
        <v>4652</v>
      </c>
      <c r="G3461">
        <v>67376</v>
      </c>
      <c r="H3461">
        <v>7338</v>
      </c>
      <c r="I3461" s="25" t="s">
        <v>2123</v>
      </c>
      <c r="J3461" t="s">
        <v>2448</v>
      </c>
      <c r="M3461" s="49"/>
    </row>
    <row r="3462" spans="6:13" x14ac:dyDescent="0.25">
      <c r="F3462" t="s">
        <v>4653</v>
      </c>
      <c r="G3462">
        <v>79258</v>
      </c>
      <c r="H3462">
        <v>8315</v>
      </c>
      <c r="I3462" s="25" t="s">
        <v>2018</v>
      </c>
      <c r="J3462" t="s">
        <v>2061</v>
      </c>
      <c r="M3462" s="49"/>
    </row>
    <row r="3463" spans="6:13" x14ac:dyDescent="0.25">
      <c r="F3463" t="s">
        <v>4654</v>
      </c>
      <c r="G3463">
        <v>9232</v>
      </c>
      <c r="H3463">
        <v>14522</v>
      </c>
      <c r="I3463" s="25" t="s">
        <v>2135</v>
      </c>
      <c r="J3463" t="s">
        <v>2100</v>
      </c>
      <c r="M3463" s="49"/>
    </row>
    <row r="3464" spans="6:13" x14ac:dyDescent="0.25">
      <c r="F3464" t="s">
        <v>4655</v>
      </c>
      <c r="G3464">
        <v>1762</v>
      </c>
      <c r="H3464">
        <v>14628</v>
      </c>
      <c r="I3464" s="25" t="s">
        <v>2135</v>
      </c>
      <c r="J3464" t="s">
        <v>2347</v>
      </c>
      <c r="M3464" s="49"/>
    </row>
    <row r="3465" spans="6:13" x14ac:dyDescent="0.25">
      <c r="F3465" t="s">
        <v>4656</v>
      </c>
      <c r="G3465">
        <v>55296</v>
      </c>
      <c r="H3465">
        <v>7339</v>
      </c>
      <c r="I3465" s="25" t="s">
        <v>2123</v>
      </c>
      <c r="J3465" t="s">
        <v>2238</v>
      </c>
      <c r="M3465" s="49"/>
    </row>
    <row r="3466" spans="6:13" x14ac:dyDescent="0.25">
      <c r="F3466" t="s">
        <v>4657</v>
      </c>
      <c r="G3466">
        <v>99768</v>
      </c>
      <c r="H3466">
        <v>16062</v>
      </c>
      <c r="I3466" s="25" t="s">
        <v>2384</v>
      </c>
      <c r="J3466" t="s">
        <v>1489</v>
      </c>
      <c r="M3466" s="49"/>
    </row>
    <row r="3467" spans="6:13" x14ac:dyDescent="0.25">
      <c r="F3467" t="s">
        <v>4658</v>
      </c>
      <c r="G3467">
        <v>49205</v>
      </c>
      <c r="H3467">
        <v>3459</v>
      </c>
      <c r="I3467" s="25" t="s">
        <v>2074</v>
      </c>
      <c r="J3467" t="s">
        <v>2292</v>
      </c>
      <c r="M3467" s="49"/>
    </row>
    <row r="3468" spans="6:13" x14ac:dyDescent="0.25">
      <c r="F3468" t="s">
        <v>4659</v>
      </c>
      <c r="G3468">
        <v>79686</v>
      </c>
      <c r="H3468">
        <v>8336</v>
      </c>
      <c r="I3468" s="25" t="s">
        <v>2018</v>
      </c>
      <c r="J3468" t="s">
        <v>2227</v>
      </c>
      <c r="M3468" s="49"/>
    </row>
    <row r="3469" spans="6:13" x14ac:dyDescent="0.25">
      <c r="F3469" t="s">
        <v>4660</v>
      </c>
      <c r="G3469">
        <v>94354</v>
      </c>
      <c r="H3469">
        <v>9278</v>
      </c>
      <c r="I3469" s="25" t="s">
        <v>2050</v>
      </c>
      <c r="J3469" t="s">
        <v>2170</v>
      </c>
      <c r="M3469" s="49"/>
    </row>
    <row r="3470" spans="6:13" x14ac:dyDescent="0.25">
      <c r="F3470" t="s">
        <v>4661</v>
      </c>
      <c r="G3470">
        <v>25489</v>
      </c>
      <c r="H3470">
        <v>1056</v>
      </c>
      <c r="I3470" s="25" t="s">
        <v>2085</v>
      </c>
      <c r="J3470" t="s">
        <v>2311</v>
      </c>
      <c r="M3470" s="49"/>
    </row>
    <row r="3471" spans="6:13" x14ac:dyDescent="0.25">
      <c r="F3471" t="s">
        <v>4662</v>
      </c>
      <c r="G3471">
        <v>25855</v>
      </c>
      <c r="H3471">
        <v>1054</v>
      </c>
      <c r="I3471" s="25" t="s">
        <v>2085</v>
      </c>
      <c r="J3471" t="s">
        <v>2195</v>
      </c>
      <c r="M3471" s="49"/>
    </row>
    <row r="3472" spans="6:13" x14ac:dyDescent="0.25">
      <c r="F3472" t="s">
        <v>4663</v>
      </c>
      <c r="G3472">
        <v>49740</v>
      </c>
      <c r="H3472">
        <v>3454</v>
      </c>
      <c r="I3472" s="25" t="s">
        <v>2074</v>
      </c>
      <c r="J3472" t="s">
        <v>2118</v>
      </c>
      <c r="M3472" s="49"/>
    </row>
    <row r="3473" spans="6:13" x14ac:dyDescent="0.25">
      <c r="F3473" t="s">
        <v>4664</v>
      </c>
      <c r="G3473">
        <v>97907</v>
      </c>
      <c r="H3473">
        <v>9677</v>
      </c>
      <c r="I3473" s="25" t="s">
        <v>2050</v>
      </c>
      <c r="J3473" t="s">
        <v>2527</v>
      </c>
      <c r="M3473" s="49"/>
    </row>
    <row r="3474" spans="6:13" x14ac:dyDescent="0.25">
      <c r="F3474" t="s">
        <v>4665</v>
      </c>
      <c r="G3474">
        <v>31626</v>
      </c>
      <c r="H3474">
        <v>3256</v>
      </c>
      <c r="I3474" s="25" t="s">
        <v>2074</v>
      </c>
      <c r="J3474" t="s">
        <v>2271</v>
      </c>
      <c r="M3474" s="49"/>
    </row>
    <row r="3475" spans="6:13" x14ac:dyDescent="0.25">
      <c r="F3475" t="s">
        <v>4666</v>
      </c>
      <c r="G3475">
        <v>63594</v>
      </c>
      <c r="H3475">
        <v>6435</v>
      </c>
      <c r="I3475" s="25" t="s">
        <v>2046</v>
      </c>
      <c r="J3475" t="s">
        <v>2703</v>
      </c>
      <c r="M3475" s="49"/>
    </row>
    <row r="3476" spans="6:13" x14ac:dyDescent="0.25">
      <c r="F3476" t="s">
        <v>4667</v>
      </c>
      <c r="G3476">
        <v>97437</v>
      </c>
      <c r="H3476">
        <v>9674</v>
      </c>
      <c r="I3476" s="25" t="s">
        <v>2050</v>
      </c>
      <c r="J3476" t="s">
        <v>2218</v>
      </c>
      <c r="M3476" s="49"/>
    </row>
    <row r="3477" spans="6:13" x14ac:dyDescent="0.25">
      <c r="F3477" t="s">
        <v>4668</v>
      </c>
      <c r="G3477">
        <v>67454</v>
      </c>
      <c r="H3477">
        <v>7332</v>
      </c>
      <c r="I3477" s="25" t="s">
        <v>2123</v>
      </c>
      <c r="J3477" t="s">
        <v>2440</v>
      </c>
      <c r="M3477" s="49"/>
    </row>
    <row r="3478" spans="6:13" x14ac:dyDescent="0.25">
      <c r="F3478" t="s">
        <v>4669</v>
      </c>
      <c r="G3478">
        <v>74855</v>
      </c>
      <c r="H3478">
        <v>8225</v>
      </c>
      <c r="I3478" s="25" t="s">
        <v>2018</v>
      </c>
      <c r="J3478" t="s">
        <v>2108</v>
      </c>
      <c r="M3478" s="49"/>
    </row>
    <row r="3479" spans="6:13" x14ac:dyDescent="0.25">
      <c r="F3479" t="s">
        <v>4670</v>
      </c>
      <c r="G3479">
        <v>31559</v>
      </c>
      <c r="H3479">
        <v>3257</v>
      </c>
      <c r="I3479" s="25" t="s">
        <v>2074</v>
      </c>
      <c r="J3479" t="s">
        <v>2167</v>
      </c>
      <c r="M3479" s="49"/>
    </row>
    <row r="3480" spans="6:13" x14ac:dyDescent="0.25">
      <c r="F3480" t="s">
        <v>4671</v>
      </c>
      <c r="G3480">
        <v>26209</v>
      </c>
      <c r="H3480">
        <v>3458</v>
      </c>
      <c r="I3480" s="25" t="s">
        <v>2074</v>
      </c>
      <c r="J3480" t="s">
        <v>2285</v>
      </c>
      <c r="M3480" s="49"/>
    </row>
    <row r="3481" spans="6:13" x14ac:dyDescent="0.25">
      <c r="F3481" t="s">
        <v>4672</v>
      </c>
      <c r="G3481">
        <v>73110</v>
      </c>
      <c r="H3481">
        <v>8117</v>
      </c>
      <c r="I3481" s="25" t="s">
        <v>2018</v>
      </c>
      <c r="J3481" t="s">
        <v>2089</v>
      </c>
      <c r="M3481" s="49"/>
    </row>
    <row r="3482" spans="6:13" x14ac:dyDescent="0.25">
      <c r="F3482" t="s">
        <v>4672</v>
      </c>
      <c r="G3482">
        <v>82285</v>
      </c>
      <c r="H3482">
        <v>9179</v>
      </c>
      <c r="I3482" s="25" t="s">
        <v>2050</v>
      </c>
      <c r="J3482" t="s">
        <v>2111</v>
      </c>
      <c r="M3482" s="49"/>
    </row>
    <row r="3483" spans="6:13" x14ac:dyDescent="0.25">
      <c r="F3483" t="s">
        <v>4673</v>
      </c>
      <c r="G3483">
        <v>65795</v>
      </c>
      <c r="H3483">
        <v>6436</v>
      </c>
      <c r="I3483" s="25" t="s">
        <v>2046</v>
      </c>
      <c r="J3483" t="s">
        <v>2730</v>
      </c>
      <c r="M3483" s="49"/>
    </row>
    <row r="3484" spans="6:13" x14ac:dyDescent="0.25">
      <c r="F3484" t="s">
        <v>4674</v>
      </c>
      <c r="G3484">
        <v>57644</v>
      </c>
      <c r="H3484">
        <v>7143</v>
      </c>
      <c r="I3484" s="25" t="s">
        <v>2123</v>
      </c>
      <c r="J3484" t="s">
        <v>2331</v>
      </c>
      <c r="M3484" s="49"/>
    </row>
    <row r="3485" spans="6:13" x14ac:dyDescent="0.25">
      <c r="F3485" t="s">
        <v>4675</v>
      </c>
      <c r="G3485">
        <v>45527</v>
      </c>
      <c r="H3485">
        <v>5954</v>
      </c>
      <c r="I3485" s="25" t="s">
        <v>2023</v>
      </c>
      <c r="J3485" t="s">
        <v>2124</v>
      </c>
      <c r="M3485" s="49"/>
    </row>
    <row r="3486" spans="6:13" x14ac:dyDescent="0.25">
      <c r="F3486" t="s">
        <v>4675</v>
      </c>
      <c r="G3486">
        <v>45529</v>
      </c>
      <c r="H3486">
        <v>5954</v>
      </c>
      <c r="I3486" s="25" t="s">
        <v>2023</v>
      </c>
      <c r="J3486" t="s">
        <v>2124</v>
      </c>
      <c r="M3486" s="49"/>
    </row>
    <row r="3487" spans="6:13" x14ac:dyDescent="0.25">
      <c r="F3487" t="s">
        <v>4675</v>
      </c>
      <c r="G3487">
        <v>45525</v>
      </c>
      <c r="H3487">
        <v>5954</v>
      </c>
      <c r="I3487" s="25" t="s">
        <v>2023</v>
      </c>
      <c r="J3487" t="s">
        <v>2124</v>
      </c>
      <c r="M3487" s="49"/>
    </row>
    <row r="3488" spans="6:13" x14ac:dyDescent="0.25">
      <c r="F3488" t="s">
        <v>4676</v>
      </c>
      <c r="G3488">
        <v>37197</v>
      </c>
      <c r="H3488">
        <v>3159</v>
      </c>
      <c r="I3488" s="25" t="s">
        <v>2074</v>
      </c>
      <c r="J3488" t="s">
        <v>2093</v>
      </c>
      <c r="M3488" s="49"/>
    </row>
    <row r="3489" spans="6:13" x14ac:dyDescent="0.25">
      <c r="F3489" t="s">
        <v>4676</v>
      </c>
      <c r="G3489">
        <v>37197</v>
      </c>
      <c r="H3489">
        <v>3159</v>
      </c>
      <c r="I3489" s="25" t="s">
        <v>2074</v>
      </c>
      <c r="J3489" t="s">
        <v>2093</v>
      </c>
      <c r="M3489" s="49"/>
    </row>
    <row r="3490" spans="6:13" x14ac:dyDescent="0.25">
      <c r="F3490" t="s">
        <v>4677</v>
      </c>
      <c r="G3490">
        <v>25856</v>
      </c>
      <c r="H3490">
        <v>1054</v>
      </c>
      <c r="I3490" s="25" t="s">
        <v>2085</v>
      </c>
      <c r="J3490" t="s">
        <v>2195</v>
      </c>
      <c r="M3490" s="49"/>
    </row>
    <row r="3491" spans="6:13" x14ac:dyDescent="0.25">
      <c r="F3491" t="s">
        <v>4678</v>
      </c>
      <c r="G3491">
        <v>76770</v>
      </c>
      <c r="H3491">
        <v>7334</v>
      </c>
      <c r="I3491" s="25" t="s">
        <v>2123</v>
      </c>
      <c r="J3491" t="s">
        <v>2873</v>
      </c>
      <c r="M3491" s="49"/>
    </row>
    <row r="3492" spans="6:13" x14ac:dyDescent="0.25">
      <c r="F3492" t="s">
        <v>4679</v>
      </c>
      <c r="G3492">
        <v>35116</v>
      </c>
      <c r="H3492">
        <v>6635</v>
      </c>
      <c r="I3492" s="25" t="s">
        <v>2046</v>
      </c>
      <c r="J3492" t="s">
        <v>2308</v>
      </c>
      <c r="M3492" s="49"/>
    </row>
    <row r="3493" spans="6:13" x14ac:dyDescent="0.25">
      <c r="F3493" t="s">
        <v>4680</v>
      </c>
      <c r="G3493">
        <v>76846</v>
      </c>
      <c r="H3493">
        <v>7340</v>
      </c>
      <c r="I3493" s="25" t="s">
        <v>2123</v>
      </c>
      <c r="J3493" t="s">
        <v>2826</v>
      </c>
      <c r="M3493" s="49"/>
    </row>
    <row r="3494" spans="6:13" x14ac:dyDescent="0.25">
      <c r="F3494" t="s">
        <v>4681</v>
      </c>
      <c r="G3494">
        <v>91729</v>
      </c>
      <c r="H3494">
        <v>9577</v>
      </c>
      <c r="I3494" s="25" t="s">
        <v>2050</v>
      </c>
      <c r="J3494" t="s">
        <v>2057</v>
      </c>
      <c r="M3494" s="49"/>
    </row>
    <row r="3495" spans="6:13" x14ac:dyDescent="0.25">
      <c r="F3495" t="s">
        <v>4682</v>
      </c>
      <c r="G3495">
        <v>36282</v>
      </c>
      <c r="H3495">
        <v>6632</v>
      </c>
      <c r="I3495" s="25" t="s">
        <v>2046</v>
      </c>
      <c r="J3495" t="s">
        <v>2303</v>
      </c>
      <c r="M3495" s="49"/>
    </row>
    <row r="3496" spans="6:13" x14ac:dyDescent="0.25">
      <c r="F3496" t="s">
        <v>4683</v>
      </c>
      <c r="G3496">
        <v>36166</v>
      </c>
      <c r="H3496">
        <v>6632</v>
      </c>
      <c r="I3496" s="25" t="s">
        <v>2046</v>
      </c>
      <c r="J3496" t="s">
        <v>2303</v>
      </c>
      <c r="M3496" s="49"/>
    </row>
    <row r="3497" spans="6:13" x14ac:dyDescent="0.25">
      <c r="F3497" t="s">
        <v>4684</v>
      </c>
      <c r="G3497">
        <v>89437</v>
      </c>
      <c r="H3497">
        <v>9773</v>
      </c>
      <c r="I3497" s="25" t="s">
        <v>2050</v>
      </c>
      <c r="J3497" t="s">
        <v>2231</v>
      </c>
      <c r="M3497" s="49"/>
    </row>
    <row r="3498" spans="6:13" x14ac:dyDescent="0.25">
      <c r="F3498" t="s">
        <v>4685</v>
      </c>
      <c r="G3498">
        <v>77756</v>
      </c>
      <c r="H3498">
        <v>8317</v>
      </c>
      <c r="I3498" s="25" t="s">
        <v>2018</v>
      </c>
      <c r="J3498" t="s">
        <v>2071</v>
      </c>
      <c r="M3498" s="49"/>
    </row>
    <row r="3499" spans="6:13" x14ac:dyDescent="0.25">
      <c r="F3499" t="s">
        <v>4686</v>
      </c>
      <c r="G3499">
        <v>93345</v>
      </c>
      <c r="H3499">
        <v>9273</v>
      </c>
      <c r="I3499" s="25" t="s">
        <v>2050</v>
      </c>
      <c r="J3499" t="s">
        <v>2054</v>
      </c>
      <c r="M3499" s="49"/>
    </row>
    <row r="3500" spans="6:13" x14ac:dyDescent="0.25">
      <c r="F3500" t="s">
        <v>4686</v>
      </c>
      <c r="G3500">
        <v>91353</v>
      </c>
      <c r="H3500">
        <v>9474</v>
      </c>
      <c r="I3500" s="25" t="s">
        <v>2050</v>
      </c>
      <c r="J3500" t="s">
        <v>3692</v>
      </c>
      <c r="M3500" s="49"/>
    </row>
    <row r="3501" spans="6:13" x14ac:dyDescent="0.25">
      <c r="F3501" t="s">
        <v>4686</v>
      </c>
      <c r="G3501">
        <v>63840</v>
      </c>
      <c r="H3501">
        <v>9676</v>
      </c>
      <c r="I3501" s="25" t="s">
        <v>2050</v>
      </c>
      <c r="J3501" t="s">
        <v>2381</v>
      </c>
      <c r="M3501" s="49"/>
    </row>
    <row r="3502" spans="6:13" x14ac:dyDescent="0.25">
      <c r="F3502" t="s">
        <v>4687</v>
      </c>
      <c r="G3502">
        <v>72361</v>
      </c>
      <c r="H3502">
        <v>8417</v>
      </c>
      <c r="I3502" s="25" t="s">
        <v>2018</v>
      </c>
      <c r="J3502" t="s">
        <v>2269</v>
      </c>
      <c r="M3502" s="49"/>
    </row>
    <row r="3503" spans="6:13" x14ac:dyDescent="0.25">
      <c r="F3503" t="s">
        <v>4688</v>
      </c>
      <c r="G3503">
        <v>97262</v>
      </c>
      <c r="H3503">
        <v>9679</v>
      </c>
      <c r="I3503" s="25" t="s">
        <v>2050</v>
      </c>
      <c r="J3503" t="s">
        <v>2428</v>
      </c>
      <c r="M3503" s="49"/>
    </row>
    <row r="3504" spans="6:13" x14ac:dyDescent="0.25">
      <c r="F3504" t="s">
        <v>4689</v>
      </c>
      <c r="G3504">
        <v>79688</v>
      </c>
      <c r="H3504">
        <v>8336</v>
      </c>
      <c r="I3504" s="25" t="s">
        <v>2018</v>
      </c>
      <c r="J3504" t="s">
        <v>2227</v>
      </c>
      <c r="M3504" s="49"/>
    </row>
    <row r="3505" spans="6:13" x14ac:dyDescent="0.25">
      <c r="F3505" t="s">
        <v>4690</v>
      </c>
      <c r="G3505">
        <v>78595</v>
      </c>
      <c r="H3505">
        <v>8327</v>
      </c>
      <c r="I3505" s="25" t="s">
        <v>2018</v>
      </c>
      <c r="J3505" t="s">
        <v>2277</v>
      </c>
      <c r="M3505" s="49"/>
    </row>
    <row r="3506" spans="6:13" x14ac:dyDescent="0.25">
      <c r="F3506" t="s">
        <v>4691</v>
      </c>
      <c r="G3506">
        <v>83734</v>
      </c>
      <c r="H3506">
        <v>9182</v>
      </c>
      <c r="I3506" s="25" t="s">
        <v>2050</v>
      </c>
      <c r="J3506" t="s">
        <v>2254</v>
      </c>
      <c r="M3506" s="49"/>
    </row>
    <row r="3507" spans="6:13" x14ac:dyDescent="0.25">
      <c r="F3507" t="s">
        <v>4692</v>
      </c>
      <c r="G3507">
        <v>94051</v>
      </c>
      <c r="H3507">
        <v>9275</v>
      </c>
      <c r="I3507" s="25" t="s">
        <v>2050</v>
      </c>
      <c r="J3507" t="s">
        <v>2198</v>
      </c>
      <c r="M3507" s="49"/>
    </row>
    <row r="3508" spans="6:13" x14ac:dyDescent="0.25">
      <c r="F3508" t="s">
        <v>4693</v>
      </c>
      <c r="G3508">
        <v>39539</v>
      </c>
      <c r="H3508">
        <v>15090</v>
      </c>
      <c r="I3508" s="25" t="s">
        <v>2241</v>
      </c>
      <c r="J3508" t="s">
        <v>2382</v>
      </c>
      <c r="M3508" s="49"/>
    </row>
    <row r="3509" spans="6:13" x14ac:dyDescent="0.25">
      <c r="F3509" t="s">
        <v>4694</v>
      </c>
      <c r="G3509">
        <v>14798</v>
      </c>
      <c r="H3509">
        <v>12069</v>
      </c>
      <c r="I3509" s="25" t="s">
        <v>2356</v>
      </c>
      <c r="J3509" t="s">
        <v>2857</v>
      </c>
      <c r="M3509" s="49"/>
    </row>
    <row r="3510" spans="6:13" x14ac:dyDescent="0.25">
      <c r="F3510" t="s">
        <v>4695</v>
      </c>
      <c r="G3510">
        <v>38275</v>
      </c>
      <c r="H3510">
        <v>3158</v>
      </c>
      <c r="I3510" s="25" t="s">
        <v>2074</v>
      </c>
      <c r="J3510" t="s">
        <v>2434</v>
      </c>
      <c r="M3510" s="49"/>
    </row>
    <row r="3511" spans="6:13" x14ac:dyDescent="0.25">
      <c r="F3511" t="s">
        <v>4696</v>
      </c>
      <c r="G3511">
        <v>24873</v>
      </c>
      <c r="H3511">
        <v>1059</v>
      </c>
      <c r="I3511" s="25" t="s">
        <v>2085</v>
      </c>
      <c r="J3511" t="s">
        <v>2354</v>
      </c>
      <c r="M3511" s="49"/>
    </row>
    <row r="3512" spans="6:13" x14ac:dyDescent="0.25">
      <c r="F3512" t="s">
        <v>4697</v>
      </c>
      <c r="G3512">
        <v>48329</v>
      </c>
      <c r="H3512">
        <v>5558</v>
      </c>
      <c r="I3512" s="25" t="s">
        <v>2023</v>
      </c>
      <c r="J3512" t="s">
        <v>2076</v>
      </c>
      <c r="M3512" s="49"/>
    </row>
    <row r="3513" spans="6:13" x14ac:dyDescent="0.25">
      <c r="F3513" t="s">
        <v>4698</v>
      </c>
      <c r="G3513">
        <v>87749</v>
      </c>
      <c r="H3513">
        <v>9778</v>
      </c>
      <c r="I3513" s="25" t="s">
        <v>2050</v>
      </c>
      <c r="J3513" t="s">
        <v>2460</v>
      </c>
      <c r="M3513" s="49"/>
    </row>
    <row r="3514" spans="6:13" x14ac:dyDescent="0.25">
      <c r="F3514" t="s">
        <v>4699</v>
      </c>
      <c r="G3514">
        <v>72534</v>
      </c>
      <c r="H3514">
        <v>8415</v>
      </c>
      <c r="I3514" s="25" t="s">
        <v>2018</v>
      </c>
      <c r="J3514" t="s">
        <v>2325</v>
      </c>
      <c r="M3514" s="49"/>
    </row>
    <row r="3515" spans="6:13" x14ac:dyDescent="0.25">
      <c r="F3515" t="s">
        <v>4700</v>
      </c>
      <c r="G3515">
        <v>84332</v>
      </c>
      <c r="H3515">
        <v>9277</v>
      </c>
      <c r="I3515" s="25" t="s">
        <v>2050</v>
      </c>
      <c r="J3515" t="s">
        <v>2529</v>
      </c>
      <c r="M3515" s="49"/>
    </row>
    <row r="3516" spans="6:13" x14ac:dyDescent="0.25">
      <c r="F3516" t="s">
        <v>4701</v>
      </c>
      <c r="G3516">
        <v>85241</v>
      </c>
      <c r="H3516">
        <v>9174</v>
      </c>
      <c r="I3516" s="25" t="s">
        <v>2050</v>
      </c>
      <c r="J3516" t="s">
        <v>2445</v>
      </c>
      <c r="M3516" s="49"/>
    </row>
    <row r="3517" spans="6:13" x14ac:dyDescent="0.25">
      <c r="F3517" t="s">
        <v>4702</v>
      </c>
      <c r="G3517">
        <v>72379</v>
      </c>
      <c r="H3517">
        <v>8417</v>
      </c>
      <c r="I3517" s="25" t="s">
        <v>2018</v>
      </c>
      <c r="J3517" t="s">
        <v>2269</v>
      </c>
      <c r="M3517" s="49"/>
    </row>
    <row r="3518" spans="6:13" x14ac:dyDescent="0.25">
      <c r="F3518" t="s">
        <v>4703</v>
      </c>
      <c r="G3518">
        <v>21755</v>
      </c>
      <c r="H3518">
        <v>3352</v>
      </c>
      <c r="I3518" s="25" t="s">
        <v>2074</v>
      </c>
      <c r="J3518" t="s">
        <v>2079</v>
      </c>
      <c r="M3518" s="49"/>
    </row>
    <row r="3519" spans="6:13" x14ac:dyDescent="0.25">
      <c r="F3519" t="s">
        <v>4704</v>
      </c>
      <c r="G3519">
        <v>39444</v>
      </c>
      <c r="H3519">
        <v>15089</v>
      </c>
      <c r="I3519" s="25" t="s">
        <v>2241</v>
      </c>
      <c r="J3519" t="s">
        <v>2351</v>
      </c>
      <c r="M3519" s="49"/>
    </row>
    <row r="3520" spans="6:13" x14ac:dyDescent="0.25">
      <c r="F3520" t="s">
        <v>4705</v>
      </c>
      <c r="G3520">
        <v>68542</v>
      </c>
      <c r="H3520">
        <v>8226</v>
      </c>
      <c r="I3520" s="25" t="s">
        <v>2018</v>
      </c>
      <c r="J3520" t="s">
        <v>2442</v>
      </c>
      <c r="M3520" s="49"/>
    </row>
    <row r="3521" spans="6:13" x14ac:dyDescent="0.25">
      <c r="F3521" t="s">
        <v>4706</v>
      </c>
      <c r="G3521">
        <v>38322</v>
      </c>
      <c r="H3521">
        <v>3158</v>
      </c>
      <c r="I3521" s="25" t="s">
        <v>2074</v>
      </c>
      <c r="J3521" t="s">
        <v>2434</v>
      </c>
      <c r="M3521" s="49"/>
    </row>
    <row r="3522" spans="6:13" x14ac:dyDescent="0.25">
      <c r="F3522" t="s">
        <v>4707</v>
      </c>
      <c r="G3522">
        <v>6458</v>
      </c>
      <c r="H3522">
        <v>15085</v>
      </c>
      <c r="I3522" s="25" t="s">
        <v>2241</v>
      </c>
      <c r="J3522" t="s">
        <v>2178</v>
      </c>
      <c r="M3522" s="49"/>
    </row>
    <row r="3523" spans="6:13" x14ac:dyDescent="0.25">
      <c r="F3523" t="s">
        <v>4708</v>
      </c>
      <c r="G3523">
        <v>48619</v>
      </c>
      <c r="H3523">
        <v>5554</v>
      </c>
      <c r="I3523" s="25" t="s">
        <v>2023</v>
      </c>
      <c r="J3523" t="s">
        <v>2055</v>
      </c>
      <c r="M3523" s="49"/>
    </row>
    <row r="3524" spans="6:13" x14ac:dyDescent="0.25">
      <c r="F3524" t="s">
        <v>4709</v>
      </c>
      <c r="G3524">
        <v>31622</v>
      </c>
      <c r="H3524">
        <v>3256</v>
      </c>
      <c r="I3524" s="25" t="s">
        <v>2074</v>
      </c>
      <c r="J3524" t="s">
        <v>2271</v>
      </c>
      <c r="M3524" s="49"/>
    </row>
    <row r="3525" spans="6:13" x14ac:dyDescent="0.25">
      <c r="F3525" t="s">
        <v>4710</v>
      </c>
      <c r="G3525">
        <v>38277</v>
      </c>
      <c r="H3525">
        <v>3158</v>
      </c>
      <c r="I3525" s="25" t="s">
        <v>2074</v>
      </c>
      <c r="J3525" t="s">
        <v>2434</v>
      </c>
      <c r="M3525" s="49"/>
    </row>
    <row r="3526" spans="6:13" x14ac:dyDescent="0.25">
      <c r="F3526" t="s">
        <v>4711</v>
      </c>
      <c r="G3526">
        <v>31707</v>
      </c>
      <c r="H3526">
        <v>3257</v>
      </c>
      <c r="I3526" s="25" t="s">
        <v>2074</v>
      </c>
      <c r="J3526" t="s">
        <v>2167</v>
      </c>
      <c r="M3526" s="49"/>
    </row>
    <row r="3527" spans="6:13" x14ac:dyDescent="0.25">
      <c r="F3527" t="s">
        <v>4712</v>
      </c>
      <c r="G3527">
        <v>25746</v>
      </c>
      <c r="H3527">
        <v>1051</v>
      </c>
      <c r="I3527" s="25" t="s">
        <v>2085</v>
      </c>
      <c r="J3527" t="s">
        <v>2097</v>
      </c>
      <c r="M3527" s="49"/>
    </row>
    <row r="3528" spans="6:13" x14ac:dyDescent="0.25">
      <c r="F3528" t="s">
        <v>4713</v>
      </c>
      <c r="G3528">
        <v>91180</v>
      </c>
      <c r="H3528">
        <v>9576</v>
      </c>
      <c r="I3528" s="25" t="s">
        <v>2050</v>
      </c>
      <c r="J3528" t="s">
        <v>2051</v>
      </c>
      <c r="M3528" s="49"/>
    </row>
    <row r="3529" spans="6:13" x14ac:dyDescent="0.25">
      <c r="F3529" t="s">
        <v>4714</v>
      </c>
      <c r="G3529">
        <v>69121</v>
      </c>
      <c r="H3529">
        <v>8221</v>
      </c>
      <c r="I3529" s="25" t="s">
        <v>2018</v>
      </c>
      <c r="J3529" t="s">
        <v>4715</v>
      </c>
      <c r="M3529" s="49"/>
    </row>
    <row r="3530" spans="6:13" x14ac:dyDescent="0.25">
      <c r="F3530" t="s">
        <v>4714</v>
      </c>
      <c r="G3530">
        <v>69115</v>
      </c>
      <c r="H3530">
        <v>8221</v>
      </c>
      <c r="I3530" s="25" t="s">
        <v>2018</v>
      </c>
      <c r="J3530" t="s">
        <v>4715</v>
      </c>
      <c r="M3530" s="49"/>
    </row>
    <row r="3531" spans="6:13" x14ac:dyDescent="0.25">
      <c r="F3531" t="s">
        <v>4714</v>
      </c>
      <c r="G3531">
        <v>69123</v>
      </c>
      <c r="H3531">
        <v>8221</v>
      </c>
      <c r="I3531" s="25" t="s">
        <v>2018</v>
      </c>
      <c r="J3531" t="s">
        <v>4715</v>
      </c>
      <c r="M3531" s="49"/>
    </row>
    <row r="3532" spans="6:13" x14ac:dyDescent="0.25">
      <c r="F3532" t="s">
        <v>4714</v>
      </c>
      <c r="G3532">
        <v>69117</v>
      </c>
      <c r="H3532">
        <v>8221</v>
      </c>
      <c r="I3532" s="25" t="s">
        <v>2018</v>
      </c>
      <c r="J3532" t="s">
        <v>4715</v>
      </c>
      <c r="M3532" s="49"/>
    </row>
    <row r="3533" spans="6:13" x14ac:dyDescent="0.25">
      <c r="F3533" t="s">
        <v>4714</v>
      </c>
      <c r="G3533">
        <v>69118</v>
      </c>
      <c r="H3533">
        <v>8221</v>
      </c>
      <c r="I3533" s="25" t="s">
        <v>2018</v>
      </c>
      <c r="J3533" t="s">
        <v>4715</v>
      </c>
      <c r="M3533" s="49"/>
    </row>
    <row r="3534" spans="6:13" x14ac:dyDescent="0.25">
      <c r="F3534" t="s">
        <v>4714</v>
      </c>
      <c r="G3534">
        <v>69126</v>
      </c>
      <c r="H3534">
        <v>8221</v>
      </c>
      <c r="I3534" s="25" t="s">
        <v>2018</v>
      </c>
      <c r="J3534" t="s">
        <v>4715</v>
      </c>
      <c r="M3534" s="49"/>
    </row>
    <row r="3535" spans="6:13" x14ac:dyDescent="0.25">
      <c r="F3535" t="s">
        <v>4714</v>
      </c>
      <c r="G3535">
        <v>69124</v>
      </c>
      <c r="H3535">
        <v>8221</v>
      </c>
      <c r="I3535" s="25" t="s">
        <v>2018</v>
      </c>
      <c r="J3535" t="s">
        <v>4715</v>
      </c>
      <c r="M3535" s="49"/>
    </row>
    <row r="3536" spans="6:13" x14ac:dyDescent="0.25">
      <c r="F3536" t="s">
        <v>4714</v>
      </c>
      <c r="G3536">
        <v>69120</v>
      </c>
      <c r="H3536">
        <v>8221</v>
      </c>
      <c r="I3536" s="25" t="s">
        <v>2018</v>
      </c>
      <c r="J3536" t="s">
        <v>4715</v>
      </c>
      <c r="M3536" s="49"/>
    </row>
    <row r="3537" spans="6:13" x14ac:dyDescent="0.25">
      <c r="F3537" t="s">
        <v>4716</v>
      </c>
      <c r="G3537">
        <v>46359</v>
      </c>
      <c r="H3537">
        <v>5554</v>
      </c>
      <c r="I3537" s="25" t="s">
        <v>2023</v>
      </c>
      <c r="J3537" t="s">
        <v>2055</v>
      </c>
      <c r="M3537" s="49"/>
    </row>
    <row r="3538" spans="6:13" x14ac:dyDescent="0.25">
      <c r="F3538" t="s">
        <v>4717</v>
      </c>
      <c r="G3538">
        <v>21258</v>
      </c>
      <c r="H3538">
        <v>3353</v>
      </c>
      <c r="I3538" s="25" t="s">
        <v>2074</v>
      </c>
      <c r="J3538" t="s">
        <v>2176</v>
      </c>
      <c r="M3538" s="49"/>
    </row>
    <row r="3539" spans="6:13" x14ac:dyDescent="0.25">
      <c r="F3539" t="s">
        <v>4717</v>
      </c>
      <c r="G3539">
        <v>1809</v>
      </c>
      <c r="H3539">
        <v>14628</v>
      </c>
      <c r="I3539" s="25" t="s">
        <v>2135</v>
      </c>
      <c r="J3539" t="s">
        <v>2347</v>
      </c>
      <c r="M3539" s="49"/>
    </row>
    <row r="3540" spans="6:13" x14ac:dyDescent="0.25">
      <c r="F3540" t="s">
        <v>2816</v>
      </c>
      <c r="G3540">
        <v>91719</v>
      </c>
      <c r="H3540">
        <v>9577</v>
      </c>
      <c r="I3540" s="25" t="s">
        <v>2050</v>
      </c>
      <c r="J3540" t="s">
        <v>2057</v>
      </c>
      <c r="M3540" s="49"/>
    </row>
    <row r="3541" spans="6:13" x14ac:dyDescent="0.25">
      <c r="F3541" t="s">
        <v>4718</v>
      </c>
      <c r="G3541">
        <v>89520</v>
      </c>
      <c r="H3541">
        <v>8135</v>
      </c>
      <c r="I3541" s="25" t="s">
        <v>2018</v>
      </c>
      <c r="J3541" t="s">
        <v>2816</v>
      </c>
      <c r="M3541" s="49"/>
    </row>
    <row r="3542" spans="6:13" x14ac:dyDescent="0.25">
      <c r="F3542" t="s">
        <v>4718</v>
      </c>
      <c r="G3542">
        <v>89518</v>
      </c>
      <c r="H3542">
        <v>8135</v>
      </c>
      <c r="I3542" s="25" t="s">
        <v>2018</v>
      </c>
      <c r="J3542" t="s">
        <v>2816</v>
      </c>
      <c r="M3542" s="49"/>
    </row>
    <row r="3543" spans="6:13" x14ac:dyDescent="0.25">
      <c r="F3543" t="s">
        <v>4718</v>
      </c>
      <c r="G3543">
        <v>89522</v>
      </c>
      <c r="H3543">
        <v>8135</v>
      </c>
      <c r="I3543" s="25" t="s">
        <v>2018</v>
      </c>
      <c r="J3543" t="s">
        <v>2816</v>
      </c>
      <c r="M3543" s="49"/>
    </row>
    <row r="3544" spans="6:13" x14ac:dyDescent="0.25">
      <c r="F3544" t="s">
        <v>4719</v>
      </c>
      <c r="G3544">
        <v>65321</v>
      </c>
      <c r="H3544">
        <v>6439</v>
      </c>
      <c r="I3544" s="25" t="s">
        <v>2046</v>
      </c>
      <c r="J3544" t="s">
        <v>2047</v>
      </c>
      <c r="M3544" s="49"/>
    </row>
    <row r="3545" spans="6:13" x14ac:dyDescent="0.25">
      <c r="F3545" t="s">
        <v>4720</v>
      </c>
      <c r="G3545">
        <v>15754</v>
      </c>
      <c r="H3545">
        <v>12061</v>
      </c>
      <c r="I3545" s="25" t="s">
        <v>2356</v>
      </c>
      <c r="J3545" t="s">
        <v>3033</v>
      </c>
      <c r="M3545" s="49"/>
    </row>
    <row r="3546" spans="6:13" x14ac:dyDescent="0.25">
      <c r="F3546" t="s">
        <v>4721</v>
      </c>
      <c r="G3546">
        <v>55262</v>
      </c>
      <c r="H3546">
        <v>7339</v>
      </c>
      <c r="I3546" s="25" t="s">
        <v>2123</v>
      </c>
      <c r="J3546" t="s">
        <v>2238</v>
      </c>
      <c r="M3546" s="49"/>
    </row>
    <row r="3547" spans="6:13" x14ac:dyDescent="0.25">
      <c r="F3547" t="s">
        <v>4722</v>
      </c>
      <c r="G3547">
        <v>63869</v>
      </c>
      <c r="H3547">
        <v>9671</v>
      </c>
      <c r="I3547" s="25" t="s">
        <v>2050</v>
      </c>
      <c r="J3547" t="s">
        <v>2453</v>
      </c>
      <c r="M3547" s="49"/>
    </row>
    <row r="3548" spans="6:13" x14ac:dyDescent="0.25">
      <c r="F3548" t="s">
        <v>4723</v>
      </c>
      <c r="G3548">
        <v>24226</v>
      </c>
      <c r="H3548">
        <v>1057</v>
      </c>
      <c r="I3548" s="25" t="s">
        <v>2085</v>
      </c>
      <c r="J3548" t="s">
        <v>2313</v>
      </c>
      <c r="M3548" s="49"/>
    </row>
    <row r="3549" spans="6:13" x14ac:dyDescent="0.25">
      <c r="F3549" t="s">
        <v>2060</v>
      </c>
      <c r="G3549">
        <v>74076</v>
      </c>
      <c r="H3549">
        <v>8121</v>
      </c>
      <c r="I3549" s="25" t="s">
        <v>2018</v>
      </c>
      <c r="J3549" t="s">
        <v>4724</v>
      </c>
      <c r="M3549" s="49"/>
    </row>
    <row r="3550" spans="6:13" x14ac:dyDescent="0.25">
      <c r="F3550" t="s">
        <v>2060</v>
      </c>
      <c r="G3550">
        <v>74080</v>
      </c>
      <c r="H3550">
        <v>8121</v>
      </c>
      <c r="I3550" s="25" t="s">
        <v>2018</v>
      </c>
      <c r="J3550" t="s">
        <v>4724</v>
      </c>
      <c r="M3550" s="49"/>
    </row>
    <row r="3551" spans="6:13" x14ac:dyDescent="0.25">
      <c r="F3551" t="s">
        <v>2060</v>
      </c>
      <c r="G3551">
        <v>74081</v>
      </c>
      <c r="H3551">
        <v>8121</v>
      </c>
      <c r="I3551" s="25" t="s">
        <v>2018</v>
      </c>
      <c r="J3551" t="s">
        <v>4724</v>
      </c>
      <c r="M3551" s="49"/>
    </row>
    <row r="3552" spans="6:13" x14ac:dyDescent="0.25">
      <c r="F3552" t="s">
        <v>2060</v>
      </c>
      <c r="G3552">
        <v>74078</v>
      </c>
      <c r="H3552">
        <v>8121</v>
      </c>
      <c r="I3552" s="25" t="s">
        <v>2018</v>
      </c>
      <c r="J3552" t="s">
        <v>4724</v>
      </c>
      <c r="M3552" s="49"/>
    </row>
    <row r="3553" spans="6:13" x14ac:dyDescent="0.25">
      <c r="F3553" t="s">
        <v>2060</v>
      </c>
      <c r="G3553">
        <v>74074</v>
      </c>
      <c r="H3553">
        <v>8121</v>
      </c>
      <c r="I3553" s="25" t="s">
        <v>2018</v>
      </c>
      <c r="J3553" t="s">
        <v>4724</v>
      </c>
      <c r="M3553" s="49"/>
    </row>
    <row r="3554" spans="6:13" x14ac:dyDescent="0.25">
      <c r="F3554" t="s">
        <v>2060</v>
      </c>
      <c r="G3554">
        <v>74072</v>
      </c>
      <c r="H3554">
        <v>8121</v>
      </c>
      <c r="I3554" s="25" t="s">
        <v>2018</v>
      </c>
      <c r="J3554" t="s">
        <v>4724</v>
      </c>
      <c r="M3554" s="49"/>
    </row>
    <row r="3555" spans="6:13" x14ac:dyDescent="0.25">
      <c r="F3555" t="s">
        <v>4725</v>
      </c>
      <c r="G3555">
        <v>88633</v>
      </c>
      <c r="H3555">
        <v>8435</v>
      </c>
      <c r="I3555" s="25" t="s">
        <v>2018</v>
      </c>
      <c r="J3555" t="s">
        <v>3011</v>
      </c>
      <c r="M3555" s="49"/>
    </row>
    <row r="3556" spans="6:13" x14ac:dyDescent="0.25">
      <c r="F3556" t="s">
        <v>4726</v>
      </c>
      <c r="G3556">
        <v>23774</v>
      </c>
      <c r="H3556">
        <v>1055</v>
      </c>
      <c r="I3556" s="25" t="s">
        <v>2085</v>
      </c>
      <c r="J3556" t="s">
        <v>2185</v>
      </c>
      <c r="M3556" s="49"/>
    </row>
    <row r="3557" spans="6:13" x14ac:dyDescent="0.25">
      <c r="F3557" t="s">
        <v>4727</v>
      </c>
      <c r="G3557">
        <v>42579</v>
      </c>
      <c r="H3557">
        <v>5158</v>
      </c>
      <c r="I3557" s="25" t="s">
        <v>2023</v>
      </c>
      <c r="J3557" t="s">
        <v>2252</v>
      </c>
      <c r="M3557" s="49"/>
    </row>
    <row r="3558" spans="6:13" x14ac:dyDescent="0.25">
      <c r="F3558" t="s">
        <v>4728</v>
      </c>
      <c r="G3558">
        <v>37308</v>
      </c>
      <c r="H3558">
        <v>16061</v>
      </c>
      <c r="I3558" s="25" t="s">
        <v>2384</v>
      </c>
      <c r="J3558" t="s">
        <v>2109</v>
      </c>
      <c r="M3558" s="49"/>
    </row>
    <row r="3559" spans="6:13" x14ac:dyDescent="0.25">
      <c r="F3559" t="s">
        <v>4729</v>
      </c>
      <c r="G3559">
        <v>91332</v>
      </c>
      <c r="H3559">
        <v>9471</v>
      </c>
      <c r="I3559" s="25" t="s">
        <v>2050</v>
      </c>
      <c r="J3559" t="s">
        <v>2392</v>
      </c>
      <c r="M3559" s="49"/>
    </row>
    <row r="3560" spans="6:13" x14ac:dyDescent="0.25">
      <c r="F3560" t="s">
        <v>4730</v>
      </c>
      <c r="G3560">
        <v>69253</v>
      </c>
      <c r="H3560">
        <v>8226</v>
      </c>
      <c r="I3560" s="25" t="s">
        <v>2018</v>
      </c>
      <c r="J3560" t="s">
        <v>2442</v>
      </c>
      <c r="M3560" s="49"/>
    </row>
    <row r="3561" spans="6:13" x14ac:dyDescent="0.25">
      <c r="F3561" t="s">
        <v>4731</v>
      </c>
      <c r="G3561">
        <v>91560</v>
      </c>
      <c r="H3561">
        <v>9571</v>
      </c>
      <c r="I3561" s="25" t="s">
        <v>2050</v>
      </c>
      <c r="J3561" t="s">
        <v>2113</v>
      </c>
      <c r="M3561" s="49"/>
    </row>
    <row r="3562" spans="6:13" x14ac:dyDescent="0.25">
      <c r="F3562" t="s">
        <v>4732</v>
      </c>
      <c r="G3562">
        <v>52396</v>
      </c>
      <c r="H3562">
        <v>5358</v>
      </c>
      <c r="I3562" s="25" t="s">
        <v>2023</v>
      </c>
      <c r="J3562" t="s">
        <v>2106</v>
      </c>
      <c r="M3562" s="49"/>
    </row>
    <row r="3563" spans="6:13" x14ac:dyDescent="0.25">
      <c r="F3563" t="s">
        <v>4732</v>
      </c>
      <c r="G3563">
        <v>55779</v>
      </c>
      <c r="H3563">
        <v>7134</v>
      </c>
      <c r="I3563" s="25" t="s">
        <v>2123</v>
      </c>
      <c r="J3563" t="s">
        <v>2048</v>
      </c>
      <c r="M3563" s="49"/>
    </row>
    <row r="3564" spans="6:13" x14ac:dyDescent="0.25">
      <c r="F3564" t="s">
        <v>4733</v>
      </c>
      <c r="G3564">
        <v>63872</v>
      </c>
      <c r="H3564">
        <v>9671</v>
      </c>
      <c r="I3564" s="25" t="s">
        <v>2050</v>
      </c>
      <c r="J3564" t="s">
        <v>2453</v>
      </c>
      <c r="M3564" s="49"/>
    </row>
    <row r="3565" spans="6:13" x14ac:dyDescent="0.25">
      <c r="F3565" t="s">
        <v>4734</v>
      </c>
      <c r="G3565">
        <v>88178</v>
      </c>
      <c r="H3565">
        <v>9776</v>
      </c>
      <c r="I3565" s="25" t="s">
        <v>2050</v>
      </c>
      <c r="J3565" t="s">
        <v>4735</v>
      </c>
      <c r="M3565" s="49"/>
    </row>
    <row r="3566" spans="6:13" x14ac:dyDescent="0.25">
      <c r="F3566" t="s">
        <v>4736</v>
      </c>
      <c r="G3566">
        <v>87751</v>
      </c>
      <c r="H3566">
        <v>9778</v>
      </c>
      <c r="I3566" s="25" t="s">
        <v>2050</v>
      </c>
      <c r="J3566" t="s">
        <v>2460</v>
      </c>
      <c r="M3566" s="49"/>
    </row>
    <row r="3567" spans="6:13" x14ac:dyDescent="0.25">
      <c r="F3567" t="s">
        <v>4737</v>
      </c>
      <c r="G3567">
        <v>71296</v>
      </c>
      <c r="H3567">
        <v>8236</v>
      </c>
      <c r="I3567" s="25" t="s">
        <v>2018</v>
      </c>
      <c r="J3567" t="s">
        <v>3087</v>
      </c>
      <c r="M3567" s="49"/>
    </row>
    <row r="3568" spans="6:13" x14ac:dyDescent="0.25">
      <c r="F3568" t="s">
        <v>4738</v>
      </c>
      <c r="G3568">
        <v>95500</v>
      </c>
      <c r="H3568">
        <v>9472</v>
      </c>
      <c r="I3568" s="25" t="s">
        <v>2050</v>
      </c>
      <c r="J3568" t="s">
        <v>2180</v>
      </c>
      <c r="M3568" s="49"/>
    </row>
    <row r="3569" spans="6:13" x14ac:dyDescent="0.25">
      <c r="F3569" t="s">
        <v>4739</v>
      </c>
      <c r="G3569">
        <v>73092</v>
      </c>
      <c r="H3569">
        <v>8117</v>
      </c>
      <c r="I3569" s="25" t="s">
        <v>2018</v>
      </c>
      <c r="J3569" t="s">
        <v>2089</v>
      </c>
      <c r="M3569" s="49"/>
    </row>
    <row r="3570" spans="6:13" x14ac:dyDescent="0.25">
      <c r="F3570" t="s">
        <v>4740</v>
      </c>
      <c r="G3570">
        <v>63871</v>
      </c>
      <c r="H3570">
        <v>9671</v>
      </c>
      <c r="I3570" s="25" t="s">
        <v>2050</v>
      </c>
      <c r="J3570" t="s">
        <v>2453</v>
      </c>
      <c r="M3570" s="49"/>
    </row>
    <row r="3571" spans="6:13" x14ac:dyDescent="0.25">
      <c r="F3571" t="s">
        <v>4741</v>
      </c>
      <c r="G3571">
        <v>37649</v>
      </c>
      <c r="H3571">
        <v>3255</v>
      </c>
      <c r="I3571" s="25" t="s">
        <v>2074</v>
      </c>
      <c r="J3571" t="s">
        <v>3044</v>
      </c>
      <c r="M3571" s="49"/>
    </row>
    <row r="3572" spans="6:13" x14ac:dyDescent="0.25">
      <c r="F3572" t="s">
        <v>4742</v>
      </c>
      <c r="G3572">
        <v>25492</v>
      </c>
      <c r="H3572">
        <v>1056</v>
      </c>
      <c r="I3572" s="25" t="s">
        <v>2085</v>
      </c>
      <c r="J3572" t="s">
        <v>2311</v>
      </c>
      <c r="M3572" s="49"/>
    </row>
    <row r="3573" spans="6:13" x14ac:dyDescent="0.25">
      <c r="F3573" t="s">
        <v>4743</v>
      </c>
      <c r="G3573">
        <v>79423</v>
      </c>
      <c r="H3573">
        <v>8315</v>
      </c>
      <c r="I3573" s="25" t="s">
        <v>2018</v>
      </c>
      <c r="J3573" t="s">
        <v>2061</v>
      </c>
      <c r="M3573" s="49"/>
    </row>
    <row r="3574" spans="6:13" x14ac:dyDescent="0.25">
      <c r="F3574" t="s">
        <v>4743</v>
      </c>
      <c r="G3574">
        <v>79423</v>
      </c>
      <c r="H3574">
        <v>8315</v>
      </c>
      <c r="I3574" s="25" t="s">
        <v>2018</v>
      </c>
      <c r="J3574" t="s">
        <v>2061</v>
      </c>
      <c r="M3574" s="49"/>
    </row>
    <row r="3575" spans="6:13" x14ac:dyDescent="0.25">
      <c r="F3575" t="s">
        <v>4744</v>
      </c>
      <c r="G3575">
        <v>6311</v>
      </c>
      <c r="H3575">
        <v>15087</v>
      </c>
      <c r="I3575" s="25" t="s">
        <v>2241</v>
      </c>
      <c r="J3575" t="s">
        <v>2324</v>
      </c>
      <c r="M3575" s="49"/>
    </row>
    <row r="3576" spans="6:13" x14ac:dyDescent="0.25">
      <c r="F3576" t="s">
        <v>4745</v>
      </c>
      <c r="G3576">
        <v>84431</v>
      </c>
      <c r="H3576">
        <v>9183</v>
      </c>
      <c r="I3576" s="25" t="s">
        <v>2050</v>
      </c>
      <c r="J3576" t="s">
        <v>2474</v>
      </c>
      <c r="M3576" s="49"/>
    </row>
    <row r="3577" spans="6:13" x14ac:dyDescent="0.25">
      <c r="F3577" t="s">
        <v>4746</v>
      </c>
      <c r="G3577">
        <v>6577</v>
      </c>
      <c r="H3577">
        <v>16065</v>
      </c>
      <c r="I3577" s="25" t="s">
        <v>2384</v>
      </c>
      <c r="J3577" t="s">
        <v>2532</v>
      </c>
      <c r="M3577" s="49"/>
    </row>
    <row r="3578" spans="6:13" x14ac:dyDescent="0.25">
      <c r="F3578" t="s">
        <v>4747</v>
      </c>
      <c r="G3578">
        <v>27498</v>
      </c>
      <c r="H3578">
        <v>1056</v>
      </c>
      <c r="I3578" s="25" t="s">
        <v>2085</v>
      </c>
      <c r="J3578" t="s">
        <v>2311</v>
      </c>
      <c r="M3578" s="49"/>
    </row>
    <row r="3579" spans="6:13" x14ac:dyDescent="0.25">
      <c r="F3579" t="s">
        <v>4747</v>
      </c>
      <c r="G3579">
        <v>27498</v>
      </c>
      <c r="H3579">
        <v>1056</v>
      </c>
      <c r="I3579" s="25" t="s">
        <v>2085</v>
      </c>
      <c r="J3579" t="s">
        <v>2311</v>
      </c>
      <c r="M3579" s="49"/>
    </row>
    <row r="3580" spans="6:13" x14ac:dyDescent="0.25">
      <c r="F3580" t="s">
        <v>4748</v>
      </c>
      <c r="G3580">
        <v>53940</v>
      </c>
      <c r="H3580">
        <v>5366</v>
      </c>
      <c r="I3580" s="25" t="s">
        <v>2023</v>
      </c>
      <c r="J3580" t="s">
        <v>2127</v>
      </c>
      <c r="M3580" s="49"/>
    </row>
    <row r="3581" spans="6:13" x14ac:dyDescent="0.25">
      <c r="F3581" t="s">
        <v>4749</v>
      </c>
      <c r="G3581">
        <v>95233</v>
      </c>
      <c r="H3581">
        <v>9475</v>
      </c>
      <c r="I3581" s="25" t="s">
        <v>2050</v>
      </c>
      <c r="J3581" t="s">
        <v>2201</v>
      </c>
      <c r="M3581" s="49"/>
    </row>
    <row r="3582" spans="6:13" x14ac:dyDescent="0.25">
      <c r="F3582" t="s">
        <v>4750</v>
      </c>
      <c r="G3582">
        <v>97264</v>
      </c>
      <c r="H3582">
        <v>9679</v>
      </c>
      <c r="I3582" s="25" t="s">
        <v>2050</v>
      </c>
      <c r="J3582" t="s">
        <v>2428</v>
      </c>
      <c r="M3582" s="49"/>
    </row>
    <row r="3583" spans="6:13" x14ac:dyDescent="0.25">
      <c r="F3583" t="s">
        <v>4751</v>
      </c>
      <c r="G3583">
        <v>74921</v>
      </c>
      <c r="H3583">
        <v>8226</v>
      </c>
      <c r="I3583" s="25" t="s">
        <v>2018</v>
      </c>
      <c r="J3583" t="s">
        <v>2442</v>
      </c>
      <c r="M3583" s="49"/>
    </row>
    <row r="3584" spans="6:13" x14ac:dyDescent="0.25">
      <c r="F3584" t="s">
        <v>2186</v>
      </c>
      <c r="G3584">
        <v>38350</v>
      </c>
      <c r="H3584">
        <v>3154</v>
      </c>
      <c r="I3584" s="25" t="s">
        <v>2074</v>
      </c>
      <c r="J3584" t="s">
        <v>2186</v>
      </c>
      <c r="M3584" s="49"/>
    </row>
    <row r="3585" spans="6:13" x14ac:dyDescent="0.25">
      <c r="F3585" t="s">
        <v>4752</v>
      </c>
      <c r="G3585">
        <v>31691</v>
      </c>
      <c r="H3585">
        <v>3257</v>
      </c>
      <c r="I3585" s="25" t="s">
        <v>2074</v>
      </c>
      <c r="J3585" t="s">
        <v>2167</v>
      </c>
      <c r="M3585" s="49"/>
    </row>
    <row r="3586" spans="6:13" x14ac:dyDescent="0.25">
      <c r="F3586" t="s">
        <v>4753</v>
      </c>
      <c r="G3586">
        <v>34298</v>
      </c>
      <c r="H3586">
        <v>6633</v>
      </c>
      <c r="I3586" s="25" t="s">
        <v>2046</v>
      </c>
      <c r="J3586" t="s">
        <v>2162</v>
      </c>
      <c r="M3586" s="49"/>
    </row>
    <row r="3587" spans="6:13" x14ac:dyDescent="0.25">
      <c r="F3587" t="s">
        <v>4754</v>
      </c>
      <c r="G3587">
        <v>67716</v>
      </c>
      <c r="H3587">
        <v>7340</v>
      </c>
      <c r="I3587" s="25" t="s">
        <v>2123</v>
      </c>
      <c r="J3587" t="s">
        <v>2826</v>
      </c>
      <c r="M3587" s="49"/>
    </row>
    <row r="3588" spans="6:13" x14ac:dyDescent="0.25">
      <c r="F3588" t="s">
        <v>4755</v>
      </c>
      <c r="G3588">
        <v>93155</v>
      </c>
      <c r="H3588">
        <v>9375</v>
      </c>
      <c r="I3588" s="25" t="s">
        <v>2050</v>
      </c>
      <c r="J3588" t="s">
        <v>2365</v>
      </c>
      <c r="M3588" s="49"/>
    </row>
    <row r="3589" spans="6:13" x14ac:dyDescent="0.25">
      <c r="F3589" t="s">
        <v>4756</v>
      </c>
      <c r="G3589">
        <v>25485</v>
      </c>
      <c r="H3589">
        <v>1056</v>
      </c>
      <c r="I3589" s="25" t="s">
        <v>2085</v>
      </c>
      <c r="J3589" t="s">
        <v>2311</v>
      </c>
      <c r="M3589" s="49"/>
    </row>
    <row r="3590" spans="6:13" x14ac:dyDescent="0.25">
      <c r="F3590" t="s">
        <v>4757</v>
      </c>
      <c r="G3590">
        <v>58675</v>
      </c>
      <c r="H3590">
        <v>5962</v>
      </c>
      <c r="I3590" s="25" t="s">
        <v>2023</v>
      </c>
      <c r="J3590" t="s">
        <v>2239</v>
      </c>
      <c r="M3590" s="49"/>
    </row>
    <row r="3591" spans="6:13" x14ac:dyDescent="0.25">
      <c r="F3591" t="s">
        <v>4758</v>
      </c>
      <c r="G3591">
        <v>91334</v>
      </c>
      <c r="H3591">
        <v>9572</v>
      </c>
      <c r="I3591" s="25" t="s">
        <v>2050</v>
      </c>
      <c r="J3591" t="s">
        <v>2105</v>
      </c>
      <c r="M3591" s="49"/>
    </row>
    <row r="3592" spans="6:13" x14ac:dyDescent="0.25">
      <c r="F3592" t="s">
        <v>4759</v>
      </c>
      <c r="G3592">
        <v>30966</v>
      </c>
      <c r="H3592">
        <v>3241</v>
      </c>
      <c r="I3592" s="25" t="s">
        <v>2074</v>
      </c>
      <c r="J3592" t="s">
        <v>2321</v>
      </c>
      <c r="M3592" s="49"/>
    </row>
    <row r="3593" spans="6:13" x14ac:dyDescent="0.25">
      <c r="F3593" t="s">
        <v>4759</v>
      </c>
      <c r="G3593">
        <v>71282</v>
      </c>
      <c r="H3593">
        <v>8118</v>
      </c>
      <c r="I3593" s="25" t="s">
        <v>2018</v>
      </c>
      <c r="J3593" t="s">
        <v>2142</v>
      </c>
      <c r="M3593" s="49"/>
    </row>
    <row r="3594" spans="6:13" x14ac:dyDescent="0.25">
      <c r="F3594" t="s">
        <v>4760</v>
      </c>
      <c r="G3594">
        <v>25770</v>
      </c>
      <c r="H3594">
        <v>1051</v>
      </c>
      <c r="I3594" s="25" t="s">
        <v>2085</v>
      </c>
      <c r="J3594" t="s">
        <v>2097</v>
      </c>
      <c r="M3594" s="49"/>
    </row>
    <row r="3595" spans="6:13" x14ac:dyDescent="0.25">
      <c r="F3595" t="s">
        <v>4761</v>
      </c>
      <c r="G3595">
        <v>21745</v>
      </c>
      <c r="H3595">
        <v>3352</v>
      </c>
      <c r="I3595" s="25" t="s">
        <v>2074</v>
      </c>
      <c r="J3595" t="s">
        <v>2079</v>
      </c>
      <c r="M3595" s="49"/>
    </row>
    <row r="3596" spans="6:13" x14ac:dyDescent="0.25">
      <c r="F3596" t="s">
        <v>4762</v>
      </c>
      <c r="G3596">
        <v>69502</v>
      </c>
      <c r="H3596">
        <v>8226</v>
      </c>
      <c r="I3596" s="25" t="s">
        <v>2018</v>
      </c>
      <c r="J3596" t="s">
        <v>2442</v>
      </c>
      <c r="M3596" s="49"/>
    </row>
    <row r="3597" spans="6:13" x14ac:dyDescent="0.25">
      <c r="F3597" t="s">
        <v>4763</v>
      </c>
      <c r="G3597">
        <v>91239</v>
      </c>
      <c r="H3597">
        <v>9574</v>
      </c>
      <c r="I3597" s="25" t="s">
        <v>2050</v>
      </c>
      <c r="J3597" t="s">
        <v>2291</v>
      </c>
      <c r="M3597" s="49"/>
    </row>
    <row r="3598" spans="6:13" x14ac:dyDescent="0.25">
      <c r="F3598" t="s">
        <v>4764</v>
      </c>
      <c r="G3598">
        <v>94491</v>
      </c>
      <c r="H3598">
        <v>9271</v>
      </c>
      <c r="I3598" s="25" t="s">
        <v>2050</v>
      </c>
      <c r="J3598" t="s">
        <v>2172</v>
      </c>
      <c r="M3598" s="49"/>
    </row>
    <row r="3599" spans="6:13" x14ac:dyDescent="0.25">
      <c r="F3599" t="s">
        <v>4765</v>
      </c>
      <c r="G3599">
        <v>53773</v>
      </c>
      <c r="H3599">
        <v>5382</v>
      </c>
      <c r="I3599" s="25" t="s">
        <v>2023</v>
      </c>
      <c r="J3599" t="s">
        <v>2298</v>
      </c>
      <c r="M3599" s="49"/>
    </row>
    <row r="3600" spans="6:13" x14ac:dyDescent="0.25">
      <c r="F3600" t="s">
        <v>4766</v>
      </c>
      <c r="G3600">
        <v>16761</v>
      </c>
      <c r="H3600">
        <v>12065</v>
      </c>
      <c r="I3600" s="25" t="s">
        <v>2356</v>
      </c>
      <c r="J3600" t="s">
        <v>2283</v>
      </c>
      <c r="M3600" s="49"/>
    </row>
    <row r="3601" spans="6:13" x14ac:dyDescent="0.25">
      <c r="F3601" t="s">
        <v>4767</v>
      </c>
      <c r="G3601">
        <v>25779</v>
      </c>
      <c r="H3601">
        <v>1051</v>
      </c>
      <c r="I3601" s="25" t="s">
        <v>2085</v>
      </c>
      <c r="J3601" t="s">
        <v>2097</v>
      </c>
      <c r="M3601" s="49"/>
    </row>
    <row r="3602" spans="6:13" x14ac:dyDescent="0.25">
      <c r="F3602" t="s">
        <v>4767</v>
      </c>
      <c r="G3602">
        <v>25581</v>
      </c>
      <c r="H3602">
        <v>1061</v>
      </c>
      <c r="I3602" s="25" t="s">
        <v>2085</v>
      </c>
      <c r="J3602" t="s">
        <v>2377</v>
      </c>
      <c r="M3602" s="49"/>
    </row>
    <row r="3603" spans="6:13" x14ac:dyDescent="0.25">
      <c r="F3603" t="s">
        <v>4768</v>
      </c>
      <c r="G3603">
        <v>55619</v>
      </c>
      <c r="H3603">
        <v>7133</v>
      </c>
      <c r="I3603" s="25" t="s">
        <v>2123</v>
      </c>
      <c r="J3603" t="s">
        <v>2037</v>
      </c>
      <c r="M3603" s="49"/>
    </row>
    <row r="3604" spans="6:13" x14ac:dyDescent="0.25">
      <c r="F3604" t="s">
        <v>4769</v>
      </c>
      <c r="G3604">
        <v>24558</v>
      </c>
      <c r="H3604">
        <v>1060</v>
      </c>
      <c r="I3604" s="25" t="s">
        <v>2085</v>
      </c>
      <c r="J3604" t="s">
        <v>2363</v>
      </c>
      <c r="M3604" s="49"/>
    </row>
    <row r="3605" spans="6:13" x14ac:dyDescent="0.25">
      <c r="F3605" t="s">
        <v>4770</v>
      </c>
      <c r="G3605">
        <v>85120</v>
      </c>
      <c r="H3605">
        <v>9176</v>
      </c>
      <c r="I3605" s="25" t="s">
        <v>2050</v>
      </c>
      <c r="J3605" t="s">
        <v>2102</v>
      </c>
      <c r="M3605" s="49"/>
    </row>
    <row r="3606" spans="6:13" x14ac:dyDescent="0.25">
      <c r="F3606" t="s">
        <v>4771</v>
      </c>
      <c r="G3606">
        <v>64646</v>
      </c>
      <c r="H3606">
        <v>6431</v>
      </c>
      <c r="I3606" s="25" t="s">
        <v>2046</v>
      </c>
      <c r="J3606" t="s">
        <v>2065</v>
      </c>
      <c r="M3606" s="49"/>
    </row>
    <row r="3607" spans="6:13" x14ac:dyDescent="0.25">
      <c r="F3607" t="s">
        <v>4771</v>
      </c>
      <c r="G3607">
        <v>64646</v>
      </c>
      <c r="H3607">
        <v>6431</v>
      </c>
      <c r="I3607" s="25" t="s">
        <v>2046</v>
      </c>
      <c r="J3607" t="s">
        <v>2065</v>
      </c>
      <c r="M3607" s="49"/>
    </row>
    <row r="3608" spans="6:13" x14ac:dyDescent="0.25">
      <c r="F3608" t="s">
        <v>4772</v>
      </c>
      <c r="G3608">
        <v>88518</v>
      </c>
      <c r="H3608">
        <v>8437</v>
      </c>
      <c r="I3608" s="25" t="s">
        <v>2018</v>
      </c>
      <c r="J3608" t="s">
        <v>2720</v>
      </c>
      <c r="M3608" s="49"/>
    </row>
    <row r="3609" spans="6:13" x14ac:dyDescent="0.25">
      <c r="F3609" t="s">
        <v>4773</v>
      </c>
      <c r="G3609">
        <v>79336</v>
      </c>
      <c r="H3609">
        <v>8316</v>
      </c>
      <c r="I3609" s="25" t="s">
        <v>2018</v>
      </c>
      <c r="J3609" t="s">
        <v>2764</v>
      </c>
      <c r="M3609" s="49"/>
    </row>
    <row r="3610" spans="6:13" x14ac:dyDescent="0.25">
      <c r="F3610" t="s">
        <v>4774</v>
      </c>
      <c r="G3610">
        <v>35745</v>
      </c>
      <c r="H3610">
        <v>6532</v>
      </c>
      <c r="I3610" s="25" t="s">
        <v>2046</v>
      </c>
      <c r="J3610" t="s">
        <v>2555</v>
      </c>
      <c r="M3610" s="49"/>
    </row>
    <row r="3611" spans="6:13" x14ac:dyDescent="0.25">
      <c r="F3611" t="s">
        <v>4775</v>
      </c>
      <c r="G3611">
        <v>89542</v>
      </c>
      <c r="H3611">
        <v>8135</v>
      </c>
      <c r="I3611" s="25" t="s">
        <v>2018</v>
      </c>
      <c r="J3611" t="s">
        <v>2816</v>
      </c>
      <c r="M3611" s="49"/>
    </row>
    <row r="3612" spans="6:13" x14ac:dyDescent="0.25">
      <c r="F3612" t="s">
        <v>4775</v>
      </c>
      <c r="G3612">
        <v>89542</v>
      </c>
      <c r="H3612">
        <v>8135</v>
      </c>
      <c r="I3612" s="25" t="s">
        <v>2018</v>
      </c>
      <c r="J3612" t="s">
        <v>2816</v>
      </c>
      <c r="M3612" s="49"/>
    </row>
    <row r="3613" spans="6:13" x14ac:dyDescent="0.25">
      <c r="F3613" t="s">
        <v>4776</v>
      </c>
      <c r="G3613">
        <v>36358</v>
      </c>
      <c r="H3613">
        <v>6535</v>
      </c>
      <c r="I3613" s="25" t="s">
        <v>2046</v>
      </c>
      <c r="J3613" t="s">
        <v>2346</v>
      </c>
      <c r="M3613" s="49"/>
    </row>
    <row r="3614" spans="6:13" x14ac:dyDescent="0.25">
      <c r="F3614" t="s">
        <v>4777</v>
      </c>
      <c r="G3614">
        <v>58313</v>
      </c>
      <c r="H3614">
        <v>5954</v>
      </c>
      <c r="I3614" s="25" t="s">
        <v>2023</v>
      </c>
      <c r="J3614" t="s">
        <v>2124</v>
      </c>
      <c r="M3614" s="49"/>
    </row>
    <row r="3615" spans="6:13" x14ac:dyDescent="0.25">
      <c r="F3615" t="s">
        <v>4778</v>
      </c>
      <c r="G3615">
        <v>57562</v>
      </c>
      <c r="H3615">
        <v>7132</v>
      </c>
      <c r="I3615" s="25" t="s">
        <v>2123</v>
      </c>
      <c r="J3615" t="s">
        <v>2401</v>
      </c>
      <c r="M3615" s="49"/>
    </row>
    <row r="3616" spans="6:13" x14ac:dyDescent="0.25">
      <c r="F3616" t="s">
        <v>4779</v>
      </c>
      <c r="G3616">
        <v>88634</v>
      </c>
      <c r="H3616">
        <v>8437</v>
      </c>
      <c r="I3616" s="25" t="s">
        <v>2018</v>
      </c>
      <c r="J3616" t="s">
        <v>2720</v>
      </c>
      <c r="M3616" s="49"/>
    </row>
    <row r="3617" spans="6:13" x14ac:dyDescent="0.25">
      <c r="F3617" t="s">
        <v>2189</v>
      </c>
      <c r="G3617">
        <v>32049</v>
      </c>
      <c r="H3617">
        <v>5758</v>
      </c>
      <c r="I3617" s="25" t="s">
        <v>2023</v>
      </c>
      <c r="J3617" t="s">
        <v>2189</v>
      </c>
      <c r="M3617" s="49"/>
    </row>
    <row r="3618" spans="6:13" x14ac:dyDescent="0.25">
      <c r="F3618" t="s">
        <v>2189</v>
      </c>
      <c r="G3618">
        <v>32051</v>
      </c>
      <c r="H3618">
        <v>5758</v>
      </c>
      <c r="I3618" s="25" t="s">
        <v>2023</v>
      </c>
      <c r="J3618" t="s">
        <v>2189</v>
      </c>
      <c r="M3618" s="49"/>
    </row>
    <row r="3619" spans="6:13" x14ac:dyDescent="0.25">
      <c r="F3619" t="s">
        <v>2189</v>
      </c>
      <c r="G3619">
        <v>32052</v>
      </c>
      <c r="H3619">
        <v>5758</v>
      </c>
      <c r="I3619" s="25" t="s">
        <v>2023</v>
      </c>
      <c r="J3619" t="s">
        <v>2189</v>
      </c>
      <c r="M3619" s="49"/>
    </row>
    <row r="3620" spans="6:13" x14ac:dyDescent="0.25">
      <c r="F3620" t="s">
        <v>4780</v>
      </c>
      <c r="G3620">
        <v>88145</v>
      </c>
      <c r="H3620">
        <v>9776</v>
      </c>
      <c r="I3620" s="25" t="s">
        <v>2050</v>
      </c>
      <c r="J3620" t="s">
        <v>4735</v>
      </c>
      <c r="M3620" s="49"/>
    </row>
    <row r="3621" spans="6:13" x14ac:dyDescent="0.25">
      <c r="F3621" t="s">
        <v>4781</v>
      </c>
      <c r="G3621">
        <v>6313</v>
      </c>
      <c r="H3621">
        <v>15087</v>
      </c>
      <c r="I3621" s="25" t="s">
        <v>2241</v>
      </c>
      <c r="J3621" t="s">
        <v>2324</v>
      </c>
      <c r="M3621" s="49"/>
    </row>
    <row r="3622" spans="6:13" x14ac:dyDescent="0.25">
      <c r="F3622" t="s">
        <v>4782</v>
      </c>
      <c r="G3622">
        <v>36266</v>
      </c>
      <c r="H3622">
        <v>6632</v>
      </c>
      <c r="I3622" s="25" t="s">
        <v>2046</v>
      </c>
      <c r="J3622" t="s">
        <v>2303</v>
      </c>
      <c r="M3622" s="49"/>
    </row>
    <row r="3623" spans="6:13" x14ac:dyDescent="0.25">
      <c r="F3623" t="s">
        <v>4783</v>
      </c>
      <c r="G3623">
        <v>99765</v>
      </c>
      <c r="H3623">
        <v>16062</v>
      </c>
      <c r="I3623" s="25" t="s">
        <v>2384</v>
      </c>
      <c r="J3623" t="s">
        <v>1489</v>
      </c>
      <c r="M3623" s="49"/>
    </row>
    <row r="3624" spans="6:13" x14ac:dyDescent="0.25">
      <c r="F3624" t="s">
        <v>4784</v>
      </c>
      <c r="G3624">
        <v>23777</v>
      </c>
      <c r="H3624">
        <v>1055</v>
      </c>
      <c r="I3624" s="25" t="s">
        <v>2085</v>
      </c>
      <c r="J3624" t="s">
        <v>2185</v>
      </c>
      <c r="M3624" s="49"/>
    </row>
    <row r="3625" spans="6:13" x14ac:dyDescent="0.25">
      <c r="F3625" t="s">
        <v>4785</v>
      </c>
      <c r="G3625">
        <v>37293</v>
      </c>
      <c r="H3625">
        <v>6636</v>
      </c>
      <c r="I3625" s="25" t="s">
        <v>2046</v>
      </c>
      <c r="J3625" t="s">
        <v>2733</v>
      </c>
      <c r="M3625" s="49"/>
    </row>
    <row r="3626" spans="6:13" x14ac:dyDescent="0.25">
      <c r="F3626" t="s">
        <v>4786</v>
      </c>
      <c r="G3626">
        <v>29320</v>
      </c>
      <c r="H3626">
        <v>3351</v>
      </c>
      <c r="I3626" s="25" t="s">
        <v>2074</v>
      </c>
      <c r="J3626" t="s">
        <v>2096</v>
      </c>
      <c r="M3626" s="49"/>
    </row>
    <row r="3627" spans="6:13" x14ac:dyDescent="0.25">
      <c r="F3627" t="s">
        <v>4787</v>
      </c>
      <c r="G3627">
        <v>89568</v>
      </c>
      <c r="H3627">
        <v>8135</v>
      </c>
      <c r="I3627" s="25" t="s">
        <v>2018</v>
      </c>
      <c r="J3627" t="s">
        <v>2816</v>
      </c>
      <c r="M3627" s="49"/>
    </row>
    <row r="3628" spans="6:13" x14ac:dyDescent="0.25">
      <c r="F3628" t="s">
        <v>4788</v>
      </c>
      <c r="G3628">
        <v>7629</v>
      </c>
      <c r="H3628">
        <v>16074</v>
      </c>
      <c r="I3628" s="25" t="s">
        <v>2384</v>
      </c>
      <c r="J3628" t="s">
        <v>2671</v>
      </c>
      <c r="M3628" s="49"/>
    </row>
    <row r="3629" spans="6:13" x14ac:dyDescent="0.25">
      <c r="F3629" t="s">
        <v>4789</v>
      </c>
      <c r="G3629">
        <v>1776</v>
      </c>
      <c r="H3629">
        <v>14628</v>
      </c>
      <c r="I3629" s="25" t="s">
        <v>2135</v>
      </c>
      <c r="J3629" t="s">
        <v>2347</v>
      </c>
      <c r="M3629" s="49"/>
    </row>
    <row r="3630" spans="6:13" x14ac:dyDescent="0.25">
      <c r="F3630" t="s">
        <v>4790</v>
      </c>
      <c r="G3630">
        <v>44628</v>
      </c>
      <c r="H3630">
        <v>5916</v>
      </c>
      <c r="I3630" s="25" t="s">
        <v>2023</v>
      </c>
      <c r="J3630" t="s">
        <v>4791</v>
      </c>
      <c r="M3630" s="49"/>
    </row>
    <row r="3631" spans="6:13" x14ac:dyDescent="0.25">
      <c r="F3631" t="s">
        <v>4790</v>
      </c>
      <c r="G3631">
        <v>44652</v>
      </c>
      <c r="H3631">
        <v>5916</v>
      </c>
      <c r="I3631" s="25" t="s">
        <v>2023</v>
      </c>
      <c r="J3631" t="s">
        <v>4791</v>
      </c>
      <c r="M3631" s="49"/>
    </row>
    <row r="3632" spans="6:13" x14ac:dyDescent="0.25">
      <c r="F3632" t="s">
        <v>4790</v>
      </c>
      <c r="G3632">
        <v>44623</v>
      </c>
      <c r="H3632">
        <v>5916</v>
      </c>
      <c r="I3632" s="25" t="s">
        <v>2023</v>
      </c>
      <c r="J3632" t="s">
        <v>4791</v>
      </c>
      <c r="M3632" s="49"/>
    </row>
    <row r="3633" spans="6:13" x14ac:dyDescent="0.25">
      <c r="F3633" t="s">
        <v>4790</v>
      </c>
      <c r="G3633">
        <v>44653</v>
      </c>
      <c r="H3633">
        <v>5916</v>
      </c>
      <c r="I3633" s="25" t="s">
        <v>2023</v>
      </c>
      <c r="J3633" t="s">
        <v>4791</v>
      </c>
      <c r="M3633" s="49"/>
    </row>
    <row r="3634" spans="6:13" x14ac:dyDescent="0.25">
      <c r="F3634" t="s">
        <v>4790</v>
      </c>
      <c r="G3634">
        <v>44649</v>
      </c>
      <c r="H3634">
        <v>5916</v>
      </c>
      <c r="I3634" s="25" t="s">
        <v>2023</v>
      </c>
      <c r="J3634" t="s">
        <v>4791</v>
      </c>
      <c r="M3634" s="49"/>
    </row>
    <row r="3635" spans="6:13" x14ac:dyDescent="0.25">
      <c r="F3635" t="s">
        <v>4790</v>
      </c>
      <c r="G3635">
        <v>44629</v>
      </c>
      <c r="H3635">
        <v>5916</v>
      </c>
      <c r="I3635" s="25" t="s">
        <v>2023</v>
      </c>
      <c r="J3635" t="s">
        <v>4791</v>
      </c>
      <c r="M3635" s="49"/>
    </row>
    <row r="3636" spans="6:13" x14ac:dyDescent="0.25">
      <c r="F3636" t="s">
        <v>4790</v>
      </c>
      <c r="G3636">
        <v>44623</v>
      </c>
      <c r="H3636">
        <v>5916</v>
      </c>
      <c r="I3636" s="25" t="s">
        <v>2023</v>
      </c>
      <c r="J3636" t="s">
        <v>4791</v>
      </c>
      <c r="M3636" s="49"/>
    </row>
    <row r="3637" spans="6:13" x14ac:dyDescent="0.25">
      <c r="F3637" t="s">
        <v>4790</v>
      </c>
      <c r="G3637">
        <v>44625</v>
      </c>
      <c r="H3637">
        <v>5916</v>
      </c>
      <c r="I3637" s="25" t="s">
        <v>2023</v>
      </c>
      <c r="J3637" t="s">
        <v>4791</v>
      </c>
      <c r="M3637" s="49"/>
    </row>
    <row r="3638" spans="6:13" x14ac:dyDescent="0.25">
      <c r="F3638" t="s">
        <v>4790</v>
      </c>
      <c r="G3638">
        <v>44651</v>
      </c>
      <c r="H3638">
        <v>5916</v>
      </c>
      <c r="I3638" s="25" t="s">
        <v>2023</v>
      </c>
      <c r="J3638" t="s">
        <v>4791</v>
      </c>
      <c r="M3638" s="49"/>
    </row>
    <row r="3639" spans="6:13" x14ac:dyDescent="0.25">
      <c r="F3639" t="s">
        <v>4790</v>
      </c>
      <c r="G3639">
        <v>44623</v>
      </c>
      <c r="H3639">
        <v>5916</v>
      </c>
      <c r="I3639" s="25" t="s">
        <v>2023</v>
      </c>
      <c r="J3639" t="s">
        <v>4791</v>
      </c>
      <c r="M3639" s="49"/>
    </row>
    <row r="3640" spans="6:13" x14ac:dyDescent="0.25">
      <c r="F3640" t="s">
        <v>4790</v>
      </c>
      <c r="G3640">
        <v>44627</v>
      </c>
      <c r="H3640">
        <v>5916</v>
      </c>
      <c r="I3640" s="25" t="s">
        <v>2023</v>
      </c>
      <c r="J3640" t="s">
        <v>4791</v>
      </c>
      <c r="M3640" s="49"/>
    </row>
    <row r="3641" spans="6:13" x14ac:dyDescent="0.25">
      <c r="F3641" t="s">
        <v>4792</v>
      </c>
      <c r="G3641">
        <v>91336</v>
      </c>
      <c r="H3641">
        <v>9474</v>
      </c>
      <c r="I3641" s="25" t="s">
        <v>2050</v>
      </c>
      <c r="J3641" t="s">
        <v>3692</v>
      </c>
      <c r="M3641" s="49"/>
    </row>
    <row r="3642" spans="6:13" x14ac:dyDescent="0.25">
      <c r="F3642" t="s">
        <v>4793</v>
      </c>
      <c r="G3642">
        <v>90562</v>
      </c>
      <c r="H3642">
        <v>9572</v>
      </c>
      <c r="I3642" s="25" t="s">
        <v>2050</v>
      </c>
      <c r="J3642" t="s">
        <v>2105</v>
      </c>
      <c r="M3642" s="49"/>
    </row>
    <row r="3643" spans="6:13" x14ac:dyDescent="0.25">
      <c r="F3643" t="s">
        <v>4794</v>
      </c>
      <c r="G3643">
        <v>72535</v>
      </c>
      <c r="H3643">
        <v>8425</v>
      </c>
      <c r="I3643" s="25" t="s">
        <v>2018</v>
      </c>
      <c r="J3643" t="s">
        <v>2027</v>
      </c>
      <c r="M3643" s="49"/>
    </row>
    <row r="3644" spans="6:13" x14ac:dyDescent="0.25">
      <c r="F3644" t="s">
        <v>4795</v>
      </c>
      <c r="G3644">
        <v>71083</v>
      </c>
      <c r="H3644">
        <v>8115</v>
      </c>
      <c r="I3644" s="25" t="s">
        <v>2018</v>
      </c>
      <c r="J3644" t="s">
        <v>2222</v>
      </c>
      <c r="M3644" s="49"/>
    </row>
    <row r="3645" spans="6:13" x14ac:dyDescent="0.25">
      <c r="F3645" t="s">
        <v>4796</v>
      </c>
      <c r="G3645">
        <v>91567</v>
      </c>
      <c r="H3645">
        <v>9571</v>
      </c>
      <c r="I3645" s="25" t="s">
        <v>2050</v>
      </c>
      <c r="J3645" t="s">
        <v>2113</v>
      </c>
      <c r="M3645" s="49"/>
    </row>
    <row r="3646" spans="6:13" x14ac:dyDescent="0.25">
      <c r="F3646" t="s">
        <v>4797</v>
      </c>
      <c r="G3646">
        <v>79737</v>
      </c>
      <c r="H3646">
        <v>8337</v>
      </c>
      <c r="I3646" s="25" t="s">
        <v>2018</v>
      </c>
      <c r="J3646" t="s">
        <v>2248</v>
      </c>
      <c r="M3646" s="49"/>
    </row>
    <row r="3647" spans="6:13" x14ac:dyDescent="0.25">
      <c r="F3647" t="s">
        <v>4798</v>
      </c>
      <c r="G3647">
        <v>84097</v>
      </c>
      <c r="H3647">
        <v>9273</v>
      </c>
      <c r="I3647" s="25" t="s">
        <v>2050</v>
      </c>
      <c r="J3647" t="s">
        <v>2054</v>
      </c>
      <c r="M3647" s="49"/>
    </row>
    <row r="3648" spans="6:13" x14ac:dyDescent="0.25">
      <c r="F3648" t="s">
        <v>4799</v>
      </c>
      <c r="G3648">
        <v>2747</v>
      </c>
      <c r="H3648">
        <v>14626</v>
      </c>
      <c r="I3648" s="25" t="s">
        <v>2135</v>
      </c>
      <c r="J3648" t="s">
        <v>2150</v>
      </c>
      <c r="M3648" s="49"/>
    </row>
    <row r="3649" spans="6:13" x14ac:dyDescent="0.25">
      <c r="F3649" t="s">
        <v>4800</v>
      </c>
      <c r="G3649">
        <v>82211</v>
      </c>
      <c r="H3649">
        <v>9188</v>
      </c>
      <c r="I3649" s="25" t="s">
        <v>2050</v>
      </c>
      <c r="J3649" t="s">
        <v>2481</v>
      </c>
      <c r="M3649" s="49"/>
    </row>
    <row r="3650" spans="6:13" x14ac:dyDescent="0.25">
      <c r="F3650" t="s">
        <v>4801</v>
      </c>
      <c r="G3650">
        <v>55756</v>
      </c>
      <c r="H3650">
        <v>7134</v>
      </c>
      <c r="I3650" s="25" t="s">
        <v>2123</v>
      </c>
      <c r="J3650" t="s">
        <v>2048</v>
      </c>
      <c r="M3650" s="49"/>
    </row>
    <row r="3651" spans="6:13" x14ac:dyDescent="0.25">
      <c r="F3651" t="s">
        <v>4802</v>
      </c>
      <c r="G3651">
        <v>91217</v>
      </c>
      <c r="H3651">
        <v>9574</v>
      </c>
      <c r="I3651" s="25" t="s">
        <v>2050</v>
      </c>
      <c r="J3651" t="s">
        <v>2291</v>
      </c>
      <c r="M3651" s="49"/>
    </row>
    <row r="3652" spans="6:13" x14ac:dyDescent="0.25">
      <c r="F3652" t="s">
        <v>4803</v>
      </c>
      <c r="G3652">
        <v>56249</v>
      </c>
      <c r="H3652">
        <v>7143</v>
      </c>
      <c r="I3652" s="25" t="s">
        <v>2123</v>
      </c>
      <c r="J3652" t="s">
        <v>2331</v>
      </c>
      <c r="M3652" s="49"/>
    </row>
    <row r="3653" spans="6:13" x14ac:dyDescent="0.25">
      <c r="F3653" t="s">
        <v>4804</v>
      </c>
      <c r="G3653">
        <v>58849</v>
      </c>
      <c r="H3653">
        <v>5962</v>
      </c>
      <c r="I3653" s="25" t="s">
        <v>2023</v>
      </c>
      <c r="J3653" t="s">
        <v>2239</v>
      </c>
      <c r="M3653" s="49"/>
    </row>
    <row r="3654" spans="6:13" x14ac:dyDescent="0.25">
      <c r="F3654" t="s">
        <v>4805</v>
      </c>
      <c r="G3654">
        <v>66909</v>
      </c>
      <c r="H3654">
        <v>7336</v>
      </c>
      <c r="I3654" s="25" t="s">
        <v>2123</v>
      </c>
      <c r="J3654" t="s">
        <v>2216</v>
      </c>
      <c r="M3654" s="49"/>
    </row>
    <row r="3655" spans="6:13" x14ac:dyDescent="0.25">
      <c r="F3655" t="s">
        <v>4805</v>
      </c>
      <c r="G3655">
        <v>66909</v>
      </c>
      <c r="H3655">
        <v>7336</v>
      </c>
      <c r="I3655" s="25" t="s">
        <v>2123</v>
      </c>
      <c r="J3655" t="s">
        <v>2216</v>
      </c>
      <c r="M3655" s="49"/>
    </row>
    <row r="3656" spans="6:13" x14ac:dyDescent="0.25">
      <c r="F3656" t="s">
        <v>4805</v>
      </c>
      <c r="G3656">
        <v>66909</v>
      </c>
      <c r="H3656">
        <v>7336</v>
      </c>
      <c r="I3656" s="25" t="s">
        <v>2123</v>
      </c>
      <c r="J3656" t="s">
        <v>2216</v>
      </c>
      <c r="M3656" s="49"/>
    </row>
    <row r="3657" spans="6:13" x14ac:dyDescent="0.25">
      <c r="F3657" t="s">
        <v>4806</v>
      </c>
      <c r="G3657">
        <v>45699</v>
      </c>
      <c r="H3657">
        <v>5562</v>
      </c>
      <c r="I3657" s="25" t="s">
        <v>2023</v>
      </c>
      <c r="J3657" t="s">
        <v>2318</v>
      </c>
      <c r="M3657" s="49"/>
    </row>
    <row r="3658" spans="6:13" x14ac:dyDescent="0.25">
      <c r="F3658" t="s">
        <v>4806</v>
      </c>
      <c r="G3658">
        <v>45701</v>
      </c>
      <c r="H3658">
        <v>5562</v>
      </c>
      <c r="I3658" s="25" t="s">
        <v>2023</v>
      </c>
      <c r="J3658" t="s">
        <v>2318</v>
      </c>
      <c r="M3658" s="49"/>
    </row>
    <row r="3659" spans="6:13" x14ac:dyDescent="0.25">
      <c r="F3659" t="s">
        <v>4807</v>
      </c>
      <c r="G3659">
        <v>76863</v>
      </c>
      <c r="H3659">
        <v>7337</v>
      </c>
      <c r="I3659" s="25" t="s">
        <v>2123</v>
      </c>
      <c r="J3659" t="s">
        <v>2256</v>
      </c>
      <c r="M3659" s="49"/>
    </row>
    <row r="3660" spans="6:13" x14ac:dyDescent="0.25">
      <c r="F3660" t="s">
        <v>4808</v>
      </c>
      <c r="G3660">
        <v>37412</v>
      </c>
      <c r="H3660">
        <v>3159</v>
      </c>
      <c r="I3660" s="25" t="s">
        <v>2074</v>
      </c>
      <c r="J3660" t="s">
        <v>2093</v>
      </c>
      <c r="M3660" s="49"/>
    </row>
    <row r="3661" spans="6:13" x14ac:dyDescent="0.25">
      <c r="F3661" t="s">
        <v>4808</v>
      </c>
      <c r="G3661">
        <v>37412</v>
      </c>
      <c r="H3661">
        <v>3159</v>
      </c>
      <c r="I3661" s="25" t="s">
        <v>2074</v>
      </c>
      <c r="J3661" t="s">
        <v>2093</v>
      </c>
      <c r="M3661" s="49"/>
    </row>
    <row r="3662" spans="6:13" x14ac:dyDescent="0.25">
      <c r="F3662" t="s">
        <v>4809</v>
      </c>
      <c r="G3662">
        <v>4916</v>
      </c>
      <c r="H3662">
        <v>12062</v>
      </c>
      <c r="I3662" s="25" t="s">
        <v>2356</v>
      </c>
      <c r="J3662" t="s">
        <v>2689</v>
      </c>
      <c r="M3662" s="49"/>
    </row>
    <row r="3663" spans="6:13" x14ac:dyDescent="0.25">
      <c r="F3663" t="s">
        <v>4810</v>
      </c>
      <c r="G3663">
        <v>33442</v>
      </c>
      <c r="H3663">
        <v>5754</v>
      </c>
      <c r="I3663" s="25" t="s">
        <v>2023</v>
      </c>
      <c r="J3663" t="s">
        <v>2165</v>
      </c>
      <c r="M3663" s="49"/>
    </row>
    <row r="3664" spans="6:13" x14ac:dyDescent="0.25">
      <c r="F3664" t="s">
        <v>4811</v>
      </c>
      <c r="G3664">
        <v>25379</v>
      </c>
      <c r="H3664">
        <v>1061</v>
      </c>
      <c r="I3664" s="25" t="s">
        <v>2085</v>
      </c>
      <c r="J3664" t="s">
        <v>2377</v>
      </c>
      <c r="M3664" s="49"/>
    </row>
    <row r="3665" spans="6:13" x14ac:dyDescent="0.25">
      <c r="F3665" t="s">
        <v>4812</v>
      </c>
      <c r="G3665">
        <v>49770</v>
      </c>
      <c r="H3665">
        <v>3454</v>
      </c>
      <c r="I3665" s="25" t="s">
        <v>2074</v>
      </c>
      <c r="J3665" t="s">
        <v>2118</v>
      </c>
      <c r="M3665" s="49"/>
    </row>
    <row r="3666" spans="6:13" x14ac:dyDescent="0.25">
      <c r="F3666" t="s">
        <v>4813</v>
      </c>
      <c r="G3666">
        <v>91074</v>
      </c>
      <c r="H3666">
        <v>9572</v>
      </c>
      <c r="I3666" s="25" t="s">
        <v>2050</v>
      </c>
      <c r="J3666" t="s">
        <v>2105</v>
      </c>
      <c r="M3666" s="49"/>
    </row>
    <row r="3667" spans="6:13" x14ac:dyDescent="0.25">
      <c r="F3667" t="s">
        <v>4814</v>
      </c>
      <c r="G3667">
        <v>52134</v>
      </c>
      <c r="H3667">
        <v>5334</v>
      </c>
      <c r="I3667" s="25" t="s">
        <v>2023</v>
      </c>
      <c r="J3667" t="s">
        <v>2341</v>
      </c>
      <c r="M3667" s="49"/>
    </row>
    <row r="3668" spans="6:13" x14ac:dyDescent="0.25">
      <c r="F3668" t="s">
        <v>4815</v>
      </c>
      <c r="G3668">
        <v>26835</v>
      </c>
      <c r="H3668">
        <v>3457</v>
      </c>
      <c r="I3668" s="25" t="s">
        <v>2074</v>
      </c>
      <c r="J3668" t="s">
        <v>2220</v>
      </c>
      <c r="M3668" s="49"/>
    </row>
    <row r="3669" spans="6:13" x14ac:dyDescent="0.25">
      <c r="F3669" t="s">
        <v>4816</v>
      </c>
      <c r="G3669">
        <v>31693</v>
      </c>
      <c r="H3669">
        <v>3257</v>
      </c>
      <c r="I3669" s="25" t="s">
        <v>2074</v>
      </c>
      <c r="J3669" t="s">
        <v>2167</v>
      </c>
      <c r="M3669" s="49"/>
    </row>
    <row r="3670" spans="6:13" x14ac:dyDescent="0.25">
      <c r="F3670" t="s">
        <v>4817</v>
      </c>
      <c r="G3670">
        <v>91093</v>
      </c>
      <c r="H3670">
        <v>9572</v>
      </c>
      <c r="I3670" s="25" t="s">
        <v>2050</v>
      </c>
      <c r="J3670" t="s">
        <v>2105</v>
      </c>
      <c r="M3670" s="49"/>
    </row>
    <row r="3671" spans="6:13" x14ac:dyDescent="0.25">
      <c r="F3671" t="s">
        <v>4817</v>
      </c>
      <c r="G3671">
        <v>91093</v>
      </c>
      <c r="H3671">
        <v>9572</v>
      </c>
      <c r="I3671" s="25" t="s">
        <v>2050</v>
      </c>
      <c r="J3671" t="s">
        <v>2105</v>
      </c>
      <c r="M3671" s="49"/>
    </row>
    <row r="3672" spans="6:13" x14ac:dyDescent="0.25">
      <c r="F3672" t="s">
        <v>4818</v>
      </c>
      <c r="G3672">
        <v>67258</v>
      </c>
      <c r="H3672">
        <v>7338</v>
      </c>
      <c r="I3672" s="25" t="s">
        <v>2123</v>
      </c>
      <c r="J3672" t="s">
        <v>2448</v>
      </c>
      <c r="M3672" s="49"/>
    </row>
    <row r="3673" spans="6:13" x14ac:dyDescent="0.25">
      <c r="F3673" t="s">
        <v>4819</v>
      </c>
      <c r="G3673">
        <v>74394</v>
      </c>
      <c r="H3673">
        <v>8118</v>
      </c>
      <c r="I3673" s="25" t="s">
        <v>2018</v>
      </c>
      <c r="J3673" t="s">
        <v>2142</v>
      </c>
      <c r="M3673" s="49"/>
    </row>
    <row r="3674" spans="6:13" x14ac:dyDescent="0.25">
      <c r="F3674" t="s">
        <v>4820</v>
      </c>
      <c r="G3674">
        <v>37235</v>
      </c>
      <c r="H3674">
        <v>6636</v>
      </c>
      <c r="I3674" s="25" t="s">
        <v>2046</v>
      </c>
      <c r="J3674" t="s">
        <v>2733</v>
      </c>
      <c r="M3674" s="49"/>
    </row>
    <row r="3675" spans="6:13" x14ac:dyDescent="0.25">
      <c r="F3675" t="s">
        <v>4821</v>
      </c>
      <c r="G3675">
        <v>31840</v>
      </c>
      <c r="H3675">
        <v>3252</v>
      </c>
      <c r="I3675" s="25" t="s">
        <v>2074</v>
      </c>
      <c r="J3675" t="s">
        <v>2139</v>
      </c>
      <c r="M3675" s="49"/>
    </row>
    <row r="3676" spans="6:13" x14ac:dyDescent="0.25">
      <c r="F3676" t="s">
        <v>4822</v>
      </c>
      <c r="G3676">
        <v>25491</v>
      </c>
      <c r="H3676">
        <v>1056</v>
      </c>
      <c r="I3676" s="25" t="s">
        <v>2085</v>
      </c>
      <c r="J3676" t="s">
        <v>2311</v>
      </c>
      <c r="M3676" s="49"/>
    </row>
    <row r="3677" spans="6:13" x14ac:dyDescent="0.25">
      <c r="F3677" t="s">
        <v>4822</v>
      </c>
      <c r="G3677">
        <v>25491</v>
      </c>
      <c r="H3677">
        <v>1056</v>
      </c>
      <c r="I3677" s="25" t="s">
        <v>2085</v>
      </c>
      <c r="J3677" t="s">
        <v>2311</v>
      </c>
      <c r="M3677" s="49"/>
    </row>
    <row r="3678" spans="6:13" x14ac:dyDescent="0.25">
      <c r="F3678" t="s">
        <v>4823</v>
      </c>
      <c r="G3678">
        <v>67310</v>
      </c>
      <c r="H3678">
        <v>7332</v>
      </c>
      <c r="I3678" s="25" t="s">
        <v>2123</v>
      </c>
      <c r="J3678" t="s">
        <v>2440</v>
      </c>
      <c r="M3678" s="49"/>
    </row>
    <row r="3679" spans="6:13" x14ac:dyDescent="0.25">
      <c r="F3679" t="s">
        <v>4824</v>
      </c>
      <c r="G3679">
        <v>72513</v>
      </c>
      <c r="H3679">
        <v>8437</v>
      </c>
      <c r="I3679" s="25" t="s">
        <v>2018</v>
      </c>
      <c r="J3679" t="s">
        <v>2720</v>
      </c>
      <c r="M3679" s="49"/>
    </row>
    <row r="3680" spans="6:13" x14ac:dyDescent="0.25">
      <c r="F3680" t="s">
        <v>4825</v>
      </c>
      <c r="G3680">
        <v>97265</v>
      </c>
      <c r="H3680">
        <v>9679</v>
      </c>
      <c r="I3680" s="25" t="s">
        <v>2050</v>
      </c>
      <c r="J3680" t="s">
        <v>2428</v>
      </c>
      <c r="M3680" s="49"/>
    </row>
    <row r="3681" spans="6:13" x14ac:dyDescent="0.25">
      <c r="F3681" t="s">
        <v>4826</v>
      </c>
      <c r="G3681">
        <v>6333</v>
      </c>
      <c r="H3681">
        <v>15085</v>
      </c>
      <c r="I3681" s="25" t="s">
        <v>2241</v>
      </c>
      <c r="J3681" t="s">
        <v>2178</v>
      </c>
      <c r="M3681" s="49"/>
    </row>
    <row r="3682" spans="6:13" x14ac:dyDescent="0.25">
      <c r="F3682" t="s">
        <v>4826</v>
      </c>
      <c r="G3682">
        <v>6333</v>
      </c>
      <c r="H3682">
        <v>15085</v>
      </c>
      <c r="I3682" s="25" t="s">
        <v>2241</v>
      </c>
      <c r="J3682" t="s">
        <v>2178</v>
      </c>
      <c r="M3682" s="49"/>
    </row>
    <row r="3683" spans="6:13" x14ac:dyDescent="0.25">
      <c r="F3683" t="s">
        <v>4826</v>
      </c>
      <c r="G3683">
        <v>6333</v>
      </c>
      <c r="H3683">
        <v>15087</v>
      </c>
      <c r="I3683" s="25" t="s">
        <v>2241</v>
      </c>
      <c r="J3683" t="s">
        <v>2324</v>
      </c>
      <c r="M3683" s="49"/>
    </row>
    <row r="3684" spans="6:13" x14ac:dyDescent="0.25">
      <c r="F3684" t="s">
        <v>4826</v>
      </c>
      <c r="G3684">
        <v>6333</v>
      </c>
      <c r="H3684">
        <v>15087</v>
      </c>
      <c r="I3684" s="25" t="s">
        <v>2241</v>
      </c>
      <c r="J3684" t="s">
        <v>2324</v>
      </c>
      <c r="M3684" s="49"/>
    </row>
    <row r="3685" spans="6:13" x14ac:dyDescent="0.25">
      <c r="F3685" t="s">
        <v>4827</v>
      </c>
      <c r="G3685">
        <v>54523</v>
      </c>
      <c r="H3685">
        <v>7231</v>
      </c>
      <c r="I3685" s="25" t="s">
        <v>2123</v>
      </c>
      <c r="J3685" t="s">
        <v>2043</v>
      </c>
      <c r="M3685" s="49"/>
    </row>
    <row r="3686" spans="6:13" x14ac:dyDescent="0.25">
      <c r="F3686" t="s">
        <v>4828</v>
      </c>
      <c r="G3686">
        <v>73540</v>
      </c>
      <c r="H3686">
        <v>8136</v>
      </c>
      <c r="I3686" s="25" t="s">
        <v>2018</v>
      </c>
      <c r="J3686" t="s">
        <v>2039</v>
      </c>
      <c r="M3686" s="49"/>
    </row>
    <row r="3687" spans="6:13" x14ac:dyDescent="0.25">
      <c r="F3687" t="s">
        <v>4829</v>
      </c>
      <c r="G3687">
        <v>35452</v>
      </c>
      <c r="H3687">
        <v>6531</v>
      </c>
      <c r="I3687" s="25" t="s">
        <v>2046</v>
      </c>
      <c r="J3687" t="s">
        <v>2306</v>
      </c>
      <c r="M3687" s="49"/>
    </row>
    <row r="3688" spans="6:13" x14ac:dyDescent="0.25">
      <c r="F3688" t="s">
        <v>4830</v>
      </c>
      <c r="G3688">
        <v>73572</v>
      </c>
      <c r="H3688">
        <v>8136</v>
      </c>
      <c r="I3688" s="25" t="s">
        <v>2018</v>
      </c>
      <c r="J3688" t="s">
        <v>2039</v>
      </c>
      <c r="M3688" s="49"/>
    </row>
    <row r="3689" spans="6:13" x14ac:dyDescent="0.25">
      <c r="F3689" t="s">
        <v>4831</v>
      </c>
      <c r="G3689">
        <v>31700</v>
      </c>
      <c r="H3689">
        <v>3257</v>
      </c>
      <c r="I3689" s="25" t="s">
        <v>2074</v>
      </c>
      <c r="J3689" t="s">
        <v>2167</v>
      </c>
      <c r="M3689" s="49"/>
    </row>
    <row r="3690" spans="6:13" x14ac:dyDescent="0.25">
      <c r="F3690" t="s">
        <v>4832</v>
      </c>
      <c r="G3690">
        <v>63150</v>
      </c>
      <c r="H3690">
        <v>6438</v>
      </c>
      <c r="I3690" s="25" t="s">
        <v>2046</v>
      </c>
      <c r="J3690" t="s">
        <v>3567</v>
      </c>
      <c r="M3690" s="49"/>
    </row>
    <row r="3691" spans="6:13" x14ac:dyDescent="0.25">
      <c r="F3691" t="s">
        <v>4833</v>
      </c>
      <c r="G3691">
        <v>66265</v>
      </c>
      <c r="H3691">
        <v>10041</v>
      </c>
      <c r="I3691" s="25" t="s">
        <v>2849</v>
      </c>
      <c r="J3691" t="s">
        <v>4138</v>
      </c>
      <c r="M3691" s="49"/>
    </row>
    <row r="3692" spans="6:13" x14ac:dyDescent="0.25">
      <c r="F3692" t="s">
        <v>4834</v>
      </c>
      <c r="G3692">
        <v>32120</v>
      </c>
      <c r="H3692">
        <v>5758</v>
      </c>
      <c r="I3692" s="25" t="s">
        <v>2023</v>
      </c>
      <c r="J3692" t="s">
        <v>2189</v>
      </c>
      <c r="M3692" s="49"/>
    </row>
    <row r="3693" spans="6:13" x14ac:dyDescent="0.25">
      <c r="F3693" t="s">
        <v>4835</v>
      </c>
      <c r="G3693">
        <v>18565</v>
      </c>
      <c r="H3693">
        <v>13073</v>
      </c>
      <c r="I3693" s="25" t="s">
        <v>2191</v>
      </c>
      <c r="J3693" t="s">
        <v>2192</v>
      </c>
      <c r="M3693" s="49"/>
    </row>
    <row r="3694" spans="6:13" x14ac:dyDescent="0.25">
      <c r="F3694" t="s">
        <v>4835</v>
      </c>
      <c r="G3694">
        <v>18565</v>
      </c>
      <c r="H3694">
        <v>13073</v>
      </c>
      <c r="I3694" s="25" t="s">
        <v>2191</v>
      </c>
      <c r="J3694" t="s">
        <v>2192</v>
      </c>
      <c r="M3694" s="49"/>
    </row>
    <row r="3695" spans="6:13" x14ac:dyDescent="0.25">
      <c r="F3695" t="s">
        <v>4836</v>
      </c>
      <c r="G3695">
        <v>57271</v>
      </c>
      <c r="H3695">
        <v>5970</v>
      </c>
      <c r="I3695" s="25" t="s">
        <v>2023</v>
      </c>
      <c r="J3695" t="s">
        <v>2366</v>
      </c>
      <c r="M3695" s="49"/>
    </row>
    <row r="3696" spans="6:13" x14ac:dyDescent="0.25">
      <c r="F3696" t="s">
        <v>2631</v>
      </c>
      <c r="G3696">
        <v>98646</v>
      </c>
      <c r="H3696">
        <v>16069</v>
      </c>
      <c r="I3696" s="25" t="s">
        <v>2384</v>
      </c>
      <c r="J3696" t="s">
        <v>2631</v>
      </c>
      <c r="M3696" s="49"/>
    </row>
    <row r="3697" spans="6:13" x14ac:dyDescent="0.25">
      <c r="F3697" t="s">
        <v>4837</v>
      </c>
      <c r="G3697">
        <v>40724</v>
      </c>
      <c r="H3697">
        <v>5158</v>
      </c>
      <c r="I3697" s="25" t="s">
        <v>2023</v>
      </c>
      <c r="J3697" t="s">
        <v>2252</v>
      </c>
      <c r="M3697" s="49"/>
    </row>
    <row r="3698" spans="6:13" x14ac:dyDescent="0.25">
      <c r="F3698" t="s">
        <v>4837</v>
      </c>
      <c r="G3698">
        <v>40723</v>
      </c>
      <c r="H3698">
        <v>5158</v>
      </c>
      <c r="I3698" s="25" t="s">
        <v>2023</v>
      </c>
      <c r="J3698" t="s">
        <v>2252</v>
      </c>
      <c r="M3698" s="49"/>
    </row>
    <row r="3699" spans="6:13" x14ac:dyDescent="0.25">
      <c r="F3699" t="s">
        <v>4838</v>
      </c>
      <c r="G3699">
        <v>40721</v>
      </c>
      <c r="H3699">
        <v>5111</v>
      </c>
      <c r="I3699" s="25" t="s">
        <v>2023</v>
      </c>
      <c r="J3699" t="s">
        <v>3680</v>
      </c>
      <c r="M3699" s="49"/>
    </row>
    <row r="3700" spans="6:13" x14ac:dyDescent="0.25">
      <c r="F3700" t="s">
        <v>4838</v>
      </c>
      <c r="G3700">
        <v>40721</v>
      </c>
      <c r="H3700">
        <v>5158</v>
      </c>
      <c r="I3700" s="25" t="s">
        <v>2023</v>
      </c>
      <c r="J3700" t="s">
        <v>2252</v>
      </c>
      <c r="M3700" s="49"/>
    </row>
    <row r="3701" spans="6:13" x14ac:dyDescent="0.25">
      <c r="F3701" t="s">
        <v>4839</v>
      </c>
      <c r="G3701">
        <v>36115</v>
      </c>
      <c r="H3701">
        <v>6631</v>
      </c>
      <c r="I3701" s="25" t="s">
        <v>2046</v>
      </c>
      <c r="J3701" t="s">
        <v>2145</v>
      </c>
      <c r="M3701" s="49"/>
    </row>
    <row r="3702" spans="6:13" x14ac:dyDescent="0.25">
      <c r="F3702" t="s">
        <v>2196</v>
      </c>
      <c r="G3702">
        <v>31137</v>
      </c>
      <c r="H3702">
        <v>3254</v>
      </c>
      <c r="I3702" s="25" t="s">
        <v>2074</v>
      </c>
      <c r="J3702" t="s">
        <v>2196</v>
      </c>
      <c r="M3702" s="49"/>
    </row>
    <row r="3703" spans="6:13" x14ac:dyDescent="0.25">
      <c r="F3703" t="s">
        <v>2196</v>
      </c>
      <c r="G3703">
        <v>31141</v>
      </c>
      <c r="H3703">
        <v>3254</v>
      </c>
      <c r="I3703" s="25" t="s">
        <v>2074</v>
      </c>
      <c r="J3703" t="s">
        <v>2196</v>
      </c>
      <c r="M3703" s="49"/>
    </row>
    <row r="3704" spans="6:13" x14ac:dyDescent="0.25">
      <c r="F3704" t="s">
        <v>2196</v>
      </c>
      <c r="G3704">
        <v>31134</v>
      </c>
      <c r="H3704">
        <v>3254</v>
      </c>
      <c r="I3704" s="25" t="s">
        <v>2074</v>
      </c>
      <c r="J3704" t="s">
        <v>2196</v>
      </c>
      <c r="M3704" s="49"/>
    </row>
    <row r="3705" spans="6:13" x14ac:dyDescent="0.25">
      <c r="F3705" t="s">
        <v>2196</v>
      </c>
      <c r="G3705">
        <v>31139</v>
      </c>
      <c r="H3705">
        <v>3254</v>
      </c>
      <c r="I3705" s="25" t="s">
        <v>2074</v>
      </c>
      <c r="J3705" t="s">
        <v>2196</v>
      </c>
      <c r="M3705" s="49"/>
    </row>
    <row r="3706" spans="6:13" x14ac:dyDescent="0.25">
      <c r="F3706" t="s">
        <v>2196</v>
      </c>
      <c r="G3706">
        <v>31135</v>
      </c>
      <c r="H3706">
        <v>3254</v>
      </c>
      <c r="I3706" s="25" t="s">
        <v>2074</v>
      </c>
      <c r="J3706" t="s">
        <v>2196</v>
      </c>
      <c r="M3706" s="49"/>
    </row>
    <row r="3707" spans="6:13" x14ac:dyDescent="0.25">
      <c r="F3707" t="s">
        <v>4840</v>
      </c>
      <c r="G3707">
        <v>71157</v>
      </c>
      <c r="H3707">
        <v>8115</v>
      </c>
      <c r="I3707" s="25" t="s">
        <v>2018</v>
      </c>
      <c r="J3707" t="s">
        <v>2222</v>
      </c>
      <c r="M3707" s="49"/>
    </row>
    <row r="3708" spans="6:13" x14ac:dyDescent="0.25">
      <c r="F3708" t="s">
        <v>4841</v>
      </c>
      <c r="G3708">
        <v>56206</v>
      </c>
      <c r="H3708">
        <v>7143</v>
      </c>
      <c r="I3708" s="25" t="s">
        <v>2123</v>
      </c>
      <c r="J3708" t="s">
        <v>2331</v>
      </c>
      <c r="M3708" s="49"/>
    </row>
    <row r="3709" spans="6:13" x14ac:dyDescent="0.25">
      <c r="F3709" t="s">
        <v>4842</v>
      </c>
      <c r="G3709">
        <v>86567</v>
      </c>
      <c r="H3709">
        <v>9174</v>
      </c>
      <c r="I3709" s="25" t="s">
        <v>2050</v>
      </c>
      <c r="J3709" t="s">
        <v>2445</v>
      </c>
      <c r="M3709" s="49"/>
    </row>
    <row r="3710" spans="6:13" x14ac:dyDescent="0.25">
      <c r="F3710" t="s">
        <v>4843</v>
      </c>
      <c r="G3710">
        <v>32479</v>
      </c>
      <c r="H3710">
        <v>5770</v>
      </c>
      <c r="I3710" s="25" t="s">
        <v>2023</v>
      </c>
      <c r="J3710" t="s">
        <v>2257</v>
      </c>
      <c r="M3710" s="49"/>
    </row>
    <row r="3711" spans="6:13" x14ac:dyDescent="0.25">
      <c r="F3711" t="s">
        <v>4844</v>
      </c>
      <c r="G3711">
        <v>38543</v>
      </c>
      <c r="H3711">
        <v>3151</v>
      </c>
      <c r="I3711" s="25" t="s">
        <v>2074</v>
      </c>
      <c r="J3711" t="s">
        <v>2126</v>
      </c>
      <c r="M3711" s="49"/>
    </row>
    <row r="3712" spans="6:13" x14ac:dyDescent="0.25">
      <c r="F3712" t="s">
        <v>4845</v>
      </c>
      <c r="G3712">
        <v>54576</v>
      </c>
      <c r="H3712">
        <v>7233</v>
      </c>
      <c r="I3712" s="25" t="s">
        <v>2123</v>
      </c>
      <c r="J3712" t="s">
        <v>2416</v>
      </c>
      <c r="M3712" s="49"/>
    </row>
    <row r="3713" spans="6:13" x14ac:dyDescent="0.25">
      <c r="F3713" t="s">
        <v>4845</v>
      </c>
      <c r="G3713">
        <v>67586</v>
      </c>
      <c r="H3713">
        <v>7339</v>
      </c>
      <c r="I3713" s="25" t="s">
        <v>2123</v>
      </c>
      <c r="J3713" t="s">
        <v>2238</v>
      </c>
      <c r="M3713" s="49"/>
    </row>
    <row r="3714" spans="6:13" x14ac:dyDescent="0.25">
      <c r="F3714" t="s">
        <v>4846</v>
      </c>
      <c r="G3714">
        <v>56204</v>
      </c>
      <c r="H3714">
        <v>7143</v>
      </c>
      <c r="I3714" s="25" t="s">
        <v>2123</v>
      </c>
      <c r="J3714" t="s">
        <v>2331</v>
      </c>
      <c r="M3714" s="49"/>
    </row>
    <row r="3715" spans="6:13" x14ac:dyDescent="0.25">
      <c r="F3715" t="s">
        <v>4847</v>
      </c>
      <c r="G3715">
        <v>91161</v>
      </c>
      <c r="H3715">
        <v>9576</v>
      </c>
      <c r="I3715" s="25" t="s">
        <v>2050</v>
      </c>
      <c r="J3715" t="s">
        <v>2051</v>
      </c>
      <c r="M3715" s="49"/>
    </row>
    <row r="3716" spans="6:13" x14ac:dyDescent="0.25">
      <c r="F3716" t="s">
        <v>4848</v>
      </c>
      <c r="G3716">
        <v>86856</v>
      </c>
      <c r="H3716">
        <v>9772</v>
      </c>
      <c r="I3716" s="25" t="s">
        <v>2050</v>
      </c>
      <c r="J3716" t="s">
        <v>2117</v>
      </c>
      <c r="M3716" s="49"/>
    </row>
    <row r="3717" spans="6:13" x14ac:dyDescent="0.25">
      <c r="F3717" t="s">
        <v>4849</v>
      </c>
      <c r="G3717">
        <v>49176</v>
      </c>
      <c r="H3717">
        <v>3459</v>
      </c>
      <c r="I3717" s="25" t="s">
        <v>2074</v>
      </c>
      <c r="J3717" t="s">
        <v>2292</v>
      </c>
      <c r="M3717" s="49"/>
    </row>
    <row r="3718" spans="6:13" x14ac:dyDescent="0.25">
      <c r="F3718" t="s">
        <v>4850</v>
      </c>
      <c r="G3718">
        <v>91355</v>
      </c>
      <c r="H3718">
        <v>9474</v>
      </c>
      <c r="I3718" s="25" t="s">
        <v>2050</v>
      </c>
      <c r="J3718" t="s">
        <v>3692</v>
      </c>
      <c r="M3718" s="49"/>
    </row>
    <row r="3719" spans="6:13" x14ac:dyDescent="0.25">
      <c r="F3719" t="s">
        <v>4851</v>
      </c>
      <c r="G3719">
        <v>78247</v>
      </c>
      <c r="H3719">
        <v>8335</v>
      </c>
      <c r="I3719" s="25" t="s">
        <v>2018</v>
      </c>
      <c r="J3719" t="s">
        <v>2019</v>
      </c>
      <c r="M3719" s="49"/>
    </row>
    <row r="3720" spans="6:13" x14ac:dyDescent="0.25">
      <c r="F3720" t="s">
        <v>4852</v>
      </c>
      <c r="G3720">
        <v>29584</v>
      </c>
      <c r="H3720">
        <v>3360</v>
      </c>
      <c r="I3720" s="25" t="s">
        <v>2074</v>
      </c>
      <c r="J3720" t="s">
        <v>2400</v>
      </c>
      <c r="M3720" s="49"/>
    </row>
    <row r="3721" spans="6:13" x14ac:dyDescent="0.25">
      <c r="F3721" t="s">
        <v>4853</v>
      </c>
      <c r="G3721">
        <v>95502</v>
      </c>
      <c r="H3721">
        <v>9477</v>
      </c>
      <c r="I3721" s="25" t="s">
        <v>2050</v>
      </c>
      <c r="J3721" t="s">
        <v>4385</v>
      </c>
      <c r="M3721" s="49"/>
    </row>
    <row r="3722" spans="6:13" x14ac:dyDescent="0.25">
      <c r="F3722" t="s">
        <v>4854</v>
      </c>
      <c r="G3722">
        <v>21709</v>
      </c>
      <c r="H3722">
        <v>3359</v>
      </c>
      <c r="I3722" s="25" t="s">
        <v>2074</v>
      </c>
      <c r="J3722" t="s">
        <v>2158</v>
      </c>
      <c r="M3722" s="49"/>
    </row>
    <row r="3723" spans="6:13" x14ac:dyDescent="0.25">
      <c r="F3723" t="s">
        <v>4855</v>
      </c>
      <c r="G3723">
        <v>97267</v>
      </c>
      <c r="H3723">
        <v>9677</v>
      </c>
      <c r="I3723" s="25" t="s">
        <v>2050</v>
      </c>
      <c r="J3723" t="s">
        <v>2527</v>
      </c>
      <c r="M3723" s="49"/>
    </row>
    <row r="3724" spans="6:13" x14ac:dyDescent="0.25">
      <c r="F3724" t="s">
        <v>4856</v>
      </c>
      <c r="G3724">
        <v>26759</v>
      </c>
      <c r="H3724">
        <v>3452</v>
      </c>
      <c r="I3724" s="25" t="s">
        <v>2074</v>
      </c>
      <c r="J3724" t="s">
        <v>2034</v>
      </c>
      <c r="M3724" s="49"/>
    </row>
    <row r="3725" spans="6:13" x14ac:dyDescent="0.25">
      <c r="F3725" t="s">
        <v>4857</v>
      </c>
      <c r="G3725">
        <v>94146</v>
      </c>
      <c r="H3725">
        <v>9272</v>
      </c>
      <c r="I3725" s="25" t="s">
        <v>2050</v>
      </c>
      <c r="J3725" t="s">
        <v>2140</v>
      </c>
      <c r="M3725" s="49"/>
    </row>
    <row r="3726" spans="6:13" x14ac:dyDescent="0.25">
      <c r="F3726" t="s">
        <v>4858</v>
      </c>
      <c r="G3726">
        <v>66999</v>
      </c>
      <c r="H3726">
        <v>7340</v>
      </c>
      <c r="I3726" s="25" t="s">
        <v>2123</v>
      </c>
      <c r="J3726" t="s">
        <v>2826</v>
      </c>
      <c r="M3726" s="49"/>
    </row>
    <row r="3727" spans="6:13" x14ac:dyDescent="0.25">
      <c r="F3727" t="s">
        <v>4858</v>
      </c>
      <c r="G3727">
        <v>66999</v>
      </c>
      <c r="H3727">
        <v>7340</v>
      </c>
      <c r="I3727" s="25" t="s">
        <v>2123</v>
      </c>
      <c r="J3727" t="s">
        <v>2826</v>
      </c>
      <c r="M3727" s="49"/>
    </row>
    <row r="3728" spans="6:13" x14ac:dyDescent="0.25">
      <c r="F3728" t="s">
        <v>4859</v>
      </c>
      <c r="G3728">
        <v>79856</v>
      </c>
      <c r="H3728">
        <v>8315</v>
      </c>
      <c r="I3728" s="25" t="s">
        <v>2018</v>
      </c>
      <c r="J3728" t="s">
        <v>2061</v>
      </c>
      <c r="M3728" s="49"/>
    </row>
    <row r="3729" spans="6:13" x14ac:dyDescent="0.25">
      <c r="F3729" t="s">
        <v>4860</v>
      </c>
      <c r="G3729">
        <v>67756</v>
      </c>
      <c r="H3729">
        <v>7336</v>
      </c>
      <c r="I3729" s="25" t="s">
        <v>2123</v>
      </c>
      <c r="J3729" t="s">
        <v>2216</v>
      </c>
      <c r="M3729" s="49"/>
    </row>
    <row r="3730" spans="6:13" x14ac:dyDescent="0.25">
      <c r="F3730" t="s">
        <v>4861</v>
      </c>
      <c r="G3730">
        <v>72145</v>
      </c>
      <c r="H3730">
        <v>8416</v>
      </c>
      <c r="I3730" s="25" t="s">
        <v>2018</v>
      </c>
      <c r="J3730" t="s">
        <v>2464</v>
      </c>
      <c r="M3730" s="49"/>
    </row>
    <row r="3731" spans="6:13" x14ac:dyDescent="0.25">
      <c r="F3731" t="s">
        <v>4861</v>
      </c>
      <c r="G3731">
        <v>72145</v>
      </c>
      <c r="H3731">
        <v>8416</v>
      </c>
      <c r="I3731" s="25" t="s">
        <v>2018</v>
      </c>
      <c r="J3731" t="s">
        <v>2464</v>
      </c>
      <c r="M3731" s="49"/>
    </row>
    <row r="3732" spans="6:13" x14ac:dyDescent="0.25">
      <c r="F3732" t="s">
        <v>4862</v>
      </c>
      <c r="G3732">
        <v>96114</v>
      </c>
      <c r="H3732">
        <v>9471</v>
      </c>
      <c r="I3732" s="25" t="s">
        <v>2050</v>
      </c>
      <c r="J3732" t="s">
        <v>2392</v>
      </c>
      <c r="M3732" s="49"/>
    </row>
    <row r="3733" spans="6:13" x14ac:dyDescent="0.25">
      <c r="F3733" t="s">
        <v>4863</v>
      </c>
      <c r="G3733">
        <v>92242</v>
      </c>
      <c r="H3733">
        <v>9371</v>
      </c>
      <c r="I3733" s="25" t="s">
        <v>2050</v>
      </c>
      <c r="J3733" t="s">
        <v>2469</v>
      </c>
      <c r="M3733" s="49"/>
    </row>
    <row r="3734" spans="6:13" x14ac:dyDescent="0.25">
      <c r="F3734" t="s">
        <v>4864</v>
      </c>
      <c r="G3734">
        <v>92275</v>
      </c>
      <c r="H3734">
        <v>9371</v>
      </c>
      <c r="I3734" s="25" t="s">
        <v>2050</v>
      </c>
      <c r="J3734" t="s">
        <v>2469</v>
      </c>
      <c r="M3734" s="49"/>
    </row>
    <row r="3735" spans="6:13" x14ac:dyDescent="0.25">
      <c r="F3735" t="s">
        <v>4865</v>
      </c>
      <c r="G3735">
        <v>7927</v>
      </c>
      <c r="H3735">
        <v>16075</v>
      </c>
      <c r="I3735" s="25" t="s">
        <v>2384</v>
      </c>
      <c r="J3735" t="s">
        <v>4221</v>
      </c>
      <c r="M3735" s="49"/>
    </row>
    <row r="3736" spans="6:13" x14ac:dyDescent="0.25">
      <c r="F3736" t="s">
        <v>4866</v>
      </c>
      <c r="G3736">
        <v>69493</v>
      </c>
      <c r="H3736">
        <v>8226</v>
      </c>
      <c r="I3736" s="25" t="s">
        <v>2018</v>
      </c>
      <c r="J3736" t="s">
        <v>2442</v>
      </c>
      <c r="M3736" s="49"/>
    </row>
    <row r="3737" spans="6:13" x14ac:dyDescent="0.25">
      <c r="F3737" t="s">
        <v>4867</v>
      </c>
      <c r="G3737">
        <v>8144</v>
      </c>
      <c r="H3737">
        <v>14524</v>
      </c>
      <c r="I3737" s="25" t="s">
        <v>2135</v>
      </c>
      <c r="J3737" t="s">
        <v>3424</v>
      </c>
      <c r="M3737" s="49"/>
    </row>
    <row r="3738" spans="6:13" x14ac:dyDescent="0.25">
      <c r="F3738" t="s">
        <v>4868</v>
      </c>
      <c r="G3738">
        <v>67732</v>
      </c>
      <c r="H3738">
        <v>7335</v>
      </c>
      <c r="I3738" s="25" t="s">
        <v>2123</v>
      </c>
      <c r="J3738" t="s">
        <v>2843</v>
      </c>
      <c r="M3738" s="49"/>
    </row>
    <row r="3739" spans="6:13" x14ac:dyDescent="0.25">
      <c r="F3739" t="s">
        <v>4869</v>
      </c>
      <c r="G3739">
        <v>69434</v>
      </c>
      <c r="H3739">
        <v>6431</v>
      </c>
      <c r="I3739" s="25" t="s">
        <v>2046</v>
      </c>
      <c r="J3739" t="s">
        <v>2065</v>
      </c>
      <c r="M3739" s="49"/>
    </row>
    <row r="3740" spans="6:13" x14ac:dyDescent="0.25">
      <c r="F3740" t="s">
        <v>4869</v>
      </c>
      <c r="G3740">
        <v>69434</v>
      </c>
      <c r="H3740">
        <v>8226</v>
      </c>
      <c r="I3740" s="25" t="s">
        <v>2018</v>
      </c>
      <c r="J3740" t="s">
        <v>2442</v>
      </c>
      <c r="M3740" s="49"/>
    </row>
    <row r="3741" spans="6:13" x14ac:dyDescent="0.25">
      <c r="F3741" t="s">
        <v>4870</v>
      </c>
      <c r="G3741">
        <v>63697</v>
      </c>
      <c r="H3741">
        <v>6440</v>
      </c>
      <c r="I3741" s="25" t="s">
        <v>2046</v>
      </c>
      <c r="J3741" t="s">
        <v>2415</v>
      </c>
      <c r="M3741" s="49"/>
    </row>
    <row r="3742" spans="6:13" x14ac:dyDescent="0.25">
      <c r="F3742" t="s">
        <v>4871</v>
      </c>
      <c r="G3742">
        <v>29456</v>
      </c>
      <c r="H3742">
        <v>3354</v>
      </c>
      <c r="I3742" s="25" t="s">
        <v>2074</v>
      </c>
      <c r="J3742" t="s">
        <v>2232</v>
      </c>
      <c r="M3742" s="49"/>
    </row>
    <row r="3743" spans="6:13" x14ac:dyDescent="0.25">
      <c r="F3743" t="s">
        <v>4872</v>
      </c>
      <c r="G3743">
        <v>85122</v>
      </c>
      <c r="H3743">
        <v>9176</v>
      </c>
      <c r="I3743" s="25" t="s">
        <v>2050</v>
      </c>
      <c r="J3743" t="s">
        <v>2102</v>
      </c>
      <c r="M3743" s="49"/>
    </row>
    <row r="3744" spans="6:13" x14ac:dyDescent="0.25">
      <c r="F3744" t="s">
        <v>4873</v>
      </c>
      <c r="G3744">
        <v>97204</v>
      </c>
      <c r="H3744">
        <v>9679</v>
      </c>
      <c r="I3744" s="25" t="s">
        <v>2050</v>
      </c>
      <c r="J3744" t="s">
        <v>2428</v>
      </c>
      <c r="M3744" s="49"/>
    </row>
    <row r="3745" spans="6:13" x14ac:dyDescent="0.25">
      <c r="F3745" t="s">
        <v>4874</v>
      </c>
      <c r="G3745">
        <v>73269</v>
      </c>
      <c r="H3745">
        <v>8116</v>
      </c>
      <c r="I3745" s="25" t="s">
        <v>2018</v>
      </c>
      <c r="J3745" t="s">
        <v>2213</v>
      </c>
      <c r="M3745" s="49"/>
    </row>
    <row r="3746" spans="6:13" x14ac:dyDescent="0.25">
      <c r="F3746" t="s">
        <v>4874</v>
      </c>
      <c r="G3746">
        <v>88454</v>
      </c>
      <c r="H3746">
        <v>8426</v>
      </c>
      <c r="I3746" s="25" t="s">
        <v>2018</v>
      </c>
      <c r="J3746" t="s">
        <v>2081</v>
      </c>
      <c r="M3746" s="49"/>
    </row>
    <row r="3747" spans="6:13" x14ac:dyDescent="0.25">
      <c r="F3747" t="s">
        <v>4875</v>
      </c>
      <c r="G3747">
        <v>67126</v>
      </c>
      <c r="H3747">
        <v>7338</v>
      </c>
      <c r="I3747" s="25" t="s">
        <v>2123</v>
      </c>
      <c r="J3747" t="s">
        <v>2448</v>
      </c>
      <c r="M3747" s="49"/>
    </row>
    <row r="3748" spans="6:13" x14ac:dyDescent="0.25">
      <c r="F3748" t="s">
        <v>4876</v>
      </c>
      <c r="G3748">
        <v>79862</v>
      </c>
      <c r="H3748">
        <v>8337</v>
      </c>
      <c r="I3748" s="25" t="s">
        <v>2018</v>
      </c>
      <c r="J3748" t="s">
        <v>2248</v>
      </c>
      <c r="M3748" s="49"/>
    </row>
    <row r="3749" spans="6:13" x14ac:dyDescent="0.25">
      <c r="F3749" t="s">
        <v>4877</v>
      </c>
      <c r="G3749">
        <v>65239</v>
      </c>
      <c r="H3749">
        <v>6436</v>
      </c>
      <c r="I3749" s="25" t="s">
        <v>2046</v>
      </c>
      <c r="J3749" t="s">
        <v>2730</v>
      </c>
      <c r="M3749" s="49"/>
    </row>
    <row r="3750" spans="6:13" x14ac:dyDescent="0.25">
      <c r="F3750" t="s">
        <v>4878</v>
      </c>
      <c r="G3750">
        <v>67691</v>
      </c>
      <c r="H3750">
        <v>7335</v>
      </c>
      <c r="I3750" s="25" t="s">
        <v>2123</v>
      </c>
      <c r="J3750" t="s">
        <v>2843</v>
      </c>
      <c r="M3750" s="49"/>
    </row>
    <row r="3751" spans="6:13" x14ac:dyDescent="0.25">
      <c r="F3751" t="s">
        <v>4879</v>
      </c>
      <c r="G3751">
        <v>64739</v>
      </c>
      <c r="H3751">
        <v>6437</v>
      </c>
      <c r="I3751" s="25" t="s">
        <v>2046</v>
      </c>
      <c r="J3751" t="s">
        <v>2674</v>
      </c>
      <c r="M3751" s="49"/>
    </row>
    <row r="3752" spans="6:13" x14ac:dyDescent="0.25">
      <c r="F3752" t="s">
        <v>4880</v>
      </c>
      <c r="G3752">
        <v>76879</v>
      </c>
      <c r="H3752">
        <v>7334</v>
      </c>
      <c r="I3752" s="25" t="s">
        <v>2123</v>
      </c>
      <c r="J3752" t="s">
        <v>2873</v>
      </c>
      <c r="M3752" s="49"/>
    </row>
    <row r="3753" spans="6:13" x14ac:dyDescent="0.25">
      <c r="F3753" t="s">
        <v>4880</v>
      </c>
      <c r="G3753">
        <v>76879</v>
      </c>
      <c r="H3753">
        <v>7337</v>
      </c>
      <c r="I3753" s="25" t="s">
        <v>2123</v>
      </c>
      <c r="J3753" t="s">
        <v>2256</v>
      </c>
      <c r="M3753" s="49"/>
    </row>
    <row r="3754" spans="6:13" x14ac:dyDescent="0.25">
      <c r="F3754" t="s">
        <v>4881</v>
      </c>
      <c r="G3754">
        <v>95186</v>
      </c>
      <c r="H3754">
        <v>9479</v>
      </c>
      <c r="I3754" s="25" t="s">
        <v>2050</v>
      </c>
      <c r="J3754" t="s">
        <v>2436</v>
      </c>
      <c r="M3754" s="49"/>
    </row>
    <row r="3755" spans="6:13" x14ac:dyDescent="0.25">
      <c r="F3755" t="s">
        <v>4882</v>
      </c>
      <c r="G3755">
        <v>96272</v>
      </c>
      <c r="H3755">
        <v>9478</v>
      </c>
      <c r="I3755" s="25" t="s">
        <v>2050</v>
      </c>
      <c r="J3755" t="s">
        <v>2404</v>
      </c>
      <c r="M3755" s="49"/>
    </row>
    <row r="3756" spans="6:13" x14ac:dyDescent="0.25">
      <c r="F3756" t="s">
        <v>4883</v>
      </c>
      <c r="G3756">
        <v>89420</v>
      </c>
      <c r="H3756">
        <v>9773</v>
      </c>
      <c r="I3756" s="25" t="s">
        <v>2050</v>
      </c>
      <c r="J3756" t="s">
        <v>2231</v>
      </c>
      <c r="M3756" s="49"/>
    </row>
    <row r="3757" spans="6:13" x14ac:dyDescent="0.25">
      <c r="F3757" t="s">
        <v>4884</v>
      </c>
      <c r="G3757">
        <v>91315</v>
      </c>
      <c r="H3757">
        <v>9572</v>
      </c>
      <c r="I3757" s="25" t="s">
        <v>2050</v>
      </c>
      <c r="J3757" t="s">
        <v>2105</v>
      </c>
      <c r="M3757" s="49"/>
    </row>
    <row r="3758" spans="6:13" x14ac:dyDescent="0.25">
      <c r="F3758" t="s">
        <v>4885</v>
      </c>
      <c r="G3758">
        <v>68766</v>
      </c>
      <c r="H3758">
        <v>8226</v>
      </c>
      <c r="I3758" s="25" t="s">
        <v>2018</v>
      </c>
      <c r="J3758" t="s">
        <v>2442</v>
      </c>
      <c r="M3758" s="49"/>
    </row>
    <row r="3759" spans="6:13" x14ac:dyDescent="0.25">
      <c r="F3759" t="s">
        <v>4886</v>
      </c>
      <c r="G3759">
        <v>29693</v>
      </c>
      <c r="H3759">
        <v>3358</v>
      </c>
      <c r="I3759" s="25" t="s">
        <v>2074</v>
      </c>
      <c r="J3759" t="s">
        <v>2371</v>
      </c>
      <c r="M3759" s="49"/>
    </row>
    <row r="3760" spans="6:13" x14ac:dyDescent="0.25">
      <c r="F3760" t="s">
        <v>2201</v>
      </c>
      <c r="G3760">
        <v>95030</v>
      </c>
      <c r="H3760">
        <v>9464</v>
      </c>
      <c r="I3760" s="25" t="s">
        <v>2050</v>
      </c>
      <c r="J3760" t="s">
        <v>4887</v>
      </c>
      <c r="M3760" s="49"/>
    </row>
    <row r="3761" spans="6:13" x14ac:dyDescent="0.25">
      <c r="F3761" t="s">
        <v>2201</v>
      </c>
      <c r="G3761">
        <v>95028</v>
      </c>
      <c r="H3761">
        <v>9464</v>
      </c>
      <c r="I3761" s="25" t="s">
        <v>2050</v>
      </c>
      <c r="J3761" t="s">
        <v>4887</v>
      </c>
      <c r="M3761" s="49"/>
    </row>
    <row r="3762" spans="6:13" x14ac:dyDescent="0.25">
      <c r="F3762" t="s">
        <v>2201</v>
      </c>
      <c r="G3762">
        <v>95032</v>
      </c>
      <c r="H3762">
        <v>9464</v>
      </c>
      <c r="I3762" s="25" t="s">
        <v>2050</v>
      </c>
      <c r="J3762" t="s">
        <v>4887</v>
      </c>
      <c r="M3762" s="49"/>
    </row>
    <row r="3763" spans="6:13" x14ac:dyDescent="0.25">
      <c r="F3763" t="s">
        <v>4888</v>
      </c>
      <c r="G3763">
        <v>36145</v>
      </c>
      <c r="H3763">
        <v>6631</v>
      </c>
      <c r="I3763" s="25" t="s">
        <v>2046</v>
      </c>
      <c r="J3763" t="s">
        <v>2145</v>
      </c>
      <c r="M3763" s="49"/>
    </row>
    <row r="3764" spans="6:13" x14ac:dyDescent="0.25">
      <c r="F3764" t="s">
        <v>4889</v>
      </c>
      <c r="G3764">
        <v>75339</v>
      </c>
      <c r="H3764">
        <v>8235</v>
      </c>
      <c r="I3764" s="25" t="s">
        <v>2018</v>
      </c>
      <c r="J3764" t="s">
        <v>2422</v>
      </c>
      <c r="M3764" s="49"/>
    </row>
    <row r="3765" spans="6:13" x14ac:dyDescent="0.25">
      <c r="F3765" t="s">
        <v>4890</v>
      </c>
      <c r="G3765">
        <v>29361</v>
      </c>
      <c r="H3765">
        <v>3351</v>
      </c>
      <c r="I3765" s="25" t="s">
        <v>2074</v>
      </c>
      <c r="J3765" t="s">
        <v>2096</v>
      </c>
      <c r="M3765" s="49"/>
    </row>
    <row r="3766" spans="6:13" x14ac:dyDescent="0.25">
      <c r="F3766" t="s">
        <v>4891</v>
      </c>
      <c r="G3766">
        <v>34369</v>
      </c>
      <c r="H3766">
        <v>6633</v>
      </c>
      <c r="I3766" s="25" t="s">
        <v>2046</v>
      </c>
      <c r="J3766" t="s">
        <v>2162</v>
      </c>
      <c r="M3766" s="49"/>
    </row>
    <row r="3767" spans="6:13" x14ac:dyDescent="0.25">
      <c r="F3767" t="s">
        <v>4892</v>
      </c>
      <c r="G3767">
        <v>65719</v>
      </c>
      <c r="H3767">
        <v>6436</v>
      </c>
      <c r="I3767" s="25" t="s">
        <v>2046</v>
      </c>
      <c r="J3767" t="s">
        <v>2730</v>
      </c>
      <c r="M3767" s="49"/>
    </row>
    <row r="3768" spans="6:13" x14ac:dyDescent="0.25">
      <c r="F3768" t="s">
        <v>4893</v>
      </c>
      <c r="G3768">
        <v>97461</v>
      </c>
      <c r="H3768">
        <v>9674</v>
      </c>
      <c r="I3768" s="25" t="s">
        <v>2050</v>
      </c>
      <c r="J3768" t="s">
        <v>2218</v>
      </c>
      <c r="M3768" s="49"/>
    </row>
    <row r="3769" spans="6:13" x14ac:dyDescent="0.25">
      <c r="F3769" t="s">
        <v>4894</v>
      </c>
      <c r="G3769">
        <v>94544</v>
      </c>
      <c r="H3769">
        <v>9275</v>
      </c>
      <c r="I3769" s="25" t="s">
        <v>2050</v>
      </c>
      <c r="J3769" t="s">
        <v>2198</v>
      </c>
      <c r="M3769" s="49"/>
    </row>
    <row r="3770" spans="6:13" x14ac:dyDescent="0.25">
      <c r="F3770" t="s">
        <v>4895</v>
      </c>
      <c r="G3770">
        <v>86928</v>
      </c>
      <c r="H3770">
        <v>9181</v>
      </c>
      <c r="I3770" s="25" t="s">
        <v>2050</v>
      </c>
      <c r="J3770" t="s">
        <v>2505</v>
      </c>
      <c r="M3770" s="49"/>
    </row>
    <row r="3771" spans="6:13" x14ac:dyDescent="0.25">
      <c r="F3771" t="s">
        <v>4896</v>
      </c>
      <c r="G3771">
        <v>25858</v>
      </c>
      <c r="H3771">
        <v>1054</v>
      </c>
      <c r="I3771" s="25" t="s">
        <v>2085</v>
      </c>
      <c r="J3771" t="s">
        <v>2195</v>
      </c>
      <c r="M3771" s="49"/>
    </row>
    <row r="3772" spans="6:13" x14ac:dyDescent="0.25">
      <c r="F3772" t="s">
        <v>4897</v>
      </c>
      <c r="G3772">
        <v>29478</v>
      </c>
      <c r="H3772">
        <v>3354</v>
      </c>
      <c r="I3772" s="25" t="s">
        <v>2074</v>
      </c>
      <c r="J3772" t="s">
        <v>2232</v>
      </c>
      <c r="M3772" s="49"/>
    </row>
    <row r="3773" spans="6:13" x14ac:dyDescent="0.25">
      <c r="F3773" t="s">
        <v>4898</v>
      </c>
      <c r="G3773">
        <v>77749</v>
      </c>
      <c r="H3773">
        <v>8317</v>
      </c>
      <c r="I3773" s="25" t="s">
        <v>2018</v>
      </c>
      <c r="J3773" t="s">
        <v>2071</v>
      </c>
      <c r="M3773" s="49"/>
    </row>
    <row r="3774" spans="6:13" x14ac:dyDescent="0.25">
      <c r="F3774" t="s">
        <v>4899</v>
      </c>
      <c r="G3774">
        <v>66989</v>
      </c>
      <c r="H3774">
        <v>7340</v>
      </c>
      <c r="I3774" s="25" t="s">
        <v>2123</v>
      </c>
      <c r="J3774" t="s">
        <v>2826</v>
      </c>
      <c r="M3774" s="49"/>
    </row>
    <row r="3775" spans="6:13" x14ac:dyDescent="0.25">
      <c r="F3775" t="s">
        <v>4899</v>
      </c>
      <c r="G3775">
        <v>66989</v>
      </c>
      <c r="H3775">
        <v>7340</v>
      </c>
      <c r="I3775" s="25" t="s">
        <v>2123</v>
      </c>
      <c r="J3775" t="s">
        <v>2826</v>
      </c>
      <c r="M3775" s="49"/>
    </row>
    <row r="3776" spans="6:13" x14ac:dyDescent="0.25">
      <c r="F3776" t="s">
        <v>4900</v>
      </c>
      <c r="G3776">
        <v>16540</v>
      </c>
      <c r="H3776">
        <v>12065</v>
      </c>
      <c r="I3776" s="25" t="s">
        <v>2356</v>
      </c>
      <c r="J3776" t="s">
        <v>2283</v>
      </c>
      <c r="M3776" s="49"/>
    </row>
    <row r="3777" spans="6:13" x14ac:dyDescent="0.25">
      <c r="F3777" t="s">
        <v>4901</v>
      </c>
      <c r="G3777">
        <v>16562</v>
      </c>
      <c r="H3777">
        <v>12065</v>
      </c>
      <c r="I3777" s="25" t="s">
        <v>2356</v>
      </c>
      <c r="J3777" t="s">
        <v>2283</v>
      </c>
      <c r="M3777" s="49"/>
    </row>
    <row r="3778" spans="6:13" x14ac:dyDescent="0.25">
      <c r="F3778" t="s">
        <v>4902</v>
      </c>
      <c r="G3778">
        <v>35644</v>
      </c>
      <c r="H3778">
        <v>6532</v>
      </c>
      <c r="I3778" s="25" t="s">
        <v>2046</v>
      </c>
      <c r="J3778" t="s">
        <v>2555</v>
      </c>
      <c r="M3778" s="49"/>
    </row>
    <row r="3779" spans="6:13" x14ac:dyDescent="0.25">
      <c r="F3779" t="s">
        <v>4903</v>
      </c>
      <c r="G3779">
        <v>86745</v>
      </c>
      <c r="H3779">
        <v>9779</v>
      </c>
      <c r="I3779" s="25" t="s">
        <v>2050</v>
      </c>
      <c r="J3779" t="s">
        <v>2280</v>
      </c>
      <c r="M3779" s="49"/>
    </row>
    <row r="3780" spans="6:13" x14ac:dyDescent="0.25">
      <c r="F3780" t="s">
        <v>4904</v>
      </c>
      <c r="G3780">
        <v>25582</v>
      </c>
      <c r="H3780">
        <v>1061</v>
      </c>
      <c r="I3780" s="25" t="s">
        <v>2085</v>
      </c>
      <c r="J3780" t="s">
        <v>2377</v>
      </c>
      <c r="M3780" s="49"/>
    </row>
    <row r="3781" spans="6:13" x14ac:dyDescent="0.25">
      <c r="F3781" t="s">
        <v>4905</v>
      </c>
      <c r="G3781">
        <v>94545</v>
      </c>
      <c r="H3781">
        <v>9272</v>
      </c>
      <c r="I3781" s="25" t="s">
        <v>2050</v>
      </c>
      <c r="J3781" t="s">
        <v>2140</v>
      </c>
      <c r="M3781" s="49"/>
    </row>
    <row r="3782" spans="6:13" x14ac:dyDescent="0.25">
      <c r="F3782" t="s">
        <v>4906</v>
      </c>
      <c r="G3782">
        <v>95691</v>
      </c>
      <c r="H3782">
        <v>9479</v>
      </c>
      <c r="I3782" s="25" t="s">
        <v>2050</v>
      </c>
      <c r="J3782" t="s">
        <v>2436</v>
      </c>
      <c r="M3782" s="49"/>
    </row>
    <row r="3783" spans="6:13" x14ac:dyDescent="0.25">
      <c r="F3783" t="s">
        <v>4907</v>
      </c>
      <c r="G3783">
        <v>85662</v>
      </c>
      <c r="H3783">
        <v>9184</v>
      </c>
      <c r="I3783" s="25" t="s">
        <v>2050</v>
      </c>
      <c r="J3783" t="s">
        <v>2547</v>
      </c>
      <c r="M3783" s="49"/>
    </row>
    <row r="3784" spans="6:13" x14ac:dyDescent="0.25">
      <c r="F3784" t="s">
        <v>4908</v>
      </c>
      <c r="G3784">
        <v>92277</v>
      </c>
      <c r="H3784">
        <v>9371</v>
      </c>
      <c r="I3784" s="25" t="s">
        <v>2050</v>
      </c>
      <c r="J3784" t="s">
        <v>2469</v>
      </c>
      <c r="M3784" s="49"/>
    </row>
    <row r="3785" spans="6:13" x14ac:dyDescent="0.25">
      <c r="F3785" t="s">
        <v>4909</v>
      </c>
      <c r="G3785">
        <v>24257</v>
      </c>
      <c r="H3785">
        <v>1057</v>
      </c>
      <c r="I3785" s="25" t="s">
        <v>2085</v>
      </c>
      <c r="J3785" t="s">
        <v>2313</v>
      </c>
      <c r="M3785" s="49"/>
    </row>
    <row r="3786" spans="6:13" x14ac:dyDescent="0.25">
      <c r="F3786" t="s">
        <v>4910</v>
      </c>
      <c r="G3786">
        <v>78355</v>
      </c>
      <c r="H3786">
        <v>8335</v>
      </c>
      <c r="I3786" s="25" t="s">
        <v>2018</v>
      </c>
      <c r="J3786" t="s">
        <v>2019</v>
      </c>
      <c r="M3786" s="49"/>
    </row>
    <row r="3787" spans="6:13" x14ac:dyDescent="0.25">
      <c r="F3787" t="s">
        <v>4910</v>
      </c>
      <c r="G3787">
        <v>92366</v>
      </c>
      <c r="H3787">
        <v>9373</v>
      </c>
      <c r="I3787" s="25" t="s">
        <v>2050</v>
      </c>
      <c r="J3787" t="s">
        <v>2891</v>
      </c>
      <c r="M3787" s="49"/>
    </row>
    <row r="3788" spans="6:13" x14ac:dyDescent="0.25">
      <c r="F3788" t="s">
        <v>4911</v>
      </c>
      <c r="G3788">
        <v>86978</v>
      </c>
      <c r="H3788">
        <v>9190</v>
      </c>
      <c r="I3788" s="25" t="s">
        <v>2050</v>
      </c>
      <c r="J3788" t="s">
        <v>2417</v>
      </c>
      <c r="M3788" s="49"/>
    </row>
    <row r="3789" spans="6:13" x14ac:dyDescent="0.25">
      <c r="F3789" t="s">
        <v>4912</v>
      </c>
      <c r="G3789">
        <v>31249</v>
      </c>
      <c r="H3789">
        <v>3157</v>
      </c>
      <c r="I3789" s="25" t="s">
        <v>2074</v>
      </c>
      <c r="J3789" t="s">
        <v>2309</v>
      </c>
      <c r="M3789" s="49"/>
    </row>
    <row r="3790" spans="6:13" x14ac:dyDescent="0.25">
      <c r="F3790" t="s">
        <v>4913</v>
      </c>
      <c r="G3790">
        <v>21526</v>
      </c>
      <c r="H3790">
        <v>1053</v>
      </c>
      <c r="I3790" s="25" t="s">
        <v>2085</v>
      </c>
      <c r="J3790" t="s">
        <v>2193</v>
      </c>
      <c r="M3790" s="49"/>
    </row>
    <row r="3791" spans="6:13" x14ac:dyDescent="0.25">
      <c r="F3791" t="s">
        <v>4914</v>
      </c>
      <c r="G3791">
        <v>85411</v>
      </c>
      <c r="H3791">
        <v>9178</v>
      </c>
      <c r="I3791" s="25" t="s">
        <v>2050</v>
      </c>
      <c r="J3791" t="s">
        <v>2315</v>
      </c>
      <c r="M3791" s="49"/>
    </row>
    <row r="3792" spans="6:13" x14ac:dyDescent="0.25">
      <c r="F3792" t="s">
        <v>4915</v>
      </c>
      <c r="G3792">
        <v>85635</v>
      </c>
      <c r="H3792">
        <v>9184</v>
      </c>
      <c r="I3792" s="25" t="s">
        <v>2050</v>
      </c>
      <c r="J3792" t="s">
        <v>2547</v>
      </c>
      <c r="M3792" s="49"/>
    </row>
    <row r="3793" spans="6:13" x14ac:dyDescent="0.25">
      <c r="F3793" t="s">
        <v>4916</v>
      </c>
      <c r="G3793">
        <v>4934</v>
      </c>
      <c r="H3793">
        <v>12062</v>
      </c>
      <c r="I3793" s="25" t="s">
        <v>2356</v>
      </c>
      <c r="J3793" t="s">
        <v>2689</v>
      </c>
      <c r="M3793" s="49"/>
    </row>
    <row r="3794" spans="6:13" x14ac:dyDescent="0.25">
      <c r="F3794" t="s">
        <v>4917</v>
      </c>
      <c r="G3794">
        <v>7958</v>
      </c>
      <c r="H3794">
        <v>16076</v>
      </c>
      <c r="I3794" s="25" t="s">
        <v>2384</v>
      </c>
      <c r="J3794" t="s">
        <v>2583</v>
      </c>
      <c r="M3794" s="49"/>
    </row>
    <row r="3795" spans="6:13" x14ac:dyDescent="0.25">
      <c r="F3795" t="s">
        <v>4918</v>
      </c>
      <c r="G3795">
        <v>85664</v>
      </c>
      <c r="H3795">
        <v>9175</v>
      </c>
      <c r="I3795" s="25" t="s">
        <v>2050</v>
      </c>
      <c r="J3795" t="s">
        <v>2500</v>
      </c>
      <c r="M3795" s="49"/>
    </row>
    <row r="3796" spans="6:13" x14ac:dyDescent="0.25">
      <c r="F3796" t="s">
        <v>4919</v>
      </c>
      <c r="G3796">
        <v>25551</v>
      </c>
      <c r="H3796">
        <v>1061</v>
      </c>
      <c r="I3796" s="25" t="s">
        <v>2085</v>
      </c>
      <c r="J3796" t="s">
        <v>2377</v>
      </c>
      <c r="M3796" s="49"/>
    </row>
    <row r="3797" spans="6:13" x14ac:dyDescent="0.25">
      <c r="F3797" t="s">
        <v>4920</v>
      </c>
      <c r="G3797">
        <v>6679</v>
      </c>
      <c r="H3797">
        <v>15084</v>
      </c>
      <c r="I3797" s="25" t="s">
        <v>2241</v>
      </c>
      <c r="J3797" t="s">
        <v>2615</v>
      </c>
      <c r="M3797" s="49"/>
    </row>
    <row r="3798" spans="6:13" x14ac:dyDescent="0.25">
      <c r="F3798" t="s">
        <v>4921</v>
      </c>
      <c r="G3798">
        <v>82383</v>
      </c>
      <c r="H3798">
        <v>9190</v>
      </c>
      <c r="I3798" s="25" t="s">
        <v>2050</v>
      </c>
      <c r="J3798" t="s">
        <v>2417</v>
      </c>
      <c r="M3798" s="49"/>
    </row>
    <row r="3799" spans="6:13" x14ac:dyDescent="0.25">
      <c r="F3799" t="s">
        <v>4922</v>
      </c>
      <c r="G3799">
        <v>84432</v>
      </c>
      <c r="H3799">
        <v>9177</v>
      </c>
      <c r="I3799" s="25" t="s">
        <v>2050</v>
      </c>
      <c r="J3799" t="s">
        <v>2915</v>
      </c>
      <c r="M3799" s="49"/>
    </row>
    <row r="3800" spans="6:13" x14ac:dyDescent="0.25">
      <c r="F3800" t="s">
        <v>4923</v>
      </c>
      <c r="G3800">
        <v>36284</v>
      </c>
      <c r="H3800">
        <v>6632</v>
      </c>
      <c r="I3800" s="25" t="s">
        <v>2046</v>
      </c>
      <c r="J3800" t="s">
        <v>2303</v>
      </c>
      <c r="M3800" s="49"/>
    </row>
    <row r="3801" spans="6:13" x14ac:dyDescent="0.25">
      <c r="F3801" t="s">
        <v>4924</v>
      </c>
      <c r="G3801">
        <v>97618</v>
      </c>
      <c r="H3801">
        <v>9673</v>
      </c>
      <c r="I3801" s="25" t="s">
        <v>2050</v>
      </c>
      <c r="J3801" t="s">
        <v>2676</v>
      </c>
      <c r="M3801" s="49"/>
    </row>
    <row r="3802" spans="6:13" x14ac:dyDescent="0.25">
      <c r="F3802" t="s">
        <v>4924</v>
      </c>
      <c r="G3802">
        <v>97618</v>
      </c>
      <c r="H3802">
        <v>9673</v>
      </c>
      <c r="I3802" s="25" t="s">
        <v>2050</v>
      </c>
      <c r="J3802" t="s">
        <v>2676</v>
      </c>
      <c r="M3802" s="49"/>
    </row>
    <row r="3803" spans="6:13" x14ac:dyDescent="0.25">
      <c r="F3803" t="s">
        <v>4925</v>
      </c>
      <c r="G3803">
        <v>73345</v>
      </c>
      <c r="H3803">
        <v>8117</v>
      </c>
      <c r="I3803" s="25" t="s">
        <v>2018</v>
      </c>
      <c r="J3803" t="s">
        <v>2089</v>
      </c>
      <c r="M3803" s="49"/>
    </row>
    <row r="3804" spans="6:13" x14ac:dyDescent="0.25">
      <c r="F3804" t="s">
        <v>4926</v>
      </c>
      <c r="G3804">
        <v>65329</v>
      </c>
      <c r="H3804">
        <v>6439</v>
      </c>
      <c r="I3804" s="25" t="s">
        <v>2046</v>
      </c>
      <c r="J3804" t="s">
        <v>2047</v>
      </c>
      <c r="M3804" s="49"/>
    </row>
    <row r="3805" spans="6:13" x14ac:dyDescent="0.25">
      <c r="F3805" t="s">
        <v>4926</v>
      </c>
      <c r="G3805">
        <v>72531</v>
      </c>
      <c r="H3805">
        <v>8415</v>
      </c>
      <c r="I3805" s="25" t="s">
        <v>2018</v>
      </c>
      <c r="J3805" t="s">
        <v>2325</v>
      </c>
      <c r="M3805" s="49"/>
    </row>
    <row r="3806" spans="6:13" x14ac:dyDescent="0.25">
      <c r="F3806" t="s">
        <v>4927</v>
      </c>
      <c r="G3806">
        <v>88367</v>
      </c>
      <c r="H3806">
        <v>8437</v>
      </c>
      <c r="I3806" s="25" t="s">
        <v>2018</v>
      </c>
      <c r="J3806" t="s">
        <v>2720</v>
      </c>
      <c r="M3806" s="49"/>
    </row>
    <row r="3807" spans="6:13" x14ac:dyDescent="0.25">
      <c r="F3807" t="s">
        <v>4928</v>
      </c>
      <c r="G3807">
        <v>79801</v>
      </c>
      <c r="H3807">
        <v>8337</v>
      </c>
      <c r="I3807" s="25" t="s">
        <v>2018</v>
      </c>
      <c r="J3807" t="s">
        <v>2248</v>
      </c>
      <c r="M3807" s="49"/>
    </row>
    <row r="3808" spans="6:13" x14ac:dyDescent="0.25">
      <c r="F3808" t="s">
        <v>4929</v>
      </c>
      <c r="G3808">
        <v>84098</v>
      </c>
      <c r="H3808">
        <v>9274</v>
      </c>
      <c r="I3808" s="25" t="s">
        <v>2050</v>
      </c>
      <c r="J3808" t="s">
        <v>2132</v>
      </c>
      <c r="M3808" s="49"/>
    </row>
    <row r="3809" spans="6:13" x14ac:dyDescent="0.25">
      <c r="F3809" t="s">
        <v>4930</v>
      </c>
      <c r="G3809">
        <v>86558</v>
      </c>
      <c r="H3809">
        <v>9186</v>
      </c>
      <c r="I3809" s="25" t="s">
        <v>2050</v>
      </c>
      <c r="J3809" t="s">
        <v>2594</v>
      </c>
      <c r="M3809" s="49"/>
    </row>
    <row r="3810" spans="6:13" x14ac:dyDescent="0.25">
      <c r="F3810" t="s">
        <v>4931</v>
      </c>
      <c r="G3810">
        <v>93480</v>
      </c>
      <c r="H3810">
        <v>9372</v>
      </c>
      <c r="I3810" s="25" t="s">
        <v>2050</v>
      </c>
      <c r="J3810" t="s">
        <v>2523</v>
      </c>
      <c r="M3810" s="49"/>
    </row>
    <row r="3811" spans="6:13" x14ac:dyDescent="0.25">
      <c r="F3811" t="s">
        <v>4932</v>
      </c>
      <c r="G3811">
        <v>24594</v>
      </c>
      <c r="H3811">
        <v>1058</v>
      </c>
      <c r="I3811" s="25" t="s">
        <v>2085</v>
      </c>
      <c r="J3811" t="s">
        <v>2086</v>
      </c>
      <c r="M3811" s="49"/>
    </row>
    <row r="3812" spans="6:13" x14ac:dyDescent="0.25">
      <c r="F3812" t="s">
        <v>4933</v>
      </c>
      <c r="G3812">
        <v>24806</v>
      </c>
      <c r="H3812">
        <v>1058</v>
      </c>
      <c r="I3812" s="25" t="s">
        <v>2085</v>
      </c>
      <c r="J3812" t="s">
        <v>2086</v>
      </c>
      <c r="M3812" s="49"/>
    </row>
    <row r="3813" spans="6:13" x14ac:dyDescent="0.25">
      <c r="F3813" t="s">
        <v>4934</v>
      </c>
      <c r="G3813">
        <v>56462</v>
      </c>
      <c r="H3813">
        <v>7143</v>
      </c>
      <c r="I3813" s="25" t="s">
        <v>2123</v>
      </c>
      <c r="J3813" t="s">
        <v>2331</v>
      </c>
      <c r="M3813" s="49"/>
    </row>
    <row r="3814" spans="6:13" x14ac:dyDescent="0.25">
      <c r="F3814" t="s">
        <v>4935</v>
      </c>
      <c r="G3814">
        <v>9394</v>
      </c>
      <c r="H3814">
        <v>14521</v>
      </c>
      <c r="I3814" s="25" t="s">
        <v>2135</v>
      </c>
      <c r="J3814" t="s">
        <v>2032</v>
      </c>
      <c r="M3814" s="49"/>
    </row>
    <row r="3815" spans="6:13" x14ac:dyDescent="0.25">
      <c r="F3815" t="s">
        <v>4936</v>
      </c>
      <c r="G3815">
        <v>29362</v>
      </c>
      <c r="H3815">
        <v>3351</v>
      </c>
      <c r="I3815" s="25" t="s">
        <v>2074</v>
      </c>
      <c r="J3815" t="s">
        <v>2096</v>
      </c>
      <c r="M3815" s="49"/>
    </row>
    <row r="3816" spans="6:13" x14ac:dyDescent="0.25">
      <c r="F3816" t="s">
        <v>4937</v>
      </c>
      <c r="G3816">
        <v>1848</v>
      </c>
      <c r="H3816">
        <v>14628</v>
      </c>
      <c r="I3816" s="25" t="s">
        <v>2135</v>
      </c>
      <c r="J3816" t="s">
        <v>2347</v>
      </c>
      <c r="M3816" s="49"/>
    </row>
    <row r="3817" spans="6:13" x14ac:dyDescent="0.25">
      <c r="F3817" t="s">
        <v>4938</v>
      </c>
      <c r="G3817">
        <v>21522</v>
      </c>
      <c r="H3817">
        <v>3355</v>
      </c>
      <c r="I3817" s="25" t="s">
        <v>2074</v>
      </c>
      <c r="J3817" t="s">
        <v>2129</v>
      </c>
      <c r="M3817" s="49"/>
    </row>
    <row r="3818" spans="6:13" x14ac:dyDescent="0.25">
      <c r="F3818" t="s">
        <v>4939</v>
      </c>
      <c r="G3818">
        <v>56203</v>
      </c>
      <c r="H3818">
        <v>7143</v>
      </c>
      <c r="I3818" s="25" t="s">
        <v>2123</v>
      </c>
      <c r="J3818" t="s">
        <v>2331</v>
      </c>
      <c r="M3818" s="49"/>
    </row>
    <row r="3819" spans="6:13" x14ac:dyDescent="0.25">
      <c r="F3819" t="s">
        <v>4940</v>
      </c>
      <c r="G3819">
        <v>22961</v>
      </c>
      <c r="H3819">
        <v>1062</v>
      </c>
      <c r="I3819" s="25" t="s">
        <v>2085</v>
      </c>
      <c r="J3819" t="s">
        <v>2188</v>
      </c>
      <c r="M3819" s="49"/>
    </row>
    <row r="3820" spans="6:13" x14ac:dyDescent="0.25">
      <c r="F3820" t="s">
        <v>4940</v>
      </c>
      <c r="G3820">
        <v>22955</v>
      </c>
      <c r="H3820">
        <v>1062</v>
      </c>
      <c r="I3820" s="25" t="s">
        <v>2085</v>
      </c>
      <c r="J3820" t="s">
        <v>2188</v>
      </c>
      <c r="M3820" s="49"/>
    </row>
    <row r="3821" spans="6:13" x14ac:dyDescent="0.25">
      <c r="F3821" t="s">
        <v>4941</v>
      </c>
      <c r="G3821">
        <v>49451</v>
      </c>
      <c r="H3821">
        <v>3460</v>
      </c>
      <c r="I3821" s="25" t="s">
        <v>2074</v>
      </c>
      <c r="J3821" t="s">
        <v>2408</v>
      </c>
      <c r="M3821" s="49"/>
    </row>
    <row r="3822" spans="6:13" x14ac:dyDescent="0.25">
      <c r="F3822" t="s">
        <v>4942</v>
      </c>
      <c r="G3822">
        <v>37642</v>
      </c>
      <c r="H3822">
        <v>3255</v>
      </c>
      <c r="I3822" s="25" t="s">
        <v>2074</v>
      </c>
      <c r="J3822" t="s">
        <v>3044</v>
      </c>
      <c r="M3822" s="49"/>
    </row>
    <row r="3823" spans="6:13" x14ac:dyDescent="0.25">
      <c r="F3823" t="s">
        <v>4943</v>
      </c>
      <c r="G3823">
        <v>31188</v>
      </c>
      <c r="H3823">
        <v>3254</v>
      </c>
      <c r="I3823" s="25" t="s">
        <v>2074</v>
      </c>
      <c r="J3823" t="s">
        <v>2196</v>
      </c>
      <c r="M3823" s="49"/>
    </row>
    <row r="3824" spans="6:13" x14ac:dyDescent="0.25">
      <c r="F3824" t="s">
        <v>4944</v>
      </c>
      <c r="G3824">
        <v>86568</v>
      </c>
      <c r="H3824">
        <v>9771</v>
      </c>
      <c r="I3824" s="25" t="s">
        <v>2050</v>
      </c>
      <c r="J3824" t="s">
        <v>2120</v>
      </c>
      <c r="M3824" s="49"/>
    </row>
    <row r="3825" spans="6:13" x14ac:dyDescent="0.25">
      <c r="F3825" t="s">
        <v>4945</v>
      </c>
      <c r="G3825">
        <v>21279</v>
      </c>
      <c r="H3825">
        <v>3353</v>
      </c>
      <c r="I3825" s="25" t="s">
        <v>2074</v>
      </c>
      <c r="J3825" t="s">
        <v>2176</v>
      </c>
      <c r="M3825" s="49"/>
    </row>
    <row r="3826" spans="6:13" x14ac:dyDescent="0.25">
      <c r="F3826" t="s">
        <v>4946</v>
      </c>
      <c r="G3826">
        <v>21723</v>
      </c>
      <c r="H3826">
        <v>3359</v>
      </c>
      <c r="I3826" s="25" t="s">
        <v>2074</v>
      </c>
      <c r="J3826" t="s">
        <v>2158</v>
      </c>
      <c r="M3826" s="49"/>
    </row>
    <row r="3827" spans="6:13" x14ac:dyDescent="0.25">
      <c r="F3827" t="s">
        <v>4946</v>
      </c>
      <c r="G3827">
        <v>21723</v>
      </c>
      <c r="H3827">
        <v>3359</v>
      </c>
      <c r="I3827" s="25" t="s">
        <v>2074</v>
      </c>
      <c r="J3827" t="s">
        <v>2158</v>
      </c>
      <c r="M3827" s="49"/>
    </row>
    <row r="3828" spans="6:13" x14ac:dyDescent="0.25">
      <c r="F3828" t="s">
        <v>4947</v>
      </c>
      <c r="G3828">
        <v>96142</v>
      </c>
      <c r="H3828">
        <v>9472</v>
      </c>
      <c r="I3828" s="25" t="s">
        <v>2050</v>
      </c>
      <c r="J3828" t="s">
        <v>2180</v>
      </c>
      <c r="M3828" s="49"/>
    </row>
    <row r="3829" spans="6:13" x14ac:dyDescent="0.25">
      <c r="F3829" t="s">
        <v>4948</v>
      </c>
      <c r="G3829">
        <v>24876</v>
      </c>
      <c r="H3829">
        <v>1059</v>
      </c>
      <c r="I3829" s="25" t="s">
        <v>2085</v>
      </c>
      <c r="J3829" t="s">
        <v>2354</v>
      </c>
      <c r="M3829" s="49"/>
    </row>
    <row r="3830" spans="6:13" x14ac:dyDescent="0.25">
      <c r="F3830" t="s">
        <v>4949</v>
      </c>
      <c r="G3830">
        <v>25488</v>
      </c>
      <c r="H3830">
        <v>1056</v>
      </c>
      <c r="I3830" s="25" t="s">
        <v>2085</v>
      </c>
      <c r="J3830" t="s">
        <v>2311</v>
      </c>
      <c r="M3830" s="49"/>
    </row>
    <row r="3831" spans="6:13" x14ac:dyDescent="0.25">
      <c r="F3831" t="s">
        <v>4950</v>
      </c>
      <c r="G3831">
        <v>25584</v>
      </c>
      <c r="H3831">
        <v>1061</v>
      </c>
      <c r="I3831" s="25" t="s">
        <v>2085</v>
      </c>
      <c r="J3831" t="s">
        <v>2377</v>
      </c>
      <c r="M3831" s="49"/>
    </row>
    <row r="3832" spans="6:13" x14ac:dyDescent="0.25">
      <c r="F3832" t="s">
        <v>4951</v>
      </c>
      <c r="G3832">
        <v>24363</v>
      </c>
      <c r="H3832">
        <v>1058</v>
      </c>
      <c r="I3832" s="25" t="s">
        <v>2085</v>
      </c>
      <c r="J3832" t="s">
        <v>2086</v>
      </c>
      <c r="M3832" s="49"/>
    </row>
    <row r="3833" spans="6:13" x14ac:dyDescent="0.25">
      <c r="F3833" t="s">
        <v>4952</v>
      </c>
      <c r="G3833">
        <v>24364</v>
      </c>
      <c r="H3833">
        <v>1058</v>
      </c>
      <c r="I3833" s="25" t="s">
        <v>2085</v>
      </c>
      <c r="J3833" t="s">
        <v>2086</v>
      </c>
      <c r="M3833" s="49"/>
    </row>
    <row r="3834" spans="6:13" x14ac:dyDescent="0.25">
      <c r="F3834" t="s">
        <v>4953</v>
      </c>
      <c r="G3834">
        <v>37632</v>
      </c>
      <c r="H3834">
        <v>3255</v>
      </c>
      <c r="I3834" s="25" t="s">
        <v>2074</v>
      </c>
      <c r="J3834" t="s">
        <v>3044</v>
      </c>
      <c r="M3834" s="49"/>
    </row>
    <row r="3835" spans="6:13" x14ac:dyDescent="0.25">
      <c r="F3835" t="s">
        <v>4954</v>
      </c>
      <c r="G3835">
        <v>71088</v>
      </c>
      <c r="H3835">
        <v>8115</v>
      </c>
      <c r="I3835" s="25" t="s">
        <v>2018</v>
      </c>
      <c r="J3835" t="s">
        <v>2222</v>
      </c>
      <c r="M3835" s="49"/>
    </row>
    <row r="3836" spans="6:13" x14ac:dyDescent="0.25">
      <c r="F3836" t="s">
        <v>4955</v>
      </c>
      <c r="G3836">
        <v>87752</v>
      </c>
      <c r="H3836">
        <v>9778</v>
      </c>
      <c r="I3836" s="25" t="s">
        <v>2050</v>
      </c>
      <c r="J3836" t="s">
        <v>2460</v>
      </c>
      <c r="M3836" s="49"/>
    </row>
    <row r="3837" spans="6:13" x14ac:dyDescent="0.25">
      <c r="F3837" t="s">
        <v>4956</v>
      </c>
      <c r="G3837">
        <v>89438</v>
      </c>
      <c r="H3837">
        <v>9773</v>
      </c>
      <c r="I3837" s="25" t="s">
        <v>2050</v>
      </c>
      <c r="J3837" t="s">
        <v>2231</v>
      </c>
      <c r="M3837" s="49"/>
    </row>
    <row r="3838" spans="6:13" x14ac:dyDescent="0.25">
      <c r="F3838" t="s">
        <v>4956</v>
      </c>
      <c r="G3838">
        <v>89291</v>
      </c>
      <c r="H3838">
        <v>9775</v>
      </c>
      <c r="I3838" s="25" t="s">
        <v>2050</v>
      </c>
      <c r="J3838" t="s">
        <v>2418</v>
      </c>
      <c r="M3838" s="49"/>
    </row>
    <row r="3839" spans="6:13" x14ac:dyDescent="0.25">
      <c r="F3839" t="s">
        <v>4956</v>
      </c>
      <c r="G3839">
        <v>86684</v>
      </c>
      <c r="H3839">
        <v>9779</v>
      </c>
      <c r="I3839" s="25" t="s">
        <v>2050</v>
      </c>
      <c r="J3839" t="s">
        <v>2280</v>
      </c>
      <c r="M3839" s="49"/>
    </row>
    <row r="3840" spans="6:13" x14ac:dyDescent="0.25">
      <c r="F3840" t="s">
        <v>4957</v>
      </c>
      <c r="G3840">
        <v>83607</v>
      </c>
      <c r="H3840">
        <v>9182</v>
      </c>
      <c r="I3840" s="25" t="s">
        <v>2050</v>
      </c>
      <c r="J3840" t="s">
        <v>2254</v>
      </c>
      <c r="M3840" s="49"/>
    </row>
    <row r="3841" spans="6:13" x14ac:dyDescent="0.25">
      <c r="F3841" t="s">
        <v>4958</v>
      </c>
      <c r="G3841">
        <v>73271</v>
      </c>
      <c r="H3841">
        <v>8116</v>
      </c>
      <c r="I3841" s="25" t="s">
        <v>2018</v>
      </c>
      <c r="J3841" t="s">
        <v>2213</v>
      </c>
      <c r="M3841" s="49"/>
    </row>
    <row r="3842" spans="6:13" x14ac:dyDescent="0.25">
      <c r="F3842" t="s">
        <v>3044</v>
      </c>
      <c r="G3842">
        <v>37603</v>
      </c>
      <c r="H3842">
        <v>3255</v>
      </c>
      <c r="I3842" s="25" t="s">
        <v>2074</v>
      </c>
      <c r="J3842" t="s">
        <v>3044</v>
      </c>
      <c r="M3842" s="49"/>
    </row>
    <row r="3843" spans="6:13" x14ac:dyDescent="0.25">
      <c r="F3843" t="s">
        <v>4959</v>
      </c>
      <c r="G3843">
        <v>59439</v>
      </c>
      <c r="H3843">
        <v>5978</v>
      </c>
      <c r="I3843" s="25" t="s">
        <v>2023</v>
      </c>
      <c r="J3843" t="s">
        <v>2402</v>
      </c>
      <c r="M3843" s="49"/>
    </row>
    <row r="3844" spans="6:13" x14ac:dyDescent="0.25">
      <c r="F3844" t="s">
        <v>4960</v>
      </c>
      <c r="G3844">
        <v>34576</v>
      </c>
      <c r="H3844">
        <v>6634</v>
      </c>
      <c r="I3844" s="25" t="s">
        <v>2046</v>
      </c>
      <c r="J3844" t="s">
        <v>2360</v>
      </c>
      <c r="M3844" s="49"/>
    </row>
    <row r="3845" spans="6:13" x14ac:dyDescent="0.25">
      <c r="F3845" t="s">
        <v>4961</v>
      </c>
      <c r="G3845">
        <v>35315</v>
      </c>
      <c r="H3845">
        <v>6535</v>
      </c>
      <c r="I3845" s="25" t="s">
        <v>2046</v>
      </c>
      <c r="J3845" t="s">
        <v>2346</v>
      </c>
      <c r="M3845" s="49"/>
    </row>
    <row r="3846" spans="6:13" x14ac:dyDescent="0.25">
      <c r="F3846" t="s">
        <v>4962</v>
      </c>
      <c r="G3846">
        <v>66424</v>
      </c>
      <c r="H3846">
        <v>10045</v>
      </c>
      <c r="I3846" s="25" t="s">
        <v>2849</v>
      </c>
      <c r="J3846" t="s">
        <v>3048</v>
      </c>
      <c r="M3846" s="49"/>
    </row>
    <row r="3847" spans="6:13" x14ac:dyDescent="0.25">
      <c r="F3847" t="s">
        <v>4963</v>
      </c>
      <c r="G3847">
        <v>49846</v>
      </c>
      <c r="H3847">
        <v>3456</v>
      </c>
      <c r="I3847" s="25" t="s">
        <v>2074</v>
      </c>
      <c r="J3847" t="s">
        <v>2156</v>
      </c>
      <c r="M3847" s="49"/>
    </row>
    <row r="3848" spans="6:13" x14ac:dyDescent="0.25">
      <c r="F3848" t="s">
        <v>4964</v>
      </c>
      <c r="G3848">
        <v>87659</v>
      </c>
      <c r="H3848">
        <v>9777</v>
      </c>
      <c r="I3848" s="25" t="s">
        <v>2050</v>
      </c>
      <c r="J3848" t="s">
        <v>2237</v>
      </c>
      <c r="M3848" s="49"/>
    </row>
    <row r="3849" spans="6:13" x14ac:dyDescent="0.25">
      <c r="F3849" t="s">
        <v>4965</v>
      </c>
      <c r="G3849">
        <v>74746</v>
      </c>
      <c r="H3849">
        <v>8225</v>
      </c>
      <c r="I3849" s="25" t="s">
        <v>2018</v>
      </c>
      <c r="J3849" t="s">
        <v>2108</v>
      </c>
      <c r="M3849" s="49"/>
    </row>
    <row r="3850" spans="6:13" x14ac:dyDescent="0.25">
      <c r="F3850" t="s">
        <v>4966</v>
      </c>
      <c r="G3850">
        <v>55768</v>
      </c>
      <c r="H3850">
        <v>7134</v>
      </c>
      <c r="I3850" s="25" t="s">
        <v>2123</v>
      </c>
      <c r="J3850" t="s">
        <v>2048</v>
      </c>
      <c r="M3850" s="49"/>
    </row>
    <row r="3851" spans="6:13" x14ac:dyDescent="0.25">
      <c r="F3851" t="s">
        <v>4967</v>
      </c>
      <c r="G3851">
        <v>48496</v>
      </c>
      <c r="H3851">
        <v>5566</v>
      </c>
      <c r="I3851" s="25" t="s">
        <v>2023</v>
      </c>
      <c r="J3851" t="s">
        <v>2379</v>
      </c>
      <c r="M3851" s="49"/>
    </row>
    <row r="3852" spans="6:13" x14ac:dyDescent="0.25">
      <c r="F3852" t="s">
        <v>4968</v>
      </c>
      <c r="G3852">
        <v>72160</v>
      </c>
      <c r="H3852">
        <v>8237</v>
      </c>
      <c r="I3852" s="25" t="s">
        <v>2018</v>
      </c>
      <c r="J3852" t="s">
        <v>2336</v>
      </c>
      <c r="M3852" s="49"/>
    </row>
    <row r="3853" spans="6:13" x14ac:dyDescent="0.25">
      <c r="F3853" t="s">
        <v>4969</v>
      </c>
      <c r="G3853">
        <v>79289</v>
      </c>
      <c r="H3853">
        <v>8315</v>
      </c>
      <c r="I3853" s="25" t="s">
        <v>2018</v>
      </c>
      <c r="J3853" t="s">
        <v>2061</v>
      </c>
      <c r="M3853" s="49"/>
    </row>
    <row r="3854" spans="6:13" x14ac:dyDescent="0.25">
      <c r="F3854" t="s">
        <v>4970</v>
      </c>
      <c r="G3854">
        <v>76771</v>
      </c>
      <c r="H3854">
        <v>7334</v>
      </c>
      <c r="I3854" s="25" t="s">
        <v>2123</v>
      </c>
      <c r="J3854" t="s">
        <v>2873</v>
      </c>
      <c r="M3854" s="49"/>
    </row>
    <row r="3855" spans="6:13" x14ac:dyDescent="0.25">
      <c r="F3855" t="s">
        <v>4971</v>
      </c>
      <c r="G3855">
        <v>86497</v>
      </c>
      <c r="H3855">
        <v>9772</v>
      </c>
      <c r="I3855" s="25" t="s">
        <v>2050</v>
      </c>
      <c r="J3855" t="s">
        <v>2117</v>
      </c>
      <c r="M3855" s="49"/>
    </row>
    <row r="3856" spans="6:13" x14ac:dyDescent="0.25">
      <c r="F3856" t="s">
        <v>4972</v>
      </c>
      <c r="G3856">
        <v>88263</v>
      </c>
      <c r="H3856">
        <v>8436</v>
      </c>
      <c r="I3856" s="25" t="s">
        <v>2018</v>
      </c>
      <c r="J3856" t="s">
        <v>2068</v>
      </c>
      <c r="M3856" s="49"/>
    </row>
    <row r="3857" spans="6:13" x14ac:dyDescent="0.25">
      <c r="F3857" t="s">
        <v>4973</v>
      </c>
      <c r="G3857">
        <v>85413</v>
      </c>
      <c r="H3857">
        <v>9178</v>
      </c>
      <c r="I3857" s="25" t="s">
        <v>2050</v>
      </c>
      <c r="J3857" t="s">
        <v>2315</v>
      </c>
      <c r="M3857" s="49"/>
    </row>
    <row r="3858" spans="6:13" x14ac:dyDescent="0.25">
      <c r="F3858" t="s">
        <v>4974</v>
      </c>
      <c r="G3858">
        <v>56593</v>
      </c>
      <c r="H3858">
        <v>7132</v>
      </c>
      <c r="I3858" s="25" t="s">
        <v>2123</v>
      </c>
      <c r="J3858" t="s">
        <v>2401</v>
      </c>
      <c r="M3858" s="49"/>
    </row>
    <row r="3859" spans="6:13" x14ac:dyDescent="0.25">
      <c r="F3859" t="s">
        <v>4975</v>
      </c>
      <c r="G3859">
        <v>66500</v>
      </c>
      <c r="H3859">
        <v>7340</v>
      </c>
      <c r="I3859" s="25" t="s">
        <v>2123</v>
      </c>
      <c r="J3859" t="s">
        <v>2826</v>
      </c>
      <c r="M3859" s="49"/>
    </row>
    <row r="3860" spans="6:13" x14ac:dyDescent="0.25">
      <c r="F3860" t="s">
        <v>4976</v>
      </c>
      <c r="G3860">
        <v>32805</v>
      </c>
      <c r="H3860">
        <v>5766</v>
      </c>
      <c r="I3860" s="25" t="s">
        <v>2023</v>
      </c>
      <c r="J3860" t="s">
        <v>2223</v>
      </c>
      <c r="M3860" s="49"/>
    </row>
    <row r="3861" spans="6:13" x14ac:dyDescent="0.25">
      <c r="F3861" t="s">
        <v>4977</v>
      </c>
      <c r="G3861">
        <v>78132</v>
      </c>
      <c r="H3861">
        <v>8317</v>
      </c>
      <c r="I3861" s="25" t="s">
        <v>2018</v>
      </c>
      <c r="J3861" t="s">
        <v>2071</v>
      </c>
      <c r="M3861" s="49"/>
    </row>
    <row r="3862" spans="6:13" x14ac:dyDescent="0.25">
      <c r="F3862" t="s">
        <v>4978</v>
      </c>
      <c r="G3862">
        <v>21640</v>
      </c>
      <c r="H3862">
        <v>3359</v>
      </c>
      <c r="I3862" s="25" t="s">
        <v>2074</v>
      </c>
      <c r="J3862" t="s">
        <v>2158</v>
      </c>
      <c r="M3862" s="49"/>
    </row>
    <row r="3863" spans="6:13" x14ac:dyDescent="0.25">
      <c r="F3863" t="s">
        <v>4979</v>
      </c>
      <c r="G3863">
        <v>25997</v>
      </c>
      <c r="H3863">
        <v>1054</v>
      </c>
      <c r="I3863" s="25" t="s">
        <v>2085</v>
      </c>
      <c r="J3863" t="s">
        <v>2195</v>
      </c>
      <c r="M3863" s="49"/>
    </row>
    <row r="3864" spans="6:13" x14ac:dyDescent="0.25">
      <c r="F3864" t="s">
        <v>4980</v>
      </c>
      <c r="G3864">
        <v>99820</v>
      </c>
      <c r="H3864">
        <v>16063</v>
      </c>
      <c r="I3864" s="25" t="s">
        <v>2384</v>
      </c>
      <c r="J3864" t="s">
        <v>2687</v>
      </c>
      <c r="M3864" s="49"/>
    </row>
    <row r="3865" spans="6:13" x14ac:dyDescent="0.25">
      <c r="F3865" t="s">
        <v>4981</v>
      </c>
      <c r="G3865">
        <v>25358</v>
      </c>
      <c r="H3865">
        <v>1061</v>
      </c>
      <c r="I3865" s="25" t="s">
        <v>2085</v>
      </c>
      <c r="J3865" t="s">
        <v>2377</v>
      </c>
      <c r="M3865" s="49"/>
    </row>
    <row r="3866" spans="6:13" x14ac:dyDescent="0.25">
      <c r="F3866" t="s">
        <v>4982</v>
      </c>
      <c r="G3866">
        <v>25860</v>
      </c>
      <c r="H3866">
        <v>1054</v>
      </c>
      <c r="I3866" s="25" t="s">
        <v>2085</v>
      </c>
      <c r="J3866" t="s">
        <v>2195</v>
      </c>
      <c r="M3866" s="49"/>
    </row>
    <row r="3867" spans="6:13" x14ac:dyDescent="0.25">
      <c r="F3867" t="s">
        <v>4983</v>
      </c>
      <c r="G3867">
        <v>48477</v>
      </c>
      <c r="H3867">
        <v>5566</v>
      </c>
      <c r="I3867" s="25" t="s">
        <v>2023</v>
      </c>
      <c r="J3867" t="s">
        <v>2379</v>
      </c>
      <c r="M3867" s="49"/>
    </row>
    <row r="3868" spans="6:13" x14ac:dyDescent="0.25">
      <c r="F3868" t="s">
        <v>4984</v>
      </c>
      <c r="G3868">
        <v>48612</v>
      </c>
      <c r="H3868">
        <v>5566</v>
      </c>
      <c r="I3868" s="25" t="s">
        <v>2023</v>
      </c>
      <c r="J3868" t="s">
        <v>2379</v>
      </c>
      <c r="M3868" s="49"/>
    </row>
    <row r="3869" spans="6:13" x14ac:dyDescent="0.25">
      <c r="F3869" t="s">
        <v>4985</v>
      </c>
      <c r="G3869">
        <v>63768</v>
      </c>
      <c r="H3869">
        <v>9671</v>
      </c>
      <c r="I3869" s="25" t="s">
        <v>2050</v>
      </c>
      <c r="J3869" t="s">
        <v>2453</v>
      </c>
      <c r="M3869" s="49"/>
    </row>
    <row r="3870" spans="6:13" x14ac:dyDescent="0.25">
      <c r="F3870" t="s">
        <v>4986</v>
      </c>
      <c r="G3870">
        <v>36154</v>
      </c>
      <c r="H3870">
        <v>6631</v>
      </c>
      <c r="I3870" s="25" t="s">
        <v>2046</v>
      </c>
      <c r="J3870" t="s">
        <v>2145</v>
      </c>
      <c r="M3870" s="49"/>
    </row>
    <row r="3871" spans="6:13" x14ac:dyDescent="0.25">
      <c r="F3871" t="s">
        <v>4987</v>
      </c>
      <c r="G3871">
        <v>83129</v>
      </c>
      <c r="H3871">
        <v>9187</v>
      </c>
      <c r="I3871" s="25" t="s">
        <v>2050</v>
      </c>
      <c r="J3871" t="s">
        <v>2245</v>
      </c>
      <c r="M3871" s="49"/>
    </row>
    <row r="3872" spans="6:13" x14ac:dyDescent="0.25">
      <c r="F3872" t="s">
        <v>4988</v>
      </c>
      <c r="G3872">
        <v>88374</v>
      </c>
      <c r="H3872">
        <v>8436</v>
      </c>
      <c r="I3872" s="25" t="s">
        <v>2018</v>
      </c>
      <c r="J3872" t="s">
        <v>2068</v>
      </c>
      <c r="M3872" s="49"/>
    </row>
    <row r="3873" spans="6:13" x14ac:dyDescent="0.25">
      <c r="F3873" t="s">
        <v>4989</v>
      </c>
      <c r="G3873">
        <v>39393</v>
      </c>
      <c r="H3873">
        <v>15083</v>
      </c>
      <c r="I3873" s="25" t="s">
        <v>2241</v>
      </c>
      <c r="J3873" t="s">
        <v>2052</v>
      </c>
      <c r="M3873" s="49"/>
    </row>
    <row r="3874" spans="6:13" x14ac:dyDescent="0.25">
      <c r="F3874" t="s">
        <v>4990</v>
      </c>
      <c r="G3874">
        <v>91798</v>
      </c>
      <c r="H3874">
        <v>9577</v>
      </c>
      <c r="I3874" s="25" t="s">
        <v>2050</v>
      </c>
      <c r="J3874" t="s">
        <v>2057</v>
      </c>
      <c r="M3874" s="49"/>
    </row>
    <row r="3875" spans="6:13" x14ac:dyDescent="0.25">
      <c r="F3875" t="s">
        <v>4991</v>
      </c>
      <c r="G3875">
        <v>33161</v>
      </c>
      <c r="H3875">
        <v>5774</v>
      </c>
      <c r="I3875" s="25" t="s">
        <v>2023</v>
      </c>
      <c r="J3875" t="s">
        <v>2304</v>
      </c>
      <c r="M3875" s="49"/>
    </row>
    <row r="3876" spans="6:13" x14ac:dyDescent="0.25">
      <c r="F3876" t="s">
        <v>2203</v>
      </c>
      <c r="G3876">
        <v>37671</v>
      </c>
      <c r="H3876">
        <v>5762</v>
      </c>
      <c r="I3876" s="25" t="s">
        <v>2023</v>
      </c>
      <c r="J3876" t="s">
        <v>2203</v>
      </c>
      <c r="M3876" s="49"/>
    </row>
    <row r="3877" spans="6:13" x14ac:dyDescent="0.25">
      <c r="F3877" t="s">
        <v>4992</v>
      </c>
      <c r="G3877">
        <v>27318</v>
      </c>
      <c r="H3877">
        <v>3256</v>
      </c>
      <c r="I3877" s="25" t="s">
        <v>2074</v>
      </c>
      <c r="J3877" t="s">
        <v>2271</v>
      </c>
      <c r="M3877" s="49"/>
    </row>
    <row r="3878" spans="6:13" x14ac:dyDescent="0.25">
      <c r="F3878" t="s">
        <v>4993</v>
      </c>
      <c r="G3878">
        <v>2977</v>
      </c>
      <c r="H3878">
        <v>14625</v>
      </c>
      <c r="I3878" s="25" t="s">
        <v>2135</v>
      </c>
      <c r="J3878" t="s">
        <v>2041</v>
      </c>
      <c r="M3878" s="49"/>
    </row>
    <row r="3879" spans="6:13" x14ac:dyDescent="0.25">
      <c r="F3879" t="s">
        <v>4994</v>
      </c>
      <c r="G3879">
        <v>41836</v>
      </c>
      <c r="H3879">
        <v>5370</v>
      </c>
      <c r="I3879" s="25" t="s">
        <v>2023</v>
      </c>
      <c r="J3879" t="s">
        <v>2183</v>
      </c>
      <c r="M3879" s="49"/>
    </row>
    <row r="3880" spans="6:13" x14ac:dyDescent="0.25">
      <c r="F3880" t="s">
        <v>4995</v>
      </c>
      <c r="G3880">
        <v>42499</v>
      </c>
      <c r="H3880">
        <v>5374</v>
      </c>
      <c r="I3880" s="25" t="s">
        <v>2023</v>
      </c>
      <c r="J3880" t="s">
        <v>2281</v>
      </c>
      <c r="M3880" s="49"/>
    </row>
    <row r="3881" spans="6:13" x14ac:dyDescent="0.25">
      <c r="F3881" t="s">
        <v>4996</v>
      </c>
      <c r="G3881">
        <v>27798</v>
      </c>
      <c r="H3881">
        <v>3458</v>
      </c>
      <c r="I3881" s="25" t="s">
        <v>2074</v>
      </c>
      <c r="J3881" t="s">
        <v>2285</v>
      </c>
      <c r="M3881" s="49"/>
    </row>
    <row r="3882" spans="6:13" x14ac:dyDescent="0.25">
      <c r="F3882" t="s">
        <v>4997</v>
      </c>
      <c r="G3882">
        <v>74928</v>
      </c>
      <c r="H3882">
        <v>8225</v>
      </c>
      <c r="I3882" s="25" t="s">
        <v>2018</v>
      </c>
      <c r="J3882" t="s">
        <v>2108</v>
      </c>
      <c r="M3882" s="49"/>
    </row>
    <row r="3883" spans="6:13" x14ac:dyDescent="0.25">
      <c r="F3883" t="s">
        <v>4998</v>
      </c>
      <c r="G3883">
        <v>78183</v>
      </c>
      <c r="H3883">
        <v>8326</v>
      </c>
      <c r="I3883" s="25" t="s">
        <v>2018</v>
      </c>
      <c r="J3883" t="s">
        <v>2638</v>
      </c>
      <c r="M3883" s="49"/>
    </row>
    <row r="3884" spans="6:13" x14ac:dyDescent="0.25">
      <c r="F3884" t="s">
        <v>4999</v>
      </c>
      <c r="G3884">
        <v>76549</v>
      </c>
      <c r="H3884">
        <v>8216</v>
      </c>
      <c r="I3884" s="25" t="s">
        <v>2018</v>
      </c>
      <c r="J3884" t="s">
        <v>2564</v>
      </c>
      <c r="M3884" s="49"/>
    </row>
    <row r="3885" spans="6:13" x14ac:dyDescent="0.25">
      <c r="F3885" t="s">
        <v>5000</v>
      </c>
      <c r="G3885">
        <v>82386</v>
      </c>
      <c r="H3885">
        <v>9190</v>
      </c>
      <c r="I3885" s="25" t="s">
        <v>2050</v>
      </c>
      <c r="J3885" t="s">
        <v>2417</v>
      </c>
      <c r="M3885" s="49"/>
    </row>
    <row r="3886" spans="6:13" x14ac:dyDescent="0.25">
      <c r="F3886" t="s">
        <v>5001</v>
      </c>
      <c r="G3886">
        <v>86685</v>
      </c>
      <c r="H3886">
        <v>9779</v>
      </c>
      <c r="I3886" s="25" t="s">
        <v>2050</v>
      </c>
      <c r="J3886" t="s">
        <v>2280</v>
      </c>
      <c r="M3886" s="49"/>
    </row>
    <row r="3887" spans="6:13" x14ac:dyDescent="0.25">
      <c r="F3887" t="s">
        <v>5002</v>
      </c>
      <c r="G3887">
        <v>72584</v>
      </c>
      <c r="H3887">
        <v>8415</v>
      </c>
      <c r="I3887" s="25" t="s">
        <v>2018</v>
      </c>
      <c r="J3887" t="s">
        <v>2325</v>
      </c>
      <c r="M3887" s="49"/>
    </row>
    <row r="3888" spans="6:13" x14ac:dyDescent="0.25">
      <c r="F3888" t="s">
        <v>5003</v>
      </c>
      <c r="G3888">
        <v>32609</v>
      </c>
      <c r="H3888">
        <v>5770</v>
      </c>
      <c r="I3888" s="25" t="s">
        <v>2023</v>
      </c>
      <c r="J3888" t="s">
        <v>2257</v>
      </c>
      <c r="M3888" s="49"/>
    </row>
    <row r="3889" spans="6:13" x14ac:dyDescent="0.25">
      <c r="F3889" t="s">
        <v>5004</v>
      </c>
      <c r="G3889">
        <v>95503</v>
      </c>
      <c r="H3889">
        <v>9472</v>
      </c>
      <c r="I3889" s="25" t="s">
        <v>2050</v>
      </c>
      <c r="J3889" t="s">
        <v>2180</v>
      </c>
      <c r="M3889" s="49"/>
    </row>
    <row r="3890" spans="6:13" x14ac:dyDescent="0.25">
      <c r="F3890" t="s">
        <v>5004</v>
      </c>
      <c r="G3890">
        <v>95503</v>
      </c>
      <c r="H3890">
        <v>9472</v>
      </c>
      <c r="I3890" s="25" t="s">
        <v>2050</v>
      </c>
      <c r="J3890" t="s">
        <v>2180</v>
      </c>
      <c r="M3890" s="49"/>
    </row>
    <row r="3891" spans="6:13" x14ac:dyDescent="0.25">
      <c r="F3891" t="s">
        <v>5005</v>
      </c>
      <c r="G3891">
        <v>94336</v>
      </c>
      <c r="H3891">
        <v>9278</v>
      </c>
      <c r="I3891" s="25" t="s">
        <v>2050</v>
      </c>
      <c r="J3891" t="s">
        <v>2170</v>
      </c>
      <c r="M3891" s="49"/>
    </row>
    <row r="3892" spans="6:13" x14ac:dyDescent="0.25">
      <c r="F3892" t="s">
        <v>5006</v>
      </c>
      <c r="G3892">
        <v>55621</v>
      </c>
      <c r="H3892">
        <v>7133</v>
      </c>
      <c r="I3892" s="25" t="s">
        <v>2123</v>
      </c>
      <c r="J3892" t="s">
        <v>2037</v>
      </c>
      <c r="M3892" s="49"/>
    </row>
    <row r="3893" spans="6:13" x14ac:dyDescent="0.25">
      <c r="F3893" t="s">
        <v>5007</v>
      </c>
      <c r="G3893">
        <v>36088</v>
      </c>
      <c r="H3893">
        <v>6631</v>
      </c>
      <c r="I3893" s="25" t="s">
        <v>2046</v>
      </c>
      <c r="J3893" t="s">
        <v>2145</v>
      </c>
      <c r="M3893" s="49"/>
    </row>
    <row r="3894" spans="6:13" x14ac:dyDescent="0.25">
      <c r="F3894" t="s">
        <v>5008</v>
      </c>
      <c r="G3894">
        <v>65597</v>
      </c>
      <c r="H3894">
        <v>6533</v>
      </c>
      <c r="I3894" s="25" t="s">
        <v>2046</v>
      </c>
      <c r="J3894" t="s">
        <v>2629</v>
      </c>
      <c r="M3894" s="49"/>
    </row>
    <row r="3895" spans="6:13" x14ac:dyDescent="0.25">
      <c r="F3895" t="s">
        <v>5009</v>
      </c>
      <c r="G3895">
        <v>35410</v>
      </c>
      <c r="H3895">
        <v>6531</v>
      </c>
      <c r="I3895" s="25" t="s">
        <v>2046</v>
      </c>
      <c r="J3895" t="s">
        <v>2306</v>
      </c>
      <c r="M3895" s="49"/>
    </row>
    <row r="3896" spans="6:13" x14ac:dyDescent="0.25">
      <c r="F3896" t="s">
        <v>5010</v>
      </c>
      <c r="G3896">
        <v>65510</v>
      </c>
      <c r="H3896">
        <v>6439</v>
      </c>
      <c r="I3896" s="25" t="s">
        <v>2046</v>
      </c>
      <c r="J3896" t="s">
        <v>2047</v>
      </c>
      <c r="M3896" s="49"/>
    </row>
    <row r="3897" spans="6:13" x14ac:dyDescent="0.25">
      <c r="F3897" t="s">
        <v>5011</v>
      </c>
      <c r="G3897">
        <v>46569</v>
      </c>
      <c r="H3897">
        <v>5170</v>
      </c>
      <c r="I3897" s="25" t="s">
        <v>2023</v>
      </c>
      <c r="J3897" t="s">
        <v>2328</v>
      </c>
      <c r="M3897" s="49"/>
    </row>
    <row r="3898" spans="6:13" x14ac:dyDescent="0.25">
      <c r="F3898" t="s">
        <v>5012</v>
      </c>
      <c r="G3898">
        <v>86857</v>
      </c>
      <c r="H3898">
        <v>9181</v>
      </c>
      <c r="I3898" s="25" t="s">
        <v>2050</v>
      </c>
      <c r="J3898" t="s">
        <v>2505</v>
      </c>
      <c r="M3898" s="49"/>
    </row>
    <row r="3899" spans="6:13" x14ac:dyDescent="0.25">
      <c r="F3899" t="s">
        <v>5013</v>
      </c>
      <c r="G3899">
        <v>52393</v>
      </c>
      <c r="H3899">
        <v>5358</v>
      </c>
      <c r="I3899" s="25" t="s">
        <v>2023</v>
      </c>
      <c r="J3899" t="s">
        <v>2106</v>
      </c>
      <c r="M3899" s="49"/>
    </row>
    <row r="3900" spans="6:13" x14ac:dyDescent="0.25">
      <c r="F3900" t="s">
        <v>5014</v>
      </c>
      <c r="G3900">
        <v>50354</v>
      </c>
      <c r="H3900">
        <v>5362</v>
      </c>
      <c r="I3900" s="25" t="s">
        <v>2023</v>
      </c>
      <c r="J3900" t="s">
        <v>2326</v>
      </c>
      <c r="M3900" s="49"/>
    </row>
    <row r="3901" spans="6:13" x14ac:dyDescent="0.25">
      <c r="F3901" t="s">
        <v>5015</v>
      </c>
      <c r="G3901">
        <v>24975</v>
      </c>
      <c r="H3901">
        <v>1059</v>
      </c>
      <c r="I3901" s="25" t="s">
        <v>2085</v>
      </c>
      <c r="J3901" t="s">
        <v>2354</v>
      </c>
      <c r="M3901" s="49"/>
    </row>
    <row r="3902" spans="6:13" x14ac:dyDescent="0.25">
      <c r="F3902" t="s">
        <v>5016</v>
      </c>
      <c r="G3902">
        <v>31632</v>
      </c>
      <c r="H3902">
        <v>3256</v>
      </c>
      <c r="I3902" s="25" t="s">
        <v>2074</v>
      </c>
      <c r="J3902" t="s">
        <v>2271</v>
      </c>
      <c r="M3902" s="49"/>
    </row>
    <row r="3903" spans="6:13" x14ac:dyDescent="0.25">
      <c r="F3903" t="s">
        <v>5017</v>
      </c>
      <c r="G3903">
        <v>25813</v>
      </c>
      <c r="H3903">
        <v>1054</v>
      </c>
      <c r="I3903" s="25" t="s">
        <v>2085</v>
      </c>
      <c r="J3903" t="s">
        <v>2195</v>
      </c>
      <c r="M3903" s="49"/>
    </row>
    <row r="3904" spans="6:13" x14ac:dyDescent="0.25">
      <c r="F3904" t="s">
        <v>5018</v>
      </c>
      <c r="G3904">
        <v>66882</v>
      </c>
      <c r="H3904">
        <v>7335</v>
      </c>
      <c r="I3904" s="25" t="s">
        <v>2123</v>
      </c>
      <c r="J3904" t="s">
        <v>2843</v>
      </c>
      <c r="M3904" s="49"/>
    </row>
    <row r="3905" spans="6:13" x14ac:dyDescent="0.25">
      <c r="F3905" t="s">
        <v>5019</v>
      </c>
      <c r="G3905">
        <v>35625</v>
      </c>
      <c r="H3905">
        <v>6532</v>
      </c>
      <c r="I3905" s="25" t="s">
        <v>2046</v>
      </c>
      <c r="J3905" t="s">
        <v>2555</v>
      </c>
      <c r="M3905" s="49"/>
    </row>
    <row r="3906" spans="6:13" x14ac:dyDescent="0.25">
      <c r="F3906" t="s">
        <v>5020</v>
      </c>
      <c r="G3906">
        <v>94116</v>
      </c>
      <c r="H3906">
        <v>9275</v>
      </c>
      <c r="I3906" s="25" t="s">
        <v>2050</v>
      </c>
      <c r="J3906" t="s">
        <v>2198</v>
      </c>
      <c r="M3906" s="49"/>
    </row>
    <row r="3907" spans="6:13" x14ac:dyDescent="0.25">
      <c r="F3907" t="s">
        <v>5021</v>
      </c>
      <c r="G3907">
        <v>89185</v>
      </c>
      <c r="H3907">
        <v>8425</v>
      </c>
      <c r="I3907" s="25" t="s">
        <v>2018</v>
      </c>
      <c r="J3907" t="s">
        <v>2027</v>
      </c>
      <c r="M3907" s="49"/>
    </row>
    <row r="3908" spans="6:13" x14ac:dyDescent="0.25">
      <c r="F3908" t="s">
        <v>5022</v>
      </c>
      <c r="G3908">
        <v>73460</v>
      </c>
      <c r="H3908">
        <v>8136</v>
      </c>
      <c r="I3908" s="25" t="s">
        <v>2018</v>
      </c>
      <c r="J3908" t="s">
        <v>2039</v>
      </c>
      <c r="M3908" s="49"/>
    </row>
    <row r="3909" spans="6:13" x14ac:dyDescent="0.25">
      <c r="F3909" t="s">
        <v>5023</v>
      </c>
      <c r="G3909">
        <v>38838</v>
      </c>
      <c r="H3909">
        <v>15085</v>
      </c>
      <c r="I3909" s="25" t="s">
        <v>2241</v>
      </c>
      <c r="J3909" t="s">
        <v>2178</v>
      </c>
      <c r="M3909" s="49"/>
    </row>
    <row r="3910" spans="6:13" x14ac:dyDescent="0.25">
      <c r="F3910" t="s">
        <v>5024</v>
      </c>
      <c r="G3910">
        <v>49479</v>
      </c>
      <c r="H3910">
        <v>5566</v>
      </c>
      <c r="I3910" s="25" t="s">
        <v>2023</v>
      </c>
      <c r="J3910" t="s">
        <v>2379</v>
      </c>
      <c r="M3910" s="49"/>
    </row>
    <row r="3911" spans="6:13" x14ac:dyDescent="0.25">
      <c r="F3911" t="s">
        <v>5024</v>
      </c>
      <c r="G3911">
        <v>49477</v>
      </c>
      <c r="H3911">
        <v>5566</v>
      </c>
      <c r="I3911" s="25" t="s">
        <v>2023</v>
      </c>
      <c r="J3911" t="s">
        <v>2379</v>
      </c>
      <c r="M3911" s="49"/>
    </row>
    <row r="3912" spans="6:13" x14ac:dyDescent="0.25">
      <c r="F3912" t="s">
        <v>5025</v>
      </c>
      <c r="G3912">
        <v>89335</v>
      </c>
      <c r="H3912">
        <v>9774</v>
      </c>
      <c r="I3912" s="25" t="s">
        <v>2050</v>
      </c>
      <c r="J3912" t="s">
        <v>2205</v>
      </c>
      <c r="M3912" s="49"/>
    </row>
    <row r="3913" spans="6:13" x14ac:dyDescent="0.25">
      <c r="F3913" t="s">
        <v>5026</v>
      </c>
      <c r="G3913">
        <v>82057</v>
      </c>
      <c r="H3913">
        <v>9173</v>
      </c>
      <c r="I3913" s="25" t="s">
        <v>2050</v>
      </c>
      <c r="J3913" t="s">
        <v>2659</v>
      </c>
      <c r="M3913" s="49"/>
    </row>
    <row r="3914" spans="6:13" x14ac:dyDescent="0.25">
      <c r="F3914" t="s">
        <v>5027</v>
      </c>
      <c r="G3914">
        <v>55743</v>
      </c>
      <c r="H3914">
        <v>7134</v>
      </c>
      <c r="I3914" s="25" t="s">
        <v>2123</v>
      </c>
      <c r="J3914" t="s">
        <v>2048</v>
      </c>
      <c r="M3914" s="49"/>
    </row>
    <row r="3915" spans="6:13" x14ac:dyDescent="0.25">
      <c r="F3915" t="s">
        <v>5028</v>
      </c>
      <c r="G3915">
        <v>24879</v>
      </c>
      <c r="H3915">
        <v>1059</v>
      </c>
      <c r="I3915" s="25" t="s">
        <v>2085</v>
      </c>
      <c r="J3915" t="s">
        <v>2354</v>
      </c>
      <c r="M3915" s="49"/>
    </row>
    <row r="3916" spans="6:13" x14ac:dyDescent="0.25">
      <c r="F3916" t="s">
        <v>5029</v>
      </c>
      <c r="G3916">
        <v>82393</v>
      </c>
      <c r="H3916">
        <v>9190</v>
      </c>
      <c r="I3916" s="25" t="s">
        <v>2050</v>
      </c>
      <c r="J3916" t="s">
        <v>2417</v>
      </c>
      <c r="M3916" s="49"/>
    </row>
    <row r="3917" spans="6:13" x14ac:dyDescent="0.25">
      <c r="F3917" t="s">
        <v>5030</v>
      </c>
      <c r="G3917">
        <v>76473</v>
      </c>
      <c r="H3917">
        <v>8216</v>
      </c>
      <c r="I3917" s="25" t="s">
        <v>2018</v>
      </c>
      <c r="J3917" t="s">
        <v>2564</v>
      </c>
      <c r="M3917" s="49"/>
    </row>
    <row r="3918" spans="6:13" x14ac:dyDescent="0.25">
      <c r="F3918" t="s">
        <v>5031</v>
      </c>
      <c r="G3918">
        <v>91338</v>
      </c>
      <c r="H3918">
        <v>9474</v>
      </c>
      <c r="I3918" s="25" t="s">
        <v>2050</v>
      </c>
      <c r="J3918" t="s">
        <v>3692</v>
      </c>
      <c r="M3918" s="49"/>
    </row>
    <row r="3919" spans="6:13" x14ac:dyDescent="0.25">
      <c r="F3919" t="s">
        <v>5031</v>
      </c>
      <c r="G3919">
        <v>91338</v>
      </c>
      <c r="H3919">
        <v>9474</v>
      </c>
      <c r="I3919" s="25" t="s">
        <v>2050</v>
      </c>
      <c r="J3919" t="s">
        <v>3692</v>
      </c>
      <c r="M3919" s="49"/>
    </row>
    <row r="3920" spans="6:13" x14ac:dyDescent="0.25">
      <c r="F3920" t="s">
        <v>5032</v>
      </c>
      <c r="G3920">
        <v>97999</v>
      </c>
      <c r="H3920">
        <v>8128</v>
      </c>
      <c r="I3920" s="25" t="s">
        <v>2018</v>
      </c>
      <c r="J3920" t="s">
        <v>2175</v>
      </c>
      <c r="M3920" s="49"/>
    </row>
    <row r="3921" spans="6:13" x14ac:dyDescent="0.25">
      <c r="F3921" t="s">
        <v>5033</v>
      </c>
      <c r="G3921">
        <v>94547</v>
      </c>
      <c r="H3921">
        <v>9271</v>
      </c>
      <c r="I3921" s="25" t="s">
        <v>2050</v>
      </c>
      <c r="J3921" t="s">
        <v>2172</v>
      </c>
      <c r="M3921" s="49"/>
    </row>
    <row r="3922" spans="6:13" x14ac:dyDescent="0.25">
      <c r="F3922" t="s">
        <v>5034</v>
      </c>
      <c r="G3922">
        <v>73574</v>
      </c>
      <c r="H3922">
        <v>8136</v>
      </c>
      <c r="I3922" s="25" t="s">
        <v>2018</v>
      </c>
      <c r="J3922" t="s">
        <v>2039</v>
      </c>
      <c r="M3922" s="49"/>
    </row>
    <row r="3923" spans="6:13" x14ac:dyDescent="0.25">
      <c r="F3923" t="s">
        <v>5035</v>
      </c>
      <c r="G3923">
        <v>86859</v>
      </c>
      <c r="H3923">
        <v>9181</v>
      </c>
      <c r="I3923" s="25" t="s">
        <v>2050</v>
      </c>
      <c r="J3923" t="s">
        <v>2505</v>
      </c>
      <c r="M3923" s="49"/>
    </row>
    <row r="3924" spans="6:13" x14ac:dyDescent="0.25">
      <c r="F3924" t="s">
        <v>5036</v>
      </c>
      <c r="G3924">
        <v>21775</v>
      </c>
      <c r="H3924">
        <v>3352</v>
      </c>
      <c r="I3924" s="25" t="s">
        <v>2074</v>
      </c>
      <c r="J3924" t="s">
        <v>2079</v>
      </c>
      <c r="M3924" s="49"/>
    </row>
    <row r="3925" spans="6:13" x14ac:dyDescent="0.25">
      <c r="F3925" t="s">
        <v>5037</v>
      </c>
      <c r="G3925">
        <v>26632</v>
      </c>
      <c r="H3925">
        <v>3452</v>
      </c>
      <c r="I3925" s="25" t="s">
        <v>2074</v>
      </c>
      <c r="J3925" t="s">
        <v>2034</v>
      </c>
      <c r="M3925" s="49"/>
    </row>
    <row r="3926" spans="6:13" x14ac:dyDescent="0.25">
      <c r="F3926" t="s">
        <v>5038</v>
      </c>
      <c r="G3926">
        <v>79241</v>
      </c>
      <c r="H3926">
        <v>8315</v>
      </c>
      <c r="I3926" s="25" t="s">
        <v>2018</v>
      </c>
      <c r="J3926" t="s">
        <v>2061</v>
      </c>
      <c r="M3926" s="49"/>
    </row>
    <row r="3927" spans="6:13" x14ac:dyDescent="0.25">
      <c r="F3927" t="s">
        <v>5039</v>
      </c>
      <c r="G3927">
        <v>93346</v>
      </c>
      <c r="H3927">
        <v>9273</v>
      </c>
      <c r="I3927" s="25" t="s">
        <v>2050</v>
      </c>
      <c r="J3927" t="s">
        <v>2054</v>
      </c>
      <c r="M3927" s="49"/>
    </row>
    <row r="3928" spans="6:13" x14ac:dyDescent="0.25">
      <c r="F3928" t="s">
        <v>5040</v>
      </c>
      <c r="G3928">
        <v>6408</v>
      </c>
      <c r="H3928">
        <v>15089</v>
      </c>
      <c r="I3928" s="25" t="s">
        <v>2241</v>
      </c>
      <c r="J3928" t="s">
        <v>2351</v>
      </c>
      <c r="M3928" s="49"/>
    </row>
    <row r="3929" spans="6:13" x14ac:dyDescent="0.25">
      <c r="F3929" t="s">
        <v>5041</v>
      </c>
      <c r="G3929">
        <v>89171</v>
      </c>
      <c r="H3929">
        <v>8425</v>
      </c>
      <c r="I3929" s="25" t="s">
        <v>2018</v>
      </c>
      <c r="J3929" t="s">
        <v>2027</v>
      </c>
      <c r="M3929" s="49"/>
    </row>
    <row r="3930" spans="6:13" x14ac:dyDescent="0.25">
      <c r="F3930" t="s">
        <v>5042</v>
      </c>
      <c r="G3930">
        <v>89186</v>
      </c>
      <c r="H3930">
        <v>8425</v>
      </c>
      <c r="I3930" s="25" t="s">
        <v>2018</v>
      </c>
      <c r="J3930" t="s">
        <v>2027</v>
      </c>
      <c r="M3930" s="49"/>
    </row>
    <row r="3931" spans="6:13" x14ac:dyDescent="0.25">
      <c r="F3931" t="s">
        <v>5043</v>
      </c>
      <c r="G3931">
        <v>89257</v>
      </c>
      <c r="H3931">
        <v>9775</v>
      </c>
      <c r="I3931" s="25" t="s">
        <v>2050</v>
      </c>
      <c r="J3931" t="s">
        <v>2418</v>
      </c>
      <c r="M3931" s="49"/>
    </row>
    <row r="3932" spans="6:13" x14ac:dyDescent="0.25">
      <c r="F3932" t="s">
        <v>5044</v>
      </c>
      <c r="G3932">
        <v>91471</v>
      </c>
      <c r="H3932">
        <v>9575</v>
      </c>
      <c r="I3932" s="25" t="s">
        <v>2050</v>
      </c>
      <c r="J3932" t="s">
        <v>2749</v>
      </c>
      <c r="M3932" s="49"/>
    </row>
    <row r="3933" spans="6:13" x14ac:dyDescent="0.25">
      <c r="F3933" t="s">
        <v>5045</v>
      </c>
      <c r="G3933">
        <v>75428</v>
      </c>
      <c r="H3933">
        <v>8236</v>
      </c>
      <c r="I3933" s="25" t="s">
        <v>2018</v>
      </c>
      <c r="J3933" t="s">
        <v>3087</v>
      </c>
      <c r="M3933" s="49"/>
    </row>
    <row r="3934" spans="6:13" x14ac:dyDescent="0.25">
      <c r="F3934" t="s">
        <v>5045</v>
      </c>
      <c r="G3934">
        <v>66557</v>
      </c>
      <c r="H3934">
        <v>10043</v>
      </c>
      <c r="I3934" s="25" t="s">
        <v>2849</v>
      </c>
      <c r="J3934" t="s">
        <v>3883</v>
      </c>
      <c r="M3934" s="49"/>
    </row>
    <row r="3935" spans="6:13" x14ac:dyDescent="0.25">
      <c r="F3935" t="s">
        <v>5046</v>
      </c>
      <c r="G3935">
        <v>88636</v>
      </c>
      <c r="H3935">
        <v>8437</v>
      </c>
      <c r="I3935" s="25" t="s">
        <v>2018</v>
      </c>
      <c r="J3935" t="s">
        <v>2720</v>
      </c>
      <c r="M3935" s="49"/>
    </row>
    <row r="3936" spans="6:13" x14ac:dyDescent="0.25">
      <c r="F3936" t="s">
        <v>5047</v>
      </c>
      <c r="G3936">
        <v>92278</v>
      </c>
      <c r="H3936">
        <v>9371</v>
      </c>
      <c r="I3936" s="25" t="s">
        <v>2050</v>
      </c>
      <c r="J3936" t="s">
        <v>2469</v>
      </c>
      <c r="M3936" s="49"/>
    </row>
    <row r="3937" spans="6:13" x14ac:dyDescent="0.25">
      <c r="F3937" t="s">
        <v>5048</v>
      </c>
      <c r="G3937">
        <v>98693</v>
      </c>
      <c r="H3937">
        <v>16070</v>
      </c>
      <c r="I3937" s="25" t="s">
        <v>2384</v>
      </c>
      <c r="J3937" t="s">
        <v>2206</v>
      </c>
      <c r="M3937" s="49"/>
    </row>
    <row r="3938" spans="6:13" x14ac:dyDescent="0.25">
      <c r="F3938" t="s">
        <v>5048</v>
      </c>
      <c r="G3938">
        <v>98694</v>
      </c>
      <c r="H3938">
        <v>16070</v>
      </c>
      <c r="I3938" s="25" t="s">
        <v>2384</v>
      </c>
      <c r="J3938" t="s">
        <v>2206</v>
      </c>
      <c r="M3938" s="49"/>
    </row>
    <row r="3939" spans="6:13" x14ac:dyDescent="0.25">
      <c r="F3939" t="s">
        <v>5048</v>
      </c>
      <c r="G3939">
        <v>98694</v>
      </c>
      <c r="H3939">
        <v>16070</v>
      </c>
      <c r="I3939" s="25" t="s">
        <v>2384</v>
      </c>
      <c r="J3939" t="s">
        <v>2206</v>
      </c>
      <c r="M3939" s="49"/>
    </row>
    <row r="3940" spans="6:13" x14ac:dyDescent="0.25">
      <c r="F3940" t="s">
        <v>5048</v>
      </c>
      <c r="G3940">
        <v>98694</v>
      </c>
      <c r="H3940">
        <v>16070</v>
      </c>
      <c r="I3940" s="25" t="s">
        <v>2384</v>
      </c>
      <c r="J3940" t="s">
        <v>2206</v>
      </c>
      <c r="M3940" s="49"/>
    </row>
    <row r="3941" spans="6:13" x14ac:dyDescent="0.25">
      <c r="F3941" t="s">
        <v>5049</v>
      </c>
      <c r="G3941">
        <v>85304</v>
      </c>
      <c r="H3941">
        <v>9186</v>
      </c>
      <c r="I3941" s="25" t="s">
        <v>2050</v>
      </c>
      <c r="J3941" t="s">
        <v>2594</v>
      </c>
      <c r="M3941" s="49"/>
    </row>
    <row r="3942" spans="6:13" x14ac:dyDescent="0.25">
      <c r="F3942" t="s">
        <v>5050</v>
      </c>
      <c r="G3942">
        <v>31241</v>
      </c>
      <c r="H3942">
        <v>3157</v>
      </c>
      <c r="I3942" s="25" t="s">
        <v>2074</v>
      </c>
      <c r="J3942" t="s">
        <v>2309</v>
      </c>
      <c r="M3942" s="49"/>
    </row>
    <row r="3943" spans="6:13" x14ac:dyDescent="0.25">
      <c r="F3943" t="s">
        <v>5051</v>
      </c>
      <c r="G3943">
        <v>38871</v>
      </c>
      <c r="H3943">
        <v>15085</v>
      </c>
      <c r="I3943" s="25" t="s">
        <v>2241</v>
      </c>
      <c r="J3943" t="s">
        <v>2178</v>
      </c>
      <c r="M3943" s="49"/>
    </row>
    <row r="3944" spans="6:13" x14ac:dyDescent="0.25">
      <c r="F3944" t="s">
        <v>5052</v>
      </c>
      <c r="G3944">
        <v>74360</v>
      </c>
      <c r="H3944">
        <v>8125</v>
      </c>
      <c r="I3944" s="25" t="s">
        <v>2018</v>
      </c>
      <c r="J3944" t="s">
        <v>2060</v>
      </c>
      <c r="M3944" s="49"/>
    </row>
    <row r="3945" spans="6:13" x14ac:dyDescent="0.25">
      <c r="F3945" t="s">
        <v>5053</v>
      </c>
      <c r="G3945">
        <v>74532</v>
      </c>
      <c r="H3945">
        <v>8127</v>
      </c>
      <c r="I3945" s="25" t="s">
        <v>2018</v>
      </c>
      <c r="J3945" t="s">
        <v>3126</v>
      </c>
      <c r="M3945" s="49"/>
    </row>
    <row r="3946" spans="6:13" x14ac:dyDescent="0.25">
      <c r="F3946" t="s">
        <v>5053</v>
      </c>
      <c r="G3946">
        <v>74532</v>
      </c>
      <c r="H3946">
        <v>8127</v>
      </c>
      <c r="I3946" s="25" t="s">
        <v>2018</v>
      </c>
      <c r="J3946" t="s">
        <v>3126</v>
      </c>
      <c r="M3946" s="49"/>
    </row>
    <row r="3947" spans="6:13" x14ac:dyDescent="0.25">
      <c r="F3947" t="s">
        <v>5054</v>
      </c>
      <c r="G3947">
        <v>68549</v>
      </c>
      <c r="H3947">
        <v>8226</v>
      </c>
      <c r="I3947" s="25" t="s">
        <v>2018</v>
      </c>
      <c r="J3947" t="s">
        <v>2442</v>
      </c>
      <c r="M3947" s="49"/>
    </row>
    <row r="3948" spans="6:13" x14ac:dyDescent="0.25">
      <c r="F3948" t="s">
        <v>5055</v>
      </c>
      <c r="G3948">
        <v>78194</v>
      </c>
      <c r="H3948">
        <v>8327</v>
      </c>
      <c r="I3948" s="25" t="s">
        <v>2018</v>
      </c>
      <c r="J3948" t="s">
        <v>2277</v>
      </c>
      <c r="M3948" s="49"/>
    </row>
    <row r="3949" spans="6:13" x14ac:dyDescent="0.25">
      <c r="F3949" t="s">
        <v>5056</v>
      </c>
      <c r="G3949">
        <v>34376</v>
      </c>
      <c r="H3949">
        <v>6633</v>
      </c>
      <c r="I3949" s="25" t="s">
        <v>2046</v>
      </c>
      <c r="J3949" t="s">
        <v>2162</v>
      </c>
      <c r="M3949" s="49"/>
    </row>
    <row r="3950" spans="6:13" x14ac:dyDescent="0.25">
      <c r="F3950" t="s">
        <v>5057</v>
      </c>
      <c r="G3950">
        <v>95505</v>
      </c>
      <c r="H3950">
        <v>9377</v>
      </c>
      <c r="I3950" s="25" t="s">
        <v>2050</v>
      </c>
      <c r="J3950" t="s">
        <v>2393</v>
      </c>
      <c r="M3950" s="49"/>
    </row>
    <row r="3951" spans="6:13" x14ac:dyDescent="0.25">
      <c r="F3951" t="s">
        <v>5057</v>
      </c>
      <c r="G3951">
        <v>95505</v>
      </c>
      <c r="H3951">
        <v>9377</v>
      </c>
      <c r="I3951" s="25" t="s">
        <v>2050</v>
      </c>
      <c r="J3951" t="s">
        <v>2393</v>
      </c>
      <c r="M3951" s="49"/>
    </row>
    <row r="3952" spans="6:13" x14ac:dyDescent="0.25">
      <c r="F3952" t="s">
        <v>5058</v>
      </c>
      <c r="G3952">
        <v>88090</v>
      </c>
      <c r="H3952">
        <v>8435</v>
      </c>
      <c r="I3952" s="25" t="s">
        <v>2018</v>
      </c>
      <c r="J3952" t="s">
        <v>3011</v>
      </c>
      <c r="M3952" s="49"/>
    </row>
    <row r="3953" spans="6:13" x14ac:dyDescent="0.25">
      <c r="F3953" t="s">
        <v>5059</v>
      </c>
      <c r="G3953">
        <v>87509</v>
      </c>
      <c r="H3953">
        <v>9780</v>
      </c>
      <c r="I3953" s="25" t="s">
        <v>2050</v>
      </c>
      <c r="J3953" t="s">
        <v>2278</v>
      </c>
      <c r="M3953" s="49"/>
    </row>
    <row r="3954" spans="6:13" x14ac:dyDescent="0.25">
      <c r="F3954" t="s">
        <v>5060</v>
      </c>
      <c r="G3954">
        <v>67817</v>
      </c>
      <c r="H3954">
        <v>7333</v>
      </c>
      <c r="I3954" s="25" t="s">
        <v>2123</v>
      </c>
      <c r="J3954" t="s">
        <v>2103</v>
      </c>
      <c r="M3954" s="49"/>
    </row>
    <row r="3955" spans="6:13" x14ac:dyDescent="0.25">
      <c r="F3955" t="s">
        <v>5061</v>
      </c>
      <c r="G3955">
        <v>86570</v>
      </c>
      <c r="H3955">
        <v>9771</v>
      </c>
      <c r="I3955" s="25" t="s">
        <v>2050</v>
      </c>
      <c r="J3955" t="s">
        <v>2120</v>
      </c>
      <c r="M3955" s="49"/>
    </row>
    <row r="3956" spans="6:13" x14ac:dyDescent="0.25">
      <c r="F3956" t="s">
        <v>5062</v>
      </c>
      <c r="G3956">
        <v>52459</v>
      </c>
      <c r="H3956">
        <v>5358</v>
      </c>
      <c r="I3956" s="25" t="s">
        <v>2023</v>
      </c>
      <c r="J3956" t="s">
        <v>2106</v>
      </c>
      <c r="M3956" s="49"/>
    </row>
    <row r="3957" spans="6:13" x14ac:dyDescent="0.25">
      <c r="F3957" t="s">
        <v>5063</v>
      </c>
      <c r="G3957">
        <v>55218</v>
      </c>
      <c r="H3957">
        <v>7339</v>
      </c>
      <c r="I3957" s="25" t="s">
        <v>2123</v>
      </c>
      <c r="J3957" t="s">
        <v>2238</v>
      </c>
      <c r="M3957" s="49"/>
    </row>
    <row r="3958" spans="6:13" x14ac:dyDescent="0.25">
      <c r="F3958" t="s">
        <v>5064</v>
      </c>
      <c r="G3958">
        <v>86980</v>
      </c>
      <c r="H3958">
        <v>9190</v>
      </c>
      <c r="I3958" s="25" t="s">
        <v>2050</v>
      </c>
      <c r="J3958" t="s">
        <v>2417</v>
      </c>
      <c r="M3958" s="49"/>
    </row>
    <row r="3959" spans="6:13" x14ac:dyDescent="0.25">
      <c r="F3959" t="s">
        <v>5065</v>
      </c>
      <c r="G3959">
        <v>74379</v>
      </c>
      <c r="H3959">
        <v>8118</v>
      </c>
      <c r="I3959" s="25" t="s">
        <v>2018</v>
      </c>
      <c r="J3959" t="s">
        <v>2142</v>
      </c>
      <c r="M3959" s="49"/>
    </row>
    <row r="3960" spans="6:13" x14ac:dyDescent="0.25">
      <c r="F3960" t="s">
        <v>5066</v>
      </c>
      <c r="G3960">
        <v>88456</v>
      </c>
      <c r="H3960">
        <v>8426</v>
      </c>
      <c r="I3960" s="25" t="s">
        <v>2018</v>
      </c>
      <c r="J3960" t="s">
        <v>2081</v>
      </c>
      <c r="M3960" s="49"/>
    </row>
    <row r="3961" spans="6:13" x14ac:dyDescent="0.25">
      <c r="F3961" t="s">
        <v>5067</v>
      </c>
      <c r="G3961">
        <v>85049</v>
      </c>
      <c r="H3961">
        <v>9161</v>
      </c>
      <c r="I3961" s="25" t="s">
        <v>2050</v>
      </c>
      <c r="J3961" t="s">
        <v>5068</v>
      </c>
      <c r="M3961" s="49"/>
    </row>
    <row r="3962" spans="6:13" x14ac:dyDescent="0.25">
      <c r="F3962" t="s">
        <v>5067</v>
      </c>
      <c r="G3962">
        <v>85057</v>
      </c>
      <c r="H3962">
        <v>9161</v>
      </c>
      <c r="I3962" s="25" t="s">
        <v>2050</v>
      </c>
      <c r="J3962" t="s">
        <v>5068</v>
      </c>
      <c r="M3962" s="49"/>
    </row>
    <row r="3963" spans="6:13" x14ac:dyDescent="0.25">
      <c r="F3963" t="s">
        <v>5067</v>
      </c>
      <c r="G3963">
        <v>85053</v>
      </c>
      <c r="H3963">
        <v>9161</v>
      </c>
      <c r="I3963" s="25" t="s">
        <v>2050</v>
      </c>
      <c r="J3963" t="s">
        <v>5068</v>
      </c>
      <c r="M3963" s="49"/>
    </row>
    <row r="3964" spans="6:13" x14ac:dyDescent="0.25">
      <c r="F3964" t="s">
        <v>5067</v>
      </c>
      <c r="G3964">
        <v>85051</v>
      </c>
      <c r="H3964">
        <v>9161</v>
      </c>
      <c r="I3964" s="25" t="s">
        <v>2050</v>
      </c>
      <c r="J3964" t="s">
        <v>5068</v>
      </c>
      <c r="M3964" s="49"/>
    </row>
    <row r="3965" spans="6:13" x14ac:dyDescent="0.25">
      <c r="F3965" t="s">
        <v>5067</v>
      </c>
      <c r="G3965">
        <v>85055</v>
      </c>
      <c r="H3965">
        <v>9161</v>
      </c>
      <c r="I3965" s="25" t="s">
        <v>2050</v>
      </c>
      <c r="J3965" t="s">
        <v>5068</v>
      </c>
      <c r="M3965" s="49"/>
    </row>
    <row r="3966" spans="6:13" x14ac:dyDescent="0.25">
      <c r="F3966" t="s">
        <v>5069</v>
      </c>
      <c r="G3966">
        <v>94548</v>
      </c>
      <c r="H3966">
        <v>9272</v>
      </c>
      <c r="I3966" s="25" t="s">
        <v>2050</v>
      </c>
      <c r="J3966" t="s">
        <v>2140</v>
      </c>
      <c r="M3966" s="49"/>
    </row>
    <row r="3967" spans="6:13" x14ac:dyDescent="0.25">
      <c r="F3967" t="s">
        <v>5070</v>
      </c>
      <c r="G3967">
        <v>82266</v>
      </c>
      <c r="H3967">
        <v>9188</v>
      </c>
      <c r="I3967" s="25" t="s">
        <v>2050</v>
      </c>
      <c r="J3967" t="s">
        <v>2481</v>
      </c>
      <c r="M3967" s="49"/>
    </row>
    <row r="3968" spans="6:13" x14ac:dyDescent="0.25">
      <c r="F3968" t="s">
        <v>5071</v>
      </c>
      <c r="G3968">
        <v>23999</v>
      </c>
      <c r="H3968">
        <v>13074</v>
      </c>
      <c r="I3968" s="25" t="s">
        <v>2191</v>
      </c>
      <c r="J3968" t="s">
        <v>2275</v>
      </c>
      <c r="M3968" s="49"/>
    </row>
    <row r="3969" spans="6:13" x14ac:dyDescent="0.25">
      <c r="F3969" t="s">
        <v>5072</v>
      </c>
      <c r="G3969">
        <v>76865</v>
      </c>
      <c r="H3969">
        <v>7337</v>
      </c>
      <c r="I3969" s="25" t="s">
        <v>2123</v>
      </c>
      <c r="J3969" t="s">
        <v>2256</v>
      </c>
      <c r="M3969" s="49"/>
    </row>
    <row r="3970" spans="6:13" x14ac:dyDescent="0.25">
      <c r="F3970" t="s">
        <v>5073</v>
      </c>
      <c r="G3970">
        <v>91610</v>
      </c>
      <c r="H3970">
        <v>9571</v>
      </c>
      <c r="I3970" s="25" t="s">
        <v>2050</v>
      </c>
      <c r="J3970" t="s">
        <v>2113</v>
      </c>
      <c r="M3970" s="49"/>
    </row>
    <row r="3971" spans="6:13" x14ac:dyDescent="0.25">
      <c r="F3971" t="s">
        <v>5074</v>
      </c>
      <c r="G3971">
        <v>83334</v>
      </c>
      <c r="H3971">
        <v>9189</v>
      </c>
      <c r="I3971" s="25" t="s">
        <v>2050</v>
      </c>
      <c r="J3971" t="s">
        <v>2407</v>
      </c>
      <c r="M3971" s="49"/>
    </row>
    <row r="3972" spans="6:13" x14ac:dyDescent="0.25">
      <c r="F3972" t="s">
        <v>5075</v>
      </c>
      <c r="G3972">
        <v>72514</v>
      </c>
      <c r="H3972">
        <v>8437</v>
      </c>
      <c r="I3972" s="25" t="s">
        <v>2018</v>
      </c>
      <c r="J3972" t="s">
        <v>2720</v>
      </c>
      <c r="M3972" s="49"/>
    </row>
    <row r="3973" spans="6:13" x14ac:dyDescent="0.25">
      <c r="F3973" t="s">
        <v>5076</v>
      </c>
      <c r="G3973">
        <v>79594</v>
      </c>
      <c r="H3973">
        <v>8336</v>
      </c>
      <c r="I3973" s="25" t="s">
        <v>2018</v>
      </c>
      <c r="J3973" t="s">
        <v>2227</v>
      </c>
      <c r="M3973" s="49"/>
    </row>
    <row r="3974" spans="6:13" x14ac:dyDescent="0.25">
      <c r="F3974" t="s">
        <v>5077</v>
      </c>
      <c r="G3974">
        <v>97346</v>
      </c>
      <c r="H3974">
        <v>9675</v>
      </c>
      <c r="I3974" s="25" t="s">
        <v>2050</v>
      </c>
      <c r="J3974" t="s">
        <v>2259</v>
      </c>
      <c r="M3974" s="49"/>
    </row>
    <row r="3975" spans="6:13" x14ac:dyDescent="0.25">
      <c r="F3975" t="s">
        <v>5078</v>
      </c>
      <c r="G3975">
        <v>97258</v>
      </c>
      <c r="H3975">
        <v>9575</v>
      </c>
      <c r="I3975" s="25" t="s">
        <v>2050</v>
      </c>
      <c r="J3975" t="s">
        <v>2749</v>
      </c>
      <c r="M3975" s="49"/>
    </row>
    <row r="3976" spans="6:13" x14ac:dyDescent="0.25">
      <c r="F3976" t="s">
        <v>5079</v>
      </c>
      <c r="G3976">
        <v>91472</v>
      </c>
      <c r="H3976">
        <v>9575</v>
      </c>
      <c r="I3976" s="25" t="s">
        <v>2050</v>
      </c>
      <c r="J3976" t="s">
        <v>2749</v>
      </c>
      <c r="M3976" s="49"/>
    </row>
    <row r="3977" spans="6:13" x14ac:dyDescent="0.25">
      <c r="F3977" t="s">
        <v>5080</v>
      </c>
      <c r="G3977">
        <v>56843</v>
      </c>
      <c r="H3977">
        <v>7231</v>
      </c>
      <c r="I3977" s="25" t="s">
        <v>2123</v>
      </c>
      <c r="J3977" t="s">
        <v>2043</v>
      </c>
      <c r="M3977" s="49"/>
    </row>
    <row r="3978" spans="6:13" x14ac:dyDescent="0.25">
      <c r="F3978" t="s">
        <v>5080</v>
      </c>
      <c r="G3978">
        <v>56843</v>
      </c>
      <c r="H3978">
        <v>7231</v>
      </c>
      <c r="I3978" s="25" t="s">
        <v>2123</v>
      </c>
      <c r="J3978" t="s">
        <v>2043</v>
      </c>
      <c r="M3978" s="49"/>
    </row>
    <row r="3979" spans="6:13" x14ac:dyDescent="0.25">
      <c r="F3979" t="s">
        <v>5080</v>
      </c>
      <c r="G3979">
        <v>56843</v>
      </c>
      <c r="H3979">
        <v>7231</v>
      </c>
      <c r="I3979" s="25" t="s">
        <v>2123</v>
      </c>
      <c r="J3979" t="s">
        <v>2043</v>
      </c>
      <c r="M3979" s="49"/>
    </row>
    <row r="3980" spans="6:13" x14ac:dyDescent="0.25">
      <c r="F3980" t="s">
        <v>5081</v>
      </c>
      <c r="G3980">
        <v>78597</v>
      </c>
      <c r="H3980">
        <v>8327</v>
      </c>
      <c r="I3980" s="25" t="s">
        <v>2018</v>
      </c>
      <c r="J3980" t="s">
        <v>2277</v>
      </c>
      <c r="M3980" s="49"/>
    </row>
    <row r="3981" spans="6:13" x14ac:dyDescent="0.25">
      <c r="F3981" t="s">
        <v>5082</v>
      </c>
      <c r="G3981">
        <v>54666</v>
      </c>
      <c r="H3981">
        <v>7232</v>
      </c>
      <c r="I3981" s="25" t="s">
        <v>2123</v>
      </c>
      <c r="J3981" t="s">
        <v>2112</v>
      </c>
      <c r="M3981" s="49"/>
    </row>
    <row r="3982" spans="6:13" x14ac:dyDescent="0.25">
      <c r="F3982" t="s">
        <v>5083</v>
      </c>
      <c r="G3982">
        <v>54451</v>
      </c>
      <c r="H3982">
        <v>7235</v>
      </c>
      <c r="I3982" s="25" t="s">
        <v>2123</v>
      </c>
      <c r="J3982" t="s">
        <v>2395</v>
      </c>
      <c r="M3982" s="49"/>
    </row>
    <row r="3983" spans="6:13" x14ac:dyDescent="0.25">
      <c r="F3983" t="s">
        <v>5084</v>
      </c>
      <c r="G3983">
        <v>83737</v>
      </c>
      <c r="H3983">
        <v>9182</v>
      </c>
      <c r="I3983" s="25" t="s">
        <v>2050</v>
      </c>
      <c r="J3983" t="s">
        <v>2254</v>
      </c>
      <c r="M3983" s="49"/>
    </row>
    <row r="3984" spans="6:13" x14ac:dyDescent="0.25">
      <c r="F3984" t="s">
        <v>5085</v>
      </c>
      <c r="G3984">
        <v>87660</v>
      </c>
      <c r="H3984">
        <v>9777</v>
      </c>
      <c r="I3984" s="25" t="s">
        <v>2050</v>
      </c>
      <c r="J3984" t="s">
        <v>2237</v>
      </c>
      <c r="M3984" s="49"/>
    </row>
    <row r="3985" spans="6:13" x14ac:dyDescent="0.25">
      <c r="F3985" t="s">
        <v>5086</v>
      </c>
      <c r="G3985">
        <v>84424</v>
      </c>
      <c r="H3985">
        <v>9177</v>
      </c>
      <c r="I3985" s="25" t="s">
        <v>2050</v>
      </c>
      <c r="J3985" t="s">
        <v>2915</v>
      </c>
      <c r="M3985" s="49"/>
    </row>
    <row r="3986" spans="6:13" x14ac:dyDescent="0.25">
      <c r="F3986" t="s">
        <v>5087</v>
      </c>
      <c r="G3986">
        <v>38550</v>
      </c>
      <c r="H3986">
        <v>3151</v>
      </c>
      <c r="I3986" s="25" t="s">
        <v>2074</v>
      </c>
      <c r="J3986" t="s">
        <v>2126</v>
      </c>
      <c r="M3986" s="49"/>
    </row>
    <row r="3987" spans="6:13" x14ac:dyDescent="0.25">
      <c r="F3987" t="s">
        <v>5088</v>
      </c>
      <c r="G3987">
        <v>58642</v>
      </c>
      <c r="H3987">
        <v>5962</v>
      </c>
      <c r="I3987" s="25" t="s">
        <v>2023</v>
      </c>
      <c r="J3987" t="s">
        <v>2239</v>
      </c>
      <c r="M3987" s="49"/>
    </row>
    <row r="3988" spans="6:13" x14ac:dyDescent="0.25">
      <c r="F3988" t="s">
        <v>5088</v>
      </c>
      <c r="G3988">
        <v>58638</v>
      </c>
      <c r="H3988">
        <v>5962</v>
      </c>
      <c r="I3988" s="25" t="s">
        <v>2023</v>
      </c>
      <c r="J3988" t="s">
        <v>2239</v>
      </c>
      <c r="M3988" s="49"/>
    </row>
    <row r="3989" spans="6:13" x14ac:dyDescent="0.25">
      <c r="F3989" t="s">
        <v>5088</v>
      </c>
      <c r="G3989">
        <v>58640</v>
      </c>
      <c r="H3989">
        <v>5962</v>
      </c>
      <c r="I3989" s="25" t="s">
        <v>2023</v>
      </c>
      <c r="J3989" t="s">
        <v>2239</v>
      </c>
      <c r="M3989" s="49"/>
    </row>
    <row r="3990" spans="6:13" x14ac:dyDescent="0.25">
      <c r="F3990" t="s">
        <v>5088</v>
      </c>
      <c r="G3990">
        <v>58644</v>
      </c>
      <c r="H3990">
        <v>5962</v>
      </c>
      <c r="I3990" s="25" t="s">
        <v>2023</v>
      </c>
      <c r="J3990" t="s">
        <v>2239</v>
      </c>
      <c r="M3990" s="49"/>
    </row>
    <row r="3991" spans="6:13" x14ac:dyDescent="0.25">
      <c r="F3991" t="s">
        <v>5088</v>
      </c>
      <c r="G3991">
        <v>58636</v>
      </c>
      <c r="H3991">
        <v>5962</v>
      </c>
      <c r="I3991" s="25" t="s">
        <v>2023</v>
      </c>
      <c r="J3991" t="s">
        <v>2239</v>
      </c>
      <c r="M3991" s="49"/>
    </row>
    <row r="3992" spans="6:13" x14ac:dyDescent="0.25">
      <c r="F3992" t="s">
        <v>5089</v>
      </c>
      <c r="G3992">
        <v>30916</v>
      </c>
      <c r="H3992">
        <v>3241</v>
      </c>
      <c r="I3992" s="25" t="s">
        <v>2074</v>
      </c>
      <c r="J3992" t="s">
        <v>2321</v>
      </c>
      <c r="M3992" s="49"/>
    </row>
    <row r="3993" spans="6:13" x14ac:dyDescent="0.25">
      <c r="F3993" t="s">
        <v>5090</v>
      </c>
      <c r="G3993">
        <v>85737</v>
      </c>
      <c r="H3993">
        <v>9184</v>
      </c>
      <c r="I3993" s="25" t="s">
        <v>2050</v>
      </c>
      <c r="J3993" t="s">
        <v>2547</v>
      </c>
      <c r="M3993" s="49"/>
    </row>
    <row r="3994" spans="6:13" x14ac:dyDescent="0.25">
      <c r="F3994" t="s">
        <v>5091</v>
      </c>
      <c r="G3994">
        <v>88316</v>
      </c>
      <c r="H3994">
        <v>8436</v>
      </c>
      <c r="I3994" s="25" t="s">
        <v>2018</v>
      </c>
      <c r="J3994" t="s">
        <v>2068</v>
      </c>
      <c r="M3994" s="49"/>
    </row>
    <row r="3995" spans="6:13" x14ac:dyDescent="0.25">
      <c r="F3995" t="s">
        <v>5092</v>
      </c>
      <c r="G3995">
        <v>75228</v>
      </c>
      <c r="H3995">
        <v>8236</v>
      </c>
      <c r="I3995" s="25" t="s">
        <v>2018</v>
      </c>
      <c r="J3995" t="s">
        <v>3087</v>
      </c>
      <c r="M3995" s="49"/>
    </row>
    <row r="3996" spans="6:13" x14ac:dyDescent="0.25">
      <c r="F3996" t="s">
        <v>5093</v>
      </c>
      <c r="G3996">
        <v>46419</v>
      </c>
      <c r="H3996">
        <v>5554</v>
      </c>
      <c r="I3996" s="25" t="s">
        <v>2023</v>
      </c>
      <c r="J3996" t="s">
        <v>2055</v>
      </c>
      <c r="M3996" s="49"/>
    </row>
    <row r="3997" spans="6:13" x14ac:dyDescent="0.25">
      <c r="F3997" t="s">
        <v>5094</v>
      </c>
      <c r="G3997">
        <v>95188</v>
      </c>
      <c r="H3997">
        <v>9475</v>
      </c>
      <c r="I3997" s="25" t="s">
        <v>2050</v>
      </c>
      <c r="J3997" t="s">
        <v>2201</v>
      </c>
      <c r="M3997" s="49"/>
    </row>
    <row r="3998" spans="6:13" x14ac:dyDescent="0.25">
      <c r="F3998" t="s">
        <v>5095</v>
      </c>
      <c r="G3998">
        <v>47661</v>
      </c>
      <c r="H3998">
        <v>5154</v>
      </c>
      <c r="I3998" s="25" t="s">
        <v>2023</v>
      </c>
      <c r="J3998" t="s">
        <v>2214</v>
      </c>
      <c r="M3998" s="49"/>
    </row>
    <row r="3999" spans="6:13" x14ac:dyDescent="0.25">
      <c r="F3999" t="s">
        <v>5096</v>
      </c>
      <c r="G3999">
        <v>49847</v>
      </c>
      <c r="H3999">
        <v>3456</v>
      </c>
      <c r="I3999" s="25" t="s">
        <v>2074</v>
      </c>
      <c r="J3999" t="s">
        <v>2156</v>
      </c>
      <c r="M3999" s="49"/>
    </row>
    <row r="4000" spans="6:13" x14ac:dyDescent="0.25">
      <c r="F4000" t="s">
        <v>5097</v>
      </c>
      <c r="G4000">
        <v>74930</v>
      </c>
      <c r="H4000">
        <v>8125</v>
      </c>
      <c r="I4000" s="25" t="s">
        <v>2018</v>
      </c>
      <c r="J4000" t="s">
        <v>2060</v>
      </c>
      <c r="M4000" s="49"/>
    </row>
    <row r="4001" spans="6:13" x14ac:dyDescent="0.25">
      <c r="F4001" t="s">
        <v>5098</v>
      </c>
      <c r="G4001">
        <v>25524</v>
      </c>
      <c r="H4001">
        <v>1061</v>
      </c>
      <c r="I4001" s="25" t="s">
        <v>2085</v>
      </c>
      <c r="J4001" t="s">
        <v>2377</v>
      </c>
      <c r="M4001" s="49"/>
    </row>
    <row r="4002" spans="6:13" x14ac:dyDescent="0.25">
      <c r="F4002" t="s">
        <v>5099</v>
      </c>
      <c r="G4002">
        <v>96274</v>
      </c>
      <c r="H4002">
        <v>9473</v>
      </c>
      <c r="I4002" s="25" t="s">
        <v>2050</v>
      </c>
      <c r="J4002" t="s">
        <v>2177</v>
      </c>
      <c r="M4002" s="49"/>
    </row>
    <row r="4003" spans="6:13" x14ac:dyDescent="0.25">
      <c r="F4003" t="s">
        <v>5100</v>
      </c>
      <c r="G4003">
        <v>83676</v>
      </c>
      <c r="H4003">
        <v>9173</v>
      </c>
      <c r="I4003" s="25" t="s">
        <v>2050</v>
      </c>
      <c r="J4003" t="s">
        <v>2659</v>
      </c>
      <c r="M4003" s="49"/>
    </row>
    <row r="4004" spans="6:13" x14ac:dyDescent="0.25">
      <c r="F4004" t="s">
        <v>5101</v>
      </c>
      <c r="G4004">
        <v>26349</v>
      </c>
      <c r="H4004">
        <v>3461</v>
      </c>
      <c r="I4004" s="25" t="s">
        <v>2074</v>
      </c>
      <c r="J4004" t="s">
        <v>2426</v>
      </c>
      <c r="M4004" s="49"/>
    </row>
    <row r="4005" spans="6:13" x14ac:dyDescent="0.25">
      <c r="F4005" t="s">
        <v>5102</v>
      </c>
      <c r="G4005">
        <v>24878</v>
      </c>
      <c r="H4005">
        <v>1059</v>
      </c>
      <c r="I4005" s="25" t="s">
        <v>2085</v>
      </c>
      <c r="J4005" t="s">
        <v>2354</v>
      </c>
      <c r="M4005" s="49"/>
    </row>
    <row r="4006" spans="6:13" x14ac:dyDescent="0.25">
      <c r="F4006" t="s">
        <v>5103</v>
      </c>
      <c r="G4006">
        <v>74249</v>
      </c>
      <c r="H4006">
        <v>8125</v>
      </c>
      <c r="I4006" s="25" t="s">
        <v>2018</v>
      </c>
      <c r="J4006" t="s">
        <v>2060</v>
      </c>
      <c r="M4006" s="49"/>
    </row>
    <row r="4007" spans="6:13" x14ac:dyDescent="0.25">
      <c r="F4007" t="s">
        <v>5104</v>
      </c>
      <c r="G4007">
        <v>73489</v>
      </c>
      <c r="H4007">
        <v>8136</v>
      </c>
      <c r="I4007" s="25" t="s">
        <v>2018</v>
      </c>
      <c r="J4007" t="s">
        <v>2039</v>
      </c>
      <c r="M4007" s="49"/>
    </row>
    <row r="4008" spans="6:13" x14ac:dyDescent="0.25">
      <c r="F4008" t="s">
        <v>5105</v>
      </c>
      <c r="G4008">
        <v>9387</v>
      </c>
      <c r="H4008">
        <v>14521</v>
      </c>
      <c r="I4008" s="25" t="s">
        <v>2135</v>
      </c>
      <c r="J4008" t="s">
        <v>2032</v>
      </c>
      <c r="M4008" s="49"/>
    </row>
    <row r="4009" spans="6:13" x14ac:dyDescent="0.25">
      <c r="F4009" t="s">
        <v>5106</v>
      </c>
      <c r="G4009">
        <v>29479</v>
      </c>
      <c r="H4009">
        <v>3354</v>
      </c>
      <c r="I4009" s="25" t="s">
        <v>2074</v>
      </c>
      <c r="J4009" t="s">
        <v>2232</v>
      </c>
      <c r="M4009" s="49"/>
    </row>
    <row r="4010" spans="6:13" x14ac:dyDescent="0.25">
      <c r="F4010" t="s">
        <v>5107</v>
      </c>
      <c r="G4010">
        <v>94118</v>
      </c>
      <c r="H4010">
        <v>9272</v>
      </c>
      <c r="I4010" s="25" t="s">
        <v>2050</v>
      </c>
      <c r="J4010" t="s">
        <v>2140</v>
      </c>
      <c r="M4010" s="49"/>
    </row>
    <row r="4011" spans="6:13" x14ac:dyDescent="0.25">
      <c r="F4011" t="s">
        <v>5108</v>
      </c>
      <c r="G4011">
        <v>3197</v>
      </c>
      <c r="H4011">
        <v>12071</v>
      </c>
      <c r="I4011" s="25" t="s">
        <v>2356</v>
      </c>
      <c r="J4011" t="s">
        <v>3364</v>
      </c>
      <c r="M4011" s="49"/>
    </row>
    <row r="4012" spans="6:13" x14ac:dyDescent="0.25">
      <c r="F4012" t="s">
        <v>5109</v>
      </c>
      <c r="G4012">
        <v>17126</v>
      </c>
      <c r="H4012">
        <v>13075</v>
      </c>
      <c r="I4012" s="25" t="s">
        <v>2191</v>
      </c>
      <c r="J4012" t="s">
        <v>2160</v>
      </c>
      <c r="M4012" s="49"/>
    </row>
    <row r="4013" spans="6:13" x14ac:dyDescent="0.25">
      <c r="F4013" t="s">
        <v>5110</v>
      </c>
      <c r="G4013">
        <v>29585</v>
      </c>
      <c r="H4013">
        <v>3360</v>
      </c>
      <c r="I4013" s="25" t="s">
        <v>2074</v>
      </c>
      <c r="J4013" t="s">
        <v>2400</v>
      </c>
      <c r="M4013" s="49"/>
    </row>
    <row r="4014" spans="6:13" x14ac:dyDescent="0.25">
      <c r="F4014" t="s">
        <v>5111</v>
      </c>
      <c r="G4014">
        <v>38477</v>
      </c>
      <c r="H4014">
        <v>3151</v>
      </c>
      <c r="I4014" s="25" t="s">
        <v>2074</v>
      </c>
      <c r="J4014" t="s">
        <v>2126</v>
      </c>
      <c r="M4014" s="49"/>
    </row>
    <row r="4015" spans="6:13" x14ac:dyDescent="0.25">
      <c r="F4015" t="s">
        <v>5112</v>
      </c>
      <c r="G4015">
        <v>26844</v>
      </c>
      <c r="H4015">
        <v>3457</v>
      </c>
      <c r="I4015" s="25" t="s">
        <v>2074</v>
      </c>
      <c r="J4015" t="s">
        <v>2220</v>
      </c>
      <c r="M4015" s="49"/>
    </row>
    <row r="4016" spans="6:13" x14ac:dyDescent="0.25">
      <c r="F4016" t="s">
        <v>5113</v>
      </c>
      <c r="G4016">
        <v>7743</v>
      </c>
      <c r="H4016">
        <v>16053</v>
      </c>
      <c r="I4016" s="25" t="s">
        <v>2384</v>
      </c>
      <c r="J4016" t="s">
        <v>5114</v>
      </c>
      <c r="M4016" s="49"/>
    </row>
    <row r="4017" spans="6:13" x14ac:dyDescent="0.25">
      <c r="F4017" t="s">
        <v>5113</v>
      </c>
      <c r="G4017">
        <v>7745</v>
      </c>
      <c r="H4017">
        <v>16053</v>
      </c>
      <c r="I4017" s="25" t="s">
        <v>2384</v>
      </c>
      <c r="J4017" t="s">
        <v>5114</v>
      </c>
      <c r="M4017" s="49"/>
    </row>
    <row r="4018" spans="6:13" x14ac:dyDescent="0.25">
      <c r="F4018" t="s">
        <v>5113</v>
      </c>
      <c r="G4018">
        <v>7749</v>
      </c>
      <c r="H4018">
        <v>16053</v>
      </c>
      <c r="I4018" s="25" t="s">
        <v>2384</v>
      </c>
      <c r="J4018" t="s">
        <v>5114</v>
      </c>
      <c r="M4018" s="49"/>
    </row>
    <row r="4019" spans="6:13" x14ac:dyDescent="0.25">
      <c r="F4019" t="s">
        <v>5113</v>
      </c>
      <c r="G4019">
        <v>7747</v>
      </c>
      <c r="H4019">
        <v>16053</v>
      </c>
      <c r="I4019" s="25" t="s">
        <v>2384</v>
      </c>
      <c r="J4019" t="s">
        <v>5114</v>
      </c>
      <c r="M4019" s="49"/>
    </row>
    <row r="4020" spans="6:13" x14ac:dyDescent="0.25">
      <c r="F4020" t="s">
        <v>5115</v>
      </c>
      <c r="G4020">
        <v>7751</v>
      </c>
      <c r="H4020">
        <v>16053</v>
      </c>
      <c r="I4020" s="25" t="s">
        <v>2384</v>
      </c>
      <c r="J4020" t="s">
        <v>5114</v>
      </c>
      <c r="M4020" s="49"/>
    </row>
    <row r="4021" spans="6:13" x14ac:dyDescent="0.25">
      <c r="F4021" t="s">
        <v>5115</v>
      </c>
      <c r="G4021">
        <v>7751</v>
      </c>
      <c r="H4021">
        <v>16053</v>
      </c>
      <c r="I4021" s="25" t="s">
        <v>2384</v>
      </c>
      <c r="J4021" t="s">
        <v>5114</v>
      </c>
      <c r="M4021" s="49"/>
    </row>
    <row r="4022" spans="6:13" x14ac:dyDescent="0.25">
      <c r="F4022" t="s">
        <v>5115</v>
      </c>
      <c r="G4022">
        <v>7751</v>
      </c>
      <c r="H4022">
        <v>16053</v>
      </c>
      <c r="I4022" s="25" t="s">
        <v>2384</v>
      </c>
      <c r="J4022" t="s">
        <v>5114</v>
      </c>
      <c r="M4022" s="49"/>
    </row>
    <row r="4023" spans="6:13" x14ac:dyDescent="0.25">
      <c r="F4023" t="s">
        <v>5115</v>
      </c>
      <c r="G4023">
        <v>7751</v>
      </c>
      <c r="H4023">
        <v>16053</v>
      </c>
      <c r="I4023" s="25" t="s">
        <v>2384</v>
      </c>
      <c r="J4023" t="s">
        <v>5114</v>
      </c>
      <c r="M4023" s="49"/>
    </row>
    <row r="4024" spans="6:13" x14ac:dyDescent="0.25">
      <c r="F4024" t="s">
        <v>5115</v>
      </c>
      <c r="G4024">
        <v>7751</v>
      </c>
      <c r="H4024">
        <v>16074</v>
      </c>
      <c r="I4024" s="25" t="s">
        <v>2384</v>
      </c>
      <c r="J4024" t="s">
        <v>2671</v>
      </c>
      <c r="M4024" s="49"/>
    </row>
    <row r="4025" spans="6:13" x14ac:dyDescent="0.25">
      <c r="F4025" t="s">
        <v>5115</v>
      </c>
      <c r="G4025">
        <v>7751</v>
      </c>
      <c r="H4025">
        <v>16074</v>
      </c>
      <c r="I4025" s="25" t="s">
        <v>2384</v>
      </c>
      <c r="J4025" t="s">
        <v>2671</v>
      </c>
      <c r="M4025" s="49"/>
    </row>
    <row r="4026" spans="6:13" x14ac:dyDescent="0.25">
      <c r="F4026" t="s">
        <v>5115</v>
      </c>
      <c r="G4026">
        <v>7751</v>
      </c>
      <c r="H4026">
        <v>16074</v>
      </c>
      <c r="I4026" s="25" t="s">
        <v>2384</v>
      </c>
      <c r="J4026" t="s">
        <v>2671</v>
      </c>
      <c r="M4026" s="49"/>
    </row>
    <row r="4027" spans="6:13" x14ac:dyDescent="0.25">
      <c r="F4027" t="s">
        <v>5115</v>
      </c>
      <c r="G4027">
        <v>7751</v>
      </c>
      <c r="H4027">
        <v>16074</v>
      </c>
      <c r="I4027" s="25" t="s">
        <v>2384</v>
      </c>
      <c r="J4027" t="s">
        <v>2671</v>
      </c>
      <c r="M4027" s="49"/>
    </row>
    <row r="4028" spans="6:13" x14ac:dyDescent="0.25">
      <c r="F4028" t="s">
        <v>5116</v>
      </c>
      <c r="G4028">
        <v>86860</v>
      </c>
      <c r="H4028">
        <v>9777</v>
      </c>
      <c r="I4028" s="25" t="s">
        <v>2050</v>
      </c>
      <c r="J4028" t="s">
        <v>2237</v>
      </c>
      <c r="M4028" s="49"/>
    </row>
    <row r="4029" spans="6:13" x14ac:dyDescent="0.25">
      <c r="F4029" t="s">
        <v>5117</v>
      </c>
      <c r="G4029">
        <v>39319</v>
      </c>
      <c r="H4029">
        <v>15086</v>
      </c>
      <c r="I4029" s="25" t="s">
        <v>2241</v>
      </c>
      <c r="J4029" t="s">
        <v>3064</v>
      </c>
      <c r="M4029" s="49"/>
    </row>
    <row r="4030" spans="6:13" x14ac:dyDescent="0.25">
      <c r="F4030" t="s">
        <v>5118</v>
      </c>
      <c r="G4030">
        <v>38381</v>
      </c>
      <c r="H4030">
        <v>3154</v>
      </c>
      <c r="I4030" s="25" t="s">
        <v>2074</v>
      </c>
      <c r="J4030" t="s">
        <v>2186</v>
      </c>
      <c r="M4030" s="49"/>
    </row>
    <row r="4031" spans="6:13" x14ac:dyDescent="0.25">
      <c r="F4031" t="s">
        <v>5119</v>
      </c>
      <c r="G4031">
        <v>34632</v>
      </c>
      <c r="H4031">
        <v>6634</v>
      </c>
      <c r="I4031" s="25" t="s">
        <v>2046</v>
      </c>
      <c r="J4031" t="s">
        <v>2360</v>
      </c>
      <c r="M4031" s="49"/>
    </row>
    <row r="4032" spans="6:13" x14ac:dyDescent="0.25">
      <c r="F4032" t="s">
        <v>5120</v>
      </c>
      <c r="G4032">
        <v>82287</v>
      </c>
      <c r="H4032">
        <v>9179</v>
      </c>
      <c r="I4032" s="25" t="s">
        <v>2050</v>
      </c>
      <c r="J4032" t="s">
        <v>2111</v>
      </c>
      <c r="M4032" s="49"/>
    </row>
    <row r="4033" spans="6:13" x14ac:dyDescent="0.25">
      <c r="F4033" t="s">
        <v>5121</v>
      </c>
      <c r="G4033">
        <v>6917</v>
      </c>
      <c r="H4033">
        <v>15091</v>
      </c>
      <c r="I4033" s="25" t="s">
        <v>2241</v>
      </c>
      <c r="J4033" t="s">
        <v>1509</v>
      </c>
      <c r="M4033" s="49"/>
    </row>
    <row r="4034" spans="6:13" x14ac:dyDescent="0.25">
      <c r="F4034" t="s">
        <v>5122</v>
      </c>
      <c r="G4034">
        <v>21266</v>
      </c>
      <c r="H4034">
        <v>3353</v>
      </c>
      <c r="I4034" s="25" t="s">
        <v>2074</v>
      </c>
      <c r="J4034" t="s">
        <v>2176</v>
      </c>
      <c r="M4034" s="49"/>
    </row>
    <row r="4035" spans="6:13" x14ac:dyDescent="0.25">
      <c r="F4035" t="s">
        <v>5123</v>
      </c>
      <c r="G4035">
        <v>79798</v>
      </c>
      <c r="H4035">
        <v>8337</v>
      </c>
      <c r="I4035" s="25" t="s">
        <v>2018</v>
      </c>
      <c r="J4035" t="s">
        <v>2248</v>
      </c>
      <c r="M4035" s="49"/>
    </row>
    <row r="4036" spans="6:13" x14ac:dyDescent="0.25">
      <c r="F4036" t="s">
        <v>5124</v>
      </c>
      <c r="G4036">
        <v>84555</v>
      </c>
      <c r="H4036">
        <v>9183</v>
      </c>
      <c r="I4036" s="25" t="s">
        <v>2050</v>
      </c>
      <c r="J4036" t="s">
        <v>2474</v>
      </c>
      <c r="M4036" s="49"/>
    </row>
    <row r="4037" spans="6:13" x14ac:dyDescent="0.25">
      <c r="F4037" t="s">
        <v>5125</v>
      </c>
      <c r="G4037">
        <v>71131</v>
      </c>
      <c r="H4037">
        <v>8115</v>
      </c>
      <c r="I4037" s="25" t="s">
        <v>2018</v>
      </c>
      <c r="J4037" t="s">
        <v>2222</v>
      </c>
      <c r="M4037" s="49"/>
    </row>
    <row r="4038" spans="6:13" x14ac:dyDescent="0.25">
      <c r="F4038" t="s">
        <v>5126</v>
      </c>
      <c r="G4038">
        <v>89343</v>
      </c>
      <c r="H4038">
        <v>9774</v>
      </c>
      <c r="I4038" s="25" t="s">
        <v>2050</v>
      </c>
      <c r="J4038" t="s">
        <v>2205</v>
      </c>
      <c r="M4038" s="49"/>
    </row>
    <row r="4039" spans="6:13" x14ac:dyDescent="0.25">
      <c r="F4039" t="s">
        <v>5127</v>
      </c>
      <c r="G4039">
        <v>85305</v>
      </c>
      <c r="H4039">
        <v>9186</v>
      </c>
      <c r="I4039" s="25" t="s">
        <v>2050</v>
      </c>
      <c r="J4039" t="s">
        <v>2594</v>
      </c>
      <c r="M4039" s="49"/>
    </row>
    <row r="4040" spans="6:13" x14ac:dyDescent="0.25">
      <c r="F4040" t="s">
        <v>5128</v>
      </c>
      <c r="G4040">
        <v>24808</v>
      </c>
      <c r="H4040">
        <v>1058</v>
      </c>
      <c r="I4040" s="25" t="s">
        <v>2085</v>
      </c>
      <c r="J4040" t="s">
        <v>2086</v>
      </c>
      <c r="M4040" s="49"/>
    </row>
    <row r="4041" spans="6:13" x14ac:dyDescent="0.25">
      <c r="F4041" t="s">
        <v>5129</v>
      </c>
      <c r="G4041">
        <v>26441</v>
      </c>
      <c r="H4041">
        <v>3455</v>
      </c>
      <c r="I4041" s="25" t="s">
        <v>2074</v>
      </c>
      <c r="J4041" t="s">
        <v>2143</v>
      </c>
      <c r="M4041" s="49"/>
    </row>
    <row r="4042" spans="6:13" x14ac:dyDescent="0.25">
      <c r="F4042" t="s">
        <v>5130</v>
      </c>
      <c r="G4042">
        <v>16247</v>
      </c>
      <c r="H4042">
        <v>12060</v>
      </c>
      <c r="I4042" s="25" t="s">
        <v>2356</v>
      </c>
      <c r="J4042" t="s">
        <v>2040</v>
      </c>
      <c r="M4042" s="49"/>
    </row>
    <row r="4043" spans="6:13" x14ac:dyDescent="0.25">
      <c r="F4043" t="s">
        <v>5131</v>
      </c>
      <c r="G4043">
        <v>76751</v>
      </c>
      <c r="H4043">
        <v>7334</v>
      </c>
      <c r="I4043" s="25" t="s">
        <v>2123</v>
      </c>
      <c r="J4043" t="s">
        <v>2873</v>
      </c>
      <c r="M4043" s="49"/>
    </row>
    <row r="4044" spans="6:13" x14ac:dyDescent="0.25">
      <c r="F4044" t="s">
        <v>5132</v>
      </c>
      <c r="G4044">
        <v>63867</v>
      </c>
      <c r="H4044">
        <v>9671</v>
      </c>
      <c r="I4044" s="25" t="s">
        <v>2050</v>
      </c>
      <c r="J4044" t="s">
        <v>2453</v>
      </c>
      <c r="M4044" s="49"/>
    </row>
    <row r="4045" spans="6:13" x14ac:dyDescent="0.25">
      <c r="F4045" t="s">
        <v>5133</v>
      </c>
      <c r="G4045">
        <v>8349</v>
      </c>
      <c r="H4045">
        <v>14521</v>
      </c>
      <c r="I4045" s="25" t="s">
        <v>2135</v>
      </c>
      <c r="J4045" t="s">
        <v>2032</v>
      </c>
      <c r="M4045" s="49"/>
    </row>
    <row r="4046" spans="6:13" x14ac:dyDescent="0.25">
      <c r="F4046" t="s">
        <v>5134</v>
      </c>
      <c r="G4046">
        <v>84381</v>
      </c>
      <c r="H4046">
        <v>9277</v>
      </c>
      <c r="I4046" s="25" t="s">
        <v>2050</v>
      </c>
      <c r="J4046" t="s">
        <v>2529</v>
      </c>
      <c r="M4046" s="49"/>
    </row>
    <row r="4047" spans="6:13" x14ac:dyDescent="0.25">
      <c r="F4047" t="s">
        <v>5135</v>
      </c>
      <c r="G4047">
        <v>9477</v>
      </c>
      <c r="H4047">
        <v>14521</v>
      </c>
      <c r="I4047" s="25" t="s">
        <v>2135</v>
      </c>
      <c r="J4047" t="s">
        <v>2032</v>
      </c>
      <c r="M4047" s="49"/>
    </row>
    <row r="4048" spans="6:13" x14ac:dyDescent="0.25">
      <c r="F4048" t="s">
        <v>5136</v>
      </c>
      <c r="G4048">
        <v>25862</v>
      </c>
      <c r="H4048">
        <v>1054</v>
      </c>
      <c r="I4048" s="25" t="s">
        <v>2085</v>
      </c>
      <c r="J4048" t="s">
        <v>2195</v>
      </c>
      <c r="M4048" s="49"/>
    </row>
    <row r="4049" spans="6:13" x14ac:dyDescent="0.25">
      <c r="F4049" t="s">
        <v>5137</v>
      </c>
      <c r="G4049">
        <v>2796</v>
      </c>
      <c r="H4049">
        <v>14626</v>
      </c>
      <c r="I4049" s="25" t="s">
        <v>2135</v>
      </c>
      <c r="J4049" t="s">
        <v>2150</v>
      </c>
      <c r="M4049" s="49"/>
    </row>
    <row r="4050" spans="6:13" x14ac:dyDescent="0.25">
      <c r="F4050" t="s">
        <v>5138</v>
      </c>
      <c r="G4050">
        <v>17168</v>
      </c>
      <c r="H4050">
        <v>13072</v>
      </c>
      <c r="I4050" s="25" t="s">
        <v>2191</v>
      </c>
      <c r="J4050" t="s">
        <v>2036</v>
      </c>
      <c r="M4050" s="49"/>
    </row>
    <row r="4051" spans="6:13" x14ac:dyDescent="0.25">
      <c r="F4051" t="s">
        <v>5139</v>
      </c>
      <c r="G4051">
        <v>21635</v>
      </c>
      <c r="H4051">
        <v>3359</v>
      </c>
      <c r="I4051" s="25" t="s">
        <v>2074</v>
      </c>
      <c r="J4051" t="s">
        <v>2158</v>
      </c>
      <c r="M4051" s="49"/>
    </row>
    <row r="4052" spans="6:13" x14ac:dyDescent="0.25">
      <c r="F4052" t="s">
        <v>5140</v>
      </c>
      <c r="G4052">
        <v>24992</v>
      </c>
      <c r="H4052">
        <v>1059</v>
      </c>
      <c r="I4052" s="25" t="s">
        <v>2085</v>
      </c>
      <c r="J4052" t="s">
        <v>2354</v>
      </c>
      <c r="M4052" s="49"/>
    </row>
    <row r="4053" spans="6:13" x14ac:dyDescent="0.25">
      <c r="F4053" t="s">
        <v>5141</v>
      </c>
      <c r="G4053">
        <v>63637</v>
      </c>
      <c r="H4053">
        <v>6435</v>
      </c>
      <c r="I4053" s="25" t="s">
        <v>2046</v>
      </c>
      <c r="J4053" t="s">
        <v>2703</v>
      </c>
      <c r="M4053" s="49"/>
    </row>
    <row r="4054" spans="6:13" x14ac:dyDescent="0.25">
      <c r="F4054" t="s">
        <v>5142</v>
      </c>
      <c r="G4054">
        <v>8547</v>
      </c>
      <c r="H4054">
        <v>14523</v>
      </c>
      <c r="I4054" s="25" t="s">
        <v>2135</v>
      </c>
      <c r="J4054" t="s">
        <v>2136</v>
      </c>
      <c r="M4054" s="49"/>
    </row>
    <row r="4055" spans="6:13" x14ac:dyDescent="0.25">
      <c r="F4055" t="s">
        <v>5143</v>
      </c>
      <c r="G4055">
        <v>41363</v>
      </c>
      <c r="H4055">
        <v>5162</v>
      </c>
      <c r="I4055" s="25" t="s">
        <v>2023</v>
      </c>
      <c r="J4055" t="s">
        <v>2333</v>
      </c>
      <c r="M4055" s="49"/>
    </row>
    <row r="4056" spans="6:13" x14ac:dyDescent="0.25">
      <c r="F4056" t="s">
        <v>5144</v>
      </c>
      <c r="G4056">
        <v>26571</v>
      </c>
      <c r="H4056">
        <v>3452</v>
      </c>
      <c r="I4056" s="25" t="s">
        <v>2074</v>
      </c>
      <c r="J4056" t="s">
        <v>2034</v>
      </c>
      <c r="M4056" s="49"/>
    </row>
    <row r="4057" spans="6:13" x14ac:dyDescent="0.25">
      <c r="F4057" t="s">
        <v>5144</v>
      </c>
      <c r="G4057">
        <v>26571</v>
      </c>
      <c r="H4057">
        <v>3452</v>
      </c>
      <c r="I4057" s="25" t="s">
        <v>2074</v>
      </c>
      <c r="J4057" t="s">
        <v>2034</v>
      </c>
      <c r="M4057" s="49"/>
    </row>
    <row r="4058" spans="6:13" x14ac:dyDescent="0.25">
      <c r="F4058" t="s">
        <v>5145</v>
      </c>
      <c r="G4058">
        <v>84387</v>
      </c>
      <c r="H4058">
        <v>9277</v>
      </c>
      <c r="I4058" s="25" t="s">
        <v>2050</v>
      </c>
      <c r="J4058" t="s">
        <v>2529</v>
      </c>
      <c r="M4058" s="49"/>
    </row>
    <row r="4059" spans="6:13" x14ac:dyDescent="0.25">
      <c r="F4059" t="s">
        <v>5146</v>
      </c>
      <c r="G4059">
        <v>52428</v>
      </c>
      <c r="H4059">
        <v>5358</v>
      </c>
      <c r="I4059" s="25" t="s">
        <v>2023</v>
      </c>
      <c r="J4059" t="s">
        <v>2106</v>
      </c>
      <c r="M4059" s="49"/>
    </row>
    <row r="4060" spans="6:13" x14ac:dyDescent="0.25">
      <c r="F4060" t="s">
        <v>5147</v>
      </c>
      <c r="G4060">
        <v>72417</v>
      </c>
      <c r="H4060">
        <v>8417</v>
      </c>
      <c r="I4060" s="25" t="s">
        <v>2018</v>
      </c>
      <c r="J4060" t="s">
        <v>2269</v>
      </c>
      <c r="M4060" s="49"/>
    </row>
    <row r="4061" spans="6:13" x14ac:dyDescent="0.25">
      <c r="F4061" t="s">
        <v>5148</v>
      </c>
      <c r="G4061">
        <v>54584</v>
      </c>
      <c r="H4061">
        <v>7233</v>
      </c>
      <c r="I4061" s="25" t="s">
        <v>2123</v>
      </c>
      <c r="J4061" t="s">
        <v>2416</v>
      </c>
      <c r="M4061" s="49"/>
    </row>
    <row r="4062" spans="6:13" x14ac:dyDescent="0.25">
      <c r="F4062" t="s">
        <v>5149</v>
      </c>
      <c r="G4062">
        <v>14913</v>
      </c>
      <c r="H4062">
        <v>12072</v>
      </c>
      <c r="I4062" s="25" t="s">
        <v>2356</v>
      </c>
      <c r="J4062" t="s">
        <v>2456</v>
      </c>
      <c r="M4062" s="49"/>
    </row>
    <row r="4063" spans="6:13" x14ac:dyDescent="0.25">
      <c r="F4063" t="s">
        <v>5150</v>
      </c>
      <c r="G4063">
        <v>41564</v>
      </c>
      <c r="H4063">
        <v>5162</v>
      </c>
      <c r="I4063" s="25" t="s">
        <v>2023</v>
      </c>
      <c r="J4063" t="s">
        <v>2333</v>
      </c>
      <c r="M4063" s="49"/>
    </row>
    <row r="4064" spans="6:13" x14ac:dyDescent="0.25">
      <c r="F4064" t="s">
        <v>5151</v>
      </c>
      <c r="G4064">
        <v>6184</v>
      </c>
      <c r="H4064">
        <v>15088</v>
      </c>
      <c r="I4064" s="25" t="s">
        <v>2241</v>
      </c>
      <c r="J4064" t="s">
        <v>2344</v>
      </c>
      <c r="M4064" s="49"/>
    </row>
    <row r="4065" spans="6:13" x14ac:dyDescent="0.25">
      <c r="F4065" t="s">
        <v>5152</v>
      </c>
      <c r="G4065">
        <v>1665</v>
      </c>
      <c r="H4065">
        <v>14627</v>
      </c>
      <c r="I4065" s="25" t="s">
        <v>2135</v>
      </c>
      <c r="J4065" t="s">
        <v>2251</v>
      </c>
      <c r="M4065" s="49"/>
    </row>
    <row r="4066" spans="6:13" x14ac:dyDescent="0.25">
      <c r="F4066" t="s">
        <v>5153</v>
      </c>
      <c r="G4066">
        <v>63796</v>
      </c>
      <c r="H4066">
        <v>9671</v>
      </c>
      <c r="I4066" s="25" t="s">
        <v>2050</v>
      </c>
      <c r="J4066" t="s">
        <v>2453</v>
      </c>
      <c r="M4066" s="49"/>
    </row>
    <row r="4067" spans="6:13" x14ac:dyDescent="0.25">
      <c r="F4067" t="s">
        <v>5154</v>
      </c>
      <c r="G4067">
        <v>7768</v>
      </c>
      <c r="H4067">
        <v>16074</v>
      </c>
      <c r="I4067" s="25" t="s">
        <v>2384</v>
      </c>
      <c r="J4067" t="s">
        <v>2671</v>
      </c>
      <c r="M4067" s="49"/>
    </row>
    <row r="4068" spans="6:13" x14ac:dyDescent="0.25">
      <c r="F4068" t="s">
        <v>5155</v>
      </c>
      <c r="G4068">
        <v>73667</v>
      </c>
      <c r="H4068">
        <v>8119</v>
      </c>
      <c r="I4068" s="25" t="s">
        <v>2018</v>
      </c>
      <c r="J4068" t="s">
        <v>2287</v>
      </c>
      <c r="M4068" s="49"/>
    </row>
    <row r="4069" spans="6:13" x14ac:dyDescent="0.25">
      <c r="F4069" t="s">
        <v>5156</v>
      </c>
      <c r="G4069">
        <v>56759</v>
      </c>
      <c r="H4069">
        <v>7135</v>
      </c>
      <c r="I4069" s="25" t="s">
        <v>2123</v>
      </c>
      <c r="J4069" t="s">
        <v>2072</v>
      </c>
      <c r="M4069" s="49"/>
    </row>
    <row r="4070" spans="6:13" x14ac:dyDescent="0.25">
      <c r="F4070" t="s">
        <v>2843</v>
      </c>
      <c r="G4070">
        <v>67661</v>
      </c>
      <c r="H4070">
        <v>7312</v>
      </c>
      <c r="I4070" s="25" t="s">
        <v>2123</v>
      </c>
      <c r="J4070" t="s">
        <v>5157</v>
      </c>
      <c r="M4070" s="49"/>
    </row>
    <row r="4071" spans="6:13" x14ac:dyDescent="0.25">
      <c r="F4071" t="s">
        <v>2843</v>
      </c>
      <c r="G4071">
        <v>67657</v>
      </c>
      <c r="H4071">
        <v>7312</v>
      </c>
      <c r="I4071" s="25" t="s">
        <v>2123</v>
      </c>
      <c r="J4071" t="s">
        <v>5157</v>
      </c>
      <c r="M4071" s="49"/>
    </row>
    <row r="4072" spans="6:13" x14ac:dyDescent="0.25">
      <c r="F4072" t="s">
        <v>2843</v>
      </c>
      <c r="G4072">
        <v>67655</v>
      </c>
      <c r="H4072">
        <v>7312</v>
      </c>
      <c r="I4072" s="25" t="s">
        <v>2123</v>
      </c>
      <c r="J4072" t="s">
        <v>5157</v>
      </c>
      <c r="M4072" s="49"/>
    </row>
    <row r="4073" spans="6:13" x14ac:dyDescent="0.25">
      <c r="F4073" t="s">
        <v>2843</v>
      </c>
      <c r="G4073">
        <v>67659</v>
      </c>
      <c r="H4073">
        <v>7312</v>
      </c>
      <c r="I4073" s="25" t="s">
        <v>2123</v>
      </c>
      <c r="J4073" t="s">
        <v>5157</v>
      </c>
      <c r="M4073" s="49"/>
    </row>
    <row r="4074" spans="6:13" x14ac:dyDescent="0.25">
      <c r="F4074" t="s">
        <v>2843</v>
      </c>
      <c r="G4074">
        <v>67663</v>
      </c>
      <c r="H4074">
        <v>7312</v>
      </c>
      <c r="I4074" s="25" t="s">
        <v>2123</v>
      </c>
      <c r="J4074" t="s">
        <v>5157</v>
      </c>
      <c r="M4074" s="49"/>
    </row>
    <row r="4075" spans="6:13" x14ac:dyDescent="0.25">
      <c r="F4075" t="s">
        <v>2843</v>
      </c>
      <c r="G4075">
        <v>67661</v>
      </c>
      <c r="H4075">
        <v>7312</v>
      </c>
      <c r="I4075" s="25" t="s">
        <v>2123</v>
      </c>
      <c r="J4075" t="s">
        <v>5157</v>
      </c>
      <c r="M4075" s="49"/>
    </row>
    <row r="4076" spans="6:13" x14ac:dyDescent="0.25">
      <c r="F4076" t="s">
        <v>5158</v>
      </c>
      <c r="G4076">
        <v>86687</v>
      </c>
      <c r="H4076">
        <v>9779</v>
      </c>
      <c r="I4076" s="25" t="s">
        <v>2050</v>
      </c>
      <c r="J4076" t="s">
        <v>2280</v>
      </c>
      <c r="M4076" s="49"/>
    </row>
    <row r="4077" spans="6:13" x14ac:dyDescent="0.25">
      <c r="F4077" t="s">
        <v>5159</v>
      </c>
      <c r="G4077">
        <v>36148</v>
      </c>
      <c r="H4077">
        <v>6631</v>
      </c>
      <c r="I4077" s="25" t="s">
        <v>2046</v>
      </c>
      <c r="J4077" t="s">
        <v>2145</v>
      </c>
      <c r="M4077" s="49"/>
    </row>
    <row r="4078" spans="6:13" x14ac:dyDescent="0.25">
      <c r="F4078" t="s">
        <v>5160</v>
      </c>
      <c r="G4078">
        <v>39624</v>
      </c>
      <c r="H4078">
        <v>15081</v>
      </c>
      <c r="I4078" s="25" t="s">
        <v>2241</v>
      </c>
      <c r="J4078" t="s">
        <v>2028</v>
      </c>
      <c r="M4078" s="49"/>
    </row>
    <row r="4079" spans="6:13" x14ac:dyDescent="0.25">
      <c r="F4079" t="s">
        <v>5161</v>
      </c>
      <c r="G4079">
        <v>37589</v>
      </c>
      <c r="H4079">
        <v>3155</v>
      </c>
      <c r="I4079" s="25" t="s">
        <v>2074</v>
      </c>
      <c r="J4079" t="s">
        <v>2653</v>
      </c>
      <c r="M4079" s="49"/>
    </row>
    <row r="4080" spans="6:13" x14ac:dyDescent="0.25">
      <c r="F4080" t="s">
        <v>5162</v>
      </c>
      <c r="G4080">
        <v>47546</v>
      </c>
      <c r="H4080">
        <v>5154</v>
      </c>
      <c r="I4080" s="25" t="s">
        <v>2023</v>
      </c>
      <c r="J4080" t="s">
        <v>2214</v>
      </c>
      <c r="M4080" s="49"/>
    </row>
    <row r="4081" spans="6:13" x14ac:dyDescent="0.25">
      <c r="F4081" t="s">
        <v>5163</v>
      </c>
      <c r="G4081">
        <v>53925</v>
      </c>
      <c r="H4081">
        <v>5366</v>
      </c>
      <c r="I4081" s="25" t="s">
        <v>2023</v>
      </c>
      <c r="J4081" t="s">
        <v>2127</v>
      </c>
      <c r="M4081" s="49"/>
    </row>
    <row r="4082" spans="6:13" x14ac:dyDescent="0.25">
      <c r="F4082" t="s">
        <v>5164</v>
      </c>
      <c r="G4082">
        <v>32689</v>
      </c>
      <c r="H4082">
        <v>5766</v>
      </c>
      <c r="I4082" s="25" t="s">
        <v>2023</v>
      </c>
      <c r="J4082" t="s">
        <v>2223</v>
      </c>
      <c r="M4082" s="49"/>
    </row>
    <row r="4083" spans="6:13" x14ac:dyDescent="0.25">
      <c r="F4083" t="s">
        <v>5165</v>
      </c>
      <c r="G4083">
        <v>93183</v>
      </c>
      <c r="H4083">
        <v>9375</v>
      </c>
      <c r="I4083" s="25" t="s">
        <v>2050</v>
      </c>
      <c r="J4083" t="s">
        <v>2365</v>
      </c>
      <c r="M4083" s="49"/>
    </row>
    <row r="4084" spans="6:13" x14ac:dyDescent="0.25">
      <c r="F4084" t="s">
        <v>5166</v>
      </c>
      <c r="G4084">
        <v>67169</v>
      </c>
      <c r="H4084">
        <v>7332</v>
      </c>
      <c r="I4084" s="25" t="s">
        <v>2123</v>
      </c>
      <c r="J4084" t="s">
        <v>2440</v>
      </c>
      <c r="M4084" s="49"/>
    </row>
    <row r="4085" spans="6:13" x14ac:dyDescent="0.25">
      <c r="F4085" t="s">
        <v>5167</v>
      </c>
      <c r="G4085">
        <v>92700</v>
      </c>
      <c r="H4085">
        <v>9374</v>
      </c>
      <c r="I4085" s="25" t="s">
        <v>2050</v>
      </c>
      <c r="J4085" t="s">
        <v>2420</v>
      </c>
      <c r="M4085" s="49"/>
    </row>
    <row r="4086" spans="6:13" x14ac:dyDescent="0.25">
      <c r="F4086" t="s">
        <v>5168</v>
      </c>
      <c r="G4086">
        <v>24568</v>
      </c>
      <c r="H4086">
        <v>1060</v>
      </c>
      <c r="I4086" s="25" t="s">
        <v>2085</v>
      </c>
      <c r="J4086" t="s">
        <v>2363</v>
      </c>
      <c r="M4086" s="49"/>
    </row>
    <row r="4087" spans="6:13" x14ac:dyDescent="0.25">
      <c r="F4087" t="s">
        <v>5169</v>
      </c>
      <c r="G4087">
        <v>36452</v>
      </c>
      <c r="H4087">
        <v>16063</v>
      </c>
      <c r="I4087" s="25" t="s">
        <v>2384</v>
      </c>
      <c r="J4087" t="s">
        <v>2687</v>
      </c>
      <c r="M4087" s="49"/>
    </row>
    <row r="4088" spans="6:13" x14ac:dyDescent="0.25">
      <c r="F4088" t="s">
        <v>5169</v>
      </c>
      <c r="G4088">
        <v>36452</v>
      </c>
      <c r="H4088">
        <v>16066</v>
      </c>
      <c r="I4088" s="25" t="s">
        <v>2384</v>
      </c>
      <c r="J4088" t="s">
        <v>2358</v>
      </c>
      <c r="M4088" s="49"/>
    </row>
    <row r="4089" spans="6:13" x14ac:dyDescent="0.25">
      <c r="F4089" t="s">
        <v>5170</v>
      </c>
      <c r="G4089">
        <v>87662</v>
      </c>
      <c r="H4089">
        <v>9777</v>
      </c>
      <c r="I4089" s="25" t="s">
        <v>2050</v>
      </c>
      <c r="J4089" t="s">
        <v>2237</v>
      </c>
      <c r="M4089" s="49"/>
    </row>
    <row r="4090" spans="6:13" x14ac:dyDescent="0.25">
      <c r="F4090" t="s">
        <v>5171</v>
      </c>
      <c r="G4090">
        <v>59174</v>
      </c>
      <c r="H4090">
        <v>5978</v>
      </c>
      <c r="I4090" s="25" t="s">
        <v>2023</v>
      </c>
      <c r="J4090" t="s">
        <v>2402</v>
      </c>
      <c r="M4090" s="49"/>
    </row>
    <row r="4091" spans="6:13" x14ac:dyDescent="0.25">
      <c r="F4091" t="s">
        <v>5172</v>
      </c>
      <c r="G4091">
        <v>1917</v>
      </c>
      <c r="H4091">
        <v>14625</v>
      </c>
      <c r="I4091" s="25" t="s">
        <v>2135</v>
      </c>
      <c r="J4091" t="s">
        <v>2041</v>
      </c>
      <c r="M4091" s="49"/>
    </row>
    <row r="4092" spans="6:13" x14ac:dyDescent="0.25">
      <c r="F4092" t="s">
        <v>5173</v>
      </c>
      <c r="G4092">
        <v>89358</v>
      </c>
      <c r="H4092">
        <v>9774</v>
      </c>
      <c r="I4092" s="25" t="s">
        <v>2050</v>
      </c>
      <c r="J4092" t="s">
        <v>2205</v>
      </c>
      <c r="M4092" s="49"/>
    </row>
    <row r="4093" spans="6:13" x14ac:dyDescent="0.25">
      <c r="F4093" t="s">
        <v>5174</v>
      </c>
      <c r="G4093">
        <v>87754</v>
      </c>
      <c r="H4093">
        <v>9778</v>
      </c>
      <c r="I4093" s="25" t="s">
        <v>2050</v>
      </c>
      <c r="J4093" t="s">
        <v>2460</v>
      </c>
      <c r="M4093" s="49"/>
    </row>
    <row r="4094" spans="6:13" x14ac:dyDescent="0.25">
      <c r="F4094" t="s">
        <v>5175</v>
      </c>
      <c r="G4094">
        <v>56341</v>
      </c>
      <c r="H4094">
        <v>7141</v>
      </c>
      <c r="I4094" s="25" t="s">
        <v>2123</v>
      </c>
      <c r="J4094" t="s">
        <v>2388</v>
      </c>
      <c r="M4094" s="49"/>
    </row>
    <row r="4095" spans="6:13" x14ac:dyDescent="0.25">
      <c r="F4095" t="s">
        <v>5176</v>
      </c>
      <c r="G4095">
        <v>25999</v>
      </c>
      <c r="H4095">
        <v>1054</v>
      </c>
      <c r="I4095" s="25" t="s">
        <v>2085</v>
      </c>
      <c r="J4095" t="s">
        <v>2195</v>
      </c>
      <c r="M4095" s="49"/>
    </row>
    <row r="4096" spans="6:13" x14ac:dyDescent="0.25">
      <c r="F4096" t="s">
        <v>5177</v>
      </c>
      <c r="G4096">
        <v>75236</v>
      </c>
      <c r="H4096">
        <v>8236</v>
      </c>
      <c r="I4096" s="25" t="s">
        <v>2018</v>
      </c>
      <c r="J4096" t="s">
        <v>3087</v>
      </c>
      <c r="M4096" s="49"/>
    </row>
    <row r="4097" spans="6:13" x14ac:dyDescent="0.25">
      <c r="F4097" t="s">
        <v>5178</v>
      </c>
      <c r="G4097">
        <v>47475</v>
      </c>
      <c r="H4097">
        <v>5170</v>
      </c>
      <c r="I4097" s="25" t="s">
        <v>2023</v>
      </c>
      <c r="J4097" t="s">
        <v>2328</v>
      </c>
      <c r="M4097" s="49"/>
    </row>
    <row r="4098" spans="6:13" x14ac:dyDescent="0.25">
      <c r="F4098" t="s">
        <v>5179</v>
      </c>
      <c r="G4098">
        <v>76870</v>
      </c>
      <c r="H4098">
        <v>7334</v>
      </c>
      <c r="I4098" s="25" t="s">
        <v>2123</v>
      </c>
      <c r="J4098" t="s">
        <v>2873</v>
      </c>
      <c r="M4098" s="49"/>
    </row>
    <row r="4099" spans="6:13" x14ac:dyDescent="0.25">
      <c r="F4099" t="s">
        <v>5180</v>
      </c>
      <c r="G4099">
        <v>79400</v>
      </c>
      <c r="H4099">
        <v>8336</v>
      </c>
      <c r="I4099" s="25" t="s">
        <v>2018</v>
      </c>
      <c r="J4099" t="s">
        <v>2227</v>
      </c>
      <c r="M4099" s="49"/>
    </row>
    <row r="4100" spans="6:13" x14ac:dyDescent="0.25">
      <c r="F4100" t="s">
        <v>5181</v>
      </c>
      <c r="G4100">
        <v>77966</v>
      </c>
      <c r="H4100">
        <v>8317</v>
      </c>
      <c r="I4100" s="25" t="s">
        <v>2018</v>
      </c>
      <c r="J4100" t="s">
        <v>2071</v>
      </c>
      <c r="M4100" s="49"/>
    </row>
    <row r="4101" spans="6:13" x14ac:dyDescent="0.25">
      <c r="F4101" t="s">
        <v>5182</v>
      </c>
      <c r="G4101">
        <v>24376</v>
      </c>
      <c r="H4101">
        <v>1059</v>
      </c>
      <c r="I4101" s="25" t="s">
        <v>2085</v>
      </c>
      <c r="J4101" t="s">
        <v>2354</v>
      </c>
      <c r="M4101" s="49"/>
    </row>
    <row r="4102" spans="6:13" x14ac:dyDescent="0.25">
      <c r="F4102" t="s">
        <v>5183</v>
      </c>
      <c r="G4102">
        <v>77876</v>
      </c>
      <c r="H4102">
        <v>8317</v>
      </c>
      <c r="I4102" s="25" t="s">
        <v>2018</v>
      </c>
      <c r="J4102" t="s">
        <v>2071</v>
      </c>
      <c r="M4102" s="49"/>
    </row>
    <row r="4103" spans="6:13" x14ac:dyDescent="0.25">
      <c r="F4103" t="s">
        <v>5184</v>
      </c>
      <c r="G4103">
        <v>97842</v>
      </c>
      <c r="H4103">
        <v>9677</v>
      </c>
      <c r="I4103" s="25" t="s">
        <v>2050</v>
      </c>
      <c r="J4103" t="s">
        <v>2527</v>
      </c>
      <c r="M4103" s="49"/>
    </row>
    <row r="4104" spans="6:13" x14ac:dyDescent="0.25">
      <c r="F4104" t="s">
        <v>5185</v>
      </c>
      <c r="G4104">
        <v>61184</v>
      </c>
      <c r="H4104">
        <v>6440</v>
      </c>
      <c r="I4104" s="25" t="s">
        <v>2046</v>
      </c>
      <c r="J4104" t="s">
        <v>2415</v>
      </c>
      <c r="M4104" s="49"/>
    </row>
    <row r="4105" spans="6:13" x14ac:dyDescent="0.25">
      <c r="F4105" t="s">
        <v>5186</v>
      </c>
      <c r="G4105">
        <v>76307</v>
      </c>
      <c r="H4105">
        <v>8215</v>
      </c>
      <c r="I4105" s="25" t="s">
        <v>2018</v>
      </c>
      <c r="J4105" t="s">
        <v>2724</v>
      </c>
      <c r="M4105" s="49"/>
    </row>
    <row r="4106" spans="6:13" x14ac:dyDescent="0.25">
      <c r="F4106" t="s">
        <v>5187</v>
      </c>
      <c r="G4106">
        <v>17495</v>
      </c>
      <c r="H4106">
        <v>13075</v>
      </c>
      <c r="I4106" s="25" t="s">
        <v>2191</v>
      </c>
      <c r="J4106" t="s">
        <v>2160</v>
      </c>
      <c r="M4106" s="49"/>
    </row>
    <row r="4107" spans="6:13" x14ac:dyDescent="0.25">
      <c r="F4107" t="s">
        <v>5188</v>
      </c>
      <c r="G4107">
        <v>76689</v>
      </c>
      <c r="H4107">
        <v>8215</v>
      </c>
      <c r="I4107" s="25" t="s">
        <v>2018</v>
      </c>
      <c r="J4107" t="s">
        <v>2724</v>
      </c>
      <c r="M4107" s="49"/>
    </row>
    <row r="4108" spans="6:13" x14ac:dyDescent="0.25">
      <c r="F4108" t="s">
        <v>5189</v>
      </c>
      <c r="G4108">
        <v>85757</v>
      </c>
      <c r="H4108">
        <v>9174</v>
      </c>
      <c r="I4108" s="25" t="s">
        <v>2050</v>
      </c>
      <c r="J4108" t="s">
        <v>2445</v>
      </c>
      <c r="M4108" s="49"/>
    </row>
    <row r="4109" spans="6:13" x14ac:dyDescent="0.25">
      <c r="F4109" t="s">
        <v>5190</v>
      </c>
      <c r="G4109">
        <v>17449</v>
      </c>
      <c r="H4109">
        <v>13075</v>
      </c>
      <c r="I4109" s="25" t="s">
        <v>2191</v>
      </c>
      <c r="J4109" t="s">
        <v>2160</v>
      </c>
      <c r="M4109" s="49"/>
    </row>
    <row r="4110" spans="6:13" x14ac:dyDescent="0.25">
      <c r="F4110" t="s">
        <v>5190</v>
      </c>
      <c r="G4110">
        <v>17449</v>
      </c>
      <c r="H4110">
        <v>13075</v>
      </c>
      <c r="I4110" s="25" t="s">
        <v>2191</v>
      </c>
      <c r="J4110" t="s">
        <v>2160</v>
      </c>
      <c r="M4110" s="49"/>
    </row>
    <row r="4111" spans="6:13" x14ac:dyDescent="0.25">
      <c r="F4111" t="s">
        <v>5190</v>
      </c>
      <c r="G4111">
        <v>17449</v>
      </c>
      <c r="H4111">
        <v>13075</v>
      </c>
      <c r="I4111" s="25" t="s">
        <v>2191</v>
      </c>
      <c r="J4111" t="s">
        <v>2160</v>
      </c>
      <c r="M4111" s="49"/>
    </row>
    <row r="4112" spans="6:13" x14ac:dyDescent="0.25">
      <c r="F4112" t="s">
        <v>5190</v>
      </c>
      <c r="G4112">
        <v>17449</v>
      </c>
      <c r="H4112">
        <v>13075</v>
      </c>
      <c r="I4112" s="25" t="s">
        <v>2191</v>
      </c>
      <c r="J4112" t="s">
        <v>2160</v>
      </c>
      <c r="M4112" s="49"/>
    </row>
    <row r="4113" spans="6:13" x14ac:dyDescent="0.25">
      <c r="F4113" t="s">
        <v>5190</v>
      </c>
      <c r="G4113">
        <v>17449</v>
      </c>
      <c r="H4113">
        <v>13075</v>
      </c>
      <c r="I4113" s="25" t="s">
        <v>2191</v>
      </c>
      <c r="J4113" t="s">
        <v>2160</v>
      </c>
      <c r="M4113" s="49"/>
    </row>
    <row r="4114" spans="6:13" x14ac:dyDescent="0.25">
      <c r="F4114" t="s">
        <v>5190</v>
      </c>
      <c r="G4114">
        <v>17449</v>
      </c>
      <c r="H4114">
        <v>13075</v>
      </c>
      <c r="I4114" s="25" t="s">
        <v>2191</v>
      </c>
      <c r="J4114" t="s">
        <v>2160</v>
      </c>
      <c r="M4114" s="49"/>
    </row>
    <row r="4115" spans="6:13" x14ac:dyDescent="0.25">
      <c r="F4115" t="s">
        <v>5190</v>
      </c>
      <c r="G4115">
        <v>17449</v>
      </c>
      <c r="H4115">
        <v>13075</v>
      </c>
      <c r="I4115" s="25" t="s">
        <v>2191</v>
      </c>
      <c r="J4115" t="s">
        <v>2160</v>
      </c>
      <c r="M4115" s="49"/>
    </row>
    <row r="4116" spans="6:13" x14ac:dyDescent="0.25">
      <c r="F4116" t="s">
        <v>5191</v>
      </c>
      <c r="G4116">
        <v>86668</v>
      </c>
      <c r="H4116">
        <v>9185</v>
      </c>
      <c r="I4116" s="25" t="s">
        <v>2050</v>
      </c>
      <c r="J4116" t="s">
        <v>2515</v>
      </c>
      <c r="M4116" s="49"/>
    </row>
    <row r="4117" spans="6:13" x14ac:dyDescent="0.25">
      <c r="F4117" t="s">
        <v>5192</v>
      </c>
      <c r="G4117">
        <v>85123</v>
      </c>
      <c r="H4117">
        <v>9185</v>
      </c>
      <c r="I4117" s="25" t="s">
        <v>2050</v>
      </c>
      <c r="J4117" t="s">
        <v>2515</v>
      </c>
      <c r="M4117" s="49"/>
    </row>
    <row r="4118" spans="6:13" x14ac:dyDescent="0.25">
      <c r="F4118" t="s">
        <v>2724</v>
      </c>
      <c r="G4118">
        <v>76189</v>
      </c>
      <c r="H4118">
        <v>8212</v>
      </c>
      <c r="I4118" s="25" t="s">
        <v>2018</v>
      </c>
      <c r="J4118" t="s">
        <v>5193</v>
      </c>
      <c r="M4118" s="49"/>
    </row>
    <row r="4119" spans="6:13" x14ac:dyDescent="0.25">
      <c r="F4119" t="s">
        <v>2724</v>
      </c>
      <c r="G4119">
        <v>76131</v>
      </c>
      <c r="H4119">
        <v>8212</v>
      </c>
      <c r="I4119" s="25" t="s">
        <v>2018</v>
      </c>
      <c r="J4119" t="s">
        <v>5193</v>
      </c>
      <c r="M4119" s="49"/>
    </row>
    <row r="4120" spans="6:13" x14ac:dyDescent="0.25">
      <c r="F4120" t="s">
        <v>2724</v>
      </c>
      <c r="G4120">
        <v>76139</v>
      </c>
      <c r="H4120">
        <v>8212</v>
      </c>
      <c r="I4120" s="25" t="s">
        <v>2018</v>
      </c>
      <c r="J4120" t="s">
        <v>5193</v>
      </c>
      <c r="M4120" s="49"/>
    </row>
    <row r="4121" spans="6:13" x14ac:dyDescent="0.25">
      <c r="F4121" t="s">
        <v>2724</v>
      </c>
      <c r="G4121">
        <v>76227</v>
      </c>
      <c r="H4121">
        <v>8212</v>
      </c>
      <c r="I4121" s="25" t="s">
        <v>2018</v>
      </c>
      <c r="J4121" t="s">
        <v>5193</v>
      </c>
      <c r="M4121" s="49"/>
    </row>
    <row r="4122" spans="6:13" x14ac:dyDescent="0.25">
      <c r="F4122" t="s">
        <v>2724</v>
      </c>
      <c r="G4122">
        <v>76135</v>
      </c>
      <c r="H4122">
        <v>8212</v>
      </c>
      <c r="I4122" s="25" t="s">
        <v>2018</v>
      </c>
      <c r="J4122" t="s">
        <v>5193</v>
      </c>
      <c r="M4122" s="49"/>
    </row>
    <row r="4123" spans="6:13" x14ac:dyDescent="0.25">
      <c r="F4123" t="s">
        <v>2724</v>
      </c>
      <c r="G4123">
        <v>76199</v>
      </c>
      <c r="H4123">
        <v>8212</v>
      </c>
      <c r="I4123" s="25" t="s">
        <v>2018</v>
      </c>
      <c r="J4123" t="s">
        <v>5193</v>
      </c>
      <c r="M4123" s="49"/>
    </row>
    <row r="4124" spans="6:13" x14ac:dyDescent="0.25">
      <c r="F4124" t="s">
        <v>2724</v>
      </c>
      <c r="G4124">
        <v>76137</v>
      </c>
      <c r="H4124">
        <v>8212</v>
      </c>
      <c r="I4124" s="25" t="s">
        <v>2018</v>
      </c>
      <c r="J4124" t="s">
        <v>5193</v>
      </c>
      <c r="M4124" s="49"/>
    </row>
    <row r="4125" spans="6:13" x14ac:dyDescent="0.25">
      <c r="F4125" t="s">
        <v>2724</v>
      </c>
      <c r="G4125">
        <v>76185</v>
      </c>
      <c r="H4125">
        <v>8212</v>
      </c>
      <c r="I4125" s="25" t="s">
        <v>2018</v>
      </c>
      <c r="J4125" t="s">
        <v>5193</v>
      </c>
      <c r="M4125" s="49"/>
    </row>
    <row r="4126" spans="6:13" x14ac:dyDescent="0.25">
      <c r="F4126" t="s">
        <v>2724</v>
      </c>
      <c r="G4126">
        <v>76187</v>
      </c>
      <c r="H4126">
        <v>8212</v>
      </c>
      <c r="I4126" s="25" t="s">
        <v>2018</v>
      </c>
      <c r="J4126" t="s">
        <v>5193</v>
      </c>
      <c r="M4126" s="49"/>
    </row>
    <row r="4127" spans="6:13" x14ac:dyDescent="0.25">
      <c r="F4127" t="s">
        <v>2724</v>
      </c>
      <c r="G4127">
        <v>76149</v>
      </c>
      <c r="H4127">
        <v>8212</v>
      </c>
      <c r="I4127" s="25" t="s">
        <v>2018</v>
      </c>
      <c r="J4127" t="s">
        <v>5193</v>
      </c>
      <c r="M4127" s="49"/>
    </row>
    <row r="4128" spans="6:13" x14ac:dyDescent="0.25">
      <c r="F4128" t="s">
        <v>2724</v>
      </c>
      <c r="G4128">
        <v>76228</v>
      </c>
      <c r="H4128">
        <v>8212</v>
      </c>
      <c r="I4128" s="25" t="s">
        <v>2018</v>
      </c>
      <c r="J4128" t="s">
        <v>5193</v>
      </c>
      <c r="M4128" s="49"/>
    </row>
    <row r="4129" spans="6:13" x14ac:dyDescent="0.25">
      <c r="F4129" t="s">
        <v>2724</v>
      </c>
      <c r="G4129">
        <v>76229</v>
      </c>
      <c r="H4129">
        <v>8212</v>
      </c>
      <c r="I4129" s="25" t="s">
        <v>2018</v>
      </c>
      <c r="J4129" t="s">
        <v>5193</v>
      </c>
      <c r="M4129" s="49"/>
    </row>
    <row r="4130" spans="6:13" x14ac:dyDescent="0.25">
      <c r="F4130" t="s">
        <v>2724</v>
      </c>
      <c r="G4130">
        <v>76133</v>
      </c>
      <c r="H4130">
        <v>8212</v>
      </c>
      <c r="I4130" s="25" t="s">
        <v>2018</v>
      </c>
      <c r="J4130" t="s">
        <v>5193</v>
      </c>
      <c r="M4130" s="49"/>
    </row>
    <row r="4131" spans="6:13" x14ac:dyDescent="0.25">
      <c r="F4131" t="s">
        <v>5194</v>
      </c>
      <c r="G4131">
        <v>97753</v>
      </c>
      <c r="H4131">
        <v>9677</v>
      </c>
      <c r="I4131" s="25" t="s">
        <v>2050</v>
      </c>
      <c r="J4131" t="s">
        <v>2527</v>
      </c>
      <c r="M4131" s="49"/>
    </row>
    <row r="4132" spans="6:13" x14ac:dyDescent="0.25">
      <c r="F4132" t="s">
        <v>5195</v>
      </c>
      <c r="G4132">
        <v>63791</v>
      </c>
      <c r="H4132">
        <v>9671</v>
      </c>
      <c r="I4132" s="25" t="s">
        <v>2050</v>
      </c>
      <c r="J4132" t="s">
        <v>2453</v>
      </c>
      <c r="M4132" s="49"/>
    </row>
    <row r="4133" spans="6:13" x14ac:dyDescent="0.25">
      <c r="F4133" t="s">
        <v>5196</v>
      </c>
      <c r="G4133">
        <v>97783</v>
      </c>
      <c r="H4133">
        <v>9677</v>
      </c>
      <c r="I4133" s="25" t="s">
        <v>2050</v>
      </c>
      <c r="J4133" t="s">
        <v>2527</v>
      </c>
      <c r="M4133" s="49"/>
    </row>
    <row r="4134" spans="6:13" x14ac:dyDescent="0.25">
      <c r="F4134" t="s">
        <v>5197</v>
      </c>
      <c r="G4134">
        <v>6638</v>
      </c>
      <c r="H4134">
        <v>15084</v>
      </c>
      <c r="I4134" s="25" t="s">
        <v>2241</v>
      </c>
      <c r="J4134" t="s">
        <v>2615</v>
      </c>
      <c r="M4134" s="49"/>
    </row>
    <row r="4135" spans="6:13" x14ac:dyDescent="0.25">
      <c r="F4135" t="s">
        <v>5198</v>
      </c>
      <c r="G4135">
        <v>19357</v>
      </c>
      <c r="H4135">
        <v>12070</v>
      </c>
      <c r="I4135" s="25" t="s">
        <v>2356</v>
      </c>
      <c r="J4135" t="s">
        <v>2316</v>
      </c>
      <c r="M4135" s="49"/>
    </row>
    <row r="4136" spans="6:13" x14ac:dyDescent="0.25">
      <c r="F4136" t="s">
        <v>5198</v>
      </c>
      <c r="G4136">
        <v>19357</v>
      </c>
      <c r="H4136">
        <v>13076</v>
      </c>
      <c r="I4136" s="25" t="s">
        <v>2191</v>
      </c>
      <c r="J4136" t="s">
        <v>2234</v>
      </c>
      <c r="M4136" s="49"/>
    </row>
    <row r="4137" spans="6:13" x14ac:dyDescent="0.25">
      <c r="F4137" t="s">
        <v>5199</v>
      </c>
      <c r="G4137">
        <v>29481</v>
      </c>
      <c r="H4137">
        <v>3354</v>
      </c>
      <c r="I4137" s="25" t="s">
        <v>2074</v>
      </c>
      <c r="J4137" t="s">
        <v>2232</v>
      </c>
      <c r="M4137" s="49"/>
    </row>
    <row r="4138" spans="6:13" x14ac:dyDescent="0.25">
      <c r="F4138" t="s">
        <v>5200</v>
      </c>
      <c r="G4138">
        <v>95359</v>
      </c>
      <c r="H4138">
        <v>9477</v>
      </c>
      <c r="I4138" s="25" t="s">
        <v>2050</v>
      </c>
      <c r="J4138" t="s">
        <v>4385</v>
      </c>
      <c r="M4138" s="49"/>
    </row>
    <row r="4139" spans="6:13" x14ac:dyDescent="0.25">
      <c r="F4139" t="s">
        <v>5201</v>
      </c>
      <c r="G4139">
        <v>23717</v>
      </c>
      <c r="H4139">
        <v>1055</v>
      </c>
      <c r="I4139" s="25" t="s">
        <v>2085</v>
      </c>
      <c r="J4139" t="s">
        <v>2185</v>
      </c>
      <c r="M4139" s="49"/>
    </row>
    <row r="4140" spans="6:13" x14ac:dyDescent="0.25">
      <c r="F4140" t="s">
        <v>2162</v>
      </c>
      <c r="G4140">
        <v>34119</v>
      </c>
      <c r="H4140">
        <v>6611</v>
      </c>
      <c r="I4140" s="25" t="s">
        <v>2046</v>
      </c>
      <c r="J4140" t="s">
        <v>5202</v>
      </c>
      <c r="M4140" s="49"/>
    </row>
    <row r="4141" spans="6:13" x14ac:dyDescent="0.25">
      <c r="F4141" t="s">
        <v>2162</v>
      </c>
      <c r="G4141">
        <v>34132</v>
      </c>
      <c r="H4141">
        <v>6611</v>
      </c>
      <c r="I4141" s="25" t="s">
        <v>2046</v>
      </c>
      <c r="J4141" t="s">
        <v>5202</v>
      </c>
      <c r="M4141" s="49"/>
    </row>
    <row r="4142" spans="6:13" x14ac:dyDescent="0.25">
      <c r="F4142" t="s">
        <v>2162</v>
      </c>
      <c r="G4142">
        <v>34134</v>
      </c>
      <c r="H4142">
        <v>6611</v>
      </c>
      <c r="I4142" s="25" t="s">
        <v>2046</v>
      </c>
      <c r="J4142" t="s">
        <v>5202</v>
      </c>
      <c r="M4142" s="49"/>
    </row>
    <row r="4143" spans="6:13" x14ac:dyDescent="0.25">
      <c r="F4143" t="s">
        <v>2162</v>
      </c>
      <c r="G4143">
        <v>34123</v>
      </c>
      <c r="H4143">
        <v>6611</v>
      </c>
      <c r="I4143" s="25" t="s">
        <v>2046</v>
      </c>
      <c r="J4143" t="s">
        <v>5202</v>
      </c>
      <c r="M4143" s="49"/>
    </row>
    <row r="4144" spans="6:13" x14ac:dyDescent="0.25">
      <c r="F4144" t="s">
        <v>2162</v>
      </c>
      <c r="G4144">
        <v>34121</v>
      </c>
      <c r="H4144">
        <v>6611</v>
      </c>
      <c r="I4144" s="25" t="s">
        <v>2046</v>
      </c>
      <c r="J4144" t="s">
        <v>5202</v>
      </c>
      <c r="M4144" s="49"/>
    </row>
    <row r="4145" spans="6:13" x14ac:dyDescent="0.25">
      <c r="F4145" t="s">
        <v>2162</v>
      </c>
      <c r="G4145">
        <v>34127</v>
      </c>
      <c r="H4145">
        <v>6611</v>
      </c>
      <c r="I4145" s="25" t="s">
        <v>2046</v>
      </c>
      <c r="J4145" t="s">
        <v>5202</v>
      </c>
      <c r="M4145" s="49"/>
    </row>
    <row r="4146" spans="6:13" x14ac:dyDescent="0.25">
      <c r="F4146" t="s">
        <v>2162</v>
      </c>
      <c r="G4146">
        <v>34131</v>
      </c>
      <c r="H4146">
        <v>6611</v>
      </c>
      <c r="I4146" s="25" t="s">
        <v>2046</v>
      </c>
      <c r="J4146" t="s">
        <v>5202</v>
      </c>
      <c r="M4146" s="49"/>
    </row>
    <row r="4147" spans="6:13" x14ac:dyDescent="0.25">
      <c r="F4147" t="s">
        <v>2162</v>
      </c>
      <c r="G4147">
        <v>34128</v>
      </c>
      <c r="H4147">
        <v>6611</v>
      </c>
      <c r="I4147" s="25" t="s">
        <v>2046</v>
      </c>
      <c r="J4147" t="s">
        <v>5202</v>
      </c>
      <c r="M4147" s="49"/>
    </row>
    <row r="4148" spans="6:13" x14ac:dyDescent="0.25">
      <c r="F4148" t="s">
        <v>2162</v>
      </c>
      <c r="G4148">
        <v>34130</v>
      </c>
      <c r="H4148">
        <v>6611</v>
      </c>
      <c r="I4148" s="25" t="s">
        <v>2046</v>
      </c>
      <c r="J4148" t="s">
        <v>5202</v>
      </c>
      <c r="M4148" s="49"/>
    </row>
    <row r="4149" spans="6:13" x14ac:dyDescent="0.25">
      <c r="F4149" t="s">
        <v>2162</v>
      </c>
      <c r="G4149">
        <v>34125</v>
      </c>
      <c r="H4149">
        <v>6611</v>
      </c>
      <c r="I4149" s="25" t="s">
        <v>2046</v>
      </c>
      <c r="J4149" t="s">
        <v>5202</v>
      </c>
      <c r="M4149" s="49"/>
    </row>
    <row r="4150" spans="6:13" x14ac:dyDescent="0.25">
      <c r="F4150" t="s">
        <v>2162</v>
      </c>
      <c r="G4150">
        <v>34117</v>
      </c>
      <c r="H4150">
        <v>6611</v>
      </c>
      <c r="I4150" s="25" t="s">
        <v>2046</v>
      </c>
      <c r="J4150" t="s">
        <v>5202</v>
      </c>
      <c r="M4150" s="49"/>
    </row>
    <row r="4151" spans="6:13" x14ac:dyDescent="0.25">
      <c r="F4151" t="s">
        <v>2162</v>
      </c>
      <c r="G4151">
        <v>34127</v>
      </c>
      <c r="H4151">
        <v>6633</v>
      </c>
      <c r="I4151" s="25" t="s">
        <v>2046</v>
      </c>
      <c r="J4151" t="s">
        <v>2162</v>
      </c>
      <c r="M4151" s="49"/>
    </row>
    <row r="4152" spans="6:13" x14ac:dyDescent="0.25">
      <c r="F4152" t="s">
        <v>5203</v>
      </c>
      <c r="G4152">
        <v>34233</v>
      </c>
      <c r="H4152">
        <v>6611</v>
      </c>
      <c r="I4152" s="25" t="s">
        <v>2046</v>
      </c>
      <c r="J4152" t="s">
        <v>5202</v>
      </c>
      <c r="M4152" s="49"/>
    </row>
    <row r="4153" spans="6:13" x14ac:dyDescent="0.25">
      <c r="F4153" t="s">
        <v>5203</v>
      </c>
      <c r="G4153">
        <v>34233</v>
      </c>
      <c r="H4153">
        <v>6633</v>
      </c>
      <c r="I4153" s="25" t="s">
        <v>2046</v>
      </c>
      <c r="J4153" t="s">
        <v>2162</v>
      </c>
      <c r="M4153" s="49"/>
    </row>
    <row r="4154" spans="6:13" x14ac:dyDescent="0.25">
      <c r="F4154" t="s">
        <v>5204</v>
      </c>
      <c r="G4154">
        <v>56288</v>
      </c>
      <c r="H4154">
        <v>7140</v>
      </c>
      <c r="I4154" s="25" t="s">
        <v>2123</v>
      </c>
      <c r="J4154" t="s">
        <v>2329</v>
      </c>
      <c r="M4154" s="49"/>
    </row>
    <row r="4155" spans="6:13" x14ac:dyDescent="0.25">
      <c r="F4155" t="s">
        <v>5204</v>
      </c>
      <c r="G4155">
        <v>56288</v>
      </c>
      <c r="H4155">
        <v>7140</v>
      </c>
      <c r="I4155" s="25" t="s">
        <v>2123</v>
      </c>
      <c r="J4155" t="s">
        <v>2329</v>
      </c>
      <c r="M4155" s="49"/>
    </row>
    <row r="4156" spans="6:13" x14ac:dyDescent="0.25">
      <c r="F4156" t="s">
        <v>5204</v>
      </c>
      <c r="G4156">
        <v>56288</v>
      </c>
      <c r="H4156">
        <v>7140</v>
      </c>
      <c r="I4156" s="25" t="s">
        <v>2123</v>
      </c>
      <c r="J4156" t="s">
        <v>2329</v>
      </c>
      <c r="M4156" s="49"/>
    </row>
    <row r="4157" spans="6:13" x14ac:dyDescent="0.25">
      <c r="F4157" t="s">
        <v>5205</v>
      </c>
      <c r="G4157">
        <v>84556</v>
      </c>
      <c r="H4157">
        <v>9171</v>
      </c>
      <c r="I4157" s="25" t="s">
        <v>2050</v>
      </c>
      <c r="J4157" t="s">
        <v>2446</v>
      </c>
      <c r="M4157" s="49"/>
    </row>
    <row r="4158" spans="6:13" x14ac:dyDescent="0.25">
      <c r="F4158" t="s">
        <v>5205</v>
      </c>
      <c r="G4158">
        <v>92280</v>
      </c>
      <c r="H4158">
        <v>9371</v>
      </c>
      <c r="I4158" s="25" t="s">
        <v>2050</v>
      </c>
      <c r="J4158" t="s">
        <v>2469</v>
      </c>
      <c r="M4158" s="49"/>
    </row>
    <row r="4159" spans="6:13" x14ac:dyDescent="0.25">
      <c r="F4159" t="s">
        <v>5205</v>
      </c>
      <c r="G4159">
        <v>95506</v>
      </c>
      <c r="H4159">
        <v>9377</v>
      </c>
      <c r="I4159" s="25" t="s">
        <v>2050</v>
      </c>
      <c r="J4159" t="s">
        <v>2393</v>
      </c>
      <c r="M4159" s="49"/>
    </row>
    <row r="4160" spans="6:13" x14ac:dyDescent="0.25">
      <c r="F4160" t="s">
        <v>5206</v>
      </c>
      <c r="G4160">
        <v>37191</v>
      </c>
      <c r="H4160">
        <v>3155</v>
      </c>
      <c r="I4160" s="25" t="s">
        <v>2074</v>
      </c>
      <c r="J4160" t="s">
        <v>2653</v>
      </c>
      <c r="M4160" s="49"/>
    </row>
    <row r="4161" spans="6:13" x14ac:dyDescent="0.25">
      <c r="F4161" t="s">
        <v>5207</v>
      </c>
      <c r="G4161">
        <v>56368</v>
      </c>
      <c r="H4161">
        <v>7141</v>
      </c>
      <c r="I4161" s="25" t="s">
        <v>2123</v>
      </c>
      <c r="J4161" t="s">
        <v>2388</v>
      </c>
      <c r="M4161" s="49"/>
    </row>
    <row r="4162" spans="6:13" x14ac:dyDescent="0.25">
      <c r="F4162" t="s">
        <v>5208</v>
      </c>
      <c r="G4162">
        <v>98746</v>
      </c>
      <c r="H4162">
        <v>16072</v>
      </c>
      <c r="I4162" s="25" t="s">
        <v>2384</v>
      </c>
      <c r="J4162" t="s">
        <v>2373</v>
      </c>
      <c r="M4162" s="49"/>
    </row>
    <row r="4163" spans="6:13" x14ac:dyDescent="0.25">
      <c r="F4163" t="s">
        <v>5208</v>
      </c>
      <c r="G4163">
        <v>98746</v>
      </c>
      <c r="H4163">
        <v>16073</v>
      </c>
      <c r="I4163" s="25" t="s">
        <v>2384</v>
      </c>
      <c r="J4163" t="s">
        <v>2618</v>
      </c>
      <c r="M4163" s="49"/>
    </row>
    <row r="4164" spans="6:13" x14ac:dyDescent="0.25">
      <c r="F4164" t="s">
        <v>5209</v>
      </c>
      <c r="G4164">
        <v>67734</v>
      </c>
      <c r="H4164">
        <v>7335</v>
      </c>
      <c r="I4164" s="25" t="s">
        <v>2123</v>
      </c>
      <c r="J4164" t="s">
        <v>2843</v>
      </c>
      <c r="M4164" s="49"/>
    </row>
    <row r="4165" spans="6:13" x14ac:dyDescent="0.25">
      <c r="F4165" t="s">
        <v>5210</v>
      </c>
      <c r="G4165">
        <v>57581</v>
      </c>
      <c r="H4165">
        <v>7132</v>
      </c>
      <c r="I4165" s="25" t="s">
        <v>2123</v>
      </c>
      <c r="J4165" t="s">
        <v>2401</v>
      </c>
      <c r="M4165" s="49"/>
    </row>
    <row r="4166" spans="6:13" x14ac:dyDescent="0.25">
      <c r="F4166" t="s">
        <v>5211</v>
      </c>
      <c r="G4166">
        <v>56349</v>
      </c>
      <c r="H4166">
        <v>7141</v>
      </c>
      <c r="I4166" s="25" t="s">
        <v>2123</v>
      </c>
      <c r="J4166" t="s">
        <v>2388</v>
      </c>
      <c r="M4166" s="49"/>
    </row>
    <row r="4167" spans="6:13" x14ac:dyDescent="0.25">
      <c r="F4167" t="s">
        <v>5212</v>
      </c>
      <c r="G4167">
        <v>87600</v>
      </c>
      <c r="H4167">
        <v>9762</v>
      </c>
      <c r="I4167" s="25" t="s">
        <v>2050</v>
      </c>
      <c r="J4167" t="s">
        <v>5213</v>
      </c>
      <c r="M4167" s="49"/>
    </row>
    <row r="4168" spans="6:13" x14ac:dyDescent="0.25">
      <c r="F4168" t="s">
        <v>5214</v>
      </c>
      <c r="G4168">
        <v>86916</v>
      </c>
      <c r="H4168">
        <v>9181</v>
      </c>
      <c r="I4168" s="25" t="s">
        <v>2050</v>
      </c>
      <c r="J4168" t="s">
        <v>2505</v>
      </c>
      <c r="M4168" s="49"/>
    </row>
    <row r="4169" spans="6:13" x14ac:dyDescent="0.25">
      <c r="F4169" t="s">
        <v>5215</v>
      </c>
      <c r="G4169">
        <v>34260</v>
      </c>
      <c r="H4169">
        <v>6633</v>
      </c>
      <c r="I4169" s="25" t="s">
        <v>2046</v>
      </c>
      <c r="J4169" t="s">
        <v>2162</v>
      </c>
      <c r="M4169" s="49"/>
    </row>
    <row r="4170" spans="6:13" x14ac:dyDescent="0.25">
      <c r="F4170" t="s">
        <v>5216</v>
      </c>
      <c r="G4170">
        <v>7338</v>
      </c>
      <c r="H4170">
        <v>16073</v>
      </c>
      <c r="I4170" s="25" t="s">
        <v>2384</v>
      </c>
      <c r="J4170" t="s">
        <v>2618</v>
      </c>
      <c r="M4170" s="49"/>
    </row>
    <row r="4171" spans="6:13" x14ac:dyDescent="0.25">
      <c r="F4171" t="s">
        <v>5217</v>
      </c>
      <c r="G4171">
        <v>63699</v>
      </c>
      <c r="H4171">
        <v>6440</v>
      </c>
      <c r="I4171" s="25" t="s">
        <v>2046</v>
      </c>
      <c r="J4171" t="s">
        <v>2415</v>
      </c>
      <c r="M4171" s="49"/>
    </row>
    <row r="4172" spans="6:13" x14ac:dyDescent="0.25">
      <c r="F4172" t="s">
        <v>5218</v>
      </c>
      <c r="G4172">
        <v>77694</v>
      </c>
      <c r="H4172">
        <v>8317</v>
      </c>
      <c r="I4172" s="25" t="s">
        <v>2018</v>
      </c>
      <c r="J4172" t="s">
        <v>2071</v>
      </c>
      <c r="M4172" s="49"/>
    </row>
    <row r="4173" spans="6:13" x14ac:dyDescent="0.25">
      <c r="F4173" t="s">
        <v>5219</v>
      </c>
      <c r="G4173">
        <v>6537</v>
      </c>
      <c r="H4173">
        <v>15087</v>
      </c>
      <c r="I4173" s="25" t="s">
        <v>2241</v>
      </c>
      <c r="J4173" t="s">
        <v>2324</v>
      </c>
      <c r="M4173" s="49"/>
    </row>
    <row r="4174" spans="6:13" x14ac:dyDescent="0.25">
      <c r="F4174" t="s">
        <v>2054</v>
      </c>
      <c r="G4174">
        <v>93309</v>
      </c>
      <c r="H4174">
        <v>9273</v>
      </c>
      <c r="I4174" s="25" t="s">
        <v>2050</v>
      </c>
      <c r="J4174" t="s">
        <v>2054</v>
      </c>
      <c r="M4174" s="49"/>
    </row>
    <row r="4175" spans="6:13" x14ac:dyDescent="0.25">
      <c r="F4175" t="s">
        <v>5220</v>
      </c>
      <c r="G4175">
        <v>65779</v>
      </c>
      <c r="H4175">
        <v>6436</v>
      </c>
      <c r="I4175" s="25" t="s">
        <v>2046</v>
      </c>
      <c r="J4175" t="s">
        <v>2730</v>
      </c>
      <c r="M4175" s="49"/>
    </row>
    <row r="4176" spans="6:13" x14ac:dyDescent="0.25">
      <c r="F4176" t="s">
        <v>5221</v>
      </c>
      <c r="G4176">
        <v>54427</v>
      </c>
      <c r="H4176">
        <v>7235</v>
      </c>
      <c r="I4176" s="25" t="s">
        <v>2123</v>
      </c>
      <c r="J4176" t="s">
        <v>2395</v>
      </c>
      <c r="M4176" s="49"/>
    </row>
    <row r="4177" spans="6:13" x14ac:dyDescent="0.25">
      <c r="F4177" t="s">
        <v>5222</v>
      </c>
      <c r="G4177">
        <v>23746</v>
      </c>
      <c r="H4177">
        <v>1055</v>
      </c>
      <c r="I4177" s="25" t="s">
        <v>2085</v>
      </c>
      <c r="J4177" t="s">
        <v>2185</v>
      </c>
      <c r="M4177" s="49"/>
    </row>
    <row r="4178" spans="6:13" x14ac:dyDescent="0.25">
      <c r="F4178" t="s">
        <v>5223</v>
      </c>
      <c r="G4178">
        <v>25548</v>
      </c>
      <c r="H4178">
        <v>1061</v>
      </c>
      <c r="I4178" s="25" t="s">
        <v>2085</v>
      </c>
      <c r="J4178" t="s">
        <v>2377</v>
      </c>
      <c r="M4178" s="49"/>
    </row>
    <row r="4179" spans="6:13" x14ac:dyDescent="0.25">
      <c r="F4179" t="s">
        <v>5224</v>
      </c>
      <c r="G4179">
        <v>89293</v>
      </c>
      <c r="H4179">
        <v>9775</v>
      </c>
      <c r="I4179" s="25" t="s">
        <v>2050</v>
      </c>
      <c r="J4179" t="s">
        <v>2418</v>
      </c>
      <c r="M4179" s="49"/>
    </row>
    <row r="4180" spans="6:13" x14ac:dyDescent="0.25">
      <c r="F4180" t="s">
        <v>5225</v>
      </c>
      <c r="G4180">
        <v>65451</v>
      </c>
      <c r="H4180">
        <v>6433</v>
      </c>
      <c r="I4180" s="25" t="s">
        <v>2046</v>
      </c>
      <c r="J4180" t="s">
        <v>3061</v>
      </c>
      <c r="M4180" s="49"/>
    </row>
    <row r="4181" spans="6:13" x14ac:dyDescent="0.25">
      <c r="F4181" t="s">
        <v>5226</v>
      </c>
      <c r="G4181">
        <v>75210</v>
      </c>
      <c r="H4181">
        <v>8236</v>
      </c>
      <c r="I4181" s="25" t="s">
        <v>2018</v>
      </c>
      <c r="J4181" t="s">
        <v>3087</v>
      </c>
      <c r="M4181" s="49"/>
    </row>
    <row r="4182" spans="6:13" x14ac:dyDescent="0.25">
      <c r="F4182" t="s">
        <v>5227</v>
      </c>
      <c r="G4182">
        <v>6901</v>
      </c>
      <c r="H4182">
        <v>15091</v>
      </c>
      <c r="I4182" s="25" t="s">
        <v>2241</v>
      </c>
      <c r="J4182" t="s">
        <v>1509</v>
      </c>
      <c r="M4182" s="49"/>
    </row>
    <row r="4183" spans="6:13" x14ac:dyDescent="0.25">
      <c r="F4183" t="s">
        <v>5228</v>
      </c>
      <c r="G4183">
        <v>96164</v>
      </c>
      <c r="H4183">
        <v>9471</v>
      </c>
      <c r="I4183" s="25" t="s">
        <v>2050</v>
      </c>
      <c r="J4183" t="s">
        <v>2392</v>
      </c>
      <c r="M4183" s="49"/>
    </row>
    <row r="4184" spans="6:13" x14ac:dyDescent="0.25">
      <c r="F4184" t="s">
        <v>5229</v>
      </c>
      <c r="G4184">
        <v>95478</v>
      </c>
      <c r="H4184">
        <v>9377</v>
      </c>
      <c r="I4184" s="25" t="s">
        <v>2050</v>
      </c>
      <c r="J4184" t="s">
        <v>2393</v>
      </c>
      <c r="M4184" s="49"/>
    </row>
    <row r="4185" spans="6:13" x14ac:dyDescent="0.25">
      <c r="F4185" t="s">
        <v>5230</v>
      </c>
      <c r="G4185">
        <v>47906</v>
      </c>
      <c r="H4185">
        <v>5166</v>
      </c>
      <c r="I4185" s="25" t="s">
        <v>2023</v>
      </c>
      <c r="J4185" t="s">
        <v>2412</v>
      </c>
      <c r="M4185" s="49"/>
    </row>
    <row r="4186" spans="6:13" x14ac:dyDescent="0.25">
      <c r="F4186" t="s">
        <v>5231</v>
      </c>
      <c r="G4186">
        <v>56746</v>
      </c>
      <c r="H4186">
        <v>7131</v>
      </c>
      <c r="I4186" s="25" t="s">
        <v>2123</v>
      </c>
      <c r="J4186" t="s">
        <v>2022</v>
      </c>
      <c r="M4186" s="49"/>
    </row>
    <row r="4187" spans="6:13" x14ac:dyDescent="0.25">
      <c r="F4187" t="s">
        <v>5232</v>
      </c>
      <c r="G4187">
        <v>87439</v>
      </c>
      <c r="H4187">
        <v>9763</v>
      </c>
      <c r="I4187" s="25" t="s">
        <v>2050</v>
      </c>
      <c r="J4187" t="s">
        <v>2209</v>
      </c>
      <c r="M4187" s="49"/>
    </row>
    <row r="4188" spans="6:13" x14ac:dyDescent="0.25">
      <c r="F4188" t="s">
        <v>5232</v>
      </c>
      <c r="G4188">
        <v>87437</v>
      </c>
      <c r="H4188">
        <v>9763</v>
      </c>
      <c r="I4188" s="25" t="s">
        <v>2050</v>
      </c>
      <c r="J4188" t="s">
        <v>2209</v>
      </c>
      <c r="M4188" s="49"/>
    </row>
    <row r="4189" spans="6:13" x14ac:dyDescent="0.25">
      <c r="F4189" t="s">
        <v>5232</v>
      </c>
      <c r="G4189">
        <v>87435</v>
      </c>
      <c r="H4189">
        <v>9763</v>
      </c>
      <c r="I4189" s="25" t="s">
        <v>2050</v>
      </c>
      <c r="J4189" t="s">
        <v>2209</v>
      </c>
      <c r="M4189" s="49"/>
    </row>
    <row r="4190" spans="6:13" x14ac:dyDescent="0.25">
      <c r="F4190" t="s">
        <v>5233</v>
      </c>
      <c r="G4190">
        <v>54344</v>
      </c>
      <c r="H4190">
        <v>7235</v>
      </c>
      <c r="I4190" s="25" t="s">
        <v>2123</v>
      </c>
      <c r="J4190" t="s">
        <v>2395</v>
      </c>
      <c r="M4190" s="49"/>
    </row>
    <row r="4191" spans="6:13" x14ac:dyDescent="0.25">
      <c r="F4191" t="s">
        <v>5234</v>
      </c>
      <c r="G4191">
        <v>79341</v>
      </c>
      <c r="H4191">
        <v>8316</v>
      </c>
      <c r="I4191" s="25" t="s">
        <v>2018</v>
      </c>
      <c r="J4191" t="s">
        <v>2764</v>
      </c>
      <c r="M4191" s="49"/>
    </row>
    <row r="4192" spans="6:13" x14ac:dyDescent="0.25">
      <c r="F4192" t="s">
        <v>5235</v>
      </c>
      <c r="G4192">
        <v>47647</v>
      </c>
      <c r="H4192">
        <v>5154</v>
      </c>
      <c r="I4192" s="25" t="s">
        <v>2023</v>
      </c>
      <c r="J4192" t="s">
        <v>2214</v>
      </c>
      <c r="M4192" s="49"/>
    </row>
    <row r="4193" spans="6:13" x14ac:dyDescent="0.25">
      <c r="F4193" t="s">
        <v>5236</v>
      </c>
      <c r="G4193">
        <v>71394</v>
      </c>
      <c r="H4193">
        <v>8119</v>
      </c>
      <c r="I4193" s="25" t="s">
        <v>2018</v>
      </c>
      <c r="J4193" t="s">
        <v>2287</v>
      </c>
      <c r="M4193" s="49"/>
    </row>
    <row r="4194" spans="6:13" x14ac:dyDescent="0.25">
      <c r="F4194" t="s">
        <v>5237</v>
      </c>
      <c r="G4194">
        <v>50170</v>
      </c>
      <c r="H4194">
        <v>5362</v>
      </c>
      <c r="I4194" s="25" t="s">
        <v>2023</v>
      </c>
      <c r="J4194" t="s">
        <v>2326</v>
      </c>
      <c r="M4194" s="49"/>
    </row>
    <row r="4195" spans="6:13" x14ac:dyDescent="0.25">
      <c r="F4195" t="s">
        <v>5237</v>
      </c>
      <c r="G4195">
        <v>50169</v>
      </c>
      <c r="H4195">
        <v>5362</v>
      </c>
      <c r="I4195" s="25" t="s">
        <v>2023</v>
      </c>
      <c r="J4195" t="s">
        <v>2326</v>
      </c>
      <c r="M4195" s="49"/>
    </row>
    <row r="4196" spans="6:13" x14ac:dyDescent="0.25">
      <c r="F4196" t="s">
        <v>5237</v>
      </c>
      <c r="G4196">
        <v>50170</v>
      </c>
      <c r="H4196">
        <v>5362</v>
      </c>
      <c r="I4196" s="25" t="s">
        <v>2023</v>
      </c>
      <c r="J4196" t="s">
        <v>2326</v>
      </c>
      <c r="M4196" s="49"/>
    </row>
    <row r="4197" spans="6:13" x14ac:dyDescent="0.25">
      <c r="F4197" t="s">
        <v>5237</v>
      </c>
      <c r="G4197">
        <v>50171</v>
      </c>
      <c r="H4197">
        <v>5362</v>
      </c>
      <c r="I4197" s="25" t="s">
        <v>2023</v>
      </c>
      <c r="J4197" t="s">
        <v>2326</v>
      </c>
      <c r="M4197" s="49"/>
    </row>
    <row r="4198" spans="6:13" x14ac:dyDescent="0.25">
      <c r="F4198" t="s">
        <v>5238</v>
      </c>
      <c r="G4198">
        <v>68775</v>
      </c>
      <c r="H4198">
        <v>8226</v>
      </c>
      <c r="I4198" s="25" t="s">
        <v>2018</v>
      </c>
      <c r="J4198" t="s">
        <v>2442</v>
      </c>
      <c r="M4198" s="49"/>
    </row>
    <row r="4199" spans="6:13" x14ac:dyDescent="0.25">
      <c r="F4199" t="s">
        <v>5239</v>
      </c>
      <c r="G4199">
        <v>49577</v>
      </c>
      <c r="H4199">
        <v>3459</v>
      </c>
      <c r="I4199" s="25" t="s">
        <v>2074</v>
      </c>
      <c r="J4199" t="s">
        <v>2292</v>
      </c>
      <c r="M4199" s="49"/>
    </row>
    <row r="4200" spans="6:13" x14ac:dyDescent="0.25">
      <c r="F4200" t="s">
        <v>5240</v>
      </c>
      <c r="G4200">
        <v>86498</v>
      </c>
      <c r="H4200">
        <v>9778</v>
      </c>
      <c r="I4200" s="25" t="s">
        <v>2050</v>
      </c>
      <c r="J4200" t="s">
        <v>2460</v>
      </c>
      <c r="M4200" s="49"/>
    </row>
    <row r="4201" spans="6:13" x14ac:dyDescent="0.25">
      <c r="F4201" t="s">
        <v>5241</v>
      </c>
      <c r="G4201">
        <v>14669</v>
      </c>
      <c r="H4201">
        <v>12063</v>
      </c>
      <c r="I4201" s="25" t="s">
        <v>2356</v>
      </c>
      <c r="J4201" t="s">
        <v>2181</v>
      </c>
      <c r="M4201" s="49"/>
    </row>
    <row r="4202" spans="6:13" x14ac:dyDescent="0.25">
      <c r="F4202" t="s">
        <v>5242</v>
      </c>
      <c r="G4202">
        <v>47627</v>
      </c>
      <c r="H4202">
        <v>5154</v>
      </c>
      <c r="I4202" s="25" t="s">
        <v>2023</v>
      </c>
      <c r="J4202" t="s">
        <v>2214</v>
      </c>
      <c r="M4202" s="49"/>
    </row>
    <row r="4203" spans="6:13" x14ac:dyDescent="0.25">
      <c r="F4203" t="s">
        <v>5243</v>
      </c>
      <c r="G4203">
        <v>47623</v>
      </c>
      <c r="H4203">
        <v>5154</v>
      </c>
      <c r="I4203" s="25" t="s">
        <v>2023</v>
      </c>
      <c r="J4203" t="s">
        <v>2214</v>
      </c>
      <c r="M4203" s="49"/>
    </row>
    <row r="4204" spans="6:13" x14ac:dyDescent="0.25">
      <c r="F4204" t="s">
        <v>5244</v>
      </c>
      <c r="G4204">
        <v>47624</v>
      </c>
      <c r="H4204">
        <v>5154</v>
      </c>
      <c r="I4204" s="25" t="s">
        <v>2023</v>
      </c>
      <c r="J4204" t="s">
        <v>2214</v>
      </c>
      <c r="M4204" s="49"/>
    </row>
    <row r="4205" spans="6:13" x14ac:dyDescent="0.25">
      <c r="F4205" t="s">
        <v>5245</v>
      </c>
      <c r="G4205">
        <v>47625</v>
      </c>
      <c r="H4205">
        <v>5154</v>
      </c>
      <c r="I4205" s="25" t="s">
        <v>2023</v>
      </c>
      <c r="J4205" t="s">
        <v>2214</v>
      </c>
      <c r="M4205" s="49"/>
    </row>
    <row r="4206" spans="6:13" x14ac:dyDescent="0.25">
      <c r="F4206" t="s">
        <v>5246</v>
      </c>
      <c r="G4206">
        <v>47626</v>
      </c>
      <c r="H4206">
        <v>5154</v>
      </c>
      <c r="I4206" s="25" t="s">
        <v>2023</v>
      </c>
      <c r="J4206" t="s">
        <v>2214</v>
      </c>
      <c r="M4206" s="49"/>
    </row>
    <row r="4207" spans="6:13" x14ac:dyDescent="0.25">
      <c r="F4207" t="s">
        <v>5247</v>
      </c>
      <c r="G4207">
        <v>25368</v>
      </c>
      <c r="H4207">
        <v>1061</v>
      </c>
      <c r="I4207" s="25" t="s">
        <v>2085</v>
      </c>
      <c r="J4207" t="s">
        <v>2377</v>
      </c>
      <c r="M4207" s="49"/>
    </row>
    <row r="4208" spans="6:13" x14ac:dyDescent="0.25">
      <c r="F4208" t="s">
        <v>5248</v>
      </c>
      <c r="G4208">
        <v>65399</v>
      </c>
      <c r="H4208">
        <v>6439</v>
      </c>
      <c r="I4208" s="25" t="s">
        <v>2046</v>
      </c>
      <c r="J4208" t="s">
        <v>2047</v>
      </c>
      <c r="M4208" s="49"/>
    </row>
    <row r="4209" spans="6:13" x14ac:dyDescent="0.25">
      <c r="F4209" t="s">
        <v>5249</v>
      </c>
      <c r="G4209">
        <v>83088</v>
      </c>
      <c r="H4209">
        <v>9187</v>
      </c>
      <c r="I4209" s="25" t="s">
        <v>2050</v>
      </c>
      <c r="J4209" t="s">
        <v>2245</v>
      </c>
      <c r="M4209" s="49"/>
    </row>
    <row r="4210" spans="6:13" x14ac:dyDescent="0.25">
      <c r="F4210" t="s">
        <v>5250</v>
      </c>
      <c r="G4210">
        <v>24113</v>
      </c>
      <c r="H4210">
        <v>1002</v>
      </c>
      <c r="I4210" s="25" t="s">
        <v>2085</v>
      </c>
      <c r="J4210" t="s">
        <v>2211</v>
      </c>
      <c r="M4210" s="49"/>
    </row>
    <row r="4211" spans="6:13" x14ac:dyDescent="0.25">
      <c r="F4211" t="s">
        <v>5250</v>
      </c>
      <c r="G4211">
        <v>24159</v>
      </c>
      <c r="H4211">
        <v>1002</v>
      </c>
      <c r="I4211" s="25" t="s">
        <v>2085</v>
      </c>
      <c r="J4211" t="s">
        <v>2211</v>
      </c>
      <c r="M4211" s="49"/>
    </row>
    <row r="4212" spans="6:13" x14ac:dyDescent="0.25">
      <c r="F4212" t="s">
        <v>5250</v>
      </c>
      <c r="G4212">
        <v>24146</v>
      </c>
      <c r="H4212">
        <v>1002</v>
      </c>
      <c r="I4212" s="25" t="s">
        <v>2085</v>
      </c>
      <c r="J4212" t="s">
        <v>2211</v>
      </c>
      <c r="M4212" s="49"/>
    </row>
    <row r="4213" spans="6:13" x14ac:dyDescent="0.25">
      <c r="F4213" t="s">
        <v>5250</v>
      </c>
      <c r="G4213">
        <v>24145</v>
      </c>
      <c r="H4213">
        <v>1002</v>
      </c>
      <c r="I4213" s="25" t="s">
        <v>2085</v>
      </c>
      <c r="J4213" t="s">
        <v>2211</v>
      </c>
      <c r="M4213" s="49"/>
    </row>
    <row r="4214" spans="6:13" x14ac:dyDescent="0.25">
      <c r="F4214" t="s">
        <v>5250</v>
      </c>
      <c r="G4214">
        <v>24148</v>
      </c>
      <c r="H4214">
        <v>1002</v>
      </c>
      <c r="I4214" s="25" t="s">
        <v>2085</v>
      </c>
      <c r="J4214" t="s">
        <v>2211</v>
      </c>
      <c r="M4214" s="49"/>
    </row>
    <row r="4215" spans="6:13" x14ac:dyDescent="0.25">
      <c r="F4215" t="s">
        <v>5250</v>
      </c>
      <c r="G4215">
        <v>24107</v>
      </c>
      <c r="H4215">
        <v>1002</v>
      </c>
      <c r="I4215" s="25" t="s">
        <v>2085</v>
      </c>
      <c r="J4215" t="s">
        <v>2211</v>
      </c>
      <c r="M4215" s="49"/>
    </row>
    <row r="4216" spans="6:13" x14ac:dyDescent="0.25">
      <c r="F4216" t="s">
        <v>5250</v>
      </c>
      <c r="G4216">
        <v>24147</v>
      </c>
      <c r="H4216">
        <v>1002</v>
      </c>
      <c r="I4216" s="25" t="s">
        <v>2085</v>
      </c>
      <c r="J4216" t="s">
        <v>2211</v>
      </c>
      <c r="M4216" s="49"/>
    </row>
    <row r="4217" spans="6:13" x14ac:dyDescent="0.25">
      <c r="F4217" t="s">
        <v>5250</v>
      </c>
      <c r="G4217">
        <v>24149</v>
      </c>
      <c r="H4217">
        <v>1002</v>
      </c>
      <c r="I4217" s="25" t="s">
        <v>2085</v>
      </c>
      <c r="J4217" t="s">
        <v>2211</v>
      </c>
      <c r="M4217" s="49"/>
    </row>
    <row r="4218" spans="6:13" x14ac:dyDescent="0.25">
      <c r="F4218" t="s">
        <v>5250</v>
      </c>
      <c r="G4218">
        <v>24105</v>
      </c>
      <c r="H4218">
        <v>1002</v>
      </c>
      <c r="I4218" s="25" t="s">
        <v>2085</v>
      </c>
      <c r="J4218" t="s">
        <v>2211</v>
      </c>
      <c r="M4218" s="49"/>
    </row>
    <row r="4219" spans="6:13" x14ac:dyDescent="0.25">
      <c r="F4219" t="s">
        <v>5250</v>
      </c>
      <c r="G4219">
        <v>24118</v>
      </c>
      <c r="H4219">
        <v>1002</v>
      </c>
      <c r="I4219" s="25" t="s">
        <v>2085</v>
      </c>
      <c r="J4219" t="s">
        <v>2211</v>
      </c>
      <c r="M4219" s="49"/>
    </row>
    <row r="4220" spans="6:13" x14ac:dyDescent="0.25">
      <c r="F4220" t="s">
        <v>5250</v>
      </c>
      <c r="G4220">
        <v>24116</v>
      </c>
      <c r="H4220">
        <v>1002</v>
      </c>
      <c r="I4220" s="25" t="s">
        <v>2085</v>
      </c>
      <c r="J4220" t="s">
        <v>2211</v>
      </c>
      <c r="M4220" s="49"/>
    </row>
    <row r="4221" spans="6:13" x14ac:dyDescent="0.25">
      <c r="F4221" t="s">
        <v>5250</v>
      </c>
      <c r="G4221">
        <v>24114</v>
      </c>
      <c r="H4221">
        <v>1002</v>
      </c>
      <c r="I4221" s="25" t="s">
        <v>2085</v>
      </c>
      <c r="J4221" t="s">
        <v>2211</v>
      </c>
      <c r="M4221" s="49"/>
    </row>
    <row r="4222" spans="6:13" x14ac:dyDescent="0.25">
      <c r="F4222" t="s">
        <v>5250</v>
      </c>
      <c r="G4222">
        <v>24106</v>
      </c>
      <c r="H4222">
        <v>1002</v>
      </c>
      <c r="I4222" s="25" t="s">
        <v>2085</v>
      </c>
      <c r="J4222" t="s">
        <v>2211</v>
      </c>
      <c r="M4222" s="49"/>
    </row>
    <row r="4223" spans="6:13" x14ac:dyDescent="0.25">
      <c r="F4223" t="s">
        <v>5250</v>
      </c>
      <c r="G4223">
        <v>24103</v>
      </c>
      <c r="H4223">
        <v>1002</v>
      </c>
      <c r="I4223" s="25" t="s">
        <v>2085</v>
      </c>
      <c r="J4223" t="s">
        <v>2211</v>
      </c>
      <c r="M4223" s="49"/>
    </row>
    <row r="4224" spans="6:13" x14ac:dyDescent="0.25">
      <c r="F4224" t="s">
        <v>5250</v>
      </c>
      <c r="G4224">
        <v>24143</v>
      </c>
      <c r="H4224">
        <v>1002</v>
      </c>
      <c r="I4224" s="25" t="s">
        <v>2085</v>
      </c>
      <c r="J4224" t="s">
        <v>2211</v>
      </c>
      <c r="M4224" s="49"/>
    </row>
    <row r="4225" spans="6:13" x14ac:dyDescent="0.25">
      <c r="F4225" t="s">
        <v>5250</v>
      </c>
      <c r="G4225">
        <v>24107</v>
      </c>
      <c r="H4225">
        <v>1058</v>
      </c>
      <c r="I4225" s="25" t="s">
        <v>2085</v>
      </c>
      <c r="J4225" t="s">
        <v>2086</v>
      </c>
      <c r="M4225" s="49"/>
    </row>
    <row r="4226" spans="6:13" x14ac:dyDescent="0.25">
      <c r="F4226" t="s">
        <v>5250</v>
      </c>
      <c r="G4226">
        <v>24113</v>
      </c>
      <c r="H4226">
        <v>1058</v>
      </c>
      <c r="I4226" s="25" t="s">
        <v>2085</v>
      </c>
      <c r="J4226" t="s">
        <v>2086</v>
      </c>
      <c r="M4226" s="49"/>
    </row>
    <row r="4227" spans="6:13" x14ac:dyDescent="0.25">
      <c r="F4227" t="s">
        <v>5251</v>
      </c>
      <c r="G4227">
        <v>24111</v>
      </c>
      <c r="H4227">
        <v>1002</v>
      </c>
      <c r="I4227" s="25" t="s">
        <v>2085</v>
      </c>
      <c r="J4227" t="s">
        <v>2211</v>
      </c>
      <c r="M4227" s="49"/>
    </row>
    <row r="4228" spans="6:13" x14ac:dyDescent="0.25">
      <c r="F4228" t="s">
        <v>5252</v>
      </c>
      <c r="G4228">
        <v>83361</v>
      </c>
      <c r="H4228">
        <v>9189</v>
      </c>
      <c r="I4228" s="25" t="s">
        <v>2050</v>
      </c>
      <c r="J4228" t="s">
        <v>2407</v>
      </c>
      <c r="M4228" s="49"/>
    </row>
    <row r="4229" spans="6:13" x14ac:dyDescent="0.25">
      <c r="F4229" t="s">
        <v>5253</v>
      </c>
      <c r="G4229">
        <v>58566</v>
      </c>
      <c r="H4229">
        <v>5962</v>
      </c>
      <c r="I4229" s="25" t="s">
        <v>2023</v>
      </c>
      <c r="J4229" t="s">
        <v>2239</v>
      </c>
      <c r="M4229" s="49"/>
    </row>
    <row r="4230" spans="6:13" x14ac:dyDescent="0.25">
      <c r="F4230" t="s">
        <v>5254</v>
      </c>
      <c r="G4230">
        <v>75249</v>
      </c>
      <c r="H4230">
        <v>8236</v>
      </c>
      <c r="I4230" s="25" t="s">
        <v>2018</v>
      </c>
      <c r="J4230" t="s">
        <v>3087</v>
      </c>
      <c r="M4230" s="49"/>
    </row>
    <row r="4231" spans="6:13" x14ac:dyDescent="0.25">
      <c r="F4231" t="s">
        <v>5255</v>
      </c>
      <c r="G4231">
        <v>99638</v>
      </c>
      <c r="H4231">
        <v>16068</v>
      </c>
      <c r="I4231" s="25" t="s">
        <v>2384</v>
      </c>
      <c r="J4231" t="s">
        <v>3075</v>
      </c>
      <c r="M4231" s="49"/>
    </row>
    <row r="4232" spans="6:13" x14ac:dyDescent="0.25">
      <c r="F4232" t="s">
        <v>5256</v>
      </c>
      <c r="G4232">
        <v>67271</v>
      </c>
      <c r="H4232">
        <v>7332</v>
      </c>
      <c r="I4232" s="25" t="s">
        <v>2123</v>
      </c>
      <c r="J4232" t="s">
        <v>2440</v>
      </c>
      <c r="M4232" s="49"/>
    </row>
    <row r="4233" spans="6:13" x14ac:dyDescent="0.25">
      <c r="F4233" t="s">
        <v>5256</v>
      </c>
      <c r="G4233">
        <v>67271</v>
      </c>
      <c r="H4233">
        <v>7332</v>
      </c>
      <c r="I4233" s="25" t="s">
        <v>2123</v>
      </c>
      <c r="J4233" t="s">
        <v>2440</v>
      </c>
      <c r="M4233" s="49"/>
    </row>
    <row r="4234" spans="6:13" x14ac:dyDescent="0.25">
      <c r="F4234" t="s">
        <v>5256</v>
      </c>
      <c r="G4234">
        <v>67271</v>
      </c>
      <c r="H4234">
        <v>7332</v>
      </c>
      <c r="I4234" s="25" t="s">
        <v>2123</v>
      </c>
      <c r="J4234" t="s">
        <v>2440</v>
      </c>
      <c r="M4234" s="49"/>
    </row>
    <row r="4235" spans="6:13" x14ac:dyDescent="0.25">
      <c r="F4235" t="s">
        <v>5256</v>
      </c>
      <c r="G4235">
        <v>67271</v>
      </c>
      <c r="H4235">
        <v>7332</v>
      </c>
      <c r="I4235" s="25" t="s">
        <v>2123</v>
      </c>
      <c r="J4235" t="s">
        <v>2440</v>
      </c>
      <c r="M4235" s="49"/>
    </row>
    <row r="4236" spans="6:13" x14ac:dyDescent="0.25">
      <c r="F4236" t="s">
        <v>5257</v>
      </c>
      <c r="G4236">
        <v>85125</v>
      </c>
      <c r="H4236">
        <v>9176</v>
      </c>
      <c r="I4236" s="25" t="s">
        <v>2050</v>
      </c>
      <c r="J4236" t="s">
        <v>2102</v>
      </c>
      <c r="M4236" s="49"/>
    </row>
    <row r="4237" spans="6:13" x14ac:dyDescent="0.25">
      <c r="F4237" t="s">
        <v>5258</v>
      </c>
      <c r="G4237">
        <v>66862</v>
      </c>
      <c r="H4237">
        <v>7335</v>
      </c>
      <c r="I4237" s="25" t="s">
        <v>2123</v>
      </c>
      <c r="J4237" t="s">
        <v>2843</v>
      </c>
      <c r="M4237" s="49"/>
    </row>
    <row r="4238" spans="6:13" x14ac:dyDescent="0.25">
      <c r="F4238" t="s">
        <v>5259</v>
      </c>
      <c r="G4238">
        <v>86981</v>
      </c>
      <c r="H4238">
        <v>9181</v>
      </c>
      <c r="I4238" s="25" t="s">
        <v>2050</v>
      </c>
      <c r="J4238" t="s">
        <v>2505</v>
      </c>
      <c r="M4238" s="49"/>
    </row>
    <row r="4239" spans="6:13" x14ac:dyDescent="0.25">
      <c r="F4239" t="s">
        <v>5260</v>
      </c>
      <c r="G4239">
        <v>85110</v>
      </c>
      <c r="H4239">
        <v>9176</v>
      </c>
      <c r="I4239" s="25" t="s">
        <v>2050</v>
      </c>
      <c r="J4239" t="s">
        <v>2102</v>
      </c>
      <c r="M4239" s="49"/>
    </row>
    <row r="4240" spans="6:13" x14ac:dyDescent="0.25">
      <c r="F4240" t="s">
        <v>5261</v>
      </c>
      <c r="G4240">
        <v>77971</v>
      </c>
      <c r="H4240">
        <v>8317</v>
      </c>
      <c r="I4240" s="25" t="s">
        <v>2018</v>
      </c>
      <c r="J4240" t="s">
        <v>2071</v>
      </c>
      <c r="M4240" s="49"/>
    </row>
    <row r="4241" spans="6:13" x14ac:dyDescent="0.25">
      <c r="F4241" t="s">
        <v>5262</v>
      </c>
      <c r="G4241">
        <v>83417</v>
      </c>
      <c r="H4241">
        <v>9189</v>
      </c>
      <c r="I4241" s="25" t="s">
        <v>2050</v>
      </c>
      <c r="J4241" t="s">
        <v>2407</v>
      </c>
      <c r="M4241" s="49"/>
    </row>
    <row r="4242" spans="6:13" x14ac:dyDescent="0.25">
      <c r="F4242" t="s">
        <v>5263</v>
      </c>
      <c r="G4242">
        <v>74912</v>
      </c>
      <c r="H4242">
        <v>8125</v>
      </c>
      <c r="I4242" s="25" t="s">
        <v>2018</v>
      </c>
      <c r="J4242" t="s">
        <v>2060</v>
      </c>
      <c r="M4242" s="49"/>
    </row>
    <row r="4243" spans="6:13" x14ac:dyDescent="0.25">
      <c r="F4243" t="s">
        <v>5264</v>
      </c>
      <c r="G4243">
        <v>24245</v>
      </c>
      <c r="H4243">
        <v>1057</v>
      </c>
      <c r="I4243" s="25" t="s">
        <v>2085</v>
      </c>
      <c r="J4243" t="s">
        <v>2313</v>
      </c>
      <c r="M4243" s="49"/>
    </row>
    <row r="4244" spans="6:13" x14ac:dyDescent="0.25">
      <c r="F4244" t="s">
        <v>5265</v>
      </c>
      <c r="G4244">
        <v>71737</v>
      </c>
      <c r="H4244">
        <v>8119</v>
      </c>
      <c r="I4244" s="25" t="s">
        <v>2018</v>
      </c>
      <c r="J4244" t="s">
        <v>2287</v>
      </c>
      <c r="M4244" s="49"/>
    </row>
    <row r="4245" spans="6:13" x14ac:dyDescent="0.25">
      <c r="F4245" t="s">
        <v>5265</v>
      </c>
      <c r="G4245">
        <v>84434</v>
      </c>
      <c r="H4245">
        <v>9177</v>
      </c>
      <c r="I4245" s="25" t="s">
        <v>2050</v>
      </c>
      <c r="J4245" t="s">
        <v>2915</v>
      </c>
      <c r="M4245" s="49"/>
    </row>
    <row r="4246" spans="6:13" x14ac:dyDescent="0.25">
      <c r="F4246" t="s">
        <v>5265</v>
      </c>
      <c r="G4246">
        <v>94259</v>
      </c>
      <c r="H4246">
        <v>9276</v>
      </c>
      <c r="I4246" s="25" t="s">
        <v>2050</v>
      </c>
      <c r="J4246" t="s">
        <v>2078</v>
      </c>
      <c r="M4246" s="49"/>
    </row>
    <row r="4247" spans="6:13" x14ac:dyDescent="0.25">
      <c r="F4247" t="s">
        <v>5265</v>
      </c>
      <c r="G4247">
        <v>8107</v>
      </c>
      <c r="H4247">
        <v>14524</v>
      </c>
      <c r="I4247" s="25" t="s">
        <v>2135</v>
      </c>
      <c r="J4247" t="s">
        <v>3424</v>
      </c>
      <c r="M4247" s="49"/>
    </row>
    <row r="4248" spans="6:13" x14ac:dyDescent="0.25">
      <c r="F4248" t="s">
        <v>5266</v>
      </c>
      <c r="G4248">
        <v>88486</v>
      </c>
      <c r="H4248">
        <v>8426</v>
      </c>
      <c r="I4248" s="25" t="s">
        <v>2018</v>
      </c>
      <c r="J4248" t="s">
        <v>2081</v>
      </c>
      <c r="M4248" s="49"/>
    </row>
    <row r="4249" spans="6:13" x14ac:dyDescent="0.25">
      <c r="F4249" t="s">
        <v>5267</v>
      </c>
      <c r="G4249">
        <v>74592</v>
      </c>
      <c r="H4249">
        <v>8127</v>
      </c>
      <c r="I4249" s="25" t="s">
        <v>2018</v>
      </c>
      <c r="J4249" t="s">
        <v>3126</v>
      </c>
      <c r="M4249" s="49"/>
    </row>
    <row r="4250" spans="6:13" x14ac:dyDescent="0.25">
      <c r="F4250" t="s">
        <v>5268</v>
      </c>
      <c r="G4250">
        <v>55481</v>
      </c>
      <c r="H4250">
        <v>7140</v>
      </c>
      <c r="I4250" s="25" t="s">
        <v>2123</v>
      </c>
      <c r="J4250" t="s">
        <v>2329</v>
      </c>
      <c r="M4250" s="49"/>
    </row>
    <row r="4251" spans="6:13" x14ac:dyDescent="0.25">
      <c r="F4251" t="s">
        <v>5269</v>
      </c>
      <c r="G4251">
        <v>93348</v>
      </c>
      <c r="H4251">
        <v>9273</v>
      </c>
      <c r="I4251" s="25" t="s">
        <v>2050</v>
      </c>
      <c r="J4251" t="s">
        <v>2054</v>
      </c>
      <c r="M4251" s="49"/>
    </row>
    <row r="4252" spans="6:13" x14ac:dyDescent="0.25">
      <c r="F4252" t="s">
        <v>5270</v>
      </c>
      <c r="G4252">
        <v>84375</v>
      </c>
      <c r="H4252">
        <v>9277</v>
      </c>
      <c r="I4252" s="25" t="s">
        <v>2050</v>
      </c>
      <c r="J4252" t="s">
        <v>2529</v>
      </c>
      <c r="M4252" s="49"/>
    </row>
    <row r="4253" spans="6:13" x14ac:dyDescent="0.25">
      <c r="F4253" t="s">
        <v>5271</v>
      </c>
      <c r="G4253">
        <v>85414</v>
      </c>
      <c r="H4253">
        <v>9178</v>
      </c>
      <c r="I4253" s="25" t="s">
        <v>2050</v>
      </c>
      <c r="J4253" t="s">
        <v>2315</v>
      </c>
      <c r="M4253" s="49"/>
    </row>
    <row r="4254" spans="6:13" x14ac:dyDescent="0.25">
      <c r="F4254" t="s">
        <v>5272</v>
      </c>
      <c r="G4254">
        <v>88457</v>
      </c>
      <c r="H4254">
        <v>8426</v>
      </c>
      <c r="I4254" s="25" t="s">
        <v>2018</v>
      </c>
      <c r="J4254" t="s">
        <v>2081</v>
      </c>
      <c r="M4254" s="49"/>
    </row>
    <row r="4255" spans="6:13" x14ac:dyDescent="0.25">
      <c r="F4255" t="s">
        <v>5272</v>
      </c>
      <c r="G4255">
        <v>88457</v>
      </c>
      <c r="H4255">
        <v>8426</v>
      </c>
      <c r="I4255" s="25" t="s">
        <v>2018</v>
      </c>
      <c r="J4255" t="s">
        <v>2081</v>
      </c>
      <c r="M4255" s="49"/>
    </row>
    <row r="4256" spans="6:13" x14ac:dyDescent="0.25">
      <c r="F4256" t="s">
        <v>5273</v>
      </c>
      <c r="G4256">
        <v>94261</v>
      </c>
      <c r="H4256">
        <v>9276</v>
      </c>
      <c r="I4256" s="25" t="s">
        <v>2050</v>
      </c>
      <c r="J4256" t="s">
        <v>2078</v>
      </c>
      <c r="M4256" s="49"/>
    </row>
    <row r="4257" spans="6:13" x14ac:dyDescent="0.25">
      <c r="F4257" t="s">
        <v>5274</v>
      </c>
      <c r="G4257">
        <v>91356</v>
      </c>
      <c r="H4257">
        <v>9474</v>
      </c>
      <c r="I4257" s="25" t="s">
        <v>2050</v>
      </c>
      <c r="J4257" t="s">
        <v>3692</v>
      </c>
      <c r="M4257" s="49"/>
    </row>
    <row r="4258" spans="6:13" x14ac:dyDescent="0.25">
      <c r="F4258" t="s">
        <v>5275</v>
      </c>
      <c r="G4258">
        <v>57548</v>
      </c>
      <c r="H4258">
        <v>7132</v>
      </c>
      <c r="I4258" s="25" t="s">
        <v>2123</v>
      </c>
      <c r="J4258" t="s">
        <v>2401</v>
      </c>
      <c r="M4258" s="49"/>
    </row>
    <row r="4259" spans="6:13" x14ac:dyDescent="0.25">
      <c r="F4259" t="s">
        <v>5276</v>
      </c>
      <c r="G4259">
        <v>95158</v>
      </c>
      <c r="H4259">
        <v>9479</v>
      </c>
      <c r="I4259" s="25" t="s">
        <v>2050</v>
      </c>
      <c r="J4259" t="s">
        <v>2436</v>
      </c>
      <c r="M4259" s="49"/>
    </row>
    <row r="4260" spans="6:13" x14ac:dyDescent="0.25">
      <c r="F4260" t="s">
        <v>5277</v>
      </c>
      <c r="G4260">
        <v>91241</v>
      </c>
      <c r="H4260">
        <v>9574</v>
      </c>
      <c r="I4260" s="25" t="s">
        <v>2050</v>
      </c>
      <c r="J4260" t="s">
        <v>2291</v>
      </c>
      <c r="M4260" s="49"/>
    </row>
    <row r="4261" spans="6:13" x14ac:dyDescent="0.25">
      <c r="F4261" t="s">
        <v>5278</v>
      </c>
      <c r="G4261">
        <v>72138</v>
      </c>
      <c r="H4261">
        <v>8416</v>
      </c>
      <c r="I4261" s="25" t="s">
        <v>2018</v>
      </c>
      <c r="J4261" t="s">
        <v>2464</v>
      </c>
      <c r="M4261" s="49"/>
    </row>
    <row r="4262" spans="6:13" x14ac:dyDescent="0.25">
      <c r="F4262" t="s">
        <v>5279</v>
      </c>
      <c r="G4262">
        <v>91281</v>
      </c>
      <c r="H4262">
        <v>9374</v>
      </c>
      <c r="I4262" s="25" t="s">
        <v>2050</v>
      </c>
      <c r="J4262" t="s">
        <v>2420</v>
      </c>
      <c r="M4262" s="49"/>
    </row>
    <row r="4263" spans="6:13" x14ac:dyDescent="0.25">
      <c r="F4263" t="s">
        <v>5280</v>
      </c>
      <c r="G4263">
        <v>21394</v>
      </c>
      <c r="H4263">
        <v>3355</v>
      </c>
      <c r="I4263" s="25" t="s">
        <v>2074</v>
      </c>
      <c r="J4263" t="s">
        <v>2129</v>
      </c>
      <c r="M4263" s="49"/>
    </row>
    <row r="4264" spans="6:13" x14ac:dyDescent="0.25">
      <c r="F4264" t="s">
        <v>5281</v>
      </c>
      <c r="G4264">
        <v>35274</v>
      </c>
      <c r="H4264">
        <v>6534</v>
      </c>
      <c r="I4264" s="25" t="s">
        <v>2046</v>
      </c>
      <c r="J4264" t="s">
        <v>2471</v>
      </c>
      <c r="M4264" s="49"/>
    </row>
    <row r="4265" spans="6:13" x14ac:dyDescent="0.25">
      <c r="F4265" t="s">
        <v>5282</v>
      </c>
      <c r="G4265">
        <v>94148</v>
      </c>
      <c r="H4265">
        <v>9275</v>
      </c>
      <c r="I4265" s="25" t="s">
        <v>2050</v>
      </c>
      <c r="J4265" t="s">
        <v>2198</v>
      </c>
      <c r="M4265" s="49"/>
    </row>
    <row r="4266" spans="6:13" x14ac:dyDescent="0.25">
      <c r="F4266" t="s">
        <v>5283</v>
      </c>
      <c r="G4266">
        <v>87755</v>
      </c>
      <c r="H4266">
        <v>9778</v>
      </c>
      <c r="I4266" s="25" t="s">
        <v>2050</v>
      </c>
      <c r="J4266" t="s">
        <v>2460</v>
      </c>
      <c r="M4266" s="49"/>
    </row>
    <row r="4267" spans="6:13" x14ac:dyDescent="0.25">
      <c r="F4267" t="s">
        <v>5284</v>
      </c>
      <c r="G4267">
        <v>97268</v>
      </c>
      <c r="H4267">
        <v>9679</v>
      </c>
      <c r="I4267" s="25" t="s">
        <v>2050</v>
      </c>
      <c r="J4267" t="s">
        <v>2428</v>
      </c>
      <c r="M4267" s="49"/>
    </row>
    <row r="4268" spans="6:13" x14ac:dyDescent="0.25">
      <c r="F4268" t="s">
        <v>5285</v>
      </c>
      <c r="G4268">
        <v>36275</v>
      </c>
      <c r="H4268">
        <v>6632</v>
      </c>
      <c r="I4268" s="25" t="s">
        <v>2046</v>
      </c>
      <c r="J4268" t="s">
        <v>2303</v>
      </c>
      <c r="M4268" s="49"/>
    </row>
    <row r="4269" spans="6:13" x14ac:dyDescent="0.25">
      <c r="F4269" t="s">
        <v>5286</v>
      </c>
      <c r="G4269">
        <v>74366</v>
      </c>
      <c r="H4269">
        <v>8118</v>
      </c>
      <c r="I4269" s="25" t="s">
        <v>2018</v>
      </c>
      <c r="J4269" t="s">
        <v>2142</v>
      </c>
      <c r="M4269" s="49"/>
    </row>
    <row r="4270" spans="6:13" x14ac:dyDescent="0.25">
      <c r="F4270" t="s">
        <v>5287</v>
      </c>
      <c r="G4270">
        <v>73467</v>
      </c>
      <c r="H4270">
        <v>8136</v>
      </c>
      <c r="I4270" s="25" t="s">
        <v>2018</v>
      </c>
      <c r="J4270" t="s">
        <v>2039</v>
      </c>
      <c r="M4270" s="49"/>
    </row>
    <row r="4271" spans="6:13" x14ac:dyDescent="0.25">
      <c r="F4271" t="s">
        <v>5288</v>
      </c>
      <c r="G4271">
        <v>67281</v>
      </c>
      <c r="H4271">
        <v>7332</v>
      </c>
      <c r="I4271" s="25" t="s">
        <v>2123</v>
      </c>
      <c r="J4271" t="s">
        <v>2440</v>
      </c>
      <c r="M4271" s="49"/>
    </row>
    <row r="4272" spans="6:13" x14ac:dyDescent="0.25">
      <c r="F4272" t="s">
        <v>5289</v>
      </c>
      <c r="G4272">
        <v>85551</v>
      </c>
      <c r="H4272">
        <v>9184</v>
      </c>
      <c r="I4272" s="25" t="s">
        <v>2050</v>
      </c>
      <c r="J4272" t="s">
        <v>2547</v>
      </c>
      <c r="M4272" s="49"/>
    </row>
    <row r="4273" spans="6:13" x14ac:dyDescent="0.25">
      <c r="F4273" t="s">
        <v>5290</v>
      </c>
      <c r="G4273">
        <v>87757</v>
      </c>
      <c r="H4273">
        <v>9778</v>
      </c>
      <c r="I4273" s="25" t="s">
        <v>2050</v>
      </c>
      <c r="J4273" t="s">
        <v>2460</v>
      </c>
      <c r="M4273" s="49"/>
    </row>
    <row r="4274" spans="6:13" x14ac:dyDescent="0.25">
      <c r="F4274" t="s">
        <v>5291</v>
      </c>
      <c r="G4274">
        <v>73230</v>
      </c>
      <c r="H4274">
        <v>8116</v>
      </c>
      <c r="I4274" s="25" t="s">
        <v>2018</v>
      </c>
      <c r="J4274" t="s">
        <v>2213</v>
      </c>
      <c r="M4274" s="49"/>
    </row>
    <row r="4275" spans="6:13" x14ac:dyDescent="0.25">
      <c r="F4275" t="s">
        <v>5292</v>
      </c>
      <c r="G4275">
        <v>67292</v>
      </c>
      <c r="H4275">
        <v>7333</v>
      </c>
      <c r="I4275" s="25" t="s">
        <v>2123</v>
      </c>
      <c r="J4275" t="s">
        <v>2103</v>
      </c>
      <c r="M4275" s="49"/>
    </row>
    <row r="4276" spans="6:13" x14ac:dyDescent="0.25">
      <c r="F4276" t="s">
        <v>5293</v>
      </c>
      <c r="G4276">
        <v>57399</v>
      </c>
      <c r="H4276">
        <v>5966</v>
      </c>
      <c r="I4276" s="25" t="s">
        <v>2023</v>
      </c>
      <c r="J4276" t="s">
        <v>2289</v>
      </c>
      <c r="M4276" s="49"/>
    </row>
    <row r="4277" spans="6:13" x14ac:dyDescent="0.25">
      <c r="F4277" t="s">
        <v>5294</v>
      </c>
      <c r="G4277">
        <v>96166</v>
      </c>
      <c r="H4277">
        <v>9674</v>
      </c>
      <c r="I4277" s="25" t="s">
        <v>2050</v>
      </c>
      <c r="J4277" t="s">
        <v>2218</v>
      </c>
      <c r="M4277" s="49"/>
    </row>
    <row r="4278" spans="6:13" x14ac:dyDescent="0.25">
      <c r="F4278" t="s">
        <v>5295</v>
      </c>
      <c r="G4278">
        <v>32278</v>
      </c>
      <c r="H4278">
        <v>5758</v>
      </c>
      <c r="I4278" s="25" t="s">
        <v>2023</v>
      </c>
      <c r="J4278" t="s">
        <v>2189</v>
      </c>
      <c r="M4278" s="49"/>
    </row>
    <row r="4279" spans="6:13" x14ac:dyDescent="0.25">
      <c r="F4279" t="s">
        <v>5296</v>
      </c>
      <c r="G4279">
        <v>27308</v>
      </c>
      <c r="H4279">
        <v>3361</v>
      </c>
      <c r="I4279" s="25" t="s">
        <v>2074</v>
      </c>
      <c r="J4279" t="s">
        <v>2075</v>
      </c>
      <c r="M4279" s="49"/>
    </row>
    <row r="4280" spans="6:13" x14ac:dyDescent="0.25">
      <c r="F4280" t="s">
        <v>5297</v>
      </c>
      <c r="G4280">
        <v>94356</v>
      </c>
      <c r="H4280">
        <v>9278</v>
      </c>
      <c r="I4280" s="25" t="s">
        <v>2050</v>
      </c>
      <c r="J4280" t="s">
        <v>2170</v>
      </c>
      <c r="M4280" s="49"/>
    </row>
    <row r="4281" spans="6:13" x14ac:dyDescent="0.25">
      <c r="F4281" t="s">
        <v>5298</v>
      </c>
      <c r="G4281">
        <v>85614</v>
      </c>
      <c r="H4281">
        <v>9175</v>
      </c>
      <c r="I4281" s="25" t="s">
        <v>2050</v>
      </c>
      <c r="J4281" t="s">
        <v>2500</v>
      </c>
      <c r="M4281" s="49"/>
    </row>
    <row r="4282" spans="6:13" x14ac:dyDescent="0.25">
      <c r="F4282" t="s">
        <v>5299</v>
      </c>
      <c r="G4282">
        <v>84558</v>
      </c>
      <c r="H4282">
        <v>9171</v>
      </c>
      <c r="I4282" s="25" t="s">
        <v>2050</v>
      </c>
      <c r="J4282" t="s">
        <v>2446</v>
      </c>
      <c r="M4282" s="49"/>
    </row>
    <row r="4283" spans="6:13" x14ac:dyDescent="0.25">
      <c r="F4283" t="s">
        <v>5300</v>
      </c>
      <c r="G4283">
        <v>79199</v>
      </c>
      <c r="H4283">
        <v>8315</v>
      </c>
      <c r="I4283" s="25" t="s">
        <v>2018</v>
      </c>
      <c r="J4283" t="s">
        <v>2061</v>
      </c>
      <c r="M4283" s="49"/>
    </row>
    <row r="4284" spans="6:13" x14ac:dyDescent="0.25">
      <c r="F4284" t="s">
        <v>5301</v>
      </c>
      <c r="G4284">
        <v>63931</v>
      </c>
      <c r="H4284">
        <v>9676</v>
      </c>
      <c r="I4284" s="25" t="s">
        <v>2050</v>
      </c>
      <c r="J4284" t="s">
        <v>2381</v>
      </c>
      <c r="M4284" s="49"/>
    </row>
    <row r="4285" spans="6:13" x14ac:dyDescent="0.25">
      <c r="F4285" t="s">
        <v>5302</v>
      </c>
      <c r="G4285">
        <v>66459</v>
      </c>
      <c r="H4285">
        <v>10045</v>
      </c>
      <c r="I4285" s="25" t="s">
        <v>2849</v>
      </c>
      <c r="J4285" t="s">
        <v>3048</v>
      </c>
      <c r="M4285" s="49"/>
    </row>
    <row r="4286" spans="6:13" x14ac:dyDescent="0.25">
      <c r="F4286" t="s">
        <v>5303</v>
      </c>
      <c r="G4286">
        <v>55606</v>
      </c>
      <c r="H4286">
        <v>7133</v>
      </c>
      <c r="I4286" s="25" t="s">
        <v>2123</v>
      </c>
      <c r="J4286" t="s">
        <v>2037</v>
      </c>
      <c r="M4286" s="49"/>
    </row>
    <row r="4287" spans="6:13" x14ac:dyDescent="0.25">
      <c r="F4287" t="s">
        <v>5303</v>
      </c>
      <c r="G4287">
        <v>55606</v>
      </c>
      <c r="H4287">
        <v>7133</v>
      </c>
      <c r="I4287" s="25" t="s">
        <v>2123</v>
      </c>
      <c r="J4287" t="s">
        <v>2037</v>
      </c>
      <c r="M4287" s="49"/>
    </row>
    <row r="4288" spans="6:13" x14ac:dyDescent="0.25">
      <c r="F4288" t="s">
        <v>5303</v>
      </c>
      <c r="G4288">
        <v>55606</v>
      </c>
      <c r="H4288">
        <v>7133</v>
      </c>
      <c r="I4288" s="25" t="s">
        <v>2123</v>
      </c>
      <c r="J4288" t="s">
        <v>2037</v>
      </c>
      <c r="M4288" s="49"/>
    </row>
    <row r="4289" spans="6:13" x14ac:dyDescent="0.25">
      <c r="F4289" t="s">
        <v>5304</v>
      </c>
      <c r="G4289">
        <v>67489</v>
      </c>
      <c r="H4289">
        <v>7337</v>
      </c>
      <c r="I4289" s="25" t="s">
        <v>2123</v>
      </c>
      <c r="J4289" t="s">
        <v>2256</v>
      </c>
      <c r="M4289" s="49"/>
    </row>
    <row r="4290" spans="6:13" x14ac:dyDescent="0.25">
      <c r="F4290" t="s">
        <v>5304</v>
      </c>
      <c r="G4290">
        <v>67489</v>
      </c>
      <c r="H4290">
        <v>7337</v>
      </c>
      <c r="I4290" s="25" t="s">
        <v>2123</v>
      </c>
      <c r="J4290" t="s">
        <v>2256</v>
      </c>
      <c r="M4290" s="49"/>
    </row>
    <row r="4291" spans="6:13" x14ac:dyDescent="0.25">
      <c r="F4291" t="s">
        <v>5305</v>
      </c>
      <c r="G4291">
        <v>7919</v>
      </c>
      <c r="H4291">
        <v>14523</v>
      </c>
      <c r="I4291" s="25" t="s">
        <v>2135</v>
      </c>
      <c r="J4291" t="s">
        <v>2136</v>
      </c>
      <c r="M4291" s="49"/>
    </row>
    <row r="4292" spans="6:13" x14ac:dyDescent="0.25">
      <c r="F4292" t="s">
        <v>5305</v>
      </c>
      <c r="G4292">
        <v>7919</v>
      </c>
      <c r="H4292">
        <v>14523</v>
      </c>
      <c r="I4292" s="25" t="s">
        <v>2135</v>
      </c>
      <c r="J4292" t="s">
        <v>2136</v>
      </c>
      <c r="M4292" s="49"/>
    </row>
    <row r="4293" spans="6:13" x14ac:dyDescent="0.25">
      <c r="F4293" t="s">
        <v>5305</v>
      </c>
      <c r="G4293">
        <v>7919</v>
      </c>
      <c r="H4293">
        <v>16075</v>
      </c>
      <c r="I4293" s="25" t="s">
        <v>2384</v>
      </c>
      <c r="J4293" t="s">
        <v>4221</v>
      </c>
      <c r="M4293" s="49"/>
    </row>
    <row r="4294" spans="6:13" x14ac:dyDescent="0.25">
      <c r="F4294" t="s">
        <v>5305</v>
      </c>
      <c r="G4294">
        <v>7919</v>
      </c>
      <c r="H4294">
        <v>16075</v>
      </c>
      <c r="I4294" s="25" t="s">
        <v>2384</v>
      </c>
      <c r="J4294" t="s">
        <v>4221</v>
      </c>
      <c r="M4294" s="49"/>
    </row>
    <row r="4295" spans="6:13" x14ac:dyDescent="0.25">
      <c r="F4295" t="s">
        <v>5306</v>
      </c>
      <c r="G4295">
        <v>36320</v>
      </c>
      <c r="H4295">
        <v>6535</v>
      </c>
      <c r="I4295" s="25" t="s">
        <v>2046</v>
      </c>
      <c r="J4295" t="s">
        <v>2346</v>
      </c>
      <c r="M4295" s="49"/>
    </row>
    <row r="4296" spans="6:13" x14ac:dyDescent="0.25">
      <c r="F4296" t="s">
        <v>5307</v>
      </c>
      <c r="G4296">
        <v>24629</v>
      </c>
      <c r="H4296">
        <v>1060</v>
      </c>
      <c r="I4296" s="25" t="s">
        <v>2085</v>
      </c>
      <c r="J4296" t="s">
        <v>2363</v>
      </c>
      <c r="M4296" s="49"/>
    </row>
    <row r="4297" spans="6:13" x14ac:dyDescent="0.25">
      <c r="F4297" t="s">
        <v>5308</v>
      </c>
      <c r="G4297">
        <v>38324</v>
      </c>
      <c r="H4297">
        <v>3158</v>
      </c>
      <c r="I4297" s="25" t="s">
        <v>2074</v>
      </c>
      <c r="J4297" t="s">
        <v>2434</v>
      </c>
      <c r="M4297" s="49"/>
    </row>
    <row r="4298" spans="6:13" x14ac:dyDescent="0.25">
      <c r="F4298" t="s">
        <v>5309</v>
      </c>
      <c r="G4298">
        <v>86438</v>
      </c>
      <c r="H4298">
        <v>9771</v>
      </c>
      <c r="I4298" s="25" t="s">
        <v>2050</v>
      </c>
      <c r="J4298" t="s">
        <v>2120</v>
      </c>
      <c r="M4298" s="49"/>
    </row>
    <row r="4299" spans="6:13" x14ac:dyDescent="0.25">
      <c r="F4299" t="s">
        <v>5310</v>
      </c>
      <c r="G4299">
        <v>88353</v>
      </c>
      <c r="H4299">
        <v>8436</v>
      </c>
      <c r="I4299" s="25" t="s">
        <v>2018</v>
      </c>
      <c r="J4299" t="s">
        <v>2068</v>
      </c>
      <c r="M4299" s="49"/>
    </row>
    <row r="4300" spans="6:13" x14ac:dyDescent="0.25">
      <c r="F4300" t="s">
        <v>5311</v>
      </c>
      <c r="G4300">
        <v>97270</v>
      </c>
      <c r="H4300">
        <v>9679</v>
      </c>
      <c r="I4300" s="25" t="s">
        <v>2050</v>
      </c>
      <c r="J4300" t="s">
        <v>2428</v>
      </c>
      <c r="M4300" s="49"/>
    </row>
    <row r="4301" spans="6:13" x14ac:dyDescent="0.25">
      <c r="F4301" t="s">
        <v>2259</v>
      </c>
      <c r="G4301">
        <v>97318</v>
      </c>
      <c r="H4301">
        <v>9675</v>
      </c>
      <c r="I4301" s="25" t="s">
        <v>2050</v>
      </c>
      <c r="J4301" t="s">
        <v>2259</v>
      </c>
      <c r="M4301" s="49"/>
    </row>
    <row r="4302" spans="6:13" x14ac:dyDescent="0.25">
      <c r="F4302" t="s">
        <v>5312</v>
      </c>
      <c r="G4302">
        <v>4567</v>
      </c>
      <c r="H4302">
        <v>14729</v>
      </c>
      <c r="I4302" s="25" t="s">
        <v>2135</v>
      </c>
      <c r="J4302" t="s">
        <v>2684</v>
      </c>
      <c r="M4302" s="49"/>
    </row>
    <row r="4303" spans="6:13" x14ac:dyDescent="0.25">
      <c r="F4303" t="s">
        <v>5313</v>
      </c>
      <c r="G4303">
        <v>54524</v>
      </c>
      <c r="H4303">
        <v>7231</v>
      </c>
      <c r="I4303" s="25" t="s">
        <v>2123</v>
      </c>
      <c r="J4303" t="s">
        <v>2043</v>
      </c>
      <c r="M4303" s="49"/>
    </row>
    <row r="4304" spans="6:13" x14ac:dyDescent="0.25">
      <c r="F4304" t="s">
        <v>5314</v>
      </c>
      <c r="G4304">
        <v>17390</v>
      </c>
      <c r="H4304">
        <v>13075</v>
      </c>
      <c r="I4304" s="25" t="s">
        <v>2191</v>
      </c>
      <c r="J4304" t="s">
        <v>2160</v>
      </c>
      <c r="M4304" s="49"/>
    </row>
    <row r="4305" spans="6:13" x14ac:dyDescent="0.25">
      <c r="F4305" t="s">
        <v>5315</v>
      </c>
      <c r="G4305">
        <v>25365</v>
      </c>
      <c r="H4305">
        <v>1056</v>
      </c>
      <c r="I4305" s="25" t="s">
        <v>2085</v>
      </c>
      <c r="J4305" t="s">
        <v>2311</v>
      </c>
      <c r="M4305" s="49"/>
    </row>
    <row r="4306" spans="6:13" x14ac:dyDescent="0.25">
      <c r="F4306" t="s">
        <v>5316</v>
      </c>
      <c r="G4306">
        <v>23860</v>
      </c>
      <c r="H4306">
        <v>1053</v>
      </c>
      <c r="I4306" s="25" t="s">
        <v>2085</v>
      </c>
      <c r="J4306" t="s">
        <v>2193</v>
      </c>
      <c r="M4306" s="49"/>
    </row>
    <row r="4307" spans="6:13" x14ac:dyDescent="0.25">
      <c r="F4307" t="s">
        <v>5316</v>
      </c>
      <c r="G4307">
        <v>23860</v>
      </c>
      <c r="H4307">
        <v>1062</v>
      </c>
      <c r="I4307" s="25" t="s">
        <v>2085</v>
      </c>
      <c r="J4307" t="s">
        <v>2188</v>
      </c>
      <c r="M4307" s="49"/>
    </row>
    <row r="4308" spans="6:13" x14ac:dyDescent="0.25">
      <c r="F4308" t="s">
        <v>5317</v>
      </c>
      <c r="G4308">
        <v>66271</v>
      </c>
      <c r="H4308">
        <v>10041</v>
      </c>
      <c r="I4308" s="25" t="s">
        <v>2849</v>
      </c>
      <c r="J4308" t="s">
        <v>4138</v>
      </c>
      <c r="M4308" s="49"/>
    </row>
    <row r="4309" spans="6:13" x14ac:dyDescent="0.25">
      <c r="F4309" t="s">
        <v>5318</v>
      </c>
      <c r="G4309">
        <v>66501</v>
      </c>
      <c r="H4309">
        <v>7340</v>
      </c>
      <c r="I4309" s="25" t="s">
        <v>2123</v>
      </c>
      <c r="J4309" t="s">
        <v>2826</v>
      </c>
      <c r="M4309" s="49"/>
    </row>
    <row r="4310" spans="6:13" x14ac:dyDescent="0.25">
      <c r="F4310" t="s">
        <v>5319</v>
      </c>
      <c r="G4310">
        <v>79692</v>
      </c>
      <c r="H4310">
        <v>8336</v>
      </c>
      <c r="I4310" s="25" t="s">
        <v>2018</v>
      </c>
      <c r="J4310" t="s">
        <v>2227</v>
      </c>
      <c r="M4310" s="49"/>
    </row>
    <row r="4311" spans="6:13" x14ac:dyDescent="0.25">
      <c r="F4311" t="s">
        <v>5320</v>
      </c>
      <c r="G4311">
        <v>63924</v>
      </c>
      <c r="H4311">
        <v>9676</v>
      </c>
      <c r="I4311" s="25" t="s">
        <v>2050</v>
      </c>
      <c r="J4311" t="s">
        <v>2381</v>
      </c>
      <c r="M4311" s="49"/>
    </row>
    <row r="4312" spans="6:13" x14ac:dyDescent="0.25">
      <c r="F4312" t="s">
        <v>5321</v>
      </c>
      <c r="G4312">
        <v>54483</v>
      </c>
      <c r="H4312">
        <v>7231</v>
      </c>
      <c r="I4312" s="25" t="s">
        <v>2123</v>
      </c>
      <c r="J4312" t="s">
        <v>2043</v>
      </c>
      <c r="M4312" s="49"/>
    </row>
    <row r="4313" spans="6:13" x14ac:dyDescent="0.25">
      <c r="F4313" t="s">
        <v>5322</v>
      </c>
      <c r="G4313">
        <v>63828</v>
      </c>
      <c r="H4313">
        <v>9671</v>
      </c>
      <c r="I4313" s="25" t="s">
        <v>2050</v>
      </c>
      <c r="J4313" t="s">
        <v>2453</v>
      </c>
      <c r="M4313" s="49"/>
    </row>
    <row r="4314" spans="6:13" x14ac:dyDescent="0.25">
      <c r="F4314" t="s">
        <v>5323</v>
      </c>
      <c r="G4314">
        <v>97355</v>
      </c>
      <c r="H4314">
        <v>9675</v>
      </c>
      <c r="I4314" s="25" t="s">
        <v>2050</v>
      </c>
      <c r="J4314" t="s">
        <v>2259</v>
      </c>
      <c r="M4314" s="49"/>
    </row>
    <row r="4315" spans="6:13" x14ac:dyDescent="0.25">
      <c r="F4315" t="s">
        <v>5324</v>
      </c>
      <c r="G4315">
        <v>14532</v>
      </c>
      <c r="H4315">
        <v>12069</v>
      </c>
      <c r="I4315" s="25" t="s">
        <v>2356</v>
      </c>
      <c r="J4315" t="s">
        <v>2857</v>
      </c>
      <c r="M4315" s="49"/>
    </row>
    <row r="4316" spans="6:13" x14ac:dyDescent="0.25">
      <c r="F4316" t="s">
        <v>5325</v>
      </c>
      <c r="G4316">
        <v>56271</v>
      </c>
      <c r="H4316">
        <v>7138</v>
      </c>
      <c r="I4316" s="25" t="s">
        <v>2123</v>
      </c>
      <c r="J4316" t="s">
        <v>2489</v>
      </c>
      <c r="M4316" s="49"/>
    </row>
    <row r="4317" spans="6:13" x14ac:dyDescent="0.25">
      <c r="F4317" t="s">
        <v>5325</v>
      </c>
      <c r="G4317">
        <v>56271</v>
      </c>
      <c r="H4317">
        <v>7138</v>
      </c>
      <c r="I4317" s="25" t="s">
        <v>2123</v>
      </c>
      <c r="J4317" t="s">
        <v>2489</v>
      </c>
      <c r="M4317" s="49"/>
    </row>
    <row r="4318" spans="6:13" x14ac:dyDescent="0.25">
      <c r="F4318" t="s">
        <v>5325</v>
      </c>
      <c r="G4318">
        <v>56271</v>
      </c>
      <c r="H4318">
        <v>7143</v>
      </c>
      <c r="I4318" s="25" t="s">
        <v>2123</v>
      </c>
      <c r="J4318" t="s">
        <v>2331</v>
      </c>
      <c r="M4318" s="49"/>
    </row>
    <row r="4319" spans="6:13" x14ac:dyDescent="0.25">
      <c r="F4319" t="s">
        <v>5325</v>
      </c>
      <c r="G4319">
        <v>56271</v>
      </c>
      <c r="H4319">
        <v>7143</v>
      </c>
      <c r="I4319" s="25" t="s">
        <v>2123</v>
      </c>
      <c r="J4319" t="s">
        <v>2331</v>
      </c>
      <c r="M4319" s="49"/>
    </row>
    <row r="4320" spans="6:13" x14ac:dyDescent="0.25">
      <c r="F4320" t="s">
        <v>5326</v>
      </c>
      <c r="G4320">
        <v>63801</v>
      </c>
      <c r="H4320">
        <v>9671</v>
      </c>
      <c r="I4320" s="25" t="s">
        <v>2050</v>
      </c>
      <c r="J4320" t="s">
        <v>2453</v>
      </c>
      <c r="M4320" s="49"/>
    </row>
    <row r="4321" spans="6:13" x14ac:dyDescent="0.25">
      <c r="F4321" t="s">
        <v>5326</v>
      </c>
      <c r="G4321">
        <v>63801</v>
      </c>
      <c r="H4321">
        <v>9671</v>
      </c>
      <c r="I4321" s="25" t="s">
        <v>2050</v>
      </c>
      <c r="J4321" t="s">
        <v>2453</v>
      </c>
      <c r="M4321" s="49"/>
    </row>
    <row r="4322" spans="6:13" x14ac:dyDescent="0.25">
      <c r="F4322" t="s">
        <v>5327</v>
      </c>
      <c r="G4322">
        <v>97271</v>
      </c>
      <c r="H4322">
        <v>9679</v>
      </c>
      <c r="I4322" s="25" t="s">
        <v>2050</v>
      </c>
      <c r="J4322" t="s">
        <v>2428</v>
      </c>
      <c r="M4322" s="49"/>
    </row>
    <row r="4323" spans="6:13" x14ac:dyDescent="0.25">
      <c r="F4323" t="s">
        <v>5328</v>
      </c>
      <c r="G4323">
        <v>63839</v>
      </c>
      <c r="H4323">
        <v>9676</v>
      </c>
      <c r="I4323" s="25" t="s">
        <v>2050</v>
      </c>
      <c r="J4323" t="s">
        <v>2381</v>
      </c>
      <c r="M4323" s="49"/>
    </row>
    <row r="4324" spans="6:13" x14ac:dyDescent="0.25">
      <c r="F4324" t="s">
        <v>5329</v>
      </c>
      <c r="G4324">
        <v>79771</v>
      </c>
      <c r="H4324">
        <v>8337</v>
      </c>
      <c r="I4324" s="25" t="s">
        <v>2018</v>
      </c>
      <c r="J4324" t="s">
        <v>2248</v>
      </c>
      <c r="M4324" s="49"/>
    </row>
    <row r="4325" spans="6:13" x14ac:dyDescent="0.25">
      <c r="F4325" t="s">
        <v>2214</v>
      </c>
      <c r="G4325">
        <v>47533</v>
      </c>
      <c r="H4325">
        <v>5154</v>
      </c>
      <c r="I4325" s="25" t="s">
        <v>2023</v>
      </c>
      <c r="J4325" t="s">
        <v>2214</v>
      </c>
      <c r="M4325" s="49"/>
    </row>
    <row r="4326" spans="6:13" x14ac:dyDescent="0.25">
      <c r="F4326" t="s">
        <v>5330</v>
      </c>
      <c r="G4326">
        <v>1774</v>
      </c>
      <c r="H4326">
        <v>14628</v>
      </c>
      <c r="I4326" s="25" t="s">
        <v>2135</v>
      </c>
      <c r="J4326" t="s">
        <v>2347</v>
      </c>
      <c r="M4326" s="49"/>
    </row>
    <row r="4327" spans="6:13" x14ac:dyDescent="0.25">
      <c r="F4327" t="s">
        <v>5331</v>
      </c>
      <c r="G4327">
        <v>63911</v>
      </c>
      <c r="H4327">
        <v>9676</v>
      </c>
      <c r="I4327" s="25" t="s">
        <v>2050</v>
      </c>
      <c r="J4327" t="s">
        <v>2381</v>
      </c>
      <c r="M4327" s="49"/>
    </row>
    <row r="4328" spans="6:13" x14ac:dyDescent="0.25">
      <c r="F4328" t="s">
        <v>5332</v>
      </c>
      <c r="G4328">
        <v>76889</v>
      </c>
      <c r="H4328">
        <v>7337</v>
      </c>
      <c r="I4328" s="25" t="s">
        <v>2123</v>
      </c>
      <c r="J4328" t="s">
        <v>2256</v>
      </c>
      <c r="M4328" s="49"/>
    </row>
    <row r="4329" spans="6:13" x14ac:dyDescent="0.25">
      <c r="F4329" t="s">
        <v>5333</v>
      </c>
      <c r="G4329">
        <v>8267</v>
      </c>
      <c r="H4329">
        <v>14523</v>
      </c>
      <c r="I4329" s="25" t="s">
        <v>2135</v>
      </c>
      <c r="J4329" t="s">
        <v>2136</v>
      </c>
      <c r="M4329" s="49"/>
    </row>
    <row r="4330" spans="6:13" x14ac:dyDescent="0.25">
      <c r="F4330" t="s">
        <v>5334</v>
      </c>
      <c r="G4330">
        <v>8248</v>
      </c>
      <c r="H4330">
        <v>14523</v>
      </c>
      <c r="I4330" s="25" t="s">
        <v>2135</v>
      </c>
      <c r="J4330" t="s">
        <v>2136</v>
      </c>
      <c r="M4330" s="49"/>
    </row>
    <row r="4331" spans="6:13" x14ac:dyDescent="0.25">
      <c r="F4331" t="s">
        <v>5335</v>
      </c>
      <c r="G4331">
        <v>6308</v>
      </c>
      <c r="H4331">
        <v>15087</v>
      </c>
      <c r="I4331" s="25" t="s">
        <v>2241</v>
      </c>
      <c r="J4331" t="s">
        <v>2324</v>
      </c>
      <c r="M4331" s="49"/>
    </row>
    <row r="4332" spans="6:13" x14ac:dyDescent="0.25">
      <c r="F4332" t="s">
        <v>5336</v>
      </c>
      <c r="G4332">
        <v>56818</v>
      </c>
      <c r="H4332">
        <v>7135</v>
      </c>
      <c r="I4332" s="25" t="s">
        <v>2123</v>
      </c>
      <c r="J4332" t="s">
        <v>2072</v>
      </c>
      <c r="M4332" s="49"/>
    </row>
    <row r="4333" spans="6:13" x14ac:dyDescent="0.25">
      <c r="F4333" t="s">
        <v>5337</v>
      </c>
      <c r="G4333">
        <v>38486</v>
      </c>
      <c r="H4333">
        <v>15081</v>
      </c>
      <c r="I4333" s="25" t="s">
        <v>2241</v>
      </c>
      <c r="J4333" t="s">
        <v>2028</v>
      </c>
      <c r="M4333" s="49"/>
    </row>
    <row r="4334" spans="6:13" x14ac:dyDescent="0.25">
      <c r="F4334" t="s">
        <v>5338</v>
      </c>
      <c r="G4334">
        <v>23948</v>
      </c>
      <c r="H4334">
        <v>13074</v>
      </c>
      <c r="I4334" s="25" t="s">
        <v>2191</v>
      </c>
      <c r="J4334" t="s">
        <v>2275</v>
      </c>
      <c r="M4334" s="49"/>
    </row>
    <row r="4335" spans="6:13" x14ac:dyDescent="0.25">
      <c r="F4335" t="s">
        <v>5339</v>
      </c>
      <c r="G4335">
        <v>97478</v>
      </c>
      <c r="H4335">
        <v>9674</v>
      </c>
      <c r="I4335" s="25" t="s">
        <v>2050</v>
      </c>
      <c r="J4335" t="s">
        <v>2218</v>
      </c>
      <c r="M4335" s="49"/>
    </row>
    <row r="4336" spans="6:13" x14ac:dyDescent="0.25">
      <c r="F4336" t="s">
        <v>5340</v>
      </c>
      <c r="G4336">
        <v>75438</v>
      </c>
      <c r="H4336">
        <v>8236</v>
      </c>
      <c r="I4336" s="25" t="s">
        <v>2018</v>
      </c>
      <c r="J4336" t="s">
        <v>3087</v>
      </c>
      <c r="M4336" s="49"/>
    </row>
    <row r="4337" spans="6:13" x14ac:dyDescent="0.25">
      <c r="F4337" t="s">
        <v>5341</v>
      </c>
      <c r="G4337">
        <v>34593</v>
      </c>
      <c r="H4337">
        <v>6634</v>
      </c>
      <c r="I4337" s="25" t="s">
        <v>2046</v>
      </c>
      <c r="J4337" t="s">
        <v>2360</v>
      </c>
      <c r="M4337" s="49"/>
    </row>
    <row r="4338" spans="6:13" x14ac:dyDescent="0.25">
      <c r="F4338" t="s">
        <v>5342</v>
      </c>
      <c r="G4338">
        <v>56330</v>
      </c>
      <c r="H4338">
        <v>7137</v>
      </c>
      <c r="I4338" s="25" t="s">
        <v>2123</v>
      </c>
      <c r="J4338" t="s">
        <v>2246</v>
      </c>
      <c r="M4338" s="49"/>
    </row>
    <row r="4339" spans="6:13" x14ac:dyDescent="0.25">
      <c r="F4339" t="s">
        <v>5343</v>
      </c>
      <c r="G4339">
        <v>56076</v>
      </c>
      <c r="H4339">
        <v>7111</v>
      </c>
      <c r="I4339" s="25" t="s">
        <v>2123</v>
      </c>
      <c r="J4339" t="s">
        <v>5344</v>
      </c>
      <c r="M4339" s="49"/>
    </row>
    <row r="4340" spans="6:13" x14ac:dyDescent="0.25">
      <c r="F4340" t="s">
        <v>5343</v>
      </c>
      <c r="G4340">
        <v>56068</v>
      </c>
      <c r="H4340">
        <v>7111</v>
      </c>
      <c r="I4340" s="25" t="s">
        <v>2123</v>
      </c>
      <c r="J4340" t="s">
        <v>5344</v>
      </c>
      <c r="M4340" s="49"/>
    </row>
    <row r="4341" spans="6:13" x14ac:dyDescent="0.25">
      <c r="F4341" t="s">
        <v>5343</v>
      </c>
      <c r="G4341">
        <v>56070</v>
      </c>
      <c r="H4341">
        <v>7111</v>
      </c>
      <c r="I4341" s="25" t="s">
        <v>2123</v>
      </c>
      <c r="J4341" t="s">
        <v>5344</v>
      </c>
      <c r="M4341" s="49"/>
    </row>
    <row r="4342" spans="6:13" x14ac:dyDescent="0.25">
      <c r="F4342" t="s">
        <v>5343</v>
      </c>
      <c r="G4342">
        <v>56075</v>
      </c>
      <c r="H4342">
        <v>7111</v>
      </c>
      <c r="I4342" s="25" t="s">
        <v>2123</v>
      </c>
      <c r="J4342" t="s">
        <v>5344</v>
      </c>
      <c r="M4342" s="49"/>
    </row>
    <row r="4343" spans="6:13" x14ac:dyDescent="0.25">
      <c r="F4343" t="s">
        <v>5343</v>
      </c>
      <c r="G4343">
        <v>56073</v>
      </c>
      <c r="H4343">
        <v>7111</v>
      </c>
      <c r="I4343" s="25" t="s">
        <v>2123</v>
      </c>
      <c r="J4343" t="s">
        <v>5344</v>
      </c>
      <c r="M4343" s="49"/>
    </row>
    <row r="4344" spans="6:13" x14ac:dyDescent="0.25">
      <c r="F4344" t="s">
        <v>5343</v>
      </c>
      <c r="G4344">
        <v>56077</v>
      </c>
      <c r="H4344">
        <v>7111</v>
      </c>
      <c r="I4344" s="25" t="s">
        <v>2123</v>
      </c>
      <c r="J4344" t="s">
        <v>5344</v>
      </c>
      <c r="M4344" s="49"/>
    </row>
    <row r="4345" spans="6:13" x14ac:dyDescent="0.25">
      <c r="F4345" t="s">
        <v>5343</v>
      </c>
      <c r="G4345">
        <v>56072</v>
      </c>
      <c r="H4345">
        <v>7111</v>
      </c>
      <c r="I4345" s="25" t="s">
        <v>2123</v>
      </c>
      <c r="J4345" t="s">
        <v>5344</v>
      </c>
      <c r="M4345" s="49"/>
    </row>
    <row r="4346" spans="6:13" x14ac:dyDescent="0.25">
      <c r="F4346" t="s">
        <v>5343</v>
      </c>
      <c r="G4346">
        <v>56070</v>
      </c>
      <c r="H4346">
        <v>7111</v>
      </c>
      <c r="I4346" s="25" t="s">
        <v>2123</v>
      </c>
      <c r="J4346" t="s">
        <v>5344</v>
      </c>
      <c r="M4346" s="49"/>
    </row>
    <row r="4347" spans="6:13" x14ac:dyDescent="0.25">
      <c r="F4347" t="s">
        <v>5345</v>
      </c>
      <c r="G4347">
        <v>82431</v>
      </c>
      <c r="H4347">
        <v>9173</v>
      </c>
      <c r="I4347" s="25" t="s">
        <v>2050</v>
      </c>
      <c r="J4347" t="s">
        <v>2659</v>
      </c>
      <c r="M4347" s="49"/>
    </row>
    <row r="4348" spans="6:13" x14ac:dyDescent="0.25">
      <c r="F4348" t="s">
        <v>5346</v>
      </c>
      <c r="G4348">
        <v>95189</v>
      </c>
      <c r="H4348">
        <v>9475</v>
      </c>
      <c r="I4348" s="25" t="s">
        <v>2050</v>
      </c>
      <c r="J4348" t="s">
        <v>2201</v>
      </c>
      <c r="M4348" s="49"/>
    </row>
    <row r="4349" spans="6:13" x14ac:dyDescent="0.25">
      <c r="F4349" t="s">
        <v>5347</v>
      </c>
      <c r="G4349">
        <v>95361</v>
      </c>
      <c r="H4349">
        <v>9477</v>
      </c>
      <c r="I4349" s="25" t="s">
        <v>2050</v>
      </c>
      <c r="J4349" t="s">
        <v>4385</v>
      </c>
      <c r="M4349" s="49"/>
    </row>
    <row r="4350" spans="6:13" x14ac:dyDescent="0.25">
      <c r="F4350" t="s">
        <v>5348</v>
      </c>
      <c r="G4350">
        <v>93096</v>
      </c>
      <c r="H4350">
        <v>9375</v>
      </c>
      <c r="I4350" s="25" t="s">
        <v>2050</v>
      </c>
      <c r="J4350" t="s">
        <v>2365</v>
      </c>
      <c r="M4350" s="49"/>
    </row>
    <row r="4351" spans="6:13" x14ac:dyDescent="0.25">
      <c r="F4351" t="s">
        <v>5349</v>
      </c>
      <c r="G4351">
        <v>72664</v>
      </c>
      <c r="H4351">
        <v>8116</v>
      </c>
      <c r="I4351" s="25" t="s">
        <v>2018</v>
      </c>
      <c r="J4351" t="s">
        <v>2213</v>
      </c>
      <c r="M4351" s="49"/>
    </row>
    <row r="4352" spans="6:13" x14ac:dyDescent="0.25">
      <c r="F4352" t="s">
        <v>5349</v>
      </c>
      <c r="G4352">
        <v>92702</v>
      </c>
      <c r="H4352">
        <v>9374</v>
      </c>
      <c r="I4352" s="25" t="s">
        <v>2050</v>
      </c>
      <c r="J4352" t="s">
        <v>2420</v>
      </c>
      <c r="M4352" s="49"/>
    </row>
    <row r="4353" spans="6:13" x14ac:dyDescent="0.25">
      <c r="F4353" t="s">
        <v>5350</v>
      </c>
      <c r="G4353">
        <v>83059</v>
      </c>
      <c r="H4353">
        <v>9187</v>
      </c>
      <c r="I4353" s="25" t="s">
        <v>2050</v>
      </c>
      <c r="J4353" t="s">
        <v>2245</v>
      </c>
      <c r="M4353" s="49"/>
    </row>
    <row r="4354" spans="6:13" x14ac:dyDescent="0.25">
      <c r="F4354" t="s">
        <v>5351</v>
      </c>
      <c r="G4354">
        <v>78600</v>
      </c>
      <c r="H4354">
        <v>8327</v>
      </c>
      <c r="I4354" s="25" t="s">
        <v>2018</v>
      </c>
      <c r="J4354" t="s">
        <v>2277</v>
      </c>
      <c r="M4354" s="49"/>
    </row>
    <row r="4355" spans="6:13" x14ac:dyDescent="0.25">
      <c r="F4355" t="s">
        <v>5352</v>
      </c>
      <c r="G4355">
        <v>97509</v>
      </c>
      <c r="H4355">
        <v>9678</v>
      </c>
      <c r="I4355" s="25" t="s">
        <v>2050</v>
      </c>
      <c r="J4355" t="s">
        <v>2918</v>
      </c>
      <c r="M4355" s="49"/>
    </row>
    <row r="4356" spans="6:13" x14ac:dyDescent="0.25">
      <c r="F4356" t="s">
        <v>5353</v>
      </c>
      <c r="G4356">
        <v>3099</v>
      </c>
      <c r="H4356">
        <v>12071</v>
      </c>
      <c r="I4356" s="25" t="s">
        <v>2356</v>
      </c>
      <c r="J4356" t="s">
        <v>3364</v>
      </c>
      <c r="M4356" s="49"/>
    </row>
    <row r="4357" spans="6:13" x14ac:dyDescent="0.25">
      <c r="F4357" t="s">
        <v>5354</v>
      </c>
      <c r="G4357">
        <v>99625</v>
      </c>
      <c r="H4357">
        <v>16068</v>
      </c>
      <c r="I4357" s="25" t="s">
        <v>2384</v>
      </c>
      <c r="J4357" t="s">
        <v>3075</v>
      </c>
      <c r="M4357" s="49"/>
    </row>
    <row r="4358" spans="6:13" x14ac:dyDescent="0.25">
      <c r="F4358" t="s">
        <v>5355</v>
      </c>
      <c r="G4358">
        <v>25377</v>
      </c>
      <c r="H4358">
        <v>1061</v>
      </c>
      <c r="I4358" s="25" t="s">
        <v>2085</v>
      </c>
      <c r="J4358" t="s">
        <v>2377</v>
      </c>
      <c r="M4358" s="49"/>
    </row>
    <row r="4359" spans="6:13" x14ac:dyDescent="0.25">
      <c r="F4359" t="s">
        <v>5355</v>
      </c>
      <c r="G4359">
        <v>25377</v>
      </c>
      <c r="H4359">
        <v>1061</v>
      </c>
      <c r="I4359" s="25" t="s">
        <v>2085</v>
      </c>
      <c r="J4359" t="s">
        <v>2377</v>
      </c>
      <c r="M4359" s="49"/>
    </row>
    <row r="4360" spans="6:13" x14ac:dyDescent="0.25">
      <c r="F4360" t="s">
        <v>5356</v>
      </c>
      <c r="G4360">
        <v>94262</v>
      </c>
      <c r="H4360">
        <v>9276</v>
      </c>
      <c r="I4360" s="25" t="s">
        <v>2050</v>
      </c>
      <c r="J4360" t="s">
        <v>2078</v>
      </c>
      <c r="M4360" s="49"/>
    </row>
    <row r="4361" spans="6:13" x14ac:dyDescent="0.25">
      <c r="F4361" t="s">
        <v>5357</v>
      </c>
      <c r="G4361">
        <v>21527</v>
      </c>
      <c r="H4361">
        <v>1053</v>
      </c>
      <c r="I4361" s="25" t="s">
        <v>2085</v>
      </c>
      <c r="J4361" t="s">
        <v>2193</v>
      </c>
      <c r="M4361" s="49"/>
    </row>
    <row r="4362" spans="6:13" x14ac:dyDescent="0.25">
      <c r="F4362" t="s">
        <v>5358</v>
      </c>
      <c r="G4362">
        <v>50739</v>
      </c>
      <c r="H4362">
        <v>5315</v>
      </c>
      <c r="I4362" s="25" t="s">
        <v>2023</v>
      </c>
      <c r="J4362" t="s">
        <v>2908</v>
      </c>
      <c r="M4362" s="49"/>
    </row>
    <row r="4363" spans="6:13" x14ac:dyDescent="0.25">
      <c r="F4363" t="s">
        <v>5358</v>
      </c>
      <c r="G4363">
        <v>50968</v>
      </c>
      <c r="H4363">
        <v>5315</v>
      </c>
      <c r="I4363" s="25" t="s">
        <v>2023</v>
      </c>
      <c r="J4363" t="s">
        <v>2908</v>
      </c>
      <c r="M4363" s="49"/>
    </row>
    <row r="4364" spans="6:13" x14ac:dyDescent="0.25">
      <c r="F4364" t="s">
        <v>5358</v>
      </c>
      <c r="G4364">
        <v>50667</v>
      </c>
      <c r="H4364">
        <v>5315</v>
      </c>
      <c r="I4364" s="25" t="s">
        <v>2023</v>
      </c>
      <c r="J4364" t="s">
        <v>2908</v>
      </c>
      <c r="M4364" s="49"/>
    </row>
    <row r="4365" spans="6:13" x14ac:dyDescent="0.25">
      <c r="F4365" t="s">
        <v>5358</v>
      </c>
      <c r="G4365">
        <v>50823</v>
      </c>
      <c r="H4365">
        <v>5315</v>
      </c>
      <c r="I4365" s="25" t="s">
        <v>2023</v>
      </c>
      <c r="J4365" t="s">
        <v>2908</v>
      </c>
      <c r="M4365" s="49"/>
    </row>
    <row r="4366" spans="6:13" x14ac:dyDescent="0.25">
      <c r="F4366" t="s">
        <v>5358</v>
      </c>
      <c r="G4366">
        <v>50672</v>
      </c>
      <c r="H4366">
        <v>5315</v>
      </c>
      <c r="I4366" s="25" t="s">
        <v>2023</v>
      </c>
      <c r="J4366" t="s">
        <v>2908</v>
      </c>
      <c r="M4366" s="49"/>
    </row>
    <row r="4367" spans="6:13" x14ac:dyDescent="0.25">
      <c r="F4367" t="s">
        <v>5358</v>
      </c>
      <c r="G4367">
        <v>50999</v>
      </c>
      <c r="H4367">
        <v>5315</v>
      </c>
      <c r="I4367" s="25" t="s">
        <v>2023</v>
      </c>
      <c r="J4367" t="s">
        <v>2908</v>
      </c>
      <c r="M4367" s="49"/>
    </row>
    <row r="4368" spans="6:13" x14ac:dyDescent="0.25">
      <c r="F4368" t="s">
        <v>5358</v>
      </c>
      <c r="G4368">
        <v>51065</v>
      </c>
      <c r="H4368">
        <v>5315</v>
      </c>
      <c r="I4368" s="25" t="s">
        <v>2023</v>
      </c>
      <c r="J4368" t="s">
        <v>2908</v>
      </c>
      <c r="M4368" s="49"/>
    </row>
    <row r="4369" spans="6:13" x14ac:dyDescent="0.25">
      <c r="F4369" t="s">
        <v>5358</v>
      </c>
      <c r="G4369">
        <v>50939</v>
      </c>
      <c r="H4369">
        <v>5315</v>
      </c>
      <c r="I4369" s="25" t="s">
        <v>2023</v>
      </c>
      <c r="J4369" t="s">
        <v>2908</v>
      </c>
      <c r="M4369" s="49"/>
    </row>
    <row r="4370" spans="6:13" x14ac:dyDescent="0.25">
      <c r="F4370" t="s">
        <v>5358</v>
      </c>
      <c r="G4370">
        <v>50667</v>
      </c>
      <c r="H4370">
        <v>5315</v>
      </c>
      <c r="I4370" s="25" t="s">
        <v>2023</v>
      </c>
      <c r="J4370" t="s">
        <v>2908</v>
      </c>
      <c r="M4370" s="49"/>
    </row>
    <row r="4371" spans="6:13" x14ac:dyDescent="0.25">
      <c r="F4371" t="s">
        <v>5358</v>
      </c>
      <c r="G4371">
        <v>50769</v>
      </c>
      <c r="H4371">
        <v>5315</v>
      </c>
      <c r="I4371" s="25" t="s">
        <v>2023</v>
      </c>
      <c r="J4371" t="s">
        <v>2908</v>
      </c>
      <c r="M4371" s="49"/>
    </row>
    <row r="4372" spans="6:13" x14ac:dyDescent="0.25">
      <c r="F4372" t="s">
        <v>5358</v>
      </c>
      <c r="G4372">
        <v>50825</v>
      </c>
      <c r="H4372">
        <v>5315</v>
      </c>
      <c r="I4372" s="25" t="s">
        <v>2023</v>
      </c>
      <c r="J4372" t="s">
        <v>2908</v>
      </c>
      <c r="M4372" s="49"/>
    </row>
    <row r="4373" spans="6:13" x14ac:dyDescent="0.25">
      <c r="F4373" t="s">
        <v>5358</v>
      </c>
      <c r="G4373">
        <v>50735</v>
      </c>
      <c r="H4373">
        <v>5315</v>
      </c>
      <c r="I4373" s="25" t="s">
        <v>2023</v>
      </c>
      <c r="J4373" t="s">
        <v>2908</v>
      </c>
      <c r="M4373" s="49"/>
    </row>
    <row r="4374" spans="6:13" x14ac:dyDescent="0.25">
      <c r="F4374" t="s">
        <v>5358</v>
      </c>
      <c r="G4374">
        <v>51145</v>
      </c>
      <c r="H4374">
        <v>5315</v>
      </c>
      <c r="I4374" s="25" t="s">
        <v>2023</v>
      </c>
      <c r="J4374" t="s">
        <v>2908</v>
      </c>
      <c r="M4374" s="49"/>
    </row>
    <row r="4375" spans="6:13" x14ac:dyDescent="0.25">
      <c r="F4375" t="s">
        <v>5358</v>
      </c>
      <c r="G4375">
        <v>50737</v>
      </c>
      <c r="H4375">
        <v>5315</v>
      </c>
      <c r="I4375" s="25" t="s">
        <v>2023</v>
      </c>
      <c r="J4375" t="s">
        <v>2908</v>
      </c>
      <c r="M4375" s="49"/>
    </row>
    <row r="4376" spans="6:13" x14ac:dyDescent="0.25">
      <c r="F4376" t="s">
        <v>5358</v>
      </c>
      <c r="G4376">
        <v>50996</v>
      </c>
      <c r="H4376">
        <v>5315</v>
      </c>
      <c r="I4376" s="25" t="s">
        <v>2023</v>
      </c>
      <c r="J4376" t="s">
        <v>2908</v>
      </c>
      <c r="M4376" s="49"/>
    </row>
    <row r="4377" spans="6:13" x14ac:dyDescent="0.25">
      <c r="F4377" t="s">
        <v>5358</v>
      </c>
      <c r="G4377">
        <v>51063</v>
      </c>
      <c r="H4377">
        <v>5315</v>
      </c>
      <c r="I4377" s="25" t="s">
        <v>2023</v>
      </c>
      <c r="J4377" t="s">
        <v>2908</v>
      </c>
      <c r="M4377" s="49"/>
    </row>
    <row r="4378" spans="6:13" x14ac:dyDescent="0.25">
      <c r="F4378" t="s">
        <v>5358</v>
      </c>
      <c r="G4378">
        <v>51107</v>
      </c>
      <c r="H4378">
        <v>5315</v>
      </c>
      <c r="I4378" s="25" t="s">
        <v>2023</v>
      </c>
      <c r="J4378" t="s">
        <v>2908</v>
      </c>
      <c r="M4378" s="49"/>
    </row>
    <row r="4379" spans="6:13" x14ac:dyDescent="0.25">
      <c r="F4379" t="s">
        <v>5358</v>
      </c>
      <c r="G4379">
        <v>50767</v>
      </c>
      <c r="H4379">
        <v>5315</v>
      </c>
      <c r="I4379" s="25" t="s">
        <v>2023</v>
      </c>
      <c r="J4379" t="s">
        <v>2908</v>
      </c>
      <c r="M4379" s="49"/>
    </row>
    <row r="4380" spans="6:13" x14ac:dyDescent="0.25">
      <c r="F4380" t="s">
        <v>5358</v>
      </c>
      <c r="G4380">
        <v>50677</v>
      </c>
      <c r="H4380">
        <v>5315</v>
      </c>
      <c r="I4380" s="25" t="s">
        <v>2023</v>
      </c>
      <c r="J4380" t="s">
        <v>2908</v>
      </c>
      <c r="M4380" s="49"/>
    </row>
    <row r="4381" spans="6:13" x14ac:dyDescent="0.25">
      <c r="F4381" t="s">
        <v>5358</v>
      </c>
      <c r="G4381">
        <v>50827</v>
      </c>
      <c r="H4381">
        <v>5315</v>
      </c>
      <c r="I4381" s="25" t="s">
        <v>2023</v>
      </c>
      <c r="J4381" t="s">
        <v>2908</v>
      </c>
      <c r="M4381" s="49"/>
    </row>
    <row r="4382" spans="6:13" x14ac:dyDescent="0.25">
      <c r="F4382" t="s">
        <v>5358</v>
      </c>
      <c r="G4382">
        <v>51105</v>
      </c>
      <c r="H4382">
        <v>5315</v>
      </c>
      <c r="I4382" s="25" t="s">
        <v>2023</v>
      </c>
      <c r="J4382" t="s">
        <v>2908</v>
      </c>
      <c r="M4382" s="49"/>
    </row>
    <row r="4383" spans="6:13" x14ac:dyDescent="0.25">
      <c r="F4383" t="s">
        <v>5358</v>
      </c>
      <c r="G4383">
        <v>50931</v>
      </c>
      <c r="H4383">
        <v>5315</v>
      </c>
      <c r="I4383" s="25" t="s">
        <v>2023</v>
      </c>
      <c r="J4383" t="s">
        <v>2908</v>
      </c>
      <c r="M4383" s="49"/>
    </row>
    <row r="4384" spans="6:13" x14ac:dyDescent="0.25">
      <c r="F4384" t="s">
        <v>5358</v>
      </c>
      <c r="G4384">
        <v>51103</v>
      </c>
      <c r="H4384">
        <v>5315</v>
      </c>
      <c r="I4384" s="25" t="s">
        <v>2023</v>
      </c>
      <c r="J4384" t="s">
        <v>2908</v>
      </c>
      <c r="M4384" s="49"/>
    </row>
    <row r="4385" spans="6:13" x14ac:dyDescent="0.25">
      <c r="F4385" t="s">
        <v>5358</v>
      </c>
      <c r="G4385">
        <v>50765</v>
      </c>
      <c r="H4385">
        <v>5315</v>
      </c>
      <c r="I4385" s="25" t="s">
        <v>2023</v>
      </c>
      <c r="J4385" t="s">
        <v>2908</v>
      </c>
      <c r="M4385" s="49"/>
    </row>
    <row r="4386" spans="6:13" x14ac:dyDescent="0.25">
      <c r="F4386" t="s">
        <v>5358</v>
      </c>
      <c r="G4386">
        <v>50670</v>
      </c>
      <c r="H4386">
        <v>5315</v>
      </c>
      <c r="I4386" s="25" t="s">
        <v>2023</v>
      </c>
      <c r="J4386" t="s">
        <v>2908</v>
      </c>
      <c r="M4386" s="49"/>
    </row>
    <row r="4387" spans="6:13" x14ac:dyDescent="0.25">
      <c r="F4387" t="s">
        <v>5358</v>
      </c>
      <c r="G4387">
        <v>51147</v>
      </c>
      <c r="H4387">
        <v>5315</v>
      </c>
      <c r="I4387" s="25" t="s">
        <v>2023</v>
      </c>
      <c r="J4387" t="s">
        <v>2908</v>
      </c>
      <c r="M4387" s="49"/>
    </row>
    <row r="4388" spans="6:13" x14ac:dyDescent="0.25">
      <c r="F4388" t="s">
        <v>5358</v>
      </c>
      <c r="G4388">
        <v>50678</v>
      </c>
      <c r="H4388">
        <v>5315</v>
      </c>
      <c r="I4388" s="25" t="s">
        <v>2023</v>
      </c>
      <c r="J4388" t="s">
        <v>2908</v>
      </c>
      <c r="M4388" s="49"/>
    </row>
    <row r="4389" spans="6:13" x14ac:dyDescent="0.25">
      <c r="F4389" t="s">
        <v>5358</v>
      </c>
      <c r="G4389">
        <v>50859</v>
      </c>
      <c r="H4389">
        <v>5315</v>
      </c>
      <c r="I4389" s="25" t="s">
        <v>2023</v>
      </c>
      <c r="J4389" t="s">
        <v>2908</v>
      </c>
      <c r="M4389" s="49"/>
    </row>
    <row r="4390" spans="6:13" x14ac:dyDescent="0.25">
      <c r="F4390" t="s">
        <v>5358</v>
      </c>
      <c r="G4390">
        <v>50858</v>
      </c>
      <c r="H4390">
        <v>5315</v>
      </c>
      <c r="I4390" s="25" t="s">
        <v>2023</v>
      </c>
      <c r="J4390" t="s">
        <v>2908</v>
      </c>
      <c r="M4390" s="49"/>
    </row>
    <row r="4391" spans="6:13" x14ac:dyDescent="0.25">
      <c r="F4391" t="s">
        <v>5358</v>
      </c>
      <c r="G4391">
        <v>50969</v>
      </c>
      <c r="H4391">
        <v>5315</v>
      </c>
      <c r="I4391" s="25" t="s">
        <v>2023</v>
      </c>
      <c r="J4391" t="s">
        <v>2908</v>
      </c>
      <c r="M4391" s="49"/>
    </row>
    <row r="4392" spans="6:13" x14ac:dyDescent="0.25">
      <c r="F4392" t="s">
        <v>5358</v>
      </c>
      <c r="G4392">
        <v>50674</v>
      </c>
      <c r="H4392">
        <v>5315</v>
      </c>
      <c r="I4392" s="25" t="s">
        <v>2023</v>
      </c>
      <c r="J4392" t="s">
        <v>2908</v>
      </c>
      <c r="M4392" s="49"/>
    </row>
    <row r="4393" spans="6:13" x14ac:dyDescent="0.25">
      <c r="F4393" t="s">
        <v>5358</v>
      </c>
      <c r="G4393">
        <v>50935</v>
      </c>
      <c r="H4393">
        <v>5315</v>
      </c>
      <c r="I4393" s="25" t="s">
        <v>2023</v>
      </c>
      <c r="J4393" t="s">
        <v>2908</v>
      </c>
      <c r="M4393" s="49"/>
    </row>
    <row r="4394" spans="6:13" x14ac:dyDescent="0.25">
      <c r="F4394" t="s">
        <v>5358</v>
      </c>
      <c r="G4394">
        <v>51069</v>
      </c>
      <c r="H4394">
        <v>5315</v>
      </c>
      <c r="I4394" s="25" t="s">
        <v>2023</v>
      </c>
      <c r="J4394" t="s">
        <v>2908</v>
      </c>
      <c r="M4394" s="49"/>
    </row>
    <row r="4395" spans="6:13" x14ac:dyDescent="0.25">
      <c r="F4395" t="s">
        <v>5358</v>
      </c>
      <c r="G4395">
        <v>50937</v>
      </c>
      <c r="H4395">
        <v>5315</v>
      </c>
      <c r="I4395" s="25" t="s">
        <v>2023</v>
      </c>
      <c r="J4395" t="s">
        <v>2908</v>
      </c>
      <c r="M4395" s="49"/>
    </row>
    <row r="4396" spans="6:13" x14ac:dyDescent="0.25">
      <c r="F4396" t="s">
        <v>5358</v>
      </c>
      <c r="G4396">
        <v>50997</v>
      </c>
      <c r="H4396">
        <v>5315</v>
      </c>
      <c r="I4396" s="25" t="s">
        <v>2023</v>
      </c>
      <c r="J4396" t="s">
        <v>2908</v>
      </c>
      <c r="M4396" s="49"/>
    </row>
    <row r="4397" spans="6:13" x14ac:dyDescent="0.25">
      <c r="F4397" t="s">
        <v>5358</v>
      </c>
      <c r="G4397">
        <v>50668</v>
      </c>
      <c r="H4397">
        <v>5315</v>
      </c>
      <c r="I4397" s="25" t="s">
        <v>2023</v>
      </c>
      <c r="J4397" t="s">
        <v>2908</v>
      </c>
      <c r="M4397" s="49"/>
    </row>
    <row r="4398" spans="6:13" x14ac:dyDescent="0.25">
      <c r="F4398" t="s">
        <v>5358</v>
      </c>
      <c r="G4398">
        <v>50676</v>
      </c>
      <c r="H4398">
        <v>5315</v>
      </c>
      <c r="I4398" s="25" t="s">
        <v>2023</v>
      </c>
      <c r="J4398" t="s">
        <v>2908</v>
      </c>
      <c r="M4398" s="49"/>
    </row>
    <row r="4399" spans="6:13" x14ac:dyDescent="0.25">
      <c r="F4399" t="s">
        <v>5358</v>
      </c>
      <c r="G4399">
        <v>50733</v>
      </c>
      <c r="H4399">
        <v>5315</v>
      </c>
      <c r="I4399" s="25" t="s">
        <v>2023</v>
      </c>
      <c r="J4399" t="s">
        <v>2908</v>
      </c>
      <c r="M4399" s="49"/>
    </row>
    <row r="4400" spans="6:13" x14ac:dyDescent="0.25">
      <c r="F4400" t="s">
        <v>5358</v>
      </c>
      <c r="G4400">
        <v>50939</v>
      </c>
      <c r="H4400">
        <v>5315</v>
      </c>
      <c r="I4400" s="25" t="s">
        <v>2023</v>
      </c>
      <c r="J4400" t="s">
        <v>2908</v>
      </c>
      <c r="M4400" s="49"/>
    </row>
    <row r="4401" spans="6:13" x14ac:dyDescent="0.25">
      <c r="F4401" t="s">
        <v>5358</v>
      </c>
      <c r="G4401">
        <v>50933</v>
      </c>
      <c r="H4401">
        <v>5315</v>
      </c>
      <c r="I4401" s="25" t="s">
        <v>2023</v>
      </c>
      <c r="J4401" t="s">
        <v>2908</v>
      </c>
      <c r="M4401" s="49"/>
    </row>
    <row r="4402" spans="6:13" x14ac:dyDescent="0.25">
      <c r="F4402" t="s">
        <v>5358</v>
      </c>
      <c r="G4402">
        <v>50679</v>
      </c>
      <c r="H4402">
        <v>5315</v>
      </c>
      <c r="I4402" s="25" t="s">
        <v>2023</v>
      </c>
      <c r="J4402" t="s">
        <v>2908</v>
      </c>
      <c r="M4402" s="49"/>
    </row>
    <row r="4403" spans="6:13" x14ac:dyDescent="0.25">
      <c r="F4403" t="s">
        <v>5358</v>
      </c>
      <c r="G4403">
        <v>51149</v>
      </c>
      <c r="H4403">
        <v>5315</v>
      </c>
      <c r="I4403" s="25" t="s">
        <v>2023</v>
      </c>
      <c r="J4403" t="s">
        <v>2908</v>
      </c>
      <c r="M4403" s="49"/>
    </row>
    <row r="4404" spans="6:13" x14ac:dyDescent="0.25">
      <c r="F4404" t="s">
        <v>5358</v>
      </c>
      <c r="G4404">
        <v>51067</v>
      </c>
      <c r="H4404">
        <v>5315</v>
      </c>
      <c r="I4404" s="25" t="s">
        <v>2023</v>
      </c>
      <c r="J4404" t="s">
        <v>2908</v>
      </c>
      <c r="M4404" s="49"/>
    </row>
    <row r="4405" spans="6:13" x14ac:dyDescent="0.25">
      <c r="F4405" t="s">
        <v>5358</v>
      </c>
      <c r="G4405">
        <v>50735</v>
      </c>
      <c r="H4405">
        <v>5315</v>
      </c>
      <c r="I4405" s="25" t="s">
        <v>2023</v>
      </c>
      <c r="J4405" t="s">
        <v>2908</v>
      </c>
      <c r="M4405" s="49"/>
    </row>
    <row r="4406" spans="6:13" x14ac:dyDescent="0.25">
      <c r="F4406" t="s">
        <v>5358</v>
      </c>
      <c r="G4406">
        <v>51061</v>
      </c>
      <c r="H4406">
        <v>5315</v>
      </c>
      <c r="I4406" s="25" t="s">
        <v>2023</v>
      </c>
      <c r="J4406" t="s">
        <v>2908</v>
      </c>
      <c r="M4406" s="49"/>
    </row>
    <row r="4407" spans="6:13" x14ac:dyDescent="0.25">
      <c r="F4407" t="s">
        <v>5358</v>
      </c>
      <c r="G4407">
        <v>51109</v>
      </c>
      <c r="H4407">
        <v>5315</v>
      </c>
      <c r="I4407" s="25" t="s">
        <v>2023</v>
      </c>
      <c r="J4407" t="s">
        <v>2908</v>
      </c>
      <c r="M4407" s="49"/>
    </row>
    <row r="4408" spans="6:13" x14ac:dyDescent="0.25">
      <c r="F4408" t="s">
        <v>5358</v>
      </c>
      <c r="G4408">
        <v>50829</v>
      </c>
      <c r="H4408">
        <v>5315</v>
      </c>
      <c r="I4408" s="25" t="s">
        <v>2023</v>
      </c>
      <c r="J4408" t="s">
        <v>2908</v>
      </c>
      <c r="M4408" s="49"/>
    </row>
    <row r="4409" spans="6:13" x14ac:dyDescent="0.25">
      <c r="F4409" t="s">
        <v>5358</v>
      </c>
      <c r="G4409">
        <v>51143</v>
      </c>
      <c r="H4409">
        <v>5315</v>
      </c>
      <c r="I4409" s="25" t="s">
        <v>2023</v>
      </c>
      <c r="J4409" t="s">
        <v>2908</v>
      </c>
      <c r="M4409" s="49"/>
    </row>
    <row r="4410" spans="6:13" x14ac:dyDescent="0.25">
      <c r="F4410" t="s">
        <v>5359</v>
      </c>
      <c r="G4410">
        <v>73257</v>
      </c>
      <c r="H4410">
        <v>8116</v>
      </c>
      <c r="I4410" s="25" t="s">
        <v>2018</v>
      </c>
      <c r="J4410" t="s">
        <v>2213</v>
      </c>
      <c r="M4410" s="49"/>
    </row>
    <row r="4411" spans="6:13" x14ac:dyDescent="0.25">
      <c r="F4411" t="s">
        <v>5359</v>
      </c>
      <c r="G4411">
        <v>73257</v>
      </c>
      <c r="H4411">
        <v>8116</v>
      </c>
      <c r="I4411" s="25" t="s">
        <v>2018</v>
      </c>
      <c r="J4411" t="s">
        <v>2213</v>
      </c>
      <c r="M4411" s="49"/>
    </row>
    <row r="4412" spans="6:13" x14ac:dyDescent="0.25">
      <c r="F4412" t="s">
        <v>5360</v>
      </c>
      <c r="G4412">
        <v>97953</v>
      </c>
      <c r="H4412">
        <v>8128</v>
      </c>
      <c r="I4412" s="25" t="s">
        <v>2018</v>
      </c>
      <c r="J4412" t="s">
        <v>2175</v>
      </c>
      <c r="M4412" s="49"/>
    </row>
    <row r="4413" spans="6:13" x14ac:dyDescent="0.25">
      <c r="F4413" t="s">
        <v>5361</v>
      </c>
      <c r="G4413">
        <v>15712</v>
      </c>
      <c r="H4413">
        <v>12061</v>
      </c>
      <c r="I4413" s="25" t="s">
        <v>2356</v>
      </c>
      <c r="J4413" t="s">
        <v>3033</v>
      </c>
      <c r="M4413" s="49"/>
    </row>
    <row r="4414" spans="6:13" x14ac:dyDescent="0.25">
      <c r="F4414" t="s">
        <v>5361</v>
      </c>
      <c r="G4414">
        <v>15711</v>
      </c>
      <c r="H4414">
        <v>12061</v>
      </c>
      <c r="I4414" s="25" t="s">
        <v>2356</v>
      </c>
      <c r="J4414" t="s">
        <v>3033</v>
      </c>
      <c r="M4414" s="49"/>
    </row>
    <row r="4415" spans="6:13" x14ac:dyDescent="0.25">
      <c r="F4415" t="s">
        <v>5361</v>
      </c>
      <c r="G4415">
        <v>15713</v>
      </c>
      <c r="H4415">
        <v>12061</v>
      </c>
      <c r="I4415" s="25" t="s">
        <v>2356</v>
      </c>
      <c r="J4415" t="s">
        <v>3033</v>
      </c>
      <c r="M4415" s="49"/>
    </row>
    <row r="4416" spans="6:13" x14ac:dyDescent="0.25">
      <c r="F4416" t="s">
        <v>5362</v>
      </c>
      <c r="G4416">
        <v>75203</v>
      </c>
      <c r="H4416">
        <v>8236</v>
      </c>
      <c r="I4416" s="25" t="s">
        <v>2018</v>
      </c>
      <c r="J4416" t="s">
        <v>3087</v>
      </c>
      <c r="M4416" s="49"/>
    </row>
    <row r="4417" spans="6:13" x14ac:dyDescent="0.25">
      <c r="F4417" t="s">
        <v>5363</v>
      </c>
      <c r="G4417">
        <v>97486</v>
      </c>
      <c r="H4417">
        <v>9674</v>
      </c>
      <c r="I4417" s="25" t="s">
        <v>2050</v>
      </c>
      <c r="J4417" t="s">
        <v>2218</v>
      </c>
      <c r="M4417" s="49"/>
    </row>
    <row r="4418" spans="6:13" x14ac:dyDescent="0.25">
      <c r="F4418" t="s">
        <v>5364</v>
      </c>
      <c r="G4418">
        <v>89551</v>
      </c>
      <c r="H4418">
        <v>8135</v>
      </c>
      <c r="I4418" s="25" t="s">
        <v>2018</v>
      </c>
      <c r="J4418" t="s">
        <v>2816</v>
      </c>
      <c r="M4418" s="49"/>
    </row>
    <row r="4419" spans="6:13" x14ac:dyDescent="0.25">
      <c r="F4419" t="s">
        <v>5365</v>
      </c>
      <c r="G4419">
        <v>1936</v>
      </c>
      <c r="H4419">
        <v>14625</v>
      </c>
      <c r="I4419" s="25" t="s">
        <v>2135</v>
      </c>
      <c r="J4419" t="s">
        <v>2041</v>
      </c>
      <c r="M4419" s="49"/>
    </row>
    <row r="4420" spans="6:13" x14ac:dyDescent="0.25">
      <c r="F4420" t="s">
        <v>5366</v>
      </c>
      <c r="G4420">
        <v>86343</v>
      </c>
      <c r="H4420">
        <v>9772</v>
      </c>
      <c r="I4420" s="25" t="s">
        <v>2050</v>
      </c>
      <c r="J4420" t="s">
        <v>2117</v>
      </c>
      <c r="M4420" s="49"/>
    </row>
    <row r="4421" spans="6:13" x14ac:dyDescent="0.25">
      <c r="F4421" t="s">
        <v>5367</v>
      </c>
      <c r="G4421">
        <v>82549</v>
      </c>
      <c r="H4421">
        <v>9173</v>
      </c>
      <c r="I4421" s="25" t="s">
        <v>2050</v>
      </c>
      <c r="J4421" t="s">
        <v>2659</v>
      </c>
      <c r="M4421" s="49"/>
    </row>
    <row r="4422" spans="6:13" x14ac:dyDescent="0.25">
      <c r="F4422" t="s">
        <v>5368</v>
      </c>
      <c r="G4422">
        <v>7426</v>
      </c>
      <c r="H4422">
        <v>16073</v>
      </c>
      <c r="I4422" s="25" t="s">
        <v>2384</v>
      </c>
      <c r="J4422" t="s">
        <v>2618</v>
      </c>
      <c r="M4422" s="49"/>
    </row>
    <row r="4423" spans="6:13" x14ac:dyDescent="0.25">
      <c r="F4423" t="s">
        <v>5369</v>
      </c>
      <c r="G4423">
        <v>88376</v>
      </c>
      <c r="H4423">
        <v>8436</v>
      </c>
      <c r="I4423" s="25" t="s">
        <v>2018</v>
      </c>
      <c r="J4423" t="s">
        <v>2068</v>
      </c>
      <c r="M4423" s="49"/>
    </row>
    <row r="4424" spans="6:13" x14ac:dyDescent="0.25">
      <c r="F4424" t="s">
        <v>5370</v>
      </c>
      <c r="G4424">
        <v>96167</v>
      </c>
      <c r="H4424">
        <v>9471</v>
      </c>
      <c r="I4424" s="25" t="s">
        <v>2050</v>
      </c>
      <c r="J4424" t="s">
        <v>2392</v>
      </c>
      <c r="M4424" s="49"/>
    </row>
    <row r="4425" spans="6:13" x14ac:dyDescent="0.25">
      <c r="F4425" t="s">
        <v>5371</v>
      </c>
      <c r="G4425">
        <v>78126</v>
      </c>
      <c r="H4425">
        <v>8326</v>
      </c>
      <c r="I4425" s="25" t="s">
        <v>2018</v>
      </c>
      <c r="J4425" t="s">
        <v>2638</v>
      </c>
      <c r="M4425" s="49"/>
    </row>
    <row r="4426" spans="6:13" x14ac:dyDescent="0.25">
      <c r="F4426" t="s">
        <v>5372</v>
      </c>
      <c r="G4426">
        <v>78598</v>
      </c>
      <c r="H4426">
        <v>8327</v>
      </c>
      <c r="I4426" s="25" t="s">
        <v>2018</v>
      </c>
      <c r="J4426" t="s">
        <v>2277</v>
      </c>
      <c r="M4426" s="49"/>
    </row>
    <row r="4427" spans="6:13" x14ac:dyDescent="0.25">
      <c r="F4427" t="s">
        <v>5373</v>
      </c>
      <c r="G4427">
        <v>38154</v>
      </c>
      <c r="H4427">
        <v>3154</v>
      </c>
      <c r="I4427" s="25" t="s">
        <v>2074</v>
      </c>
      <c r="J4427" t="s">
        <v>2186</v>
      </c>
      <c r="M4427" s="49"/>
    </row>
    <row r="4428" spans="6:13" x14ac:dyDescent="0.25">
      <c r="F4428" t="s">
        <v>5373</v>
      </c>
      <c r="G4428">
        <v>38154</v>
      </c>
      <c r="H4428">
        <v>3154</v>
      </c>
      <c r="I4428" s="25" t="s">
        <v>2074</v>
      </c>
      <c r="J4428" t="s">
        <v>2186</v>
      </c>
      <c r="M4428" s="49"/>
    </row>
    <row r="4429" spans="6:13" x14ac:dyDescent="0.25">
      <c r="F4429" t="s">
        <v>5373</v>
      </c>
      <c r="G4429">
        <v>38154</v>
      </c>
      <c r="H4429">
        <v>3154</v>
      </c>
      <c r="I4429" s="25" t="s">
        <v>2074</v>
      </c>
      <c r="J4429" t="s">
        <v>2186</v>
      </c>
      <c r="M4429" s="49"/>
    </row>
    <row r="4430" spans="6:13" x14ac:dyDescent="0.25">
      <c r="F4430" t="s">
        <v>5374</v>
      </c>
      <c r="G4430">
        <v>86669</v>
      </c>
      <c r="H4430">
        <v>9185</v>
      </c>
      <c r="I4430" s="25" t="s">
        <v>2050</v>
      </c>
      <c r="J4430" t="s">
        <v>2515</v>
      </c>
      <c r="M4430" s="49"/>
    </row>
    <row r="4431" spans="6:13" x14ac:dyDescent="0.25">
      <c r="F4431" t="s">
        <v>5375</v>
      </c>
      <c r="G4431">
        <v>92281</v>
      </c>
      <c r="H4431">
        <v>9371</v>
      </c>
      <c r="I4431" s="25" t="s">
        <v>2050</v>
      </c>
      <c r="J4431" t="s">
        <v>2469</v>
      </c>
      <c r="M4431" s="49"/>
    </row>
    <row r="4432" spans="6:13" x14ac:dyDescent="0.25">
      <c r="F4432" t="s">
        <v>5376</v>
      </c>
      <c r="G4432">
        <v>61462</v>
      </c>
      <c r="H4432">
        <v>6434</v>
      </c>
      <c r="I4432" s="25" t="s">
        <v>2046</v>
      </c>
      <c r="J4432" t="s">
        <v>2664</v>
      </c>
      <c r="M4432" s="49"/>
    </row>
    <row r="4433" spans="6:13" x14ac:dyDescent="0.25">
      <c r="F4433" t="s">
        <v>5377</v>
      </c>
      <c r="G4433">
        <v>1824</v>
      </c>
      <c r="H4433">
        <v>14628</v>
      </c>
      <c r="I4433" s="25" t="s">
        <v>2135</v>
      </c>
      <c r="J4433" t="s">
        <v>2347</v>
      </c>
      <c r="M4433" s="49"/>
    </row>
    <row r="4434" spans="6:13" x14ac:dyDescent="0.25">
      <c r="F4434" t="s">
        <v>5378</v>
      </c>
      <c r="G4434">
        <v>2699</v>
      </c>
      <c r="H4434">
        <v>14625</v>
      </c>
      <c r="I4434" s="25" t="s">
        <v>2135</v>
      </c>
      <c r="J4434" t="s">
        <v>2041</v>
      </c>
      <c r="M4434" s="49"/>
    </row>
    <row r="4435" spans="6:13" x14ac:dyDescent="0.25">
      <c r="F4435" t="s">
        <v>5379</v>
      </c>
      <c r="G4435">
        <v>53639</v>
      </c>
      <c r="H4435">
        <v>5382</v>
      </c>
      <c r="I4435" s="25" t="s">
        <v>2023</v>
      </c>
      <c r="J4435" t="s">
        <v>2298</v>
      </c>
      <c r="M4435" s="49"/>
    </row>
    <row r="4436" spans="6:13" x14ac:dyDescent="0.25">
      <c r="F4436" t="s">
        <v>5380</v>
      </c>
      <c r="G4436">
        <v>6420</v>
      </c>
      <c r="H4436">
        <v>15089</v>
      </c>
      <c r="I4436" s="25" t="s">
        <v>2241</v>
      </c>
      <c r="J4436" t="s">
        <v>2351</v>
      </c>
      <c r="M4436" s="49"/>
    </row>
    <row r="4437" spans="6:13" x14ac:dyDescent="0.25">
      <c r="F4437" t="s">
        <v>5381</v>
      </c>
      <c r="G4437">
        <v>95692</v>
      </c>
      <c r="H4437">
        <v>9377</v>
      </c>
      <c r="I4437" s="25" t="s">
        <v>2050</v>
      </c>
      <c r="J4437" t="s">
        <v>2393</v>
      </c>
      <c r="M4437" s="49"/>
    </row>
    <row r="4438" spans="6:13" x14ac:dyDescent="0.25">
      <c r="F4438" t="s">
        <v>5382</v>
      </c>
      <c r="G4438">
        <v>95176</v>
      </c>
      <c r="H4438">
        <v>9475</v>
      </c>
      <c r="I4438" s="25" t="s">
        <v>2050</v>
      </c>
      <c r="J4438" t="s">
        <v>2201</v>
      </c>
      <c r="M4438" s="49"/>
    </row>
    <row r="4439" spans="6:13" x14ac:dyDescent="0.25">
      <c r="F4439" t="s">
        <v>2019</v>
      </c>
      <c r="G4439">
        <v>78465</v>
      </c>
      <c r="H4439">
        <v>8335</v>
      </c>
      <c r="I4439" s="25" t="s">
        <v>2018</v>
      </c>
      <c r="J4439" t="s">
        <v>2019</v>
      </c>
      <c r="M4439" s="49"/>
    </row>
    <row r="4440" spans="6:13" x14ac:dyDescent="0.25">
      <c r="F4440" t="s">
        <v>2019</v>
      </c>
      <c r="G4440">
        <v>78465</v>
      </c>
      <c r="H4440">
        <v>8335</v>
      </c>
      <c r="I4440" s="25" t="s">
        <v>2018</v>
      </c>
      <c r="J4440" t="s">
        <v>2019</v>
      </c>
      <c r="M4440" s="49"/>
    </row>
    <row r="4441" spans="6:13" x14ac:dyDescent="0.25">
      <c r="F4441" t="s">
        <v>2019</v>
      </c>
      <c r="G4441">
        <v>78464</v>
      </c>
      <c r="H4441">
        <v>8335</v>
      </c>
      <c r="I4441" s="25" t="s">
        <v>2018</v>
      </c>
      <c r="J4441" t="s">
        <v>2019</v>
      </c>
      <c r="M4441" s="49"/>
    </row>
    <row r="4442" spans="6:13" x14ac:dyDescent="0.25">
      <c r="F4442" t="s">
        <v>2019</v>
      </c>
      <c r="G4442">
        <v>78467</v>
      </c>
      <c r="H4442">
        <v>8335</v>
      </c>
      <c r="I4442" s="25" t="s">
        <v>2018</v>
      </c>
      <c r="J4442" t="s">
        <v>2019</v>
      </c>
      <c r="M4442" s="49"/>
    </row>
    <row r="4443" spans="6:13" x14ac:dyDescent="0.25">
      <c r="F4443" t="s">
        <v>2019</v>
      </c>
      <c r="G4443">
        <v>78462</v>
      </c>
      <c r="H4443">
        <v>8335</v>
      </c>
      <c r="I4443" s="25" t="s">
        <v>2018</v>
      </c>
      <c r="J4443" t="s">
        <v>2019</v>
      </c>
      <c r="M4443" s="49"/>
    </row>
    <row r="4444" spans="6:13" x14ac:dyDescent="0.25">
      <c r="F4444" t="s">
        <v>5383</v>
      </c>
      <c r="G4444">
        <v>54329</v>
      </c>
      <c r="H4444">
        <v>7235</v>
      </c>
      <c r="I4444" s="25" t="s">
        <v>2123</v>
      </c>
      <c r="J4444" t="s">
        <v>2395</v>
      </c>
      <c r="M4444" s="49"/>
    </row>
    <row r="4445" spans="6:13" x14ac:dyDescent="0.25">
      <c r="F4445" t="s">
        <v>5384</v>
      </c>
      <c r="G4445">
        <v>94357</v>
      </c>
      <c r="H4445">
        <v>9278</v>
      </c>
      <c r="I4445" s="25" t="s">
        <v>2050</v>
      </c>
      <c r="J4445" t="s">
        <v>2170</v>
      </c>
      <c r="M4445" s="49"/>
    </row>
    <row r="4446" spans="6:13" x14ac:dyDescent="0.25">
      <c r="F4446" t="s">
        <v>5385</v>
      </c>
      <c r="G4446">
        <v>71404</v>
      </c>
      <c r="H4446">
        <v>8119</v>
      </c>
      <c r="I4446" s="25" t="s">
        <v>2018</v>
      </c>
      <c r="J4446" t="s">
        <v>2287</v>
      </c>
      <c r="M4446" s="49"/>
    </row>
    <row r="4447" spans="6:13" x14ac:dyDescent="0.25">
      <c r="F4447" t="s">
        <v>5386</v>
      </c>
      <c r="G4447">
        <v>34497</v>
      </c>
      <c r="H4447">
        <v>6635</v>
      </c>
      <c r="I4447" s="25" t="s">
        <v>2046</v>
      </c>
      <c r="J4447" t="s">
        <v>2308</v>
      </c>
      <c r="M4447" s="49"/>
    </row>
    <row r="4448" spans="6:13" x14ac:dyDescent="0.25">
      <c r="F4448" t="s">
        <v>5387</v>
      </c>
      <c r="G4448">
        <v>54306</v>
      </c>
      <c r="H4448">
        <v>7235</v>
      </c>
      <c r="I4448" s="25" t="s">
        <v>2123</v>
      </c>
      <c r="J4448" t="s">
        <v>2395</v>
      </c>
      <c r="M4448" s="49"/>
    </row>
    <row r="4449" spans="6:13" x14ac:dyDescent="0.25">
      <c r="F4449" t="s">
        <v>5388</v>
      </c>
      <c r="G4449">
        <v>34327</v>
      </c>
      <c r="H4449">
        <v>6634</v>
      </c>
      <c r="I4449" s="25" t="s">
        <v>2046</v>
      </c>
      <c r="J4449" t="s">
        <v>2360</v>
      </c>
      <c r="M4449" s="49"/>
    </row>
    <row r="4450" spans="6:13" x14ac:dyDescent="0.25">
      <c r="F4450" t="s">
        <v>5389</v>
      </c>
      <c r="G4450">
        <v>99998</v>
      </c>
      <c r="H4450">
        <v>16064</v>
      </c>
      <c r="I4450" s="25" t="s">
        <v>2384</v>
      </c>
      <c r="J4450" t="s">
        <v>2405</v>
      </c>
      <c r="M4450" s="49"/>
    </row>
    <row r="4451" spans="6:13" x14ac:dyDescent="0.25">
      <c r="F4451" t="s">
        <v>5390</v>
      </c>
      <c r="G4451">
        <v>70825</v>
      </c>
      <c r="H4451">
        <v>8118</v>
      </c>
      <c r="I4451" s="25" t="s">
        <v>2018</v>
      </c>
      <c r="J4451" t="s">
        <v>2142</v>
      </c>
      <c r="M4451" s="49"/>
    </row>
    <row r="4452" spans="6:13" x14ac:dyDescent="0.25">
      <c r="F4452" t="s">
        <v>5391</v>
      </c>
      <c r="G4452">
        <v>70806</v>
      </c>
      <c r="H4452">
        <v>8118</v>
      </c>
      <c r="I4452" s="25" t="s">
        <v>2018</v>
      </c>
      <c r="J4452" t="s">
        <v>2142</v>
      </c>
      <c r="M4452" s="49"/>
    </row>
    <row r="4453" spans="6:13" x14ac:dyDescent="0.25">
      <c r="F4453" t="s">
        <v>5392</v>
      </c>
      <c r="G4453">
        <v>54675</v>
      </c>
      <c r="H4453">
        <v>7232</v>
      </c>
      <c r="I4453" s="25" t="s">
        <v>2123</v>
      </c>
      <c r="J4453" t="s">
        <v>2112</v>
      </c>
      <c r="M4453" s="49"/>
    </row>
    <row r="4454" spans="6:13" x14ac:dyDescent="0.25">
      <c r="F4454" t="s">
        <v>5393</v>
      </c>
      <c r="G4454">
        <v>41352</v>
      </c>
      <c r="H4454">
        <v>5162</v>
      </c>
      <c r="I4454" s="25" t="s">
        <v>2023</v>
      </c>
      <c r="J4454" t="s">
        <v>2333</v>
      </c>
      <c r="M4454" s="49"/>
    </row>
    <row r="4455" spans="6:13" x14ac:dyDescent="0.25">
      <c r="F4455" t="s">
        <v>5394</v>
      </c>
      <c r="G4455">
        <v>85092</v>
      </c>
      <c r="H4455">
        <v>9176</v>
      </c>
      <c r="I4455" s="25" t="s">
        <v>2050</v>
      </c>
      <c r="J4455" t="s">
        <v>2102</v>
      </c>
      <c r="M4455" s="49"/>
    </row>
    <row r="4456" spans="6:13" x14ac:dyDescent="0.25">
      <c r="F4456" t="s">
        <v>5395</v>
      </c>
      <c r="G4456">
        <v>24354</v>
      </c>
      <c r="H4456">
        <v>1058</v>
      </c>
      <c r="I4456" s="25" t="s">
        <v>2085</v>
      </c>
      <c r="J4456" t="s">
        <v>2086</v>
      </c>
      <c r="M4456" s="49"/>
    </row>
    <row r="4457" spans="6:13" x14ac:dyDescent="0.25">
      <c r="F4457" t="s">
        <v>5396</v>
      </c>
      <c r="G4457">
        <v>17459</v>
      </c>
      <c r="H4457">
        <v>13075</v>
      </c>
      <c r="I4457" s="25" t="s">
        <v>2191</v>
      </c>
      <c r="J4457" t="s">
        <v>2160</v>
      </c>
      <c r="M4457" s="49"/>
    </row>
    <row r="4458" spans="6:13" x14ac:dyDescent="0.25">
      <c r="F4458" t="s">
        <v>5397</v>
      </c>
      <c r="G4458">
        <v>94149</v>
      </c>
      <c r="H4458">
        <v>9275</v>
      </c>
      <c r="I4458" s="25" t="s">
        <v>2050</v>
      </c>
      <c r="J4458" t="s">
        <v>2198</v>
      </c>
      <c r="M4458" s="49"/>
    </row>
    <row r="4459" spans="6:13" x14ac:dyDescent="0.25">
      <c r="F4459" t="s">
        <v>5398</v>
      </c>
      <c r="G4459">
        <v>6366</v>
      </c>
      <c r="H4459">
        <v>15082</v>
      </c>
      <c r="I4459" s="25" t="s">
        <v>2241</v>
      </c>
      <c r="J4459" t="s">
        <v>2242</v>
      </c>
      <c r="M4459" s="49"/>
    </row>
    <row r="4460" spans="6:13" x14ac:dyDescent="0.25">
      <c r="F4460" t="s">
        <v>5399</v>
      </c>
      <c r="G4460">
        <v>56736</v>
      </c>
      <c r="H4460">
        <v>7137</v>
      </c>
      <c r="I4460" s="25" t="s">
        <v>2123</v>
      </c>
      <c r="J4460" t="s">
        <v>2246</v>
      </c>
      <c r="M4460" s="49"/>
    </row>
    <row r="4461" spans="6:13" x14ac:dyDescent="0.25">
      <c r="F4461" t="s">
        <v>5400</v>
      </c>
      <c r="G4461">
        <v>82288</v>
      </c>
      <c r="H4461">
        <v>9179</v>
      </c>
      <c r="I4461" s="25" t="s">
        <v>2050</v>
      </c>
      <c r="J4461" t="s">
        <v>2111</v>
      </c>
      <c r="M4461" s="49"/>
    </row>
    <row r="4462" spans="6:13" x14ac:dyDescent="0.25">
      <c r="F4462" t="s">
        <v>5401</v>
      </c>
      <c r="G4462">
        <v>2739</v>
      </c>
      <c r="H4462">
        <v>14626</v>
      </c>
      <c r="I4462" s="25" t="s">
        <v>2135</v>
      </c>
      <c r="J4462" t="s">
        <v>2150</v>
      </c>
      <c r="M4462" s="49"/>
    </row>
    <row r="4463" spans="6:13" x14ac:dyDescent="0.25">
      <c r="F4463" t="s">
        <v>5402</v>
      </c>
      <c r="G4463">
        <v>89359</v>
      </c>
      <c r="H4463">
        <v>9774</v>
      </c>
      <c r="I4463" s="25" t="s">
        <v>2050</v>
      </c>
      <c r="J4463" t="s">
        <v>2205</v>
      </c>
      <c r="M4463" s="49"/>
    </row>
    <row r="4464" spans="6:13" x14ac:dyDescent="0.25">
      <c r="F4464" t="s">
        <v>5403</v>
      </c>
      <c r="G4464">
        <v>93444</v>
      </c>
      <c r="H4464">
        <v>9372</v>
      </c>
      <c r="I4464" s="25" t="s">
        <v>2050</v>
      </c>
      <c r="J4464" t="s">
        <v>2523</v>
      </c>
      <c r="M4464" s="49"/>
    </row>
    <row r="4465" spans="6:13" x14ac:dyDescent="0.25">
      <c r="F4465" t="s">
        <v>5404</v>
      </c>
      <c r="G4465">
        <v>17329</v>
      </c>
      <c r="H4465">
        <v>13075</v>
      </c>
      <c r="I4465" s="25" t="s">
        <v>2191</v>
      </c>
      <c r="J4465" t="s">
        <v>2160</v>
      </c>
      <c r="M4465" s="49"/>
    </row>
    <row r="4466" spans="6:13" x14ac:dyDescent="0.25">
      <c r="F4466" t="s">
        <v>5405</v>
      </c>
      <c r="G4466">
        <v>84559</v>
      </c>
      <c r="H4466">
        <v>9183</v>
      </c>
      <c r="I4466" s="25" t="s">
        <v>2050</v>
      </c>
      <c r="J4466" t="s">
        <v>2474</v>
      </c>
      <c r="M4466" s="49"/>
    </row>
    <row r="4467" spans="6:13" x14ac:dyDescent="0.25">
      <c r="F4467" t="s">
        <v>5406</v>
      </c>
      <c r="G4467">
        <v>76703</v>
      </c>
      <c r="H4467">
        <v>8215</v>
      </c>
      <c r="I4467" s="25" t="s">
        <v>2018</v>
      </c>
      <c r="J4467" t="s">
        <v>2724</v>
      </c>
      <c r="M4467" s="49"/>
    </row>
    <row r="4468" spans="6:13" x14ac:dyDescent="0.25">
      <c r="F4468" t="s">
        <v>5407</v>
      </c>
      <c r="G4468">
        <v>18292</v>
      </c>
      <c r="H4468">
        <v>13072</v>
      </c>
      <c r="I4468" s="25" t="s">
        <v>2191</v>
      </c>
      <c r="J4468" t="s">
        <v>2036</v>
      </c>
      <c r="M4468" s="49"/>
    </row>
    <row r="4469" spans="6:13" x14ac:dyDescent="0.25">
      <c r="F4469" t="s">
        <v>5408</v>
      </c>
      <c r="G4469">
        <v>47559</v>
      </c>
      <c r="H4469">
        <v>5154</v>
      </c>
      <c r="I4469" s="25" t="s">
        <v>2023</v>
      </c>
      <c r="J4469" t="s">
        <v>2214</v>
      </c>
      <c r="M4469" s="49"/>
    </row>
    <row r="4470" spans="6:13" x14ac:dyDescent="0.25">
      <c r="F4470" t="s">
        <v>5409</v>
      </c>
      <c r="G4470">
        <v>99448</v>
      </c>
      <c r="H4470">
        <v>16071</v>
      </c>
      <c r="I4470" s="25" t="s">
        <v>2384</v>
      </c>
      <c r="J4470" t="s">
        <v>2508</v>
      </c>
      <c r="M4470" s="49"/>
    </row>
    <row r="4471" spans="6:13" x14ac:dyDescent="0.25">
      <c r="F4471" t="s">
        <v>5410</v>
      </c>
      <c r="G4471">
        <v>85402</v>
      </c>
      <c r="H4471">
        <v>9178</v>
      </c>
      <c r="I4471" s="25" t="s">
        <v>2050</v>
      </c>
      <c r="J4471" t="s">
        <v>2315</v>
      </c>
      <c r="M4471" s="49"/>
    </row>
    <row r="4472" spans="6:13" x14ac:dyDescent="0.25">
      <c r="F4472" t="s">
        <v>5411</v>
      </c>
      <c r="G4472">
        <v>72505</v>
      </c>
      <c r="H4472">
        <v>8437</v>
      </c>
      <c r="I4472" s="25" t="s">
        <v>2018</v>
      </c>
      <c r="J4472" t="s">
        <v>2720</v>
      </c>
      <c r="M4472" s="49"/>
    </row>
    <row r="4473" spans="6:13" x14ac:dyDescent="0.25">
      <c r="F4473" t="s">
        <v>5412</v>
      </c>
      <c r="G4473">
        <v>2957</v>
      </c>
      <c r="H4473">
        <v>14626</v>
      </c>
      <c r="I4473" s="25" t="s">
        <v>2135</v>
      </c>
      <c r="J4473" t="s">
        <v>2150</v>
      </c>
      <c r="M4473" s="49"/>
    </row>
    <row r="4474" spans="6:13" x14ac:dyDescent="0.25">
      <c r="F4474" t="s">
        <v>5412</v>
      </c>
      <c r="G4474">
        <v>2957</v>
      </c>
      <c r="H4474">
        <v>14626</v>
      </c>
      <c r="I4474" s="25" t="s">
        <v>2135</v>
      </c>
      <c r="J4474" t="s">
        <v>2150</v>
      </c>
      <c r="M4474" s="49"/>
    </row>
    <row r="4475" spans="6:13" x14ac:dyDescent="0.25">
      <c r="F4475" t="s">
        <v>5412</v>
      </c>
      <c r="G4475">
        <v>2957</v>
      </c>
      <c r="H4475">
        <v>14626</v>
      </c>
      <c r="I4475" s="25" t="s">
        <v>2135</v>
      </c>
      <c r="J4475" t="s">
        <v>2150</v>
      </c>
      <c r="M4475" s="49"/>
    </row>
    <row r="4476" spans="6:13" x14ac:dyDescent="0.25">
      <c r="F4476" t="s">
        <v>5413</v>
      </c>
      <c r="G4476">
        <v>74238</v>
      </c>
      <c r="H4476">
        <v>8126</v>
      </c>
      <c r="I4476" s="25" t="s">
        <v>2018</v>
      </c>
      <c r="J4476" t="s">
        <v>3280</v>
      </c>
      <c r="M4476" s="49"/>
    </row>
    <row r="4477" spans="6:13" x14ac:dyDescent="0.25">
      <c r="F4477" t="s">
        <v>5414</v>
      </c>
      <c r="G4477">
        <v>36460</v>
      </c>
      <c r="H4477">
        <v>16063</v>
      </c>
      <c r="I4477" s="25" t="s">
        <v>2384</v>
      </c>
      <c r="J4477" t="s">
        <v>2687</v>
      </c>
      <c r="M4477" s="49"/>
    </row>
    <row r="4478" spans="6:13" x14ac:dyDescent="0.25">
      <c r="F4478" t="s">
        <v>5415</v>
      </c>
      <c r="G4478">
        <v>47800</v>
      </c>
      <c r="H4478">
        <v>5114</v>
      </c>
      <c r="I4478" s="25" t="s">
        <v>2023</v>
      </c>
      <c r="J4478" t="s">
        <v>5416</v>
      </c>
      <c r="M4478" s="49"/>
    </row>
    <row r="4479" spans="6:13" x14ac:dyDescent="0.25">
      <c r="F4479" t="s">
        <v>5415</v>
      </c>
      <c r="G4479">
        <v>47805</v>
      </c>
      <c r="H4479">
        <v>5114</v>
      </c>
      <c r="I4479" s="25" t="s">
        <v>2023</v>
      </c>
      <c r="J4479" t="s">
        <v>5416</v>
      </c>
      <c r="M4479" s="49"/>
    </row>
    <row r="4480" spans="6:13" x14ac:dyDescent="0.25">
      <c r="F4480" t="s">
        <v>5415</v>
      </c>
      <c r="G4480">
        <v>47803</v>
      </c>
      <c r="H4480">
        <v>5114</v>
      </c>
      <c r="I4480" s="25" t="s">
        <v>2023</v>
      </c>
      <c r="J4480" t="s">
        <v>5416</v>
      </c>
      <c r="M4480" s="49"/>
    </row>
    <row r="4481" spans="6:13" x14ac:dyDescent="0.25">
      <c r="F4481" t="s">
        <v>5415</v>
      </c>
      <c r="G4481">
        <v>47799</v>
      </c>
      <c r="H4481">
        <v>5114</v>
      </c>
      <c r="I4481" s="25" t="s">
        <v>2023</v>
      </c>
      <c r="J4481" t="s">
        <v>5416</v>
      </c>
      <c r="M4481" s="49"/>
    </row>
    <row r="4482" spans="6:13" x14ac:dyDescent="0.25">
      <c r="F4482" t="s">
        <v>5415</v>
      </c>
      <c r="G4482">
        <v>47804</v>
      </c>
      <c r="H4482">
        <v>5114</v>
      </c>
      <c r="I4482" s="25" t="s">
        <v>2023</v>
      </c>
      <c r="J4482" t="s">
        <v>5416</v>
      </c>
      <c r="M4482" s="49"/>
    </row>
    <row r="4483" spans="6:13" x14ac:dyDescent="0.25">
      <c r="F4483" t="s">
        <v>5415</v>
      </c>
      <c r="G4483">
        <v>47829</v>
      </c>
      <c r="H4483">
        <v>5114</v>
      </c>
      <c r="I4483" s="25" t="s">
        <v>2023</v>
      </c>
      <c r="J4483" t="s">
        <v>5416</v>
      </c>
      <c r="M4483" s="49"/>
    </row>
    <row r="4484" spans="6:13" x14ac:dyDescent="0.25">
      <c r="F4484" t="s">
        <v>5415</v>
      </c>
      <c r="G4484">
        <v>47807</v>
      </c>
      <c r="H4484">
        <v>5114</v>
      </c>
      <c r="I4484" s="25" t="s">
        <v>2023</v>
      </c>
      <c r="J4484" t="s">
        <v>5416</v>
      </c>
      <c r="M4484" s="49"/>
    </row>
    <row r="4485" spans="6:13" x14ac:dyDescent="0.25">
      <c r="F4485" t="s">
        <v>5415</v>
      </c>
      <c r="G4485">
        <v>47798</v>
      </c>
      <c r="H4485">
        <v>5114</v>
      </c>
      <c r="I4485" s="25" t="s">
        <v>2023</v>
      </c>
      <c r="J4485" t="s">
        <v>5416</v>
      </c>
      <c r="M4485" s="49"/>
    </row>
    <row r="4486" spans="6:13" x14ac:dyDescent="0.25">
      <c r="F4486" t="s">
        <v>5415</v>
      </c>
      <c r="G4486">
        <v>47839</v>
      </c>
      <c r="H4486">
        <v>5114</v>
      </c>
      <c r="I4486" s="25" t="s">
        <v>2023</v>
      </c>
      <c r="J4486" t="s">
        <v>5416</v>
      </c>
      <c r="M4486" s="49"/>
    </row>
    <row r="4487" spans="6:13" x14ac:dyDescent="0.25">
      <c r="F4487" t="s">
        <v>5415</v>
      </c>
      <c r="G4487">
        <v>47802</v>
      </c>
      <c r="H4487">
        <v>5114</v>
      </c>
      <c r="I4487" s="25" t="s">
        <v>2023</v>
      </c>
      <c r="J4487" t="s">
        <v>5416</v>
      </c>
      <c r="M4487" s="49"/>
    </row>
    <row r="4488" spans="6:13" x14ac:dyDescent="0.25">
      <c r="F4488" t="s">
        <v>5415</v>
      </c>
      <c r="G4488">
        <v>47809</v>
      </c>
      <c r="H4488">
        <v>5114</v>
      </c>
      <c r="I4488" s="25" t="s">
        <v>2023</v>
      </c>
      <c r="J4488" t="s">
        <v>5416</v>
      </c>
      <c r="M4488" s="49"/>
    </row>
    <row r="4489" spans="6:13" x14ac:dyDescent="0.25">
      <c r="F4489" t="s">
        <v>5417</v>
      </c>
      <c r="G4489">
        <v>67757</v>
      </c>
      <c r="H4489">
        <v>7336</v>
      </c>
      <c r="I4489" s="25" t="s">
        <v>2123</v>
      </c>
      <c r="J4489" t="s">
        <v>2216</v>
      </c>
      <c r="M4489" s="49"/>
    </row>
    <row r="4490" spans="6:13" x14ac:dyDescent="0.25">
      <c r="F4490" t="s">
        <v>5418</v>
      </c>
      <c r="G4490">
        <v>1731</v>
      </c>
      <c r="H4490">
        <v>14628</v>
      </c>
      <c r="I4490" s="25" t="s">
        <v>2135</v>
      </c>
      <c r="J4490" t="s">
        <v>2347</v>
      </c>
      <c r="M4490" s="49"/>
    </row>
    <row r="4491" spans="6:13" x14ac:dyDescent="0.25">
      <c r="F4491" t="s">
        <v>5419</v>
      </c>
      <c r="G4491">
        <v>16766</v>
      </c>
      <c r="H4491">
        <v>12065</v>
      </c>
      <c r="I4491" s="25" t="s">
        <v>2356</v>
      </c>
      <c r="J4491" t="s">
        <v>2283</v>
      </c>
      <c r="M4491" s="49"/>
    </row>
    <row r="4492" spans="6:13" x14ac:dyDescent="0.25">
      <c r="F4492" t="s">
        <v>5420</v>
      </c>
      <c r="G4492">
        <v>25361</v>
      </c>
      <c r="H4492">
        <v>1061</v>
      </c>
      <c r="I4492" s="25" t="s">
        <v>2085</v>
      </c>
      <c r="J4492" t="s">
        <v>2377</v>
      </c>
      <c r="M4492" s="49"/>
    </row>
    <row r="4493" spans="6:13" x14ac:dyDescent="0.25">
      <c r="F4493" t="s">
        <v>5421</v>
      </c>
      <c r="G4493">
        <v>25569</v>
      </c>
      <c r="H4493">
        <v>1061</v>
      </c>
      <c r="I4493" s="25" t="s">
        <v>2085</v>
      </c>
      <c r="J4493" t="s">
        <v>2377</v>
      </c>
      <c r="M4493" s="49"/>
    </row>
    <row r="4494" spans="6:13" x14ac:dyDescent="0.25">
      <c r="F4494" t="s">
        <v>5422</v>
      </c>
      <c r="G4494">
        <v>74594</v>
      </c>
      <c r="H4494">
        <v>8127</v>
      </c>
      <c r="I4494" s="25" t="s">
        <v>2018</v>
      </c>
      <c r="J4494" t="s">
        <v>3126</v>
      </c>
      <c r="M4494" s="49"/>
    </row>
    <row r="4495" spans="6:13" x14ac:dyDescent="0.25">
      <c r="F4495" t="s">
        <v>5423</v>
      </c>
      <c r="G4495">
        <v>88079</v>
      </c>
      <c r="H4495">
        <v>8435</v>
      </c>
      <c r="I4495" s="25" t="s">
        <v>2018</v>
      </c>
      <c r="J4495" t="s">
        <v>3011</v>
      </c>
      <c r="M4495" s="49"/>
    </row>
    <row r="4496" spans="6:13" x14ac:dyDescent="0.25">
      <c r="F4496" t="s">
        <v>5424</v>
      </c>
      <c r="G4496">
        <v>56630</v>
      </c>
      <c r="H4496">
        <v>7137</v>
      </c>
      <c r="I4496" s="25" t="s">
        <v>2123</v>
      </c>
      <c r="J4496" t="s">
        <v>2246</v>
      </c>
      <c r="M4496" s="49"/>
    </row>
    <row r="4497" spans="6:13" x14ac:dyDescent="0.25">
      <c r="F4497" t="s">
        <v>5425</v>
      </c>
      <c r="G4497">
        <v>83708</v>
      </c>
      <c r="H4497">
        <v>9182</v>
      </c>
      <c r="I4497" s="25" t="s">
        <v>2050</v>
      </c>
      <c r="J4497" t="s">
        <v>2254</v>
      </c>
      <c r="M4497" s="49"/>
    </row>
    <row r="4498" spans="6:13" x14ac:dyDescent="0.25">
      <c r="F4498" t="s">
        <v>5426</v>
      </c>
      <c r="G4498">
        <v>52372</v>
      </c>
      <c r="H4498">
        <v>5358</v>
      </c>
      <c r="I4498" s="25" t="s">
        <v>2023</v>
      </c>
      <c r="J4498" t="s">
        <v>2106</v>
      </c>
      <c r="M4498" s="49"/>
    </row>
    <row r="4499" spans="6:13" x14ac:dyDescent="0.25">
      <c r="F4499" t="s">
        <v>5427</v>
      </c>
      <c r="G4499">
        <v>57223</v>
      </c>
      <c r="H4499">
        <v>5970</v>
      </c>
      <c r="I4499" s="25" t="s">
        <v>2023</v>
      </c>
      <c r="J4499" t="s">
        <v>2366</v>
      </c>
      <c r="M4499" s="49"/>
    </row>
    <row r="4500" spans="6:13" x14ac:dyDescent="0.25">
      <c r="F4500" t="s">
        <v>5428</v>
      </c>
      <c r="G4500">
        <v>97892</v>
      </c>
      <c r="H4500">
        <v>9677</v>
      </c>
      <c r="I4500" s="25" t="s">
        <v>2050</v>
      </c>
      <c r="J4500" t="s">
        <v>2527</v>
      </c>
      <c r="M4500" s="49"/>
    </row>
    <row r="4501" spans="6:13" x14ac:dyDescent="0.25">
      <c r="F4501" t="s">
        <v>5429</v>
      </c>
      <c r="G4501">
        <v>67706</v>
      </c>
      <c r="H4501">
        <v>7335</v>
      </c>
      <c r="I4501" s="25" t="s">
        <v>2123</v>
      </c>
      <c r="J4501" t="s">
        <v>2843</v>
      </c>
      <c r="M4501" s="49"/>
    </row>
    <row r="4502" spans="6:13" x14ac:dyDescent="0.25">
      <c r="F4502" t="s">
        <v>5430</v>
      </c>
      <c r="G4502">
        <v>67819</v>
      </c>
      <c r="H4502">
        <v>7333</v>
      </c>
      <c r="I4502" s="25" t="s">
        <v>2123</v>
      </c>
      <c r="J4502" t="s">
        <v>2103</v>
      </c>
      <c r="M4502" s="49"/>
    </row>
    <row r="4503" spans="6:13" x14ac:dyDescent="0.25">
      <c r="F4503" t="s">
        <v>5431</v>
      </c>
      <c r="G4503">
        <v>17391</v>
      </c>
      <c r="H4503">
        <v>13075</v>
      </c>
      <c r="I4503" s="25" t="s">
        <v>2191</v>
      </c>
      <c r="J4503" t="s">
        <v>2160</v>
      </c>
      <c r="M4503" s="49"/>
    </row>
    <row r="4504" spans="6:13" x14ac:dyDescent="0.25">
      <c r="F4504" t="s">
        <v>5432</v>
      </c>
      <c r="G4504">
        <v>65830</v>
      </c>
      <c r="H4504">
        <v>6436</v>
      </c>
      <c r="I4504" s="25" t="s">
        <v>2046</v>
      </c>
      <c r="J4504" t="s">
        <v>2730</v>
      </c>
      <c r="M4504" s="49"/>
    </row>
    <row r="4505" spans="6:13" x14ac:dyDescent="0.25">
      <c r="F4505" t="s">
        <v>5433</v>
      </c>
      <c r="G4505">
        <v>7387</v>
      </c>
      <c r="H4505">
        <v>16075</v>
      </c>
      <c r="I4505" s="25" t="s">
        <v>2384</v>
      </c>
      <c r="J4505" t="s">
        <v>4221</v>
      </c>
      <c r="M4505" s="49"/>
    </row>
    <row r="4506" spans="6:13" x14ac:dyDescent="0.25">
      <c r="F4506" t="s">
        <v>5434</v>
      </c>
      <c r="G4506">
        <v>63829</v>
      </c>
      <c r="H4506">
        <v>9671</v>
      </c>
      <c r="I4506" s="25" t="s">
        <v>2050</v>
      </c>
      <c r="J4506" t="s">
        <v>2453</v>
      </c>
      <c r="M4506" s="49"/>
    </row>
    <row r="4507" spans="6:13" x14ac:dyDescent="0.25">
      <c r="F4507" t="s">
        <v>5435</v>
      </c>
      <c r="G4507">
        <v>96317</v>
      </c>
      <c r="H4507">
        <v>9476</v>
      </c>
      <c r="I4507" s="25" t="s">
        <v>2050</v>
      </c>
      <c r="J4507" t="s">
        <v>5435</v>
      </c>
      <c r="M4507" s="49"/>
    </row>
    <row r="4508" spans="6:13" x14ac:dyDescent="0.25">
      <c r="F4508" t="s">
        <v>5436</v>
      </c>
      <c r="G4508">
        <v>76709</v>
      </c>
      <c r="H4508">
        <v>8215</v>
      </c>
      <c r="I4508" s="25" t="s">
        <v>2018</v>
      </c>
      <c r="J4508" t="s">
        <v>2724</v>
      </c>
      <c r="M4508" s="49"/>
    </row>
    <row r="4509" spans="6:13" x14ac:dyDescent="0.25">
      <c r="F4509" t="s">
        <v>5437</v>
      </c>
      <c r="G4509">
        <v>61476</v>
      </c>
      <c r="H4509">
        <v>6434</v>
      </c>
      <c r="I4509" s="25" t="s">
        <v>2046</v>
      </c>
      <c r="J4509" t="s">
        <v>2664</v>
      </c>
      <c r="M4509" s="49"/>
    </row>
    <row r="4510" spans="6:13" x14ac:dyDescent="0.25">
      <c r="F4510" t="s">
        <v>5438</v>
      </c>
      <c r="G4510">
        <v>87758</v>
      </c>
      <c r="H4510">
        <v>9778</v>
      </c>
      <c r="I4510" s="25" t="s">
        <v>2050</v>
      </c>
      <c r="J4510" t="s">
        <v>2460</v>
      </c>
      <c r="M4510" s="49"/>
    </row>
    <row r="4511" spans="6:13" x14ac:dyDescent="0.25">
      <c r="F4511" t="s">
        <v>5439</v>
      </c>
      <c r="G4511">
        <v>84178</v>
      </c>
      <c r="H4511">
        <v>9274</v>
      </c>
      <c r="I4511" s="25" t="s">
        <v>2050</v>
      </c>
      <c r="J4511" t="s">
        <v>2132</v>
      </c>
      <c r="M4511" s="49"/>
    </row>
    <row r="4512" spans="6:13" x14ac:dyDescent="0.25">
      <c r="F4512" t="s">
        <v>5440</v>
      </c>
      <c r="G4512">
        <v>25709</v>
      </c>
      <c r="H4512">
        <v>1051</v>
      </c>
      <c r="I4512" s="25" t="s">
        <v>2085</v>
      </c>
      <c r="J4512" t="s">
        <v>2097</v>
      </c>
      <c r="M4512" s="49"/>
    </row>
    <row r="4513" spans="6:13" x14ac:dyDescent="0.25">
      <c r="F4513" t="s">
        <v>5441</v>
      </c>
      <c r="G4513">
        <v>24119</v>
      </c>
      <c r="H4513">
        <v>1058</v>
      </c>
      <c r="I4513" s="25" t="s">
        <v>2085</v>
      </c>
      <c r="J4513" t="s">
        <v>2086</v>
      </c>
      <c r="M4513" s="49"/>
    </row>
    <row r="4514" spans="6:13" x14ac:dyDescent="0.25">
      <c r="F4514" t="s">
        <v>5442</v>
      </c>
      <c r="G4514">
        <v>18236</v>
      </c>
      <c r="H4514">
        <v>13072</v>
      </c>
      <c r="I4514" s="25" t="s">
        <v>2191</v>
      </c>
      <c r="J4514" t="s">
        <v>2036</v>
      </c>
      <c r="M4514" s="49"/>
    </row>
    <row r="4515" spans="6:13" x14ac:dyDescent="0.25">
      <c r="F4515" t="s">
        <v>5443</v>
      </c>
      <c r="G4515">
        <v>24848</v>
      </c>
      <c r="H4515">
        <v>1058</v>
      </c>
      <c r="I4515" s="25" t="s">
        <v>2085</v>
      </c>
      <c r="J4515" t="s">
        <v>2086</v>
      </c>
      <c r="M4515" s="49"/>
    </row>
    <row r="4516" spans="6:13" x14ac:dyDescent="0.25">
      <c r="F4516" t="s">
        <v>5443</v>
      </c>
      <c r="G4516">
        <v>24848</v>
      </c>
      <c r="H4516">
        <v>1059</v>
      </c>
      <c r="I4516" s="25" t="s">
        <v>2085</v>
      </c>
      <c r="J4516" t="s">
        <v>2354</v>
      </c>
      <c r="M4516" s="49"/>
    </row>
    <row r="4517" spans="6:13" x14ac:dyDescent="0.25">
      <c r="F4517" t="s">
        <v>5444</v>
      </c>
      <c r="G4517">
        <v>21529</v>
      </c>
      <c r="H4517">
        <v>1053</v>
      </c>
      <c r="I4517" s="25" t="s">
        <v>2085</v>
      </c>
      <c r="J4517" t="s">
        <v>2193</v>
      </c>
      <c r="M4517" s="49"/>
    </row>
    <row r="4518" spans="6:13" x14ac:dyDescent="0.25">
      <c r="F4518" t="s">
        <v>5445</v>
      </c>
      <c r="G4518">
        <v>17440</v>
      </c>
      <c r="H4518">
        <v>13075</v>
      </c>
      <c r="I4518" s="25" t="s">
        <v>2191</v>
      </c>
      <c r="J4518" t="s">
        <v>2160</v>
      </c>
      <c r="M4518" s="49"/>
    </row>
    <row r="4519" spans="6:13" x14ac:dyDescent="0.25">
      <c r="F4519" t="s">
        <v>5445</v>
      </c>
      <c r="G4519">
        <v>17440</v>
      </c>
      <c r="H4519">
        <v>13075</v>
      </c>
      <c r="I4519" s="25" t="s">
        <v>2191</v>
      </c>
      <c r="J4519" t="s">
        <v>2160</v>
      </c>
      <c r="M4519" s="49"/>
    </row>
    <row r="4520" spans="6:13" x14ac:dyDescent="0.25">
      <c r="F4520" t="s">
        <v>5445</v>
      </c>
      <c r="G4520">
        <v>17440</v>
      </c>
      <c r="H4520">
        <v>13075</v>
      </c>
      <c r="I4520" s="25" t="s">
        <v>2191</v>
      </c>
      <c r="J4520" t="s">
        <v>2160</v>
      </c>
      <c r="M4520" s="49"/>
    </row>
    <row r="4521" spans="6:13" x14ac:dyDescent="0.25">
      <c r="F4521" t="s">
        <v>5445</v>
      </c>
      <c r="G4521">
        <v>17440</v>
      </c>
      <c r="H4521">
        <v>13075</v>
      </c>
      <c r="I4521" s="25" t="s">
        <v>2191</v>
      </c>
      <c r="J4521" t="s">
        <v>2160</v>
      </c>
      <c r="M4521" s="49"/>
    </row>
    <row r="4522" spans="6:13" x14ac:dyDescent="0.25">
      <c r="F4522" t="s">
        <v>5445</v>
      </c>
      <c r="G4522">
        <v>17440</v>
      </c>
      <c r="H4522">
        <v>13075</v>
      </c>
      <c r="I4522" s="25" t="s">
        <v>2191</v>
      </c>
      <c r="J4522" t="s">
        <v>2160</v>
      </c>
      <c r="M4522" s="49"/>
    </row>
    <row r="4523" spans="6:13" x14ac:dyDescent="0.25">
      <c r="F4523" t="s">
        <v>5445</v>
      </c>
      <c r="G4523">
        <v>17440</v>
      </c>
      <c r="H4523">
        <v>13075</v>
      </c>
      <c r="I4523" s="25" t="s">
        <v>2191</v>
      </c>
      <c r="J4523" t="s">
        <v>2160</v>
      </c>
      <c r="M4523" s="49"/>
    </row>
    <row r="4524" spans="6:13" x14ac:dyDescent="0.25">
      <c r="F4524" t="s">
        <v>5445</v>
      </c>
      <c r="G4524">
        <v>17440</v>
      </c>
      <c r="H4524">
        <v>13075</v>
      </c>
      <c r="I4524" s="25" t="s">
        <v>2191</v>
      </c>
      <c r="J4524" t="s">
        <v>2160</v>
      </c>
      <c r="M4524" s="49"/>
    </row>
    <row r="4525" spans="6:13" x14ac:dyDescent="0.25">
      <c r="F4525" t="s">
        <v>5445</v>
      </c>
      <c r="G4525">
        <v>17440</v>
      </c>
      <c r="H4525">
        <v>13075</v>
      </c>
      <c r="I4525" s="25" t="s">
        <v>2191</v>
      </c>
      <c r="J4525" t="s">
        <v>2160</v>
      </c>
      <c r="M4525" s="49"/>
    </row>
    <row r="4526" spans="6:13" x14ac:dyDescent="0.25">
      <c r="F4526" t="s">
        <v>5445</v>
      </c>
      <c r="G4526">
        <v>17440</v>
      </c>
      <c r="H4526">
        <v>13075</v>
      </c>
      <c r="I4526" s="25" t="s">
        <v>2191</v>
      </c>
      <c r="J4526" t="s">
        <v>2160</v>
      </c>
      <c r="M4526" s="49"/>
    </row>
    <row r="4527" spans="6:13" x14ac:dyDescent="0.25">
      <c r="F4527" t="s">
        <v>5446</v>
      </c>
      <c r="G4527">
        <v>54536</v>
      </c>
      <c r="H4527">
        <v>7231</v>
      </c>
      <c r="I4527" s="25" t="s">
        <v>2123</v>
      </c>
      <c r="J4527" t="s">
        <v>2043</v>
      </c>
      <c r="M4527" s="49"/>
    </row>
    <row r="4528" spans="6:13" x14ac:dyDescent="0.25">
      <c r="F4528" t="s">
        <v>5447</v>
      </c>
      <c r="G4528">
        <v>56642</v>
      </c>
      <c r="H4528">
        <v>7137</v>
      </c>
      <c r="I4528" s="25" t="s">
        <v>2123</v>
      </c>
      <c r="J4528" t="s">
        <v>2246</v>
      </c>
      <c r="M4528" s="49"/>
    </row>
    <row r="4529" spans="6:13" x14ac:dyDescent="0.25">
      <c r="F4529" t="s">
        <v>5448</v>
      </c>
      <c r="G4529">
        <v>86381</v>
      </c>
      <c r="H4529">
        <v>9774</v>
      </c>
      <c r="I4529" s="25" t="s">
        <v>2050</v>
      </c>
      <c r="J4529" t="s">
        <v>2205</v>
      </c>
      <c r="M4529" s="49"/>
    </row>
    <row r="4530" spans="6:13" x14ac:dyDescent="0.25">
      <c r="F4530" t="s">
        <v>5449</v>
      </c>
      <c r="G4530">
        <v>21732</v>
      </c>
      <c r="H4530">
        <v>3359</v>
      </c>
      <c r="I4530" s="25" t="s">
        <v>2074</v>
      </c>
      <c r="J4530" t="s">
        <v>2158</v>
      </c>
      <c r="M4530" s="49"/>
    </row>
    <row r="4531" spans="6:13" x14ac:dyDescent="0.25">
      <c r="F4531" t="s">
        <v>5450</v>
      </c>
      <c r="G4531">
        <v>92703</v>
      </c>
      <c r="H4531">
        <v>9377</v>
      </c>
      <c r="I4531" s="25" t="s">
        <v>2050</v>
      </c>
      <c r="J4531" t="s">
        <v>2393</v>
      </c>
      <c r="M4531" s="49"/>
    </row>
    <row r="4532" spans="6:13" x14ac:dyDescent="0.25">
      <c r="F4532" t="s">
        <v>5451</v>
      </c>
      <c r="G4532">
        <v>23628</v>
      </c>
      <c r="H4532">
        <v>1053</v>
      </c>
      <c r="I4532" s="25" t="s">
        <v>2085</v>
      </c>
      <c r="J4532" t="s">
        <v>2193</v>
      </c>
      <c r="M4532" s="49"/>
    </row>
    <row r="4533" spans="6:13" x14ac:dyDescent="0.25">
      <c r="F4533" t="s">
        <v>5452</v>
      </c>
      <c r="G4533">
        <v>26736</v>
      </c>
      <c r="H4533">
        <v>3452</v>
      </c>
      <c r="I4533" s="25" t="s">
        <v>2074</v>
      </c>
      <c r="J4533" t="s">
        <v>2034</v>
      </c>
      <c r="M4533" s="49"/>
    </row>
    <row r="4534" spans="6:13" x14ac:dyDescent="0.25">
      <c r="F4534" t="s">
        <v>5453</v>
      </c>
      <c r="G4534">
        <v>82493</v>
      </c>
      <c r="H4534">
        <v>9180</v>
      </c>
      <c r="I4534" s="25" t="s">
        <v>2050</v>
      </c>
      <c r="J4534" t="s">
        <v>2147</v>
      </c>
      <c r="M4534" s="49"/>
    </row>
    <row r="4535" spans="6:13" x14ac:dyDescent="0.25">
      <c r="F4535" t="s">
        <v>5453</v>
      </c>
      <c r="G4535">
        <v>82494</v>
      </c>
      <c r="H4535">
        <v>9180</v>
      </c>
      <c r="I4535" s="25" t="s">
        <v>2050</v>
      </c>
      <c r="J4535" t="s">
        <v>2147</v>
      </c>
      <c r="M4535" s="49"/>
    </row>
    <row r="4536" spans="6:13" x14ac:dyDescent="0.25">
      <c r="F4536" t="s">
        <v>5454</v>
      </c>
      <c r="G4536">
        <v>73329</v>
      </c>
      <c r="H4536">
        <v>8117</v>
      </c>
      <c r="I4536" s="25" t="s">
        <v>2018</v>
      </c>
      <c r="J4536" t="s">
        <v>2089</v>
      </c>
      <c r="M4536" s="49"/>
    </row>
    <row r="4537" spans="6:13" x14ac:dyDescent="0.25">
      <c r="F4537" t="s">
        <v>5455</v>
      </c>
      <c r="G4537">
        <v>22958</v>
      </c>
      <c r="H4537">
        <v>1053</v>
      </c>
      <c r="I4537" s="25" t="s">
        <v>2085</v>
      </c>
      <c r="J4537" t="s">
        <v>2193</v>
      </c>
      <c r="M4537" s="49"/>
    </row>
    <row r="4538" spans="6:13" x14ac:dyDescent="0.25">
      <c r="F4538" t="s">
        <v>5456</v>
      </c>
      <c r="G4538">
        <v>76773</v>
      </c>
      <c r="H4538">
        <v>7334</v>
      </c>
      <c r="I4538" s="25" t="s">
        <v>2123</v>
      </c>
      <c r="J4538" t="s">
        <v>2873</v>
      </c>
      <c r="M4538" s="49"/>
    </row>
    <row r="4539" spans="6:13" x14ac:dyDescent="0.25">
      <c r="F4539" t="s">
        <v>5457</v>
      </c>
      <c r="G4539">
        <v>86556</v>
      </c>
      <c r="H4539">
        <v>9771</v>
      </c>
      <c r="I4539" s="25" t="s">
        <v>2050</v>
      </c>
      <c r="J4539" t="s">
        <v>2120</v>
      </c>
      <c r="M4539" s="49"/>
    </row>
    <row r="4540" spans="6:13" x14ac:dyDescent="0.25">
      <c r="F4540" t="s">
        <v>5458</v>
      </c>
      <c r="G4540">
        <v>29416</v>
      </c>
      <c r="H4540">
        <v>15081</v>
      </c>
      <c r="I4540" s="25" t="s">
        <v>2241</v>
      </c>
      <c r="J4540" t="s">
        <v>2028</v>
      </c>
      <c r="M4540" s="49"/>
    </row>
    <row r="4541" spans="6:13" x14ac:dyDescent="0.25">
      <c r="F4541" t="s">
        <v>5459</v>
      </c>
      <c r="G4541">
        <v>18225</v>
      </c>
      <c r="H4541">
        <v>13072</v>
      </c>
      <c r="I4541" s="25" t="s">
        <v>2191</v>
      </c>
      <c r="J4541" t="s">
        <v>2036</v>
      </c>
      <c r="M4541" s="49"/>
    </row>
    <row r="4542" spans="6:13" x14ac:dyDescent="0.25">
      <c r="F4542" t="s">
        <v>5460</v>
      </c>
      <c r="G4542">
        <v>37359</v>
      </c>
      <c r="H4542">
        <v>16061</v>
      </c>
      <c r="I4542" s="25" t="s">
        <v>2384</v>
      </c>
      <c r="J4542" t="s">
        <v>2109</v>
      </c>
      <c r="M4542" s="49"/>
    </row>
    <row r="4543" spans="6:13" x14ac:dyDescent="0.25">
      <c r="F4543" t="s">
        <v>5461</v>
      </c>
      <c r="G4543">
        <v>95508</v>
      </c>
      <c r="H4543">
        <v>9377</v>
      </c>
      <c r="I4543" s="25" t="s">
        <v>2050</v>
      </c>
      <c r="J4543" t="s">
        <v>2393</v>
      </c>
      <c r="M4543" s="49"/>
    </row>
    <row r="4544" spans="6:13" x14ac:dyDescent="0.25">
      <c r="F4544" t="s">
        <v>4385</v>
      </c>
      <c r="G4544">
        <v>95326</v>
      </c>
      <c r="H4544">
        <v>9477</v>
      </c>
      <c r="I4544" s="25" t="s">
        <v>2050</v>
      </c>
      <c r="J4544" t="s">
        <v>4385</v>
      </c>
      <c r="M4544" s="49"/>
    </row>
    <row r="4545" spans="6:13" x14ac:dyDescent="0.25">
      <c r="F4545" t="s">
        <v>5462</v>
      </c>
      <c r="G4545">
        <v>97900</v>
      </c>
      <c r="H4545">
        <v>8128</v>
      </c>
      <c r="I4545" s="25" t="s">
        <v>2018</v>
      </c>
      <c r="J4545" t="s">
        <v>2175</v>
      </c>
      <c r="M4545" s="49"/>
    </row>
    <row r="4546" spans="6:13" x14ac:dyDescent="0.25">
      <c r="F4546" t="s">
        <v>5463</v>
      </c>
      <c r="G4546">
        <v>25495</v>
      </c>
      <c r="H4546">
        <v>1056</v>
      </c>
      <c r="I4546" s="25" t="s">
        <v>2085</v>
      </c>
      <c r="J4546" t="s">
        <v>2311</v>
      </c>
      <c r="M4546" s="49"/>
    </row>
    <row r="4547" spans="6:13" x14ac:dyDescent="0.25">
      <c r="F4547" t="s">
        <v>5464</v>
      </c>
      <c r="G4547">
        <v>92245</v>
      </c>
      <c r="H4547">
        <v>9371</v>
      </c>
      <c r="I4547" s="25" t="s">
        <v>2050</v>
      </c>
      <c r="J4547" t="s">
        <v>2469</v>
      </c>
      <c r="M4547" s="49"/>
    </row>
    <row r="4548" spans="6:13" x14ac:dyDescent="0.25">
      <c r="F4548" t="s">
        <v>5465</v>
      </c>
      <c r="G4548">
        <v>91358</v>
      </c>
      <c r="H4548">
        <v>9474</v>
      </c>
      <c r="I4548" s="25" t="s">
        <v>2050</v>
      </c>
      <c r="J4548" t="s">
        <v>3692</v>
      </c>
      <c r="M4548" s="49"/>
    </row>
    <row r="4549" spans="6:13" x14ac:dyDescent="0.25">
      <c r="F4549" t="s">
        <v>5466</v>
      </c>
      <c r="G4549">
        <v>36093</v>
      </c>
      <c r="H4549">
        <v>6631</v>
      </c>
      <c r="I4549" s="25" t="s">
        <v>2046</v>
      </c>
      <c r="J4549" t="s">
        <v>2145</v>
      </c>
      <c r="M4549" s="49"/>
    </row>
    <row r="4550" spans="6:13" x14ac:dyDescent="0.25">
      <c r="F4550" t="s">
        <v>5467</v>
      </c>
      <c r="G4550">
        <v>74653</v>
      </c>
      <c r="H4550">
        <v>8126</v>
      </c>
      <c r="I4550" s="25" t="s">
        <v>2018</v>
      </c>
      <c r="J4550" t="s">
        <v>3280</v>
      </c>
      <c r="M4550" s="49"/>
    </row>
    <row r="4551" spans="6:13" x14ac:dyDescent="0.25">
      <c r="F4551" t="s">
        <v>5468</v>
      </c>
      <c r="G4551">
        <v>94550</v>
      </c>
      <c r="H4551">
        <v>9271</v>
      </c>
      <c r="I4551" s="25" t="s">
        <v>2050</v>
      </c>
      <c r="J4551" t="s">
        <v>2172</v>
      </c>
      <c r="M4551" s="49"/>
    </row>
    <row r="4552" spans="6:13" x14ac:dyDescent="0.25">
      <c r="F4552" t="s">
        <v>5469</v>
      </c>
      <c r="G4552">
        <v>95362</v>
      </c>
      <c r="H4552">
        <v>9477</v>
      </c>
      <c r="I4552" s="25" t="s">
        <v>2050</v>
      </c>
      <c r="J4552" t="s">
        <v>4385</v>
      </c>
      <c r="M4552" s="49"/>
    </row>
    <row r="4553" spans="6:13" x14ac:dyDescent="0.25">
      <c r="F4553" t="s">
        <v>5470</v>
      </c>
      <c r="G4553">
        <v>74635</v>
      </c>
      <c r="H4553">
        <v>8126</v>
      </c>
      <c r="I4553" s="25" t="s">
        <v>2018</v>
      </c>
      <c r="J4553" t="s">
        <v>3280</v>
      </c>
      <c r="M4553" s="49"/>
    </row>
    <row r="4554" spans="6:13" x14ac:dyDescent="0.25">
      <c r="F4554" t="s">
        <v>5471</v>
      </c>
      <c r="G4554">
        <v>76456</v>
      </c>
      <c r="H4554">
        <v>8216</v>
      </c>
      <c r="I4554" s="25" t="s">
        <v>2018</v>
      </c>
      <c r="J4554" t="s">
        <v>2564</v>
      </c>
      <c r="M4554" s="49"/>
    </row>
    <row r="4555" spans="6:13" x14ac:dyDescent="0.25">
      <c r="F4555" t="s">
        <v>5472</v>
      </c>
      <c r="G4555">
        <v>96328</v>
      </c>
      <c r="H4555">
        <v>9476</v>
      </c>
      <c r="I4555" s="25" t="s">
        <v>2050</v>
      </c>
      <c r="J4555" t="s">
        <v>5435</v>
      </c>
      <c r="M4555" s="49"/>
    </row>
    <row r="4556" spans="6:13" x14ac:dyDescent="0.25">
      <c r="F4556" t="s">
        <v>5473</v>
      </c>
      <c r="G4556">
        <v>97273</v>
      </c>
      <c r="H4556">
        <v>9679</v>
      </c>
      <c r="I4556" s="25" t="s">
        <v>2050</v>
      </c>
      <c r="J4556" t="s">
        <v>2428</v>
      </c>
      <c r="M4556" s="49"/>
    </row>
    <row r="4557" spans="6:13" x14ac:dyDescent="0.25">
      <c r="F4557" t="s">
        <v>5474</v>
      </c>
      <c r="G4557">
        <v>75057</v>
      </c>
      <c r="H4557">
        <v>8215</v>
      </c>
      <c r="I4557" s="25" t="s">
        <v>2018</v>
      </c>
      <c r="J4557" t="s">
        <v>2724</v>
      </c>
      <c r="M4557" s="49"/>
    </row>
    <row r="4558" spans="6:13" x14ac:dyDescent="0.25">
      <c r="F4558" t="s">
        <v>5475</v>
      </c>
      <c r="G4558">
        <v>51515</v>
      </c>
      <c r="H4558">
        <v>5378</v>
      </c>
      <c r="I4558" s="25" t="s">
        <v>2023</v>
      </c>
      <c r="J4558" t="s">
        <v>2909</v>
      </c>
      <c r="M4558" s="49"/>
    </row>
    <row r="4559" spans="6:13" x14ac:dyDescent="0.25">
      <c r="F4559" t="s">
        <v>2216</v>
      </c>
      <c r="G4559">
        <v>66869</v>
      </c>
      <c r="H4559">
        <v>7336</v>
      </c>
      <c r="I4559" s="25" t="s">
        <v>2123</v>
      </c>
      <c r="J4559" t="s">
        <v>2216</v>
      </c>
      <c r="M4559" s="49"/>
    </row>
    <row r="4560" spans="6:13" x14ac:dyDescent="0.25">
      <c r="F4560" t="s">
        <v>5476</v>
      </c>
      <c r="G4560">
        <v>79790</v>
      </c>
      <c r="H4560">
        <v>8337</v>
      </c>
      <c r="I4560" s="25" t="s">
        <v>2018</v>
      </c>
      <c r="J4560" t="s">
        <v>2248</v>
      </c>
      <c r="M4560" s="49"/>
    </row>
    <row r="4561" spans="6:13" x14ac:dyDescent="0.25">
      <c r="F4561" t="s">
        <v>5477</v>
      </c>
      <c r="G4561">
        <v>29482</v>
      </c>
      <c r="H4561">
        <v>3354</v>
      </c>
      <c r="I4561" s="25" t="s">
        <v>2074</v>
      </c>
      <c r="J4561" t="s">
        <v>2232</v>
      </c>
      <c r="M4561" s="49"/>
    </row>
    <row r="4562" spans="6:13" x14ac:dyDescent="0.25">
      <c r="F4562" t="s">
        <v>5478</v>
      </c>
      <c r="G4562">
        <v>72127</v>
      </c>
      <c r="H4562">
        <v>8416</v>
      </c>
      <c r="I4562" s="25" t="s">
        <v>2018</v>
      </c>
      <c r="J4562" t="s">
        <v>2464</v>
      </c>
      <c r="M4562" s="49"/>
    </row>
    <row r="4563" spans="6:13" x14ac:dyDescent="0.25">
      <c r="F4563" t="s">
        <v>5479</v>
      </c>
      <c r="G4563">
        <v>27449</v>
      </c>
      <c r="H4563">
        <v>3359</v>
      </c>
      <c r="I4563" s="25" t="s">
        <v>2074</v>
      </c>
      <c r="J4563" t="s">
        <v>2158</v>
      </c>
      <c r="M4563" s="49"/>
    </row>
    <row r="4564" spans="6:13" x14ac:dyDescent="0.25">
      <c r="F4564" t="s">
        <v>5480</v>
      </c>
      <c r="G4564">
        <v>86500</v>
      </c>
      <c r="H4564">
        <v>9772</v>
      </c>
      <c r="I4564" s="25" t="s">
        <v>2050</v>
      </c>
      <c r="J4564" t="s">
        <v>2117</v>
      </c>
      <c r="M4564" s="49"/>
    </row>
    <row r="4565" spans="6:13" x14ac:dyDescent="0.25">
      <c r="F4565" t="s">
        <v>5481</v>
      </c>
      <c r="G4565">
        <v>99707</v>
      </c>
      <c r="H4565">
        <v>16065</v>
      </c>
      <c r="I4565" s="25" t="s">
        <v>2384</v>
      </c>
      <c r="J4565" t="s">
        <v>2532</v>
      </c>
      <c r="M4565" s="49"/>
    </row>
    <row r="4566" spans="6:13" x14ac:dyDescent="0.25">
      <c r="F4566" t="s">
        <v>5482</v>
      </c>
      <c r="G4566">
        <v>54655</v>
      </c>
      <c r="H4566">
        <v>7232</v>
      </c>
      <c r="I4566" s="25" t="s">
        <v>2123</v>
      </c>
      <c r="J4566" t="s">
        <v>2112</v>
      </c>
      <c r="M4566" s="49"/>
    </row>
    <row r="4567" spans="6:13" x14ac:dyDescent="0.25">
      <c r="F4567" t="s">
        <v>5483</v>
      </c>
      <c r="G4567">
        <v>93164</v>
      </c>
      <c r="H4567">
        <v>9375</v>
      </c>
      <c r="I4567" s="25" t="s">
        <v>2050</v>
      </c>
      <c r="J4567" t="s">
        <v>2365</v>
      </c>
      <c r="M4567" s="49"/>
    </row>
    <row r="4568" spans="6:13" x14ac:dyDescent="0.25">
      <c r="F4568" t="s">
        <v>5484</v>
      </c>
      <c r="G4568">
        <v>18299</v>
      </c>
      <c r="H4568">
        <v>13072</v>
      </c>
      <c r="I4568" s="25" t="s">
        <v>2191</v>
      </c>
      <c r="J4568" t="s">
        <v>2036</v>
      </c>
      <c r="M4568" s="49"/>
    </row>
    <row r="4569" spans="6:13" x14ac:dyDescent="0.25">
      <c r="F4569" t="s">
        <v>5485</v>
      </c>
      <c r="G4569">
        <v>30880</v>
      </c>
      <c r="H4569">
        <v>3241</v>
      </c>
      <c r="I4569" s="25" t="s">
        <v>2074</v>
      </c>
      <c r="J4569" t="s">
        <v>2321</v>
      </c>
      <c r="M4569" s="49"/>
    </row>
    <row r="4570" spans="6:13" x14ac:dyDescent="0.25">
      <c r="F4570" t="s">
        <v>5486</v>
      </c>
      <c r="G4570">
        <v>84082</v>
      </c>
      <c r="H4570">
        <v>9278</v>
      </c>
      <c r="I4570" s="25" t="s">
        <v>2050</v>
      </c>
      <c r="J4570" t="s">
        <v>2170</v>
      </c>
      <c r="M4570" s="49"/>
    </row>
    <row r="4571" spans="6:13" x14ac:dyDescent="0.25">
      <c r="F4571" t="s">
        <v>5487</v>
      </c>
      <c r="G4571">
        <v>24235</v>
      </c>
      <c r="H4571">
        <v>1057</v>
      </c>
      <c r="I4571" s="25" t="s">
        <v>2085</v>
      </c>
      <c r="J4571" t="s">
        <v>2313</v>
      </c>
      <c r="M4571" s="49"/>
    </row>
    <row r="4572" spans="6:13" x14ac:dyDescent="0.25">
      <c r="F4572" t="s">
        <v>5488</v>
      </c>
      <c r="G4572">
        <v>87760</v>
      </c>
      <c r="H4572">
        <v>9778</v>
      </c>
      <c r="I4572" s="25" t="s">
        <v>2050</v>
      </c>
      <c r="J4572" t="s">
        <v>2460</v>
      </c>
      <c r="M4572" s="49"/>
    </row>
    <row r="4573" spans="6:13" x14ac:dyDescent="0.25">
      <c r="F4573" t="s">
        <v>5489</v>
      </c>
      <c r="G4573">
        <v>29331</v>
      </c>
      <c r="H4573">
        <v>3351</v>
      </c>
      <c r="I4573" s="25" t="s">
        <v>2074</v>
      </c>
      <c r="J4573" t="s">
        <v>2096</v>
      </c>
      <c r="M4573" s="49"/>
    </row>
    <row r="4574" spans="6:13" x14ac:dyDescent="0.25">
      <c r="F4574" t="s">
        <v>5490</v>
      </c>
      <c r="G4574">
        <v>49549</v>
      </c>
      <c r="H4574">
        <v>5566</v>
      </c>
      <c r="I4574" s="25" t="s">
        <v>2023</v>
      </c>
      <c r="J4574" t="s">
        <v>2379</v>
      </c>
      <c r="M4574" s="49"/>
    </row>
    <row r="4575" spans="6:13" x14ac:dyDescent="0.25">
      <c r="F4575" t="s">
        <v>5491</v>
      </c>
      <c r="G4575">
        <v>25926</v>
      </c>
      <c r="H4575">
        <v>1054</v>
      </c>
      <c r="I4575" s="25" t="s">
        <v>2085</v>
      </c>
      <c r="J4575" t="s">
        <v>2195</v>
      </c>
      <c r="M4575" s="49"/>
    </row>
    <row r="4576" spans="6:13" x14ac:dyDescent="0.25">
      <c r="F4576" t="s">
        <v>5492</v>
      </c>
      <c r="G4576">
        <v>68526</v>
      </c>
      <c r="H4576">
        <v>8226</v>
      </c>
      <c r="I4576" s="25" t="s">
        <v>2018</v>
      </c>
      <c r="J4576" t="s">
        <v>2442</v>
      </c>
      <c r="M4576" s="49"/>
    </row>
    <row r="4577" spans="6:13" x14ac:dyDescent="0.25">
      <c r="F4577" t="s">
        <v>5493</v>
      </c>
      <c r="G4577">
        <v>48366</v>
      </c>
      <c r="H4577">
        <v>5566</v>
      </c>
      <c r="I4577" s="25" t="s">
        <v>2023</v>
      </c>
      <c r="J4577" t="s">
        <v>2379</v>
      </c>
      <c r="M4577" s="49"/>
    </row>
    <row r="4578" spans="6:13" x14ac:dyDescent="0.25">
      <c r="F4578" t="s">
        <v>2012</v>
      </c>
      <c r="G4578">
        <v>32791</v>
      </c>
      <c r="H4578">
        <v>5766</v>
      </c>
      <c r="I4578" s="25" t="s">
        <v>2023</v>
      </c>
      <c r="J4578" t="s">
        <v>2223</v>
      </c>
      <c r="M4578" s="49"/>
    </row>
    <row r="4579" spans="6:13" x14ac:dyDescent="0.25">
      <c r="F4579" t="s">
        <v>5494</v>
      </c>
      <c r="G4579">
        <v>25566</v>
      </c>
      <c r="H4579">
        <v>1061</v>
      </c>
      <c r="I4579" s="25" t="s">
        <v>2085</v>
      </c>
      <c r="J4579" t="s">
        <v>2377</v>
      </c>
      <c r="M4579" s="49"/>
    </row>
    <row r="4580" spans="6:13" x14ac:dyDescent="0.25">
      <c r="F4580" t="s">
        <v>5495</v>
      </c>
      <c r="G4580">
        <v>49774</v>
      </c>
      <c r="H4580">
        <v>3454</v>
      </c>
      <c r="I4580" s="25" t="s">
        <v>2074</v>
      </c>
      <c r="J4580" t="s">
        <v>2118</v>
      </c>
      <c r="M4580" s="49"/>
    </row>
    <row r="4581" spans="6:13" x14ac:dyDescent="0.25">
      <c r="F4581" t="s">
        <v>5496</v>
      </c>
      <c r="G4581">
        <v>35633</v>
      </c>
      <c r="H4581">
        <v>6532</v>
      </c>
      <c r="I4581" s="25" t="s">
        <v>2046</v>
      </c>
      <c r="J4581" t="s">
        <v>2555</v>
      </c>
      <c r="M4581" s="49"/>
    </row>
    <row r="4582" spans="6:13" x14ac:dyDescent="0.25">
      <c r="F4582" t="s">
        <v>5497</v>
      </c>
      <c r="G4582">
        <v>56112</v>
      </c>
      <c r="H4582">
        <v>7141</v>
      </c>
      <c r="I4582" s="25" t="s">
        <v>2123</v>
      </c>
      <c r="J4582" t="s">
        <v>2388</v>
      </c>
      <c r="M4582" s="49"/>
    </row>
    <row r="4583" spans="6:13" x14ac:dyDescent="0.25">
      <c r="F4583" t="s">
        <v>5498</v>
      </c>
      <c r="G4583">
        <v>35094</v>
      </c>
      <c r="H4583">
        <v>6534</v>
      </c>
      <c r="I4583" s="25" t="s">
        <v>2046</v>
      </c>
      <c r="J4583" t="s">
        <v>2471</v>
      </c>
      <c r="M4583" s="49"/>
    </row>
    <row r="4584" spans="6:13" x14ac:dyDescent="0.25">
      <c r="F4584" t="s">
        <v>5499</v>
      </c>
      <c r="G4584">
        <v>77933</v>
      </c>
      <c r="H4584">
        <v>8317</v>
      </c>
      <c r="I4584" s="25" t="s">
        <v>2018</v>
      </c>
      <c r="J4584" t="s">
        <v>2071</v>
      </c>
      <c r="M4584" s="49"/>
    </row>
    <row r="4585" spans="6:13" x14ac:dyDescent="0.25">
      <c r="F4585" t="s">
        <v>5500</v>
      </c>
      <c r="G4585">
        <v>31246</v>
      </c>
      <c r="H4585">
        <v>3157</v>
      </c>
      <c r="I4585" s="25" t="s">
        <v>2074</v>
      </c>
      <c r="J4585" t="s">
        <v>2309</v>
      </c>
      <c r="M4585" s="49"/>
    </row>
    <row r="4586" spans="6:13" x14ac:dyDescent="0.25">
      <c r="F4586" t="s">
        <v>5501</v>
      </c>
      <c r="G4586">
        <v>89150</v>
      </c>
      <c r="H4586">
        <v>8425</v>
      </c>
      <c r="I4586" s="25" t="s">
        <v>2018</v>
      </c>
      <c r="J4586" t="s">
        <v>2027</v>
      </c>
      <c r="M4586" s="49"/>
    </row>
    <row r="4587" spans="6:13" x14ac:dyDescent="0.25">
      <c r="F4587" t="s">
        <v>5502</v>
      </c>
      <c r="G4587">
        <v>18279</v>
      </c>
      <c r="H4587">
        <v>13072</v>
      </c>
      <c r="I4587" s="25" t="s">
        <v>2191</v>
      </c>
      <c r="J4587" t="s">
        <v>2036</v>
      </c>
      <c r="M4587" s="49"/>
    </row>
    <row r="4588" spans="6:13" x14ac:dyDescent="0.25">
      <c r="F4588" t="s">
        <v>5503</v>
      </c>
      <c r="G4588">
        <v>94551</v>
      </c>
      <c r="H4588">
        <v>9271</v>
      </c>
      <c r="I4588" s="25" t="s">
        <v>2050</v>
      </c>
      <c r="J4588" t="s">
        <v>2172</v>
      </c>
      <c r="M4588" s="49"/>
    </row>
    <row r="4589" spans="6:13" x14ac:dyDescent="0.25">
      <c r="F4589" t="s">
        <v>5504</v>
      </c>
      <c r="G4589">
        <v>93462</v>
      </c>
      <c r="H4589">
        <v>9372</v>
      </c>
      <c r="I4589" s="25" t="s">
        <v>2050</v>
      </c>
      <c r="J4589" t="s">
        <v>2523</v>
      </c>
      <c r="M4589" s="49"/>
    </row>
    <row r="4590" spans="6:13" x14ac:dyDescent="0.25">
      <c r="F4590" t="s">
        <v>5505</v>
      </c>
      <c r="G4590">
        <v>67466</v>
      </c>
      <c r="H4590">
        <v>7332</v>
      </c>
      <c r="I4590" s="25" t="s">
        <v>2123</v>
      </c>
      <c r="J4590" t="s">
        <v>2440</v>
      </c>
      <c r="M4590" s="49"/>
    </row>
    <row r="4591" spans="6:13" x14ac:dyDescent="0.25">
      <c r="F4591" t="s">
        <v>5506</v>
      </c>
      <c r="G4591">
        <v>67245</v>
      </c>
      <c r="H4591">
        <v>7338</v>
      </c>
      <c r="I4591" s="25" t="s">
        <v>2123</v>
      </c>
      <c r="J4591" t="s">
        <v>2448</v>
      </c>
      <c r="M4591" s="49"/>
    </row>
    <row r="4592" spans="6:13" x14ac:dyDescent="0.25">
      <c r="F4592" t="s">
        <v>5507</v>
      </c>
      <c r="G4592">
        <v>86862</v>
      </c>
      <c r="H4592">
        <v>9777</v>
      </c>
      <c r="I4592" s="25" t="s">
        <v>2050</v>
      </c>
      <c r="J4592" t="s">
        <v>2237</v>
      </c>
      <c r="M4592" s="49"/>
    </row>
    <row r="4593" spans="6:13" x14ac:dyDescent="0.25">
      <c r="F4593" t="s">
        <v>5508</v>
      </c>
      <c r="G4593">
        <v>68623</v>
      </c>
      <c r="H4593">
        <v>6431</v>
      </c>
      <c r="I4593" s="25" t="s">
        <v>2046</v>
      </c>
      <c r="J4593" t="s">
        <v>2065</v>
      </c>
      <c r="M4593" s="49"/>
    </row>
    <row r="4594" spans="6:13" x14ac:dyDescent="0.25">
      <c r="F4594" t="s">
        <v>5509</v>
      </c>
      <c r="G4594">
        <v>31195</v>
      </c>
      <c r="H4594">
        <v>3254</v>
      </c>
      <c r="I4594" s="25" t="s">
        <v>2074</v>
      </c>
      <c r="J4594" t="s">
        <v>2196</v>
      </c>
      <c r="M4594" s="49"/>
    </row>
    <row r="4595" spans="6:13" x14ac:dyDescent="0.25">
      <c r="F4595" t="s">
        <v>5510</v>
      </c>
      <c r="G4595">
        <v>21769</v>
      </c>
      <c r="H4595">
        <v>3352</v>
      </c>
      <c r="I4595" s="25" t="s">
        <v>2074</v>
      </c>
      <c r="J4595" t="s">
        <v>2079</v>
      </c>
      <c r="M4595" s="49"/>
    </row>
    <row r="4596" spans="6:13" x14ac:dyDescent="0.25">
      <c r="F4596" t="s">
        <v>5511</v>
      </c>
      <c r="G4596">
        <v>94405</v>
      </c>
      <c r="H4596">
        <v>9279</v>
      </c>
      <c r="I4596" s="25" t="s">
        <v>2050</v>
      </c>
      <c r="J4596" t="s">
        <v>3574</v>
      </c>
      <c r="M4596" s="49"/>
    </row>
    <row r="4597" spans="6:13" x14ac:dyDescent="0.25">
      <c r="F4597" t="s">
        <v>5512</v>
      </c>
      <c r="G4597">
        <v>76829</v>
      </c>
      <c r="H4597">
        <v>7313</v>
      </c>
      <c r="I4597" s="25" t="s">
        <v>2123</v>
      </c>
      <c r="J4597" t="s">
        <v>5513</v>
      </c>
      <c r="M4597" s="49"/>
    </row>
    <row r="4598" spans="6:13" x14ac:dyDescent="0.25">
      <c r="F4598" t="s">
        <v>5512</v>
      </c>
      <c r="G4598">
        <v>76829</v>
      </c>
      <c r="H4598">
        <v>7313</v>
      </c>
      <c r="I4598" s="25" t="s">
        <v>2123</v>
      </c>
      <c r="J4598" t="s">
        <v>5513</v>
      </c>
      <c r="M4598" s="49"/>
    </row>
    <row r="4599" spans="6:13" x14ac:dyDescent="0.25">
      <c r="F4599" t="s">
        <v>5512</v>
      </c>
      <c r="G4599">
        <v>76829</v>
      </c>
      <c r="H4599">
        <v>7337</v>
      </c>
      <c r="I4599" s="25" t="s">
        <v>2123</v>
      </c>
      <c r="J4599" t="s">
        <v>2256</v>
      </c>
      <c r="M4599" s="49"/>
    </row>
    <row r="4600" spans="6:13" x14ac:dyDescent="0.25">
      <c r="F4600" t="s">
        <v>5512</v>
      </c>
      <c r="G4600">
        <v>76829</v>
      </c>
      <c r="H4600">
        <v>7337</v>
      </c>
      <c r="I4600" s="25" t="s">
        <v>2123</v>
      </c>
      <c r="J4600" t="s">
        <v>2256</v>
      </c>
      <c r="M4600" s="49"/>
    </row>
    <row r="4601" spans="6:13" x14ac:dyDescent="0.25">
      <c r="F4601" t="s">
        <v>5514</v>
      </c>
      <c r="G4601">
        <v>89361</v>
      </c>
      <c r="H4601">
        <v>9774</v>
      </c>
      <c r="I4601" s="25" t="s">
        <v>2050</v>
      </c>
      <c r="J4601" t="s">
        <v>2205</v>
      </c>
      <c r="M4601" s="49"/>
    </row>
    <row r="4602" spans="6:13" x14ac:dyDescent="0.25">
      <c r="F4602" t="s">
        <v>5515</v>
      </c>
      <c r="G4602">
        <v>31628</v>
      </c>
      <c r="H4602">
        <v>3256</v>
      </c>
      <c r="I4602" s="25" t="s">
        <v>2074</v>
      </c>
      <c r="J4602" t="s">
        <v>2271</v>
      </c>
      <c r="M4602" s="49"/>
    </row>
    <row r="4603" spans="6:13" x14ac:dyDescent="0.25">
      <c r="F4603" t="s">
        <v>5516</v>
      </c>
      <c r="G4603">
        <v>6188</v>
      </c>
      <c r="H4603">
        <v>15088</v>
      </c>
      <c r="I4603" s="25" t="s">
        <v>2241</v>
      </c>
      <c r="J4603" t="s">
        <v>2344</v>
      </c>
      <c r="M4603" s="49"/>
    </row>
    <row r="4604" spans="6:13" x14ac:dyDescent="0.25">
      <c r="F4604" t="s">
        <v>5517</v>
      </c>
      <c r="G4604">
        <v>86899</v>
      </c>
      <c r="H4604">
        <v>9181</v>
      </c>
      <c r="I4604" s="25" t="s">
        <v>2050</v>
      </c>
      <c r="J4604" t="s">
        <v>2505</v>
      </c>
      <c r="M4604" s="49"/>
    </row>
    <row r="4605" spans="6:13" x14ac:dyDescent="0.25">
      <c r="F4605" t="s">
        <v>5518</v>
      </c>
      <c r="G4605">
        <v>82290</v>
      </c>
      <c r="H4605">
        <v>9179</v>
      </c>
      <c r="I4605" s="25" t="s">
        <v>2050</v>
      </c>
      <c r="J4605" t="s">
        <v>2111</v>
      </c>
      <c r="M4605" s="49"/>
    </row>
    <row r="4606" spans="6:13" x14ac:dyDescent="0.25">
      <c r="F4606" t="s">
        <v>5519</v>
      </c>
      <c r="G4606">
        <v>54526</v>
      </c>
      <c r="H4606">
        <v>7231</v>
      </c>
      <c r="I4606" s="25" t="s">
        <v>2123</v>
      </c>
      <c r="J4606" t="s">
        <v>2043</v>
      </c>
      <c r="M4606" s="49"/>
    </row>
    <row r="4607" spans="6:13" x14ac:dyDescent="0.25">
      <c r="F4607" t="s">
        <v>2132</v>
      </c>
      <c r="G4607">
        <v>84034</v>
      </c>
      <c r="H4607">
        <v>9261</v>
      </c>
      <c r="I4607" s="25" t="s">
        <v>2050</v>
      </c>
      <c r="J4607" t="s">
        <v>3902</v>
      </c>
      <c r="M4607" s="49"/>
    </row>
    <row r="4608" spans="6:13" x14ac:dyDescent="0.25">
      <c r="F4608" t="s">
        <v>2132</v>
      </c>
      <c r="G4608">
        <v>84036</v>
      </c>
      <c r="H4608">
        <v>9261</v>
      </c>
      <c r="I4608" s="25" t="s">
        <v>2050</v>
      </c>
      <c r="J4608" t="s">
        <v>3902</v>
      </c>
      <c r="M4608" s="49"/>
    </row>
    <row r="4609" spans="6:13" x14ac:dyDescent="0.25">
      <c r="F4609" t="s">
        <v>2132</v>
      </c>
      <c r="G4609">
        <v>84028</v>
      </c>
      <c r="H4609">
        <v>9261</v>
      </c>
      <c r="I4609" s="25" t="s">
        <v>2050</v>
      </c>
      <c r="J4609" t="s">
        <v>3902</v>
      </c>
      <c r="M4609" s="49"/>
    </row>
    <row r="4610" spans="6:13" x14ac:dyDescent="0.25">
      <c r="F4610" t="s">
        <v>2132</v>
      </c>
      <c r="G4610">
        <v>84036</v>
      </c>
      <c r="H4610">
        <v>9274</v>
      </c>
      <c r="I4610" s="25" t="s">
        <v>2050</v>
      </c>
      <c r="J4610" t="s">
        <v>2132</v>
      </c>
      <c r="M4610" s="49"/>
    </row>
    <row r="4611" spans="6:13" x14ac:dyDescent="0.25">
      <c r="F4611" t="s">
        <v>5520</v>
      </c>
      <c r="G4611">
        <v>84032</v>
      </c>
      <c r="H4611">
        <v>9261</v>
      </c>
      <c r="I4611" s="25" t="s">
        <v>2050</v>
      </c>
      <c r="J4611" t="s">
        <v>3902</v>
      </c>
      <c r="M4611" s="49"/>
    </row>
    <row r="4612" spans="6:13" x14ac:dyDescent="0.25">
      <c r="F4612" t="s">
        <v>5520</v>
      </c>
      <c r="G4612">
        <v>84032</v>
      </c>
      <c r="H4612">
        <v>9274</v>
      </c>
      <c r="I4612" s="25" t="s">
        <v>2050</v>
      </c>
      <c r="J4612" t="s">
        <v>2132</v>
      </c>
      <c r="M4612" s="49"/>
    </row>
    <row r="4613" spans="6:13" x14ac:dyDescent="0.25">
      <c r="F4613" t="s">
        <v>5521</v>
      </c>
      <c r="G4613">
        <v>66849</v>
      </c>
      <c r="H4613">
        <v>7335</v>
      </c>
      <c r="I4613" s="25" t="s">
        <v>2123</v>
      </c>
      <c r="J4613" t="s">
        <v>2843</v>
      </c>
      <c r="M4613" s="49"/>
    </row>
    <row r="4614" spans="6:13" x14ac:dyDescent="0.25">
      <c r="F4614" t="s">
        <v>5522</v>
      </c>
      <c r="G4614">
        <v>24977</v>
      </c>
      <c r="H4614">
        <v>1059</v>
      </c>
      <c r="I4614" s="25" t="s">
        <v>2085</v>
      </c>
      <c r="J4614" t="s">
        <v>2354</v>
      </c>
      <c r="M4614" s="49"/>
    </row>
    <row r="4615" spans="6:13" x14ac:dyDescent="0.25">
      <c r="F4615" t="s">
        <v>5523</v>
      </c>
      <c r="G4615">
        <v>94264</v>
      </c>
      <c r="H4615">
        <v>9276</v>
      </c>
      <c r="I4615" s="25" t="s">
        <v>2050</v>
      </c>
      <c r="J4615" t="s">
        <v>2078</v>
      </c>
      <c r="M4615" s="49"/>
    </row>
    <row r="4616" spans="6:13" x14ac:dyDescent="0.25">
      <c r="F4616" t="s">
        <v>5524</v>
      </c>
      <c r="G4616">
        <v>38685</v>
      </c>
      <c r="H4616">
        <v>3153</v>
      </c>
      <c r="I4616" s="25" t="s">
        <v>2074</v>
      </c>
      <c r="J4616" t="s">
        <v>2152</v>
      </c>
      <c r="M4616" s="49"/>
    </row>
    <row r="4617" spans="6:13" x14ac:dyDescent="0.25">
      <c r="F4617" t="s">
        <v>5525</v>
      </c>
      <c r="G4617">
        <v>63225</v>
      </c>
      <c r="H4617">
        <v>6438</v>
      </c>
      <c r="I4617" s="25" t="s">
        <v>2046</v>
      </c>
      <c r="J4617" t="s">
        <v>3567</v>
      </c>
      <c r="M4617" s="49"/>
    </row>
    <row r="4618" spans="6:13" x14ac:dyDescent="0.25">
      <c r="F4618" t="s">
        <v>5526</v>
      </c>
      <c r="G4618">
        <v>91799</v>
      </c>
      <c r="H4618">
        <v>9577</v>
      </c>
      <c r="I4618" s="25" t="s">
        <v>2050</v>
      </c>
      <c r="J4618" t="s">
        <v>2057</v>
      </c>
      <c r="M4618" s="49"/>
    </row>
    <row r="4619" spans="6:13" x14ac:dyDescent="0.25">
      <c r="F4619" t="s">
        <v>5527</v>
      </c>
      <c r="G4619">
        <v>88085</v>
      </c>
      <c r="H4619">
        <v>8435</v>
      </c>
      <c r="I4619" s="25" t="s">
        <v>2018</v>
      </c>
      <c r="J4619" t="s">
        <v>3011</v>
      </c>
      <c r="M4619" s="49"/>
    </row>
    <row r="4620" spans="6:13" x14ac:dyDescent="0.25">
      <c r="F4620" t="s">
        <v>5528</v>
      </c>
      <c r="G4620">
        <v>89129</v>
      </c>
      <c r="H4620">
        <v>8425</v>
      </c>
      <c r="I4620" s="25" t="s">
        <v>2018</v>
      </c>
      <c r="J4620" t="s">
        <v>2027</v>
      </c>
      <c r="M4620" s="49"/>
    </row>
    <row r="4621" spans="6:13" x14ac:dyDescent="0.25">
      <c r="F4621" t="s">
        <v>5529</v>
      </c>
      <c r="G4621">
        <v>85416</v>
      </c>
      <c r="H4621">
        <v>9178</v>
      </c>
      <c r="I4621" s="25" t="s">
        <v>2050</v>
      </c>
      <c r="J4621" t="s">
        <v>2315</v>
      </c>
      <c r="M4621" s="49"/>
    </row>
    <row r="4622" spans="6:13" x14ac:dyDescent="0.25">
      <c r="F4622" t="s">
        <v>5530</v>
      </c>
      <c r="G4622">
        <v>33449</v>
      </c>
      <c r="H4622">
        <v>5754</v>
      </c>
      <c r="I4622" s="25" t="s">
        <v>2023</v>
      </c>
      <c r="J4622" t="s">
        <v>2165</v>
      </c>
      <c r="M4622" s="49"/>
    </row>
    <row r="4623" spans="6:13" x14ac:dyDescent="0.25">
      <c r="F4623" t="s">
        <v>5531</v>
      </c>
      <c r="G4623">
        <v>8428</v>
      </c>
      <c r="H4623">
        <v>14524</v>
      </c>
      <c r="I4623" s="25" t="s">
        <v>2135</v>
      </c>
      <c r="J4623" t="s">
        <v>3424</v>
      </c>
      <c r="M4623" s="49"/>
    </row>
    <row r="4624" spans="6:13" x14ac:dyDescent="0.25">
      <c r="F4624" t="s">
        <v>5532</v>
      </c>
      <c r="G4624">
        <v>74243</v>
      </c>
      <c r="H4624">
        <v>8125</v>
      </c>
      <c r="I4624" s="25" t="s">
        <v>2018</v>
      </c>
      <c r="J4624" t="s">
        <v>2060</v>
      </c>
      <c r="M4624" s="49"/>
    </row>
    <row r="4625" spans="6:13" x14ac:dyDescent="0.25">
      <c r="F4625" t="s">
        <v>5533</v>
      </c>
      <c r="G4625">
        <v>74595</v>
      </c>
      <c r="H4625">
        <v>8127</v>
      </c>
      <c r="I4625" s="25" t="s">
        <v>2018</v>
      </c>
      <c r="J4625" t="s">
        <v>3126</v>
      </c>
      <c r="M4625" s="49"/>
    </row>
    <row r="4626" spans="6:13" x14ac:dyDescent="0.25">
      <c r="F4626" t="s">
        <v>5534</v>
      </c>
      <c r="G4626">
        <v>29484</v>
      </c>
      <c r="H4626">
        <v>3354</v>
      </c>
      <c r="I4626" s="25" t="s">
        <v>2074</v>
      </c>
      <c r="J4626" t="s">
        <v>2232</v>
      </c>
      <c r="M4626" s="49"/>
    </row>
    <row r="4627" spans="6:13" x14ac:dyDescent="0.25">
      <c r="F4627" t="s">
        <v>5535</v>
      </c>
      <c r="G4627">
        <v>88515</v>
      </c>
      <c r="H4627">
        <v>8426</v>
      </c>
      <c r="I4627" s="25" t="s">
        <v>2018</v>
      </c>
      <c r="J4627" t="s">
        <v>2081</v>
      </c>
      <c r="M4627" s="49"/>
    </row>
    <row r="4628" spans="6:13" x14ac:dyDescent="0.25">
      <c r="F4628" t="s">
        <v>5536</v>
      </c>
      <c r="G4628">
        <v>25863</v>
      </c>
      <c r="H4628">
        <v>1054</v>
      </c>
      <c r="I4628" s="25" t="s">
        <v>2085</v>
      </c>
      <c r="J4628" t="s">
        <v>2195</v>
      </c>
      <c r="M4628" s="49"/>
    </row>
    <row r="4629" spans="6:13" x14ac:dyDescent="0.25">
      <c r="F4629" t="s">
        <v>5537</v>
      </c>
      <c r="G4629">
        <v>40764</v>
      </c>
      <c r="H4629">
        <v>5158</v>
      </c>
      <c r="I4629" s="25" t="s">
        <v>2023</v>
      </c>
      <c r="J4629" t="s">
        <v>2252</v>
      </c>
      <c r="M4629" s="49"/>
    </row>
    <row r="4630" spans="6:13" x14ac:dyDescent="0.25">
      <c r="F4630" t="s">
        <v>5537</v>
      </c>
      <c r="G4630">
        <v>91474</v>
      </c>
      <c r="H4630">
        <v>9575</v>
      </c>
      <c r="I4630" s="25" t="s">
        <v>2050</v>
      </c>
      <c r="J4630" t="s">
        <v>2749</v>
      </c>
      <c r="M4630" s="49"/>
    </row>
    <row r="4631" spans="6:13" x14ac:dyDescent="0.25">
      <c r="F4631" t="s">
        <v>5538</v>
      </c>
      <c r="G4631">
        <v>30855</v>
      </c>
      <c r="H4631">
        <v>3241</v>
      </c>
      <c r="I4631" s="25" t="s">
        <v>2074</v>
      </c>
      <c r="J4631" t="s">
        <v>2321</v>
      </c>
      <c r="M4631" s="49"/>
    </row>
    <row r="4632" spans="6:13" x14ac:dyDescent="0.25">
      <c r="F4632" t="s">
        <v>5538</v>
      </c>
      <c r="G4632">
        <v>30851</v>
      </c>
      <c r="H4632">
        <v>3241</v>
      </c>
      <c r="I4632" s="25" t="s">
        <v>2074</v>
      </c>
      <c r="J4632" t="s">
        <v>2321</v>
      </c>
      <c r="M4632" s="49"/>
    </row>
    <row r="4633" spans="6:13" x14ac:dyDescent="0.25">
      <c r="F4633" t="s">
        <v>5538</v>
      </c>
      <c r="G4633">
        <v>30853</v>
      </c>
      <c r="H4633">
        <v>3241</v>
      </c>
      <c r="I4633" s="25" t="s">
        <v>2074</v>
      </c>
      <c r="J4633" t="s">
        <v>2321</v>
      </c>
      <c r="M4633" s="49"/>
    </row>
    <row r="4634" spans="6:13" x14ac:dyDescent="0.25">
      <c r="F4634" t="s">
        <v>5539</v>
      </c>
      <c r="G4634">
        <v>30669</v>
      </c>
      <c r="H4634">
        <v>3241</v>
      </c>
      <c r="I4634" s="25" t="s">
        <v>2074</v>
      </c>
      <c r="J4634" t="s">
        <v>2321</v>
      </c>
      <c r="M4634" s="49"/>
    </row>
    <row r="4635" spans="6:13" x14ac:dyDescent="0.25">
      <c r="F4635" t="s">
        <v>5540</v>
      </c>
      <c r="G4635">
        <v>25842</v>
      </c>
      <c r="H4635">
        <v>1054</v>
      </c>
      <c r="I4635" s="25" t="s">
        <v>2085</v>
      </c>
      <c r="J4635" t="s">
        <v>2195</v>
      </c>
      <c r="M4635" s="49"/>
    </row>
    <row r="4636" spans="6:13" x14ac:dyDescent="0.25">
      <c r="F4636" t="s">
        <v>5541</v>
      </c>
      <c r="G4636">
        <v>4618</v>
      </c>
      <c r="H4636">
        <v>16077</v>
      </c>
      <c r="I4636" s="25" t="s">
        <v>2384</v>
      </c>
      <c r="J4636" t="s">
        <v>2385</v>
      </c>
      <c r="M4636" s="49"/>
    </row>
    <row r="4637" spans="6:13" x14ac:dyDescent="0.25">
      <c r="F4637" t="s">
        <v>5541</v>
      </c>
      <c r="G4637">
        <v>4618</v>
      </c>
      <c r="H4637">
        <v>16077</v>
      </c>
      <c r="I4637" s="25" t="s">
        <v>2384</v>
      </c>
      <c r="J4637" t="s">
        <v>2385</v>
      </c>
      <c r="M4637" s="49"/>
    </row>
    <row r="4638" spans="6:13" x14ac:dyDescent="0.25">
      <c r="F4638" t="s">
        <v>5542</v>
      </c>
      <c r="G4638">
        <v>55450</v>
      </c>
      <c r="H4638">
        <v>7133</v>
      </c>
      <c r="I4638" s="25" t="s">
        <v>2123</v>
      </c>
      <c r="J4638" t="s">
        <v>2037</v>
      </c>
      <c r="M4638" s="49"/>
    </row>
    <row r="4639" spans="6:13" x14ac:dyDescent="0.25">
      <c r="F4639" t="s">
        <v>5543</v>
      </c>
      <c r="G4639">
        <v>86571</v>
      </c>
      <c r="H4639">
        <v>9185</v>
      </c>
      <c r="I4639" s="25" t="s">
        <v>2050</v>
      </c>
      <c r="J4639" t="s">
        <v>2515</v>
      </c>
      <c r="M4639" s="49"/>
    </row>
    <row r="4640" spans="6:13" x14ac:dyDescent="0.25">
      <c r="F4640" t="s">
        <v>5544</v>
      </c>
      <c r="G4640">
        <v>86863</v>
      </c>
      <c r="H4640">
        <v>9772</v>
      </c>
      <c r="I4640" s="25" t="s">
        <v>2050</v>
      </c>
      <c r="J4640" t="s">
        <v>2117</v>
      </c>
      <c r="M4640" s="49"/>
    </row>
    <row r="4641" spans="6:13" x14ac:dyDescent="0.25">
      <c r="F4641" t="s">
        <v>5545</v>
      </c>
      <c r="G4641">
        <v>85465</v>
      </c>
      <c r="H4641">
        <v>9177</v>
      </c>
      <c r="I4641" s="25" t="s">
        <v>2050</v>
      </c>
      <c r="J4641" t="s">
        <v>2915</v>
      </c>
      <c r="M4641" s="49"/>
    </row>
    <row r="4642" spans="6:13" x14ac:dyDescent="0.25">
      <c r="F4642" t="s">
        <v>5546</v>
      </c>
      <c r="G4642">
        <v>63505</v>
      </c>
      <c r="H4642">
        <v>6435</v>
      </c>
      <c r="I4642" s="25" t="s">
        <v>2046</v>
      </c>
      <c r="J4642" t="s">
        <v>2703</v>
      </c>
      <c r="M4642" s="49"/>
    </row>
    <row r="4643" spans="6:13" x14ac:dyDescent="0.25">
      <c r="F4643" t="s">
        <v>5547</v>
      </c>
      <c r="G4643">
        <v>91094</v>
      </c>
      <c r="H4643">
        <v>9474</v>
      </c>
      <c r="I4643" s="25" t="s">
        <v>2050</v>
      </c>
      <c r="J4643" t="s">
        <v>3692</v>
      </c>
      <c r="M4643" s="49"/>
    </row>
    <row r="4644" spans="6:13" x14ac:dyDescent="0.25">
      <c r="F4644" t="s">
        <v>5548</v>
      </c>
      <c r="G4644">
        <v>38895</v>
      </c>
      <c r="H4644">
        <v>15085</v>
      </c>
      <c r="I4644" s="25" t="s">
        <v>2241</v>
      </c>
      <c r="J4644" t="s">
        <v>2178</v>
      </c>
      <c r="M4644" s="49"/>
    </row>
    <row r="4645" spans="6:13" x14ac:dyDescent="0.25">
      <c r="F4645" t="s">
        <v>5549</v>
      </c>
      <c r="G4645">
        <v>8134</v>
      </c>
      <c r="H4645">
        <v>14524</v>
      </c>
      <c r="I4645" s="25" t="s">
        <v>2135</v>
      </c>
      <c r="J4645" t="s">
        <v>3424</v>
      </c>
      <c r="M4645" s="49"/>
    </row>
    <row r="4646" spans="6:13" x14ac:dyDescent="0.25">
      <c r="F4646" t="s">
        <v>5550</v>
      </c>
      <c r="G4646">
        <v>7957</v>
      </c>
      <c r="H4646">
        <v>16076</v>
      </c>
      <c r="I4646" s="25" t="s">
        <v>2384</v>
      </c>
      <c r="J4646" t="s">
        <v>2583</v>
      </c>
      <c r="M4646" s="49"/>
    </row>
    <row r="4647" spans="6:13" x14ac:dyDescent="0.25">
      <c r="F4647" t="s">
        <v>5551</v>
      </c>
      <c r="G4647">
        <v>90579</v>
      </c>
      <c r="H4647">
        <v>9573</v>
      </c>
      <c r="I4647" s="25" t="s">
        <v>2050</v>
      </c>
      <c r="J4647" t="s">
        <v>2466</v>
      </c>
      <c r="M4647" s="49"/>
    </row>
    <row r="4648" spans="6:13" x14ac:dyDescent="0.25">
      <c r="F4648" t="s">
        <v>5552</v>
      </c>
      <c r="G4648">
        <v>26465</v>
      </c>
      <c r="H4648">
        <v>3462</v>
      </c>
      <c r="I4648" s="25" t="s">
        <v>2074</v>
      </c>
      <c r="J4648" t="s">
        <v>2433</v>
      </c>
      <c r="M4648" s="49"/>
    </row>
    <row r="4649" spans="6:13" x14ac:dyDescent="0.25">
      <c r="F4649" t="s">
        <v>5553</v>
      </c>
      <c r="G4649">
        <v>86853</v>
      </c>
      <c r="H4649">
        <v>9772</v>
      </c>
      <c r="I4649" s="25" t="s">
        <v>2050</v>
      </c>
      <c r="J4649" t="s">
        <v>2117</v>
      </c>
      <c r="M4649" s="49"/>
    </row>
    <row r="4650" spans="6:13" x14ac:dyDescent="0.25">
      <c r="F4650" t="s">
        <v>5554</v>
      </c>
      <c r="G4650">
        <v>52379</v>
      </c>
      <c r="H4650">
        <v>5358</v>
      </c>
      <c r="I4650" s="25" t="s">
        <v>2023</v>
      </c>
      <c r="J4650" t="s">
        <v>2106</v>
      </c>
      <c r="M4650" s="49"/>
    </row>
    <row r="4651" spans="6:13" x14ac:dyDescent="0.25">
      <c r="F4651" t="s">
        <v>5555</v>
      </c>
      <c r="G4651">
        <v>91731</v>
      </c>
      <c r="H4651">
        <v>9571</v>
      </c>
      <c r="I4651" s="25" t="s">
        <v>2050</v>
      </c>
      <c r="J4651" t="s">
        <v>2113</v>
      </c>
      <c r="M4651" s="49"/>
    </row>
    <row r="4652" spans="6:13" x14ac:dyDescent="0.25">
      <c r="F4652" t="s">
        <v>5556</v>
      </c>
      <c r="G4652">
        <v>35428</v>
      </c>
      <c r="H4652">
        <v>6531</v>
      </c>
      <c r="I4652" s="25" t="s">
        <v>2046</v>
      </c>
      <c r="J4652" t="s">
        <v>2306</v>
      </c>
      <c r="M4652" s="49"/>
    </row>
    <row r="4653" spans="6:13" x14ac:dyDescent="0.25">
      <c r="F4653" t="s">
        <v>5557</v>
      </c>
      <c r="G4653">
        <v>29364</v>
      </c>
      <c r="H4653">
        <v>3351</v>
      </c>
      <c r="I4653" s="25" t="s">
        <v>2074</v>
      </c>
      <c r="J4653" t="s">
        <v>2096</v>
      </c>
      <c r="M4653" s="49"/>
    </row>
    <row r="4654" spans="6:13" x14ac:dyDescent="0.25">
      <c r="F4654" t="s">
        <v>5557</v>
      </c>
      <c r="G4654">
        <v>29364</v>
      </c>
      <c r="H4654">
        <v>3351</v>
      </c>
      <c r="I4654" s="25" t="s">
        <v>2074</v>
      </c>
      <c r="J4654" t="s">
        <v>2096</v>
      </c>
      <c r="M4654" s="49"/>
    </row>
    <row r="4655" spans="6:13" x14ac:dyDescent="0.25">
      <c r="F4655" t="s">
        <v>5557</v>
      </c>
      <c r="G4655">
        <v>29364</v>
      </c>
      <c r="H4655">
        <v>3351</v>
      </c>
      <c r="I4655" s="25" t="s">
        <v>2074</v>
      </c>
      <c r="J4655" t="s">
        <v>2096</v>
      </c>
      <c r="M4655" s="49"/>
    </row>
    <row r="4656" spans="6:13" x14ac:dyDescent="0.25">
      <c r="F4656" t="s">
        <v>5558</v>
      </c>
      <c r="G4656">
        <v>84085</v>
      </c>
      <c r="H4656">
        <v>9273</v>
      </c>
      <c r="I4656" s="25" t="s">
        <v>2050</v>
      </c>
      <c r="J4656" t="s">
        <v>2054</v>
      </c>
      <c r="M4656" s="49"/>
    </row>
    <row r="4657" spans="6:13" x14ac:dyDescent="0.25">
      <c r="F4657" t="s">
        <v>5559</v>
      </c>
      <c r="G4657">
        <v>54308</v>
      </c>
      <c r="H4657">
        <v>7235</v>
      </c>
      <c r="I4657" s="25" t="s">
        <v>2123</v>
      </c>
      <c r="J4657" t="s">
        <v>2395</v>
      </c>
      <c r="M4657" s="49"/>
    </row>
    <row r="4658" spans="6:13" x14ac:dyDescent="0.25">
      <c r="F4658" t="s">
        <v>5560</v>
      </c>
      <c r="G4658">
        <v>24631</v>
      </c>
      <c r="H4658">
        <v>1058</v>
      </c>
      <c r="I4658" s="25" t="s">
        <v>2085</v>
      </c>
      <c r="J4658" t="s">
        <v>2086</v>
      </c>
      <c r="M4658" s="49"/>
    </row>
    <row r="4659" spans="6:13" x14ac:dyDescent="0.25">
      <c r="F4659" t="s">
        <v>5560</v>
      </c>
      <c r="G4659">
        <v>27299</v>
      </c>
      <c r="H4659">
        <v>3361</v>
      </c>
      <c r="I4659" s="25" t="s">
        <v>2074</v>
      </c>
      <c r="J4659" t="s">
        <v>2075</v>
      </c>
      <c r="M4659" s="49"/>
    </row>
    <row r="4660" spans="6:13" x14ac:dyDescent="0.25">
      <c r="F4660" t="s">
        <v>5561</v>
      </c>
      <c r="G4660">
        <v>86462</v>
      </c>
      <c r="H4660">
        <v>9772</v>
      </c>
      <c r="I4660" s="25" t="s">
        <v>2050</v>
      </c>
      <c r="J4660" t="s">
        <v>2117</v>
      </c>
      <c r="M4660" s="49"/>
    </row>
    <row r="4661" spans="6:13" x14ac:dyDescent="0.25">
      <c r="F4661" t="s">
        <v>5562</v>
      </c>
      <c r="G4661">
        <v>67746</v>
      </c>
      <c r="H4661">
        <v>7336</v>
      </c>
      <c r="I4661" s="25" t="s">
        <v>2123</v>
      </c>
      <c r="J4661" t="s">
        <v>2216</v>
      </c>
      <c r="M4661" s="49"/>
    </row>
    <row r="4662" spans="6:13" x14ac:dyDescent="0.25">
      <c r="F4662" t="s">
        <v>5563</v>
      </c>
      <c r="G4662">
        <v>6628</v>
      </c>
      <c r="H4662">
        <v>15084</v>
      </c>
      <c r="I4662" s="25" t="s">
        <v>2241</v>
      </c>
      <c r="J4662" t="s">
        <v>2615</v>
      </c>
      <c r="M4662" s="49"/>
    </row>
    <row r="4663" spans="6:13" x14ac:dyDescent="0.25">
      <c r="F4663" t="s">
        <v>5564</v>
      </c>
      <c r="G4663">
        <v>93138</v>
      </c>
      <c r="H4663">
        <v>9375</v>
      </c>
      <c r="I4663" s="25" t="s">
        <v>2050</v>
      </c>
      <c r="J4663" t="s">
        <v>2365</v>
      </c>
      <c r="M4663" s="49"/>
    </row>
    <row r="4664" spans="6:13" x14ac:dyDescent="0.25">
      <c r="F4664" t="s">
        <v>5565</v>
      </c>
      <c r="G4664">
        <v>23847</v>
      </c>
      <c r="H4664">
        <v>1053</v>
      </c>
      <c r="I4664" s="25" t="s">
        <v>2085</v>
      </c>
      <c r="J4664" t="s">
        <v>2193</v>
      </c>
      <c r="M4664" s="49"/>
    </row>
    <row r="4665" spans="6:13" x14ac:dyDescent="0.25">
      <c r="F4665" t="s">
        <v>5565</v>
      </c>
      <c r="G4665">
        <v>23847</v>
      </c>
      <c r="H4665">
        <v>1062</v>
      </c>
      <c r="I4665" s="25" t="s">
        <v>2085</v>
      </c>
      <c r="J4665" t="s">
        <v>2188</v>
      </c>
      <c r="M4665" s="49"/>
    </row>
    <row r="4666" spans="6:13" x14ac:dyDescent="0.25">
      <c r="F4666" t="s">
        <v>5566</v>
      </c>
      <c r="G4666">
        <v>54612</v>
      </c>
      <c r="H4666">
        <v>7232</v>
      </c>
      <c r="I4666" s="25" t="s">
        <v>2123</v>
      </c>
      <c r="J4666" t="s">
        <v>2112</v>
      </c>
      <c r="M4666" s="49"/>
    </row>
    <row r="4667" spans="6:13" x14ac:dyDescent="0.25">
      <c r="F4667" t="s">
        <v>5567</v>
      </c>
      <c r="G4667">
        <v>49688</v>
      </c>
      <c r="H4667">
        <v>3453</v>
      </c>
      <c r="I4667" s="25" t="s">
        <v>2074</v>
      </c>
      <c r="J4667" t="s">
        <v>2069</v>
      </c>
      <c r="M4667" s="49"/>
    </row>
    <row r="4668" spans="6:13" x14ac:dyDescent="0.25">
      <c r="F4668" t="s">
        <v>5568</v>
      </c>
      <c r="G4668">
        <v>35321</v>
      </c>
      <c r="H4668">
        <v>6531</v>
      </c>
      <c r="I4668" s="25" t="s">
        <v>2046</v>
      </c>
      <c r="J4668" t="s">
        <v>2306</v>
      </c>
      <c r="M4668" s="49"/>
    </row>
    <row r="4669" spans="6:13" x14ac:dyDescent="0.25">
      <c r="F4669" t="s">
        <v>5569</v>
      </c>
      <c r="G4669">
        <v>87761</v>
      </c>
      <c r="H4669">
        <v>9778</v>
      </c>
      <c r="I4669" s="25" t="s">
        <v>2050</v>
      </c>
      <c r="J4669" t="s">
        <v>2460</v>
      </c>
      <c r="M4669" s="49"/>
    </row>
    <row r="4670" spans="6:13" x14ac:dyDescent="0.25">
      <c r="F4670" t="s">
        <v>5569</v>
      </c>
      <c r="G4670">
        <v>87493</v>
      </c>
      <c r="H4670">
        <v>9780</v>
      </c>
      <c r="I4670" s="25" t="s">
        <v>2050</v>
      </c>
      <c r="J4670" t="s">
        <v>2278</v>
      </c>
      <c r="M4670" s="49"/>
    </row>
    <row r="4671" spans="6:13" x14ac:dyDescent="0.25">
      <c r="F4671" t="s">
        <v>5570</v>
      </c>
      <c r="G4671">
        <v>6636</v>
      </c>
      <c r="H4671">
        <v>15084</v>
      </c>
      <c r="I4671" s="25" t="s">
        <v>2241</v>
      </c>
      <c r="J4671" t="s">
        <v>2615</v>
      </c>
      <c r="M4671" s="49"/>
    </row>
    <row r="4672" spans="6:13" x14ac:dyDescent="0.25">
      <c r="F4672" t="s">
        <v>5571</v>
      </c>
      <c r="G4672">
        <v>1979</v>
      </c>
      <c r="H4672">
        <v>12066</v>
      </c>
      <c r="I4672" s="25" t="s">
        <v>2356</v>
      </c>
      <c r="J4672" t="s">
        <v>2357</v>
      </c>
      <c r="M4672" s="49"/>
    </row>
    <row r="4673" spans="6:13" x14ac:dyDescent="0.25">
      <c r="F4673" t="s">
        <v>5572</v>
      </c>
      <c r="G4673">
        <v>73466</v>
      </c>
      <c r="H4673">
        <v>8136</v>
      </c>
      <c r="I4673" s="25" t="s">
        <v>2018</v>
      </c>
      <c r="J4673" t="s">
        <v>2039</v>
      </c>
      <c r="M4673" s="49"/>
    </row>
    <row r="4674" spans="6:13" x14ac:dyDescent="0.25">
      <c r="F4674" t="s">
        <v>5573</v>
      </c>
      <c r="G4674">
        <v>79787</v>
      </c>
      <c r="H4674">
        <v>8337</v>
      </c>
      <c r="I4674" s="25" t="s">
        <v>2018</v>
      </c>
      <c r="J4674" t="s">
        <v>2248</v>
      </c>
      <c r="M4674" s="49"/>
    </row>
    <row r="4675" spans="6:13" x14ac:dyDescent="0.25">
      <c r="F4675" t="s">
        <v>5574</v>
      </c>
      <c r="G4675">
        <v>97922</v>
      </c>
      <c r="H4675">
        <v>8128</v>
      </c>
      <c r="I4675" s="25" t="s">
        <v>2018</v>
      </c>
      <c r="J4675" t="s">
        <v>2175</v>
      </c>
      <c r="M4675" s="49"/>
    </row>
    <row r="4676" spans="6:13" x14ac:dyDescent="0.25">
      <c r="F4676" t="s">
        <v>5575</v>
      </c>
      <c r="G4676">
        <v>69514</v>
      </c>
      <c r="H4676">
        <v>8226</v>
      </c>
      <c r="I4676" s="25" t="s">
        <v>2018</v>
      </c>
      <c r="J4676" t="s">
        <v>2442</v>
      </c>
      <c r="M4676" s="49"/>
    </row>
    <row r="4677" spans="6:13" x14ac:dyDescent="0.25">
      <c r="F4677" t="s">
        <v>5575</v>
      </c>
      <c r="G4677">
        <v>63925</v>
      </c>
      <c r="H4677">
        <v>9676</v>
      </c>
      <c r="I4677" s="25" t="s">
        <v>2050</v>
      </c>
      <c r="J4677" t="s">
        <v>2381</v>
      </c>
      <c r="M4677" s="49"/>
    </row>
    <row r="4678" spans="6:13" x14ac:dyDescent="0.25">
      <c r="F4678" t="s">
        <v>5576</v>
      </c>
      <c r="G4678">
        <v>21481</v>
      </c>
      <c r="H4678">
        <v>1053</v>
      </c>
      <c r="I4678" s="25" t="s">
        <v>2085</v>
      </c>
      <c r="J4678" t="s">
        <v>2193</v>
      </c>
      <c r="M4678" s="49"/>
    </row>
    <row r="4679" spans="6:13" x14ac:dyDescent="0.25">
      <c r="F4679" t="s">
        <v>5577</v>
      </c>
      <c r="G4679">
        <v>37697</v>
      </c>
      <c r="H4679">
        <v>3255</v>
      </c>
      <c r="I4679" s="25" t="s">
        <v>2074</v>
      </c>
      <c r="J4679" t="s">
        <v>3044</v>
      </c>
      <c r="M4679" s="49"/>
    </row>
    <row r="4680" spans="6:13" x14ac:dyDescent="0.25">
      <c r="F4680" t="s">
        <v>5578</v>
      </c>
      <c r="G4680">
        <v>31714</v>
      </c>
      <c r="H4680">
        <v>3257</v>
      </c>
      <c r="I4680" s="25" t="s">
        <v>2074</v>
      </c>
      <c r="J4680" t="s">
        <v>2167</v>
      </c>
      <c r="M4680" s="49"/>
    </row>
    <row r="4681" spans="6:13" x14ac:dyDescent="0.25">
      <c r="F4681" t="s">
        <v>5579</v>
      </c>
      <c r="G4681">
        <v>77886</v>
      </c>
      <c r="H4681">
        <v>8317</v>
      </c>
      <c r="I4681" s="25" t="s">
        <v>2018</v>
      </c>
      <c r="J4681" t="s">
        <v>2071</v>
      </c>
      <c r="M4681" s="49"/>
    </row>
    <row r="4682" spans="6:13" x14ac:dyDescent="0.25">
      <c r="F4682" t="s">
        <v>5580</v>
      </c>
      <c r="G4682">
        <v>91207</v>
      </c>
      <c r="H4682">
        <v>9574</v>
      </c>
      <c r="I4682" s="25" t="s">
        <v>2050</v>
      </c>
      <c r="J4682" t="s">
        <v>2291</v>
      </c>
      <c r="M4682" s="49"/>
    </row>
    <row r="4683" spans="6:13" x14ac:dyDescent="0.25">
      <c r="F4683" t="s">
        <v>5581</v>
      </c>
      <c r="G4683">
        <v>63846</v>
      </c>
      <c r="H4683">
        <v>9671</v>
      </c>
      <c r="I4683" s="25" t="s">
        <v>2050</v>
      </c>
      <c r="J4683" t="s">
        <v>2453</v>
      </c>
      <c r="M4683" s="49"/>
    </row>
    <row r="4684" spans="6:13" x14ac:dyDescent="0.25">
      <c r="F4684" t="s">
        <v>5582</v>
      </c>
      <c r="G4684">
        <v>83410</v>
      </c>
      <c r="H4684">
        <v>9172</v>
      </c>
      <c r="I4684" s="25" t="s">
        <v>2050</v>
      </c>
      <c r="J4684" t="s">
        <v>2042</v>
      </c>
      <c r="M4684" s="49"/>
    </row>
    <row r="4685" spans="6:13" x14ac:dyDescent="0.25">
      <c r="F4685" t="s">
        <v>5583</v>
      </c>
      <c r="G4685">
        <v>79725</v>
      </c>
      <c r="H4685">
        <v>8337</v>
      </c>
      <c r="I4685" s="25" t="s">
        <v>2018</v>
      </c>
      <c r="J4685" t="s">
        <v>2248</v>
      </c>
      <c r="M4685" s="49"/>
    </row>
    <row r="4686" spans="6:13" x14ac:dyDescent="0.25">
      <c r="F4686" t="s">
        <v>5584</v>
      </c>
      <c r="G4686">
        <v>74348</v>
      </c>
      <c r="H4686">
        <v>8125</v>
      </c>
      <c r="I4686" s="25" t="s">
        <v>2018</v>
      </c>
      <c r="J4686" t="s">
        <v>2060</v>
      </c>
      <c r="M4686" s="49"/>
    </row>
    <row r="4687" spans="6:13" x14ac:dyDescent="0.25">
      <c r="F4687" t="s">
        <v>5585</v>
      </c>
      <c r="G4687">
        <v>86502</v>
      </c>
      <c r="H4687">
        <v>9773</v>
      </c>
      <c r="I4687" s="25" t="s">
        <v>2050</v>
      </c>
      <c r="J4687" t="s">
        <v>2231</v>
      </c>
      <c r="M4687" s="49"/>
    </row>
    <row r="4688" spans="6:13" x14ac:dyDescent="0.25">
      <c r="F4688" t="s">
        <v>5586</v>
      </c>
      <c r="G4688">
        <v>89415</v>
      </c>
      <c r="H4688">
        <v>9773</v>
      </c>
      <c r="I4688" s="25" t="s">
        <v>2050</v>
      </c>
      <c r="J4688" t="s">
        <v>2231</v>
      </c>
      <c r="M4688" s="49"/>
    </row>
    <row r="4689" spans="6:13" x14ac:dyDescent="0.25">
      <c r="F4689" t="s">
        <v>5587</v>
      </c>
      <c r="G4689">
        <v>88471</v>
      </c>
      <c r="H4689">
        <v>8426</v>
      </c>
      <c r="I4689" s="25" t="s">
        <v>2018</v>
      </c>
      <c r="J4689" t="s">
        <v>2081</v>
      </c>
      <c r="M4689" s="49"/>
    </row>
    <row r="4690" spans="6:13" x14ac:dyDescent="0.25">
      <c r="F4690" t="s">
        <v>5587</v>
      </c>
      <c r="G4690">
        <v>88471</v>
      </c>
      <c r="H4690">
        <v>8426</v>
      </c>
      <c r="I4690" s="25" t="s">
        <v>2018</v>
      </c>
      <c r="J4690" t="s">
        <v>2081</v>
      </c>
      <c r="M4690" s="49"/>
    </row>
    <row r="4691" spans="6:13" x14ac:dyDescent="0.25">
      <c r="F4691" t="s">
        <v>5588</v>
      </c>
      <c r="G4691">
        <v>2991</v>
      </c>
      <c r="H4691">
        <v>14625</v>
      </c>
      <c r="I4691" s="25" t="s">
        <v>2135</v>
      </c>
      <c r="J4691" t="s">
        <v>2041</v>
      </c>
      <c r="M4691" s="49"/>
    </row>
    <row r="4692" spans="6:13" x14ac:dyDescent="0.25">
      <c r="F4692" t="s">
        <v>5589</v>
      </c>
      <c r="G4692">
        <v>77794</v>
      </c>
      <c r="H4692">
        <v>8317</v>
      </c>
      <c r="I4692" s="25" t="s">
        <v>2018</v>
      </c>
      <c r="J4692" t="s">
        <v>2071</v>
      </c>
      <c r="M4692" s="49"/>
    </row>
    <row r="4693" spans="6:13" x14ac:dyDescent="0.25">
      <c r="F4693" t="s">
        <v>5590</v>
      </c>
      <c r="G4693">
        <v>96169</v>
      </c>
      <c r="H4693">
        <v>9471</v>
      </c>
      <c r="I4693" s="25" t="s">
        <v>2050</v>
      </c>
      <c r="J4693" t="s">
        <v>2392</v>
      </c>
      <c r="M4693" s="49"/>
    </row>
    <row r="4694" spans="6:13" x14ac:dyDescent="0.25">
      <c r="F4694" t="s">
        <v>5591</v>
      </c>
      <c r="G4694">
        <v>36341</v>
      </c>
      <c r="H4694">
        <v>6535</v>
      </c>
      <c r="I4694" s="25" t="s">
        <v>2046</v>
      </c>
      <c r="J4694" t="s">
        <v>2346</v>
      </c>
      <c r="M4694" s="49"/>
    </row>
    <row r="4695" spans="6:13" x14ac:dyDescent="0.25">
      <c r="F4695" t="s">
        <v>5591</v>
      </c>
      <c r="G4695">
        <v>78730</v>
      </c>
      <c r="H4695">
        <v>8325</v>
      </c>
      <c r="I4695" s="25" t="s">
        <v>2018</v>
      </c>
      <c r="J4695" t="s">
        <v>2208</v>
      </c>
      <c r="M4695" s="49"/>
    </row>
    <row r="4696" spans="6:13" x14ac:dyDescent="0.25">
      <c r="F4696" t="s">
        <v>5592</v>
      </c>
      <c r="G4696">
        <v>8315</v>
      </c>
      <c r="H4696">
        <v>14521</v>
      </c>
      <c r="I4696" s="25" t="s">
        <v>2135</v>
      </c>
      <c r="J4696" t="s">
        <v>2032</v>
      </c>
      <c r="M4696" s="49"/>
    </row>
    <row r="4697" spans="6:13" x14ac:dyDescent="0.25">
      <c r="F4697" t="s">
        <v>5593</v>
      </c>
      <c r="G4697">
        <v>67742</v>
      </c>
      <c r="H4697">
        <v>7336</v>
      </c>
      <c r="I4697" s="25" t="s">
        <v>2123</v>
      </c>
      <c r="J4697" t="s">
        <v>2216</v>
      </c>
      <c r="M4697" s="49"/>
    </row>
    <row r="4698" spans="6:13" x14ac:dyDescent="0.25">
      <c r="F4698" t="s">
        <v>5593</v>
      </c>
      <c r="G4698">
        <v>67742</v>
      </c>
      <c r="H4698">
        <v>7336</v>
      </c>
      <c r="I4698" s="25" t="s">
        <v>2123</v>
      </c>
      <c r="J4698" t="s">
        <v>2216</v>
      </c>
      <c r="M4698" s="49"/>
    </row>
    <row r="4699" spans="6:13" x14ac:dyDescent="0.25">
      <c r="F4699" t="s">
        <v>5593</v>
      </c>
      <c r="G4699">
        <v>67742</v>
      </c>
      <c r="H4699">
        <v>7336</v>
      </c>
      <c r="I4699" s="25" t="s">
        <v>2123</v>
      </c>
      <c r="J4699" t="s">
        <v>2216</v>
      </c>
      <c r="M4699" s="49"/>
    </row>
    <row r="4700" spans="6:13" x14ac:dyDescent="0.25">
      <c r="F4700" t="s">
        <v>5594</v>
      </c>
      <c r="G4700">
        <v>92283</v>
      </c>
      <c r="H4700">
        <v>9373</v>
      </c>
      <c r="I4700" s="25" t="s">
        <v>2050</v>
      </c>
      <c r="J4700" t="s">
        <v>2891</v>
      </c>
      <c r="M4700" s="49"/>
    </row>
    <row r="4701" spans="6:13" x14ac:dyDescent="0.25">
      <c r="F4701" t="s">
        <v>5595</v>
      </c>
      <c r="G4701">
        <v>73111</v>
      </c>
      <c r="H4701">
        <v>8117</v>
      </c>
      <c r="I4701" s="25" t="s">
        <v>2018</v>
      </c>
      <c r="J4701" t="s">
        <v>2089</v>
      </c>
      <c r="M4701" s="49"/>
    </row>
    <row r="4702" spans="6:13" x14ac:dyDescent="0.25">
      <c r="F4702" t="s">
        <v>5596</v>
      </c>
      <c r="G4702">
        <v>36369</v>
      </c>
      <c r="H4702">
        <v>6535</v>
      </c>
      <c r="I4702" s="25" t="s">
        <v>2046</v>
      </c>
      <c r="J4702" t="s">
        <v>2346</v>
      </c>
      <c r="M4702" s="49"/>
    </row>
    <row r="4703" spans="6:13" x14ac:dyDescent="0.25">
      <c r="F4703" t="s">
        <v>5596</v>
      </c>
      <c r="G4703">
        <v>96486</v>
      </c>
      <c r="H4703">
        <v>9473</v>
      </c>
      <c r="I4703" s="25" t="s">
        <v>2050</v>
      </c>
      <c r="J4703" t="s">
        <v>2177</v>
      </c>
      <c r="M4703" s="49"/>
    </row>
    <row r="4704" spans="6:13" x14ac:dyDescent="0.25">
      <c r="F4704" t="s">
        <v>5597</v>
      </c>
      <c r="G4704">
        <v>64686</v>
      </c>
      <c r="H4704">
        <v>6431</v>
      </c>
      <c r="I4704" s="25" t="s">
        <v>2046</v>
      </c>
      <c r="J4704" t="s">
        <v>2065</v>
      </c>
      <c r="M4704" s="49"/>
    </row>
    <row r="4705" spans="6:13" x14ac:dyDescent="0.25">
      <c r="F4705" t="s">
        <v>5598</v>
      </c>
      <c r="G4705">
        <v>87763</v>
      </c>
      <c r="H4705">
        <v>9778</v>
      </c>
      <c r="I4705" s="25" t="s">
        <v>2050</v>
      </c>
      <c r="J4705" t="s">
        <v>2460</v>
      </c>
      <c r="M4705" s="49"/>
    </row>
    <row r="4706" spans="6:13" x14ac:dyDescent="0.25">
      <c r="F4706" t="s">
        <v>5599</v>
      </c>
      <c r="G4706">
        <v>66822</v>
      </c>
      <c r="H4706">
        <v>10044</v>
      </c>
      <c r="I4706" s="25" t="s">
        <v>2849</v>
      </c>
      <c r="J4706" t="s">
        <v>3222</v>
      </c>
      <c r="M4706" s="49"/>
    </row>
    <row r="4707" spans="6:13" x14ac:dyDescent="0.25">
      <c r="F4707" t="s">
        <v>5600</v>
      </c>
      <c r="G4707">
        <v>86983</v>
      </c>
      <c r="H4707">
        <v>9777</v>
      </c>
      <c r="I4707" s="25" t="s">
        <v>2050</v>
      </c>
      <c r="J4707" t="s">
        <v>2237</v>
      </c>
      <c r="M4707" s="49"/>
    </row>
    <row r="4708" spans="6:13" x14ac:dyDescent="0.25">
      <c r="F4708" t="s">
        <v>5601</v>
      </c>
      <c r="G4708">
        <v>25917</v>
      </c>
      <c r="H4708">
        <v>1054</v>
      </c>
      <c r="I4708" s="25" t="s">
        <v>2085</v>
      </c>
      <c r="J4708" t="s">
        <v>2195</v>
      </c>
      <c r="M4708" s="49"/>
    </row>
    <row r="4709" spans="6:13" x14ac:dyDescent="0.25">
      <c r="F4709" t="s">
        <v>5602</v>
      </c>
      <c r="G4709">
        <v>16767</v>
      </c>
      <c r="H4709">
        <v>12065</v>
      </c>
      <c r="I4709" s="25" t="s">
        <v>2356</v>
      </c>
      <c r="J4709" t="s">
        <v>2283</v>
      </c>
      <c r="M4709" s="49"/>
    </row>
    <row r="4710" spans="6:13" x14ac:dyDescent="0.25">
      <c r="F4710" t="s">
        <v>2220</v>
      </c>
      <c r="G4710">
        <v>26789</v>
      </c>
      <c r="H4710">
        <v>3457</v>
      </c>
      <c r="I4710" s="25" t="s">
        <v>2074</v>
      </c>
      <c r="J4710" t="s">
        <v>2220</v>
      </c>
      <c r="M4710" s="49"/>
    </row>
    <row r="4711" spans="6:13" x14ac:dyDescent="0.25">
      <c r="F4711" t="s">
        <v>5603</v>
      </c>
      <c r="G4711">
        <v>31633</v>
      </c>
      <c r="H4711">
        <v>3256</v>
      </c>
      <c r="I4711" s="25" t="s">
        <v>2074</v>
      </c>
      <c r="J4711" t="s">
        <v>2271</v>
      </c>
      <c r="M4711" s="49"/>
    </row>
    <row r="4712" spans="6:13" x14ac:dyDescent="0.25">
      <c r="F4712" t="s">
        <v>5604</v>
      </c>
      <c r="G4712">
        <v>23816</v>
      </c>
      <c r="H4712">
        <v>1060</v>
      </c>
      <c r="I4712" s="25" t="s">
        <v>2085</v>
      </c>
      <c r="J4712" t="s">
        <v>2363</v>
      </c>
      <c r="M4712" s="49"/>
    </row>
    <row r="4713" spans="6:13" x14ac:dyDescent="0.25">
      <c r="F4713" t="s">
        <v>5604</v>
      </c>
      <c r="G4713">
        <v>19067</v>
      </c>
      <c r="H4713">
        <v>13076</v>
      </c>
      <c r="I4713" s="25" t="s">
        <v>2191</v>
      </c>
      <c r="J4713" t="s">
        <v>2234</v>
      </c>
      <c r="M4713" s="49"/>
    </row>
    <row r="4714" spans="6:13" x14ac:dyDescent="0.25">
      <c r="F4714" t="s">
        <v>5605</v>
      </c>
      <c r="G4714">
        <v>87764</v>
      </c>
      <c r="H4714">
        <v>9778</v>
      </c>
      <c r="I4714" s="25" t="s">
        <v>2050</v>
      </c>
      <c r="J4714" t="s">
        <v>2460</v>
      </c>
      <c r="M4714" s="49"/>
    </row>
    <row r="4715" spans="6:13" x14ac:dyDescent="0.25">
      <c r="F4715" t="s">
        <v>5606</v>
      </c>
      <c r="G4715">
        <v>19336</v>
      </c>
      <c r="H4715">
        <v>12070</v>
      </c>
      <c r="I4715" s="25" t="s">
        <v>2356</v>
      </c>
      <c r="J4715" t="s">
        <v>2316</v>
      </c>
      <c r="M4715" s="49"/>
    </row>
    <row r="4716" spans="6:13" x14ac:dyDescent="0.25">
      <c r="F4716" t="s">
        <v>5607</v>
      </c>
      <c r="G4716">
        <v>48739</v>
      </c>
      <c r="H4716">
        <v>5554</v>
      </c>
      <c r="I4716" s="25" t="s">
        <v>2023</v>
      </c>
      <c r="J4716" t="s">
        <v>2055</v>
      </c>
      <c r="M4716" s="49"/>
    </row>
    <row r="4717" spans="6:13" x14ac:dyDescent="0.25">
      <c r="F4717" t="s">
        <v>5608</v>
      </c>
      <c r="G4717">
        <v>7349</v>
      </c>
      <c r="H4717">
        <v>16073</v>
      </c>
      <c r="I4717" s="25" t="s">
        <v>2384</v>
      </c>
      <c r="J4717" t="s">
        <v>2618</v>
      </c>
      <c r="M4717" s="49"/>
    </row>
    <row r="4718" spans="6:13" x14ac:dyDescent="0.25">
      <c r="F4718" t="s">
        <v>5609</v>
      </c>
      <c r="G4718">
        <v>56332</v>
      </c>
      <c r="H4718">
        <v>7137</v>
      </c>
      <c r="I4718" s="25" t="s">
        <v>2123</v>
      </c>
      <c r="J4718" t="s">
        <v>2246</v>
      </c>
      <c r="M4718" s="49"/>
    </row>
    <row r="4719" spans="6:13" x14ac:dyDescent="0.25">
      <c r="F4719" t="s">
        <v>5609</v>
      </c>
      <c r="G4719">
        <v>56332</v>
      </c>
      <c r="H4719">
        <v>7137</v>
      </c>
      <c r="I4719" s="25" t="s">
        <v>2123</v>
      </c>
      <c r="J4719" t="s">
        <v>2246</v>
      </c>
      <c r="M4719" s="49"/>
    </row>
    <row r="4720" spans="6:13" x14ac:dyDescent="0.25">
      <c r="F4720" t="s">
        <v>5610</v>
      </c>
      <c r="G4720">
        <v>14797</v>
      </c>
      <c r="H4720">
        <v>12069</v>
      </c>
      <c r="I4720" s="25" t="s">
        <v>2356</v>
      </c>
      <c r="J4720" t="s">
        <v>2857</v>
      </c>
      <c r="M4720" s="49"/>
    </row>
    <row r="4721" spans="6:13" x14ac:dyDescent="0.25">
      <c r="F4721" t="s">
        <v>5611</v>
      </c>
      <c r="G4721">
        <v>99441</v>
      </c>
      <c r="H4721">
        <v>16071</v>
      </c>
      <c r="I4721" s="25" t="s">
        <v>2384</v>
      </c>
      <c r="J4721" t="s">
        <v>2508</v>
      </c>
      <c r="M4721" s="49"/>
    </row>
    <row r="4722" spans="6:13" x14ac:dyDescent="0.25">
      <c r="F4722" t="s">
        <v>5612</v>
      </c>
      <c r="G4722">
        <v>91611</v>
      </c>
      <c r="H4722">
        <v>9571</v>
      </c>
      <c r="I4722" s="25" t="s">
        <v>2050</v>
      </c>
      <c r="J4722" t="s">
        <v>2113</v>
      </c>
      <c r="M4722" s="49"/>
    </row>
    <row r="4723" spans="6:13" x14ac:dyDescent="0.25">
      <c r="F4723" t="s">
        <v>5613</v>
      </c>
      <c r="G4723">
        <v>38165</v>
      </c>
      <c r="H4723">
        <v>3154</v>
      </c>
      <c r="I4723" s="25" t="s">
        <v>2074</v>
      </c>
      <c r="J4723" t="s">
        <v>2186</v>
      </c>
      <c r="M4723" s="49"/>
    </row>
    <row r="4724" spans="6:13" x14ac:dyDescent="0.25">
      <c r="F4724" t="s">
        <v>5614</v>
      </c>
      <c r="G4724">
        <v>74251</v>
      </c>
      <c r="H4724">
        <v>8125</v>
      </c>
      <c r="I4724" s="25" t="s">
        <v>2018</v>
      </c>
      <c r="J4724" t="s">
        <v>2060</v>
      </c>
      <c r="M4724" s="49"/>
    </row>
    <row r="4725" spans="6:13" x14ac:dyDescent="0.25">
      <c r="F4725" t="s">
        <v>5615</v>
      </c>
      <c r="G4725">
        <v>31275</v>
      </c>
      <c r="H4725">
        <v>3241</v>
      </c>
      <c r="I4725" s="25" t="s">
        <v>2074</v>
      </c>
      <c r="J4725" t="s">
        <v>2321</v>
      </c>
      <c r="M4725" s="49"/>
    </row>
    <row r="4726" spans="6:13" x14ac:dyDescent="0.25">
      <c r="F4726" t="s">
        <v>5616</v>
      </c>
      <c r="G4726">
        <v>88637</v>
      </c>
      <c r="H4726">
        <v>8327</v>
      </c>
      <c r="I4726" s="25" t="s">
        <v>2018</v>
      </c>
      <c r="J4726" t="s">
        <v>2277</v>
      </c>
      <c r="M4726" s="49"/>
    </row>
    <row r="4727" spans="6:13" x14ac:dyDescent="0.25">
      <c r="F4727" t="s">
        <v>5616</v>
      </c>
      <c r="G4727">
        <v>88637</v>
      </c>
      <c r="H4727">
        <v>8437</v>
      </c>
      <c r="I4727" s="25" t="s">
        <v>2018</v>
      </c>
      <c r="J4727" t="s">
        <v>2720</v>
      </c>
      <c r="M4727" s="49"/>
    </row>
    <row r="4728" spans="6:13" x14ac:dyDescent="0.25">
      <c r="F4728" t="s">
        <v>5617</v>
      </c>
      <c r="G4728">
        <v>94339</v>
      </c>
      <c r="H4728">
        <v>9278</v>
      </c>
      <c r="I4728" s="25" t="s">
        <v>2050</v>
      </c>
      <c r="J4728" t="s">
        <v>2170</v>
      </c>
      <c r="M4728" s="49"/>
    </row>
    <row r="4729" spans="6:13" x14ac:dyDescent="0.25">
      <c r="F4729" t="s">
        <v>5618</v>
      </c>
      <c r="G4729">
        <v>42799</v>
      </c>
      <c r="H4729">
        <v>5378</v>
      </c>
      <c r="I4729" s="25" t="s">
        <v>2023</v>
      </c>
      <c r="J4729" t="s">
        <v>2909</v>
      </c>
      <c r="M4729" s="49"/>
    </row>
    <row r="4730" spans="6:13" x14ac:dyDescent="0.25">
      <c r="F4730" t="s">
        <v>5619</v>
      </c>
      <c r="G4730">
        <v>63849</v>
      </c>
      <c r="H4730">
        <v>9676</v>
      </c>
      <c r="I4730" s="25" t="s">
        <v>2050</v>
      </c>
      <c r="J4730" t="s">
        <v>2381</v>
      </c>
      <c r="M4730" s="49"/>
    </row>
    <row r="4731" spans="6:13" x14ac:dyDescent="0.25">
      <c r="F4731" t="s">
        <v>5620</v>
      </c>
      <c r="G4731">
        <v>38542</v>
      </c>
      <c r="H4731">
        <v>3151</v>
      </c>
      <c r="I4731" s="25" t="s">
        <v>2074</v>
      </c>
      <c r="J4731" t="s">
        <v>2126</v>
      </c>
      <c r="M4731" s="49"/>
    </row>
    <row r="4732" spans="6:13" x14ac:dyDescent="0.25">
      <c r="F4732" t="s">
        <v>5621</v>
      </c>
      <c r="G4732">
        <v>69181</v>
      </c>
      <c r="H4732">
        <v>8226</v>
      </c>
      <c r="I4732" s="25" t="s">
        <v>2018</v>
      </c>
      <c r="J4732" t="s">
        <v>2442</v>
      </c>
      <c r="M4732" s="49"/>
    </row>
    <row r="4733" spans="6:13" x14ac:dyDescent="0.25">
      <c r="F4733" t="s">
        <v>5621</v>
      </c>
      <c r="G4733">
        <v>69181</v>
      </c>
      <c r="H4733">
        <v>8226</v>
      </c>
      <c r="I4733" s="25" t="s">
        <v>2018</v>
      </c>
      <c r="J4733" t="s">
        <v>2442</v>
      </c>
      <c r="M4733" s="49"/>
    </row>
    <row r="4734" spans="6:13" x14ac:dyDescent="0.25">
      <c r="F4734" t="s">
        <v>5622</v>
      </c>
      <c r="G4734">
        <v>76774</v>
      </c>
      <c r="H4734">
        <v>7334</v>
      </c>
      <c r="I4734" s="25" t="s">
        <v>2123</v>
      </c>
      <c r="J4734" t="s">
        <v>2873</v>
      </c>
      <c r="M4734" s="49"/>
    </row>
    <row r="4735" spans="6:13" x14ac:dyDescent="0.25">
      <c r="F4735" t="s">
        <v>5623</v>
      </c>
      <c r="G4735">
        <v>97274</v>
      </c>
      <c r="H4735">
        <v>9679</v>
      </c>
      <c r="I4735" s="25" t="s">
        <v>2050</v>
      </c>
      <c r="J4735" t="s">
        <v>2428</v>
      </c>
      <c r="M4735" s="49"/>
    </row>
    <row r="4736" spans="6:13" x14ac:dyDescent="0.25">
      <c r="F4736" t="s">
        <v>5624</v>
      </c>
      <c r="G4736">
        <v>99894</v>
      </c>
      <c r="H4736">
        <v>16067</v>
      </c>
      <c r="I4736" s="25" t="s">
        <v>2384</v>
      </c>
      <c r="J4736" t="s">
        <v>2155</v>
      </c>
      <c r="M4736" s="49"/>
    </row>
    <row r="4737" spans="6:13" x14ac:dyDescent="0.25">
      <c r="F4737" t="s">
        <v>5625</v>
      </c>
      <c r="G4737">
        <v>91227</v>
      </c>
      <c r="H4737">
        <v>9574</v>
      </c>
      <c r="I4737" s="25" t="s">
        <v>2050</v>
      </c>
      <c r="J4737" t="s">
        <v>2291</v>
      </c>
      <c r="M4737" s="49"/>
    </row>
    <row r="4738" spans="6:13" x14ac:dyDescent="0.25">
      <c r="F4738" t="s">
        <v>5626</v>
      </c>
      <c r="G4738">
        <v>37327</v>
      </c>
      <c r="H4738">
        <v>16061</v>
      </c>
      <c r="I4738" s="25" t="s">
        <v>2384</v>
      </c>
      <c r="J4738" t="s">
        <v>2109</v>
      </c>
      <c r="M4738" s="49"/>
    </row>
    <row r="4739" spans="6:13" x14ac:dyDescent="0.25">
      <c r="F4739" t="s">
        <v>5627</v>
      </c>
      <c r="G4739">
        <v>70771</v>
      </c>
      <c r="H4739">
        <v>8116</v>
      </c>
      <c r="I4739" s="25" t="s">
        <v>2018</v>
      </c>
      <c r="J4739" t="s">
        <v>2213</v>
      </c>
      <c r="M4739" s="49"/>
    </row>
    <row r="4740" spans="6:13" x14ac:dyDescent="0.25">
      <c r="F4740" t="s">
        <v>5628</v>
      </c>
      <c r="G4740">
        <v>74211</v>
      </c>
      <c r="H4740">
        <v>8125</v>
      </c>
      <c r="I4740" s="25" t="s">
        <v>2018</v>
      </c>
      <c r="J4740" t="s">
        <v>2060</v>
      </c>
      <c r="M4740" s="49"/>
    </row>
    <row r="4741" spans="6:13" x14ac:dyDescent="0.25">
      <c r="F4741" t="s">
        <v>5629</v>
      </c>
      <c r="G4741">
        <v>56291</v>
      </c>
      <c r="H4741">
        <v>7140</v>
      </c>
      <c r="I4741" s="25" t="s">
        <v>2123</v>
      </c>
      <c r="J4741" t="s">
        <v>2329</v>
      </c>
      <c r="M4741" s="49"/>
    </row>
    <row r="4742" spans="6:13" x14ac:dyDescent="0.25">
      <c r="F4742" t="s">
        <v>5630</v>
      </c>
      <c r="G4742">
        <v>73575</v>
      </c>
      <c r="H4742">
        <v>8136</v>
      </c>
      <c r="I4742" s="25" t="s">
        <v>2018</v>
      </c>
      <c r="J4742" t="s">
        <v>2039</v>
      </c>
      <c r="M4742" s="49"/>
    </row>
    <row r="4743" spans="6:13" x14ac:dyDescent="0.25">
      <c r="F4743" t="s">
        <v>5631</v>
      </c>
      <c r="G4743">
        <v>89340</v>
      </c>
      <c r="H4743">
        <v>9774</v>
      </c>
      <c r="I4743" s="25" t="s">
        <v>2050</v>
      </c>
      <c r="J4743" t="s">
        <v>2205</v>
      </c>
      <c r="M4743" s="49"/>
    </row>
    <row r="4744" spans="6:13" x14ac:dyDescent="0.25">
      <c r="F4744" t="s">
        <v>2684</v>
      </c>
      <c r="G4744">
        <v>4275</v>
      </c>
      <c r="H4744">
        <v>14713</v>
      </c>
      <c r="I4744" s="25" t="s">
        <v>2135</v>
      </c>
      <c r="J4744" t="s">
        <v>5632</v>
      </c>
      <c r="M4744" s="49"/>
    </row>
    <row r="4745" spans="6:13" x14ac:dyDescent="0.25">
      <c r="F4745" t="s">
        <v>2684</v>
      </c>
      <c r="G4745">
        <v>4347</v>
      </c>
      <c r="H4745">
        <v>14713</v>
      </c>
      <c r="I4745" s="25" t="s">
        <v>2135</v>
      </c>
      <c r="J4745" t="s">
        <v>5632</v>
      </c>
      <c r="M4745" s="49"/>
    </row>
    <row r="4746" spans="6:13" x14ac:dyDescent="0.25">
      <c r="F4746" t="s">
        <v>2684</v>
      </c>
      <c r="G4746">
        <v>4299</v>
      </c>
      <c r="H4746">
        <v>14713</v>
      </c>
      <c r="I4746" s="25" t="s">
        <v>2135</v>
      </c>
      <c r="J4746" t="s">
        <v>5632</v>
      </c>
      <c r="M4746" s="49"/>
    </row>
    <row r="4747" spans="6:13" x14ac:dyDescent="0.25">
      <c r="F4747" t="s">
        <v>2684</v>
      </c>
      <c r="G4747">
        <v>4157</v>
      </c>
      <c r="H4747">
        <v>14713</v>
      </c>
      <c r="I4747" s="25" t="s">
        <v>2135</v>
      </c>
      <c r="J4747" t="s">
        <v>5632</v>
      </c>
      <c r="M4747" s="49"/>
    </row>
    <row r="4748" spans="6:13" x14ac:dyDescent="0.25">
      <c r="F4748" t="s">
        <v>2684</v>
      </c>
      <c r="G4748">
        <v>4277</v>
      </c>
      <c r="H4748">
        <v>14713</v>
      </c>
      <c r="I4748" s="25" t="s">
        <v>2135</v>
      </c>
      <c r="J4748" t="s">
        <v>5632</v>
      </c>
      <c r="M4748" s="49"/>
    </row>
    <row r="4749" spans="6:13" x14ac:dyDescent="0.25">
      <c r="F4749" t="s">
        <v>2684</v>
      </c>
      <c r="G4749">
        <v>4177</v>
      </c>
      <c r="H4749">
        <v>14713</v>
      </c>
      <c r="I4749" s="25" t="s">
        <v>2135</v>
      </c>
      <c r="J4749" t="s">
        <v>5632</v>
      </c>
      <c r="M4749" s="49"/>
    </row>
    <row r="4750" spans="6:13" x14ac:dyDescent="0.25">
      <c r="F4750" t="s">
        <v>2684</v>
      </c>
      <c r="G4750">
        <v>4288</v>
      </c>
      <c r="H4750">
        <v>14713</v>
      </c>
      <c r="I4750" s="25" t="s">
        <v>2135</v>
      </c>
      <c r="J4750" t="s">
        <v>5632</v>
      </c>
      <c r="M4750" s="49"/>
    </row>
    <row r="4751" spans="6:13" x14ac:dyDescent="0.25">
      <c r="F4751" t="s">
        <v>2684</v>
      </c>
      <c r="G4751">
        <v>4249</v>
      </c>
      <c r="H4751">
        <v>14713</v>
      </c>
      <c r="I4751" s="25" t="s">
        <v>2135</v>
      </c>
      <c r="J4751" t="s">
        <v>5632</v>
      </c>
      <c r="M4751" s="49"/>
    </row>
    <row r="4752" spans="6:13" x14ac:dyDescent="0.25">
      <c r="F4752" t="s">
        <v>2684</v>
      </c>
      <c r="G4752">
        <v>4129</v>
      </c>
      <c r="H4752">
        <v>14713</v>
      </c>
      <c r="I4752" s="25" t="s">
        <v>2135</v>
      </c>
      <c r="J4752" t="s">
        <v>5632</v>
      </c>
      <c r="M4752" s="49"/>
    </row>
    <row r="4753" spans="6:13" x14ac:dyDescent="0.25">
      <c r="F4753" t="s">
        <v>2684</v>
      </c>
      <c r="G4753">
        <v>4179</v>
      </c>
      <c r="H4753">
        <v>14713</v>
      </c>
      <c r="I4753" s="25" t="s">
        <v>2135</v>
      </c>
      <c r="J4753" t="s">
        <v>5632</v>
      </c>
      <c r="M4753" s="49"/>
    </row>
    <row r="4754" spans="6:13" x14ac:dyDescent="0.25">
      <c r="F4754" t="s">
        <v>2684</v>
      </c>
      <c r="G4754">
        <v>4289</v>
      </c>
      <c r="H4754">
        <v>14713</v>
      </c>
      <c r="I4754" s="25" t="s">
        <v>2135</v>
      </c>
      <c r="J4754" t="s">
        <v>5632</v>
      </c>
      <c r="M4754" s="49"/>
    </row>
    <row r="4755" spans="6:13" x14ac:dyDescent="0.25">
      <c r="F4755" t="s">
        <v>2684</v>
      </c>
      <c r="G4755">
        <v>4329</v>
      </c>
      <c r="H4755">
        <v>14713</v>
      </c>
      <c r="I4755" s="25" t="s">
        <v>2135</v>
      </c>
      <c r="J4755" t="s">
        <v>5632</v>
      </c>
      <c r="M4755" s="49"/>
    </row>
    <row r="4756" spans="6:13" x14ac:dyDescent="0.25">
      <c r="F4756" t="s">
        <v>2684</v>
      </c>
      <c r="G4756">
        <v>4317</v>
      </c>
      <c r="H4756">
        <v>14713</v>
      </c>
      <c r="I4756" s="25" t="s">
        <v>2135</v>
      </c>
      <c r="J4756" t="s">
        <v>5632</v>
      </c>
      <c r="M4756" s="49"/>
    </row>
    <row r="4757" spans="6:13" x14ac:dyDescent="0.25">
      <c r="F4757" t="s">
        <v>2684</v>
      </c>
      <c r="G4757">
        <v>4318</v>
      </c>
      <c r="H4757">
        <v>14713</v>
      </c>
      <c r="I4757" s="25" t="s">
        <v>2135</v>
      </c>
      <c r="J4757" t="s">
        <v>5632</v>
      </c>
      <c r="M4757" s="49"/>
    </row>
    <row r="4758" spans="6:13" x14ac:dyDescent="0.25">
      <c r="F4758" t="s">
        <v>2684</v>
      </c>
      <c r="G4758">
        <v>4316</v>
      </c>
      <c r="H4758">
        <v>14713</v>
      </c>
      <c r="I4758" s="25" t="s">
        <v>2135</v>
      </c>
      <c r="J4758" t="s">
        <v>5632</v>
      </c>
      <c r="M4758" s="49"/>
    </row>
    <row r="4759" spans="6:13" x14ac:dyDescent="0.25">
      <c r="F4759" t="s">
        <v>2684</v>
      </c>
      <c r="G4759">
        <v>4205</v>
      </c>
      <c r="H4759">
        <v>14713</v>
      </c>
      <c r="I4759" s="25" t="s">
        <v>2135</v>
      </c>
      <c r="J4759" t="s">
        <v>5632</v>
      </c>
      <c r="M4759" s="49"/>
    </row>
    <row r="4760" spans="6:13" x14ac:dyDescent="0.25">
      <c r="F4760" t="s">
        <v>2684</v>
      </c>
      <c r="G4760">
        <v>4107</v>
      </c>
      <c r="H4760">
        <v>14713</v>
      </c>
      <c r="I4760" s="25" t="s">
        <v>2135</v>
      </c>
      <c r="J4760" t="s">
        <v>5632</v>
      </c>
      <c r="M4760" s="49"/>
    </row>
    <row r="4761" spans="6:13" x14ac:dyDescent="0.25">
      <c r="F4761" t="s">
        <v>2684</v>
      </c>
      <c r="G4761">
        <v>4159</v>
      </c>
      <c r="H4761">
        <v>14713</v>
      </c>
      <c r="I4761" s="25" t="s">
        <v>2135</v>
      </c>
      <c r="J4761" t="s">
        <v>5632</v>
      </c>
      <c r="M4761" s="49"/>
    </row>
    <row r="4762" spans="6:13" x14ac:dyDescent="0.25">
      <c r="F4762" t="s">
        <v>2684</v>
      </c>
      <c r="G4762">
        <v>4349</v>
      </c>
      <c r="H4762">
        <v>14713</v>
      </c>
      <c r="I4762" s="25" t="s">
        <v>2135</v>
      </c>
      <c r="J4762" t="s">
        <v>5632</v>
      </c>
      <c r="M4762" s="49"/>
    </row>
    <row r="4763" spans="6:13" x14ac:dyDescent="0.25">
      <c r="F4763" t="s">
        <v>2684</v>
      </c>
      <c r="G4763">
        <v>4209</v>
      </c>
      <c r="H4763">
        <v>14713</v>
      </c>
      <c r="I4763" s="25" t="s">
        <v>2135</v>
      </c>
      <c r="J4763" t="s">
        <v>5632</v>
      </c>
      <c r="M4763" s="49"/>
    </row>
    <row r="4764" spans="6:13" x14ac:dyDescent="0.25">
      <c r="F4764" t="s">
        <v>2684</v>
      </c>
      <c r="G4764">
        <v>4356</v>
      </c>
      <c r="H4764">
        <v>14713</v>
      </c>
      <c r="I4764" s="25" t="s">
        <v>2135</v>
      </c>
      <c r="J4764" t="s">
        <v>5632</v>
      </c>
      <c r="M4764" s="49"/>
    </row>
    <row r="4765" spans="6:13" x14ac:dyDescent="0.25">
      <c r="F4765" t="s">
        <v>2684</v>
      </c>
      <c r="G4765">
        <v>4357</v>
      </c>
      <c r="H4765">
        <v>14713</v>
      </c>
      <c r="I4765" s="25" t="s">
        <v>2135</v>
      </c>
      <c r="J4765" t="s">
        <v>5632</v>
      </c>
      <c r="M4765" s="49"/>
    </row>
    <row r="4766" spans="6:13" x14ac:dyDescent="0.25">
      <c r="F4766" t="s">
        <v>2684</v>
      </c>
      <c r="G4766">
        <v>4109</v>
      </c>
      <c r="H4766">
        <v>14713</v>
      </c>
      <c r="I4766" s="25" t="s">
        <v>2135</v>
      </c>
      <c r="J4766" t="s">
        <v>5632</v>
      </c>
      <c r="M4766" s="49"/>
    </row>
    <row r="4767" spans="6:13" x14ac:dyDescent="0.25">
      <c r="F4767" t="s">
        <v>2684</v>
      </c>
      <c r="G4767">
        <v>4158</v>
      </c>
      <c r="H4767">
        <v>14713</v>
      </c>
      <c r="I4767" s="25" t="s">
        <v>2135</v>
      </c>
      <c r="J4767" t="s">
        <v>5632</v>
      </c>
      <c r="M4767" s="49"/>
    </row>
    <row r="4768" spans="6:13" x14ac:dyDescent="0.25">
      <c r="F4768" t="s">
        <v>2684</v>
      </c>
      <c r="G4768">
        <v>4105</v>
      </c>
      <c r="H4768">
        <v>14713</v>
      </c>
      <c r="I4768" s="25" t="s">
        <v>2135</v>
      </c>
      <c r="J4768" t="s">
        <v>5632</v>
      </c>
      <c r="M4768" s="49"/>
    </row>
    <row r="4769" spans="6:13" x14ac:dyDescent="0.25">
      <c r="F4769" t="s">
        <v>2684</v>
      </c>
      <c r="G4769">
        <v>4315</v>
      </c>
      <c r="H4769">
        <v>14713</v>
      </c>
      <c r="I4769" s="25" t="s">
        <v>2135</v>
      </c>
      <c r="J4769" t="s">
        <v>5632</v>
      </c>
      <c r="M4769" s="49"/>
    </row>
    <row r="4770" spans="6:13" x14ac:dyDescent="0.25">
      <c r="F4770" t="s">
        <v>2684</v>
      </c>
      <c r="G4770">
        <v>4207</v>
      </c>
      <c r="H4770">
        <v>14713</v>
      </c>
      <c r="I4770" s="25" t="s">
        <v>2135</v>
      </c>
      <c r="J4770" t="s">
        <v>5632</v>
      </c>
      <c r="M4770" s="49"/>
    </row>
    <row r="4771" spans="6:13" x14ac:dyDescent="0.25">
      <c r="F4771" t="s">
        <v>2684</v>
      </c>
      <c r="G4771">
        <v>4279</v>
      </c>
      <c r="H4771">
        <v>14713</v>
      </c>
      <c r="I4771" s="25" t="s">
        <v>2135</v>
      </c>
      <c r="J4771" t="s">
        <v>5632</v>
      </c>
      <c r="M4771" s="49"/>
    </row>
    <row r="4772" spans="6:13" x14ac:dyDescent="0.25">
      <c r="F4772" t="s">
        <v>2684</v>
      </c>
      <c r="G4772">
        <v>4328</v>
      </c>
      <c r="H4772">
        <v>14713</v>
      </c>
      <c r="I4772" s="25" t="s">
        <v>2135</v>
      </c>
      <c r="J4772" t="s">
        <v>5632</v>
      </c>
      <c r="M4772" s="49"/>
    </row>
    <row r="4773" spans="6:13" x14ac:dyDescent="0.25">
      <c r="F4773" t="s">
        <v>2684</v>
      </c>
      <c r="G4773">
        <v>4319</v>
      </c>
      <c r="H4773">
        <v>14713</v>
      </c>
      <c r="I4773" s="25" t="s">
        <v>2135</v>
      </c>
      <c r="J4773" t="s">
        <v>5632</v>
      </c>
      <c r="M4773" s="49"/>
    </row>
    <row r="4774" spans="6:13" x14ac:dyDescent="0.25">
      <c r="F4774" t="s">
        <v>2684</v>
      </c>
      <c r="G4774">
        <v>4178</v>
      </c>
      <c r="H4774">
        <v>14713</v>
      </c>
      <c r="I4774" s="25" t="s">
        <v>2135</v>
      </c>
      <c r="J4774" t="s">
        <v>5632</v>
      </c>
      <c r="M4774" s="49"/>
    </row>
    <row r="4775" spans="6:13" x14ac:dyDescent="0.25">
      <c r="F4775" t="s">
        <v>2684</v>
      </c>
      <c r="G4775">
        <v>4229</v>
      </c>
      <c r="H4775">
        <v>14713</v>
      </c>
      <c r="I4775" s="25" t="s">
        <v>2135</v>
      </c>
      <c r="J4775" t="s">
        <v>5632</v>
      </c>
      <c r="M4775" s="49"/>
    </row>
    <row r="4776" spans="6:13" x14ac:dyDescent="0.25">
      <c r="F4776" t="s">
        <v>2684</v>
      </c>
      <c r="G4776">
        <v>4155</v>
      </c>
      <c r="H4776">
        <v>14713</v>
      </c>
      <c r="I4776" s="25" t="s">
        <v>2135</v>
      </c>
      <c r="J4776" t="s">
        <v>5632</v>
      </c>
      <c r="M4776" s="49"/>
    </row>
    <row r="4777" spans="6:13" x14ac:dyDescent="0.25">
      <c r="F4777" t="s">
        <v>2684</v>
      </c>
      <c r="G4777">
        <v>4103</v>
      </c>
      <c r="H4777">
        <v>14713</v>
      </c>
      <c r="I4777" s="25" t="s">
        <v>2135</v>
      </c>
      <c r="J4777" t="s">
        <v>5632</v>
      </c>
      <c r="M4777" s="49"/>
    </row>
    <row r="4778" spans="6:13" x14ac:dyDescent="0.25">
      <c r="F4778" t="s">
        <v>5633</v>
      </c>
      <c r="G4778">
        <v>4703</v>
      </c>
      <c r="H4778">
        <v>14522</v>
      </c>
      <c r="I4778" s="25" t="s">
        <v>2135</v>
      </c>
      <c r="J4778" t="s">
        <v>2100</v>
      </c>
      <c r="M4778" s="49"/>
    </row>
    <row r="4779" spans="6:13" x14ac:dyDescent="0.25">
      <c r="F4779" t="s">
        <v>5634</v>
      </c>
      <c r="G4779">
        <v>54340</v>
      </c>
      <c r="H4779">
        <v>7235</v>
      </c>
      <c r="I4779" s="25" t="s">
        <v>2123</v>
      </c>
      <c r="J4779" t="s">
        <v>2395</v>
      </c>
      <c r="M4779" s="49"/>
    </row>
    <row r="4780" spans="6:13" x14ac:dyDescent="0.25">
      <c r="F4780" t="s">
        <v>5634</v>
      </c>
      <c r="G4780">
        <v>54340</v>
      </c>
      <c r="H4780">
        <v>7235</v>
      </c>
      <c r="I4780" s="25" t="s">
        <v>2123</v>
      </c>
      <c r="J4780" t="s">
        <v>2395</v>
      </c>
      <c r="M4780" s="49"/>
    </row>
    <row r="4781" spans="6:13" x14ac:dyDescent="0.25">
      <c r="F4781" t="s">
        <v>5634</v>
      </c>
      <c r="G4781">
        <v>54340</v>
      </c>
      <c r="H4781">
        <v>7235</v>
      </c>
      <c r="I4781" s="25" t="s">
        <v>2123</v>
      </c>
      <c r="J4781" t="s">
        <v>2395</v>
      </c>
      <c r="M4781" s="49"/>
    </row>
    <row r="4782" spans="6:13" x14ac:dyDescent="0.25">
      <c r="F4782" t="s">
        <v>5635</v>
      </c>
      <c r="G4782">
        <v>66969</v>
      </c>
      <c r="H4782">
        <v>7340</v>
      </c>
      <c r="I4782" s="25" t="s">
        <v>2123</v>
      </c>
      <c r="J4782" t="s">
        <v>2826</v>
      </c>
      <c r="M4782" s="49"/>
    </row>
    <row r="4783" spans="6:13" x14ac:dyDescent="0.25">
      <c r="F4783" t="s">
        <v>5636</v>
      </c>
      <c r="G4783">
        <v>49459</v>
      </c>
      <c r="H4783">
        <v>3251</v>
      </c>
      <c r="I4783" s="25" t="s">
        <v>2074</v>
      </c>
      <c r="J4783" t="s">
        <v>2094</v>
      </c>
      <c r="M4783" s="49"/>
    </row>
    <row r="4784" spans="6:13" x14ac:dyDescent="0.25">
      <c r="F4784" t="s">
        <v>5636</v>
      </c>
      <c r="G4784">
        <v>49459</v>
      </c>
      <c r="H4784">
        <v>3251</v>
      </c>
      <c r="I4784" s="25" t="s">
        <v>2074</v>
      </c>
      <c r="J4784" t="s">
        <v>2094</v>
      </c>
      <c r="M4784" s="49"/>
    </row>
    <row r="4785" spans="6:13" x14ac:dyDescent="0.25">
      <c r="F4785" t="s">
        <v>5637</v>
      </c>
      <c r="G4785">
        <v>49448</v>
      </c>
      <c r="H4785">
        <v>3251</v>
      </c>
      <c r="I4785" s="25" t="s">
        <v>2074</v>
      </c>
      <c r="J4785" t="s">
        <v>2094</v>
      </c>
      <c r="M4785" s="49"/>
    </row>
    <row r="4786" spans="6:13" x14ac:dyDescent="0.25">
      <c r="F4786" t="s">
        <v>5638</v>
      </c>
      <c r="G4786">
        <v>32657</v>
      </c>
      <c r="H4786">
        <v>5766</v>
      </c>
      <c r="I4786" s="25" t="s">
        <v>2023</v>
      </c>
      <c r="J4786" t="s">
        <v>2223</v>
      </c>
      <c r="M4786" s="49"/>
    </row>
    <row r="4787" spans="6:13" x14ac:dyDescent="0.25">
      <c r="F4787" t="s">
        <v>5639</v>
      </c>
      <c r="G4787">
        <v>29485</v>
      </c>
      <c r="H4787">
        <v>3354</v>
      </c>
      <c r="I4787" s="25" t="s">
        <v>2074</v>
      </c>
      <c r="J4787" t="s">
        <v>2232</v>
      </c>
      <c r="M4787" s="49"/>
    </row>
    <row r="4788" spans="6:13" x14ac:dyDescent="0.25">
      <c r="F4788" t="s">
        <v>5640</v>
      </c>
      <c r="G4788">
        <v>27809</v>
      </c>
      <c r="H4788">
        <v>3461</v>
      </c>
      <c r="I4788" s="25" t="s">
        <v>2074</v>
      </c>
      <c r="J4788" t="s">
        <v>2426</v>
      </c>
      <c r="M4788" s="49"/>
    </row>
    <row r="4789" spans="6:13" x14ac:dyDescent="0.25">
      <c r="F4789" t="s">
        <v>5641</v>
      </c>
      <c r="G4789">
        <v>84435</v>
      </c>
      <c r="H4789">
        <v>9177</v>
      </c>
      <c r="I4789" s="25" t="s">
        <v>2050</v>
      </c>
      <c r="J4789" t="s">
        <v>2915</v>
      </c>
      <c r="M4789" s="49"/>
    </row>
    <row r="4790" spans="6:13" x14ac:dyDescent="0.25">
      <c r="F4790" t="s">
        <v>5642</v>
      </c>
      <c r="G4790">
        <v>38268</v>
      </c>
      <c r="H4790">
        <v>3157</v>
      </c>
      <c r="I4790" s="25" t="s">
        <v>2074</v>
      </c>
      <c r="J4790" t="s">
        <v>2309</v>
      </c>
      <c r="M4790" s="49"/>
    </row>
    <row r="4791" spans="6:13" x14ac:dyDescent="0.25">
      <c r="F4791" t="s">
        <v>5643</v>
      </c>
      <c r="G4791">
        <v>8485</v>
      </c>
      <c r="H4791">
        <v>14523</v>
      </c>
      <c r="I4791" s="25" t="s">
        <v>2135</v>
      </c>
      <c r="J4791" t="s">
        <v>2136</v>
      </c>
      <c r="M4791" s="49"/>
    </row>
    <row r="4792" spans="6:13" x14ac:dyDescent="0.25">
      <c r="F4792" t="s">
        <v>5644</v>
      </c>
      <c r="G4792">
        <v>87663</v>
      </c>
      <c r="H4792">
        <v>9777</v>
      </c>
      <c r="I4792" s="25" t="s">
        <v>2050</v>
      </c>
      <c r="J4792" t="s">
        <v>2237</v>
      </c>
      <c r="M4792" s="49"/>
    </row>
    <row r="4793" spans="6:13" x14ac:dyDescent="0.25">
      <c r="F4793" t="s">
        <v>5645</v>
      </c>
      <c r="G4793">
        <v>49525</v>
      </c>
      <c r="H4793">
        <v>5566</v>
      </c>
      <c r="I4793" s="25" t="s">
        <v>2023</v>
      </c>
      <c r="J4793" t="s">
        <v>2379</v>
      </c>
      <c r="M4793" s="49"/>
    </row>
    <row r="4794" spans="6:13" x14ac:dyDescent="0.25">
      <c r="F4794" t="s">
        <v>5646</v>
      </c>
      <c r="G4794">
        <v>49838</v>
      </c>
      <c r="H4794">
        <v>3454</v>
      </c>
      <c r="I4794" s="25" t="s">
        <v>2074</v>
      </c>
      <c r="J4794" t="s">
        <v>2118</v>
      </c>
      <c r="M4794" s="49"/>
    </row>
    <row r="4795" spans="6:13" x14ac:dyDescent="0.25">
      <c r="F4795" t="s">
        <v>5647</v>
      </c>
      <c r="G4795">
        <v>83661</v>
      </c>
      <c r="H4795">
        <v>9173</v>
      </c>
      <c r="I4795" s="25" t="s">
        <v>2050</v>
      </c>
      <c r="J4795" t="s">
        <v>2659</v>
      </c>
      <c r="M4795" s="49"/>
    </row>
    <row r="4796" spans="6:13" x14ac:dyDescent="0.25">
      <c r="F4796" t="s">
        <v>5648</v>
      </c>
      <c r="G4796">
        <v>57368</v>
      </c>
      <c r="H4796">
        <v>5966</v>
      </c>
      <c r="I4796" s="25" t="s">
        <v>2023</v>
      </c>
      <c r="J4796" t="s">
        <v>2289</v>
      </c>
      <c r="M4796" s="49"/>
    </row>
    <row r="4797" spans="6:13" x14ac:dyDescent="0.25">
      <c r="F4797" t="s">
        <v>5649</v>
      </c>
      <c r="G4797">
        <v>73252</v>
      </c>
      <c r="H4797">
        <v>8116</v>
      </c>
      <c r="I4797" s="25" t="s">
        <v>2018</v>
      </c>
      <c r="J4797" t="s">
        <v>2213</v>
      </c>
      <c r="M4797" s="49"/>
    </row>
    <row r="4798" spans="6:13" x14ac:dyDescent="0.25">
      <c r="F4798" t="s">
        <v>5650</v>
      </c>
      <c r="G4798">
        <v>23738</v>
      </c>
      <c r="H4798">
        <v>1055</v>
      </c>
      <c r="I4798" s="25" t="s">
        <v>2085</v>
      </c>
      <c r="J4798" t="s">
        <v>2185</v>
      </c>
      <c r="M4798" s="49"/>
    </row>
    <row r="4799" spans="6:13" x14ac:dyDescent="0.25">
      <c r="F4799" t="s">
        <v>5651</v>
      </c>
      <c r="G4799">
        <v>24632</v>
      </c>
      <c r="H4799">
        <v>1060</v>
      </c>
      <c r="I4799" s="25" t="s">
        <v>2085</v>
      </c>
      <c r="J4799" t="s">
        <v>2363</v>
      </c>
      <c r="M4799" s="49"/>
    </row>
    <row r="4800" spans="6:13" x14ac:dyDescent="0.25">
      <c r="F4800" t="s">
        <v>5652</v>
      </c>
      <c r="G4800">
        <v>85101</v>
      </c>
      <c r="H4800">
        <v>9176</v>
      </c>
      <c r="I4800" s="25" t="s">
        <v>2050</v>
      </c>
      <c r="J4800" t="s">
        <v>2102</v>
      </c>
      <c r="M4800" s="49"/>
    </row>
    <row r="4801" spans="6:13" x14ac:dyDescent="0.25">
      <c r="F4801" t="s">
        <v>5653</v>
      </c>
      <c r="G4801">
        <v>19309</v>
      </c>
      <c r="H4801">
        <v>12070</v>
      </c>
      <c r="I4801" s="25" t="s">
        <v>2356</v>
      </c>
      <c r="J4801" t="s">
        <v>2316</v>
      </c>
      <c r="M4801" s="49"/>
    </row>
    <row r="4802" spans="6:13" x14ac:dyDescent="0.25">
      <c r="F4802" t="s">
        <v>5654</v>
      </c>
      <c r="G4802">
        <v>79853</v>
      </c>
      <c r="H4802">
        <v>8315</v>
      </c>
      <c r="I4802" s="25" t="s">
        <v>2018</v>
      </c>
      <c r="J4802" t="s">
        <v>2061</v>
      </c>
      <c r="M4802" s="49"/>
    </row>
    <row r="4803" spans="6:13" x14ac:dyDescent="0.25">
      <c r="F4803" t="s">
        <v>5655</v>
      </c>
      <c r="G4803">
        <v>71229</v>
      </c>
      <c r="H4803">
        <v>8115</v>
      </c>
      <c r="I4803" s="25" t="s">
        <v>2018</v>
      </c>
      <c r="J4803" t="s">
        <v>2222</v>
      </c>
      <c r="M4803" s="49"/>
    </row>
    <row r="4804" spans="6:13" x14ac:dyDescent="0.25">
      <c r="F4804" t="s">
        <v>5656</v>
      </c>
      <c r="G4804">
        <v>33818</v>
      </c>
      <c r="H4804">
        <v>5766</v>
      </c>
      <c r="I4804" s="25" t="s">
        <v>2023</v>
      </c>
      <c r="J4804" t="s">
        <v>2223</v>
      </c>
      <c r="M4804" s="49"/>
    </row>
    <row r="4805" spans="6:13" x14ac:dyDescent="0.25">
      <c r="F4805" t="s">
        <v>5657</v>
      </c>
      <c r="G4805">
        <v>15324</v>
      </c>
      <c r="H4805">
        <v>12064</v>
      </c>
      <c r="I4805" s="25" t="s">
        <v>2356</v>
      </c>
      <c r="J4805" t="s">
        <v>2243</v>
      </c>
      <c r="M4805" s="49"/>
    </row>
    <row r="4806" spans="6:13" x14ac:dyDescent="0.25">
      <c r="F4806" t="s">
        <v>5658</v>
      </c>
      <c r="G4806">
        <v>9573</v>
      </c>
      <c r="H4806">
        <v>14521</v>
      </c>
      <c r="I4806" s="25" t="s">
        <v>2135</v>
      </c>
      <c r="J4806" t="s">
        <v>2032</v>
      </c>
      <c r="M4806" s="49"/>
    </row>
    <row r="4807" spans="6:13" x14ac:dyDescent="0.25">
      <c r="F4807" t="s">
        <v>5658</v>
      </c>
      <c r="G4807">
        <v>9573</v>
      </c>
      <c r="H4807">
        <v>14522</v>
      </c>
      <c r="I4807" s="25" t="s">
        <v>2135</v>
      </c>
      <c r="J4807" t="s">
        <v>2100</v>
      </c>
      <c r="M4807" s="49"/>
    </row>
    <row r="4808" spans="6:13" x14ac:dyDescent="0.25">
      <c r="F4808" t="s">
        <v>5659</v>
      </c>
      <c r="G4808">
        <v>92705</v>
      </c>
      <c r="H4808">
        <v>9374</v>
      </c>
      <c r="I4808" s="25" t="s">
        <v>2050</v>
      </c>
      <c r="J4808" t="s">
        <v>2420</v>
      </c>
      <c r="M4808" s="49"/>
    </row>
    <row r="4809" spans="6:13" x14ac:dyDescent="0.25">
      <c r="F4809" t="s">
        <v>5660</v>
      </c>
      <c r="G4809">
        <v>35638</v>
      </c>
      <c r="H4809">
        <v>6532</v>
      </c>
      <c r="I4809" s="25" t="s">
        <v>2046</v>
      </c>
      <c r="J4809" t="s">
        <v>2555</v>
      </c>
      <c r="M4809" s="49"/>
    </row>
    <row r="4810" spans="6:13" x14ac:dyDescent="0.25">
      <c r="F4810" t="s">
        <v>5661</v>
      </c>
      <c r="G4810">
        <v>6237</v>
      </c>
      <c r="H4810">
        <v>15088</v>
      </c>
      <c r="I4810" s="25" t="s">
        <v>2241</v>
      </c>
      <c r="J4810" t="s">
        <v>2344</v>
      </c>
      <c r="M4810" s="49"/>
    </row>
    <row r="4811" spans="6:13" x14ac:dyDescent="0.25">
      <c r="F4811" t="s">
        <v>5662</v>
      </c>
      <c r="G4811">
        <v>95191</v>
      </c>
      <c r="H4811">
        <v>9475</v>
      </c>
      <c r="I4811" s="25" t="s">
        <v>2050</v>
      </c>
      <c r="J4811" t="s">
        <v>2201</v>
      </c>
      <c r="M4811" s="49"/>
    </row>
    <row r="4812" spans="6:13" x14ac:dyDescent="0.25">
      <c r="F4812" t="s">
        <v>5663</v>
      </c>
      <c r="G4812">
        <v>71397</v>
      </c>
      <c r="H4812">
        <v>8119</v>
      </c>
      <c r="I4812" s="25" t="s">
        <v>2018</v>
      </c>
      <c r="J4812" t="s">
        <v>2287</v>
      </c>
      <c r="M4812" s="49"/>
    </row>
    <row r="4813" spans="6:13" x14ac:dyDescent="0.25">
      <c r="F4813" t="s">
        <v>5663</v>
      </c>
      <c r="G4813">
        <v>71397</v>
      </c>
      <c r="H4813">
        <v>8119</v>
      </c>
      <c r="I4813" s="25" t="s">
        <v>2018</v>
      </c>
      <c r="J4813" t="s">
        <v>2287</v>
      </c>
      <c r="M4813" s="49"/>
    </row>
    <row r="4814" spans="6:13" x14ac:dyDescent="0.25">
      <c r="F4814" t="s">
        <v>5663</v>
      </c>
      <c r="G4814">
        <v>91359</v>
      </c>
      <c r="H4814">
        <v>9474</v>
      </c>
      <c r="I4814" s="25" t="s">
        <v>2050</v>
      </c>
      <c r="J4814" t="s">
        <v>3692</v>
      </c>
      <c r="M4814" s="49"/>
    </row>
    <row r="4815" spans="6:13" x14ac:dyDescent="0.25">
      <c r="F4815" t="s">
        <v>5664</v>
      </c>
      <c r="G4815">
        <v>2794</v>
      </c>
      <c r="H4815">
        <v>14626</v>
      </c>
      <c r="I4815" s="25" t="s">
        <v>2135</v>
      </c>
      <c r="J4815" t="s">
        <v>2150</v>
      </c>
      <c r="M4815" s="49"/>
    </row>
    <row r="4816" spans="6:13" x14ac:dyDescent="0.25">
      <c r="F4816" t="s">
        <v>5665</v>
      </c>
      <c r="G4816">
        <v>91578</v>
      </c>
      <c r="H4816">
        <v>9571</v>
      </c>
      <c r="I4816" s="25" t="s">
        <v>2050</v>
      </c>
      <c r="J4816" t="s">
        <v>2113</v>
      </c>
      <c r="M4816" s="49"/>
    </row>
    <row r="4817" spans="6:13" x14ac:dyDescent="0.25">
      <c r="F4817" t="s">
        <v>5666</v>
      </c>
      <c r="G4817">
        <v>56599</v>
      </c>
      <c r="H4817">
        <v>7138</v>
      </c>
      <c r="I4817" s="25" t="s">
        <v>2123</v>
      </c>
      <c r="J4817" t="s">
        <v>2489</v>
      </c>
      <c r="M4817" s="49"/>
    </row>
    <row r="4818" spans="6:13" x14ac:dyDescent="0.25">
      <c r="F4818" t="s">
        <v>5667</v>
      </c>
      <c r="G4818">
        <v>88299</v>
      </c>
      <c r="H4818">
        <v>8436</v>
      </c>
      <c r="I4818" s="25" t="s">
        <v>2018</v>
      </c>
      <c r="J4818" t="s">
        <v>2068</v>
      </c>
      <c r="M4818" s="49"/>
    </row>
    <row r="4819" spans="6:13" x14ac:dyDescent="0.25">
      <c r="F4819" t="s">
        <v>5668</v>
      </c>
      <c r="G4819">
        <v>51377</v>
      </c>
      <c r="H4819">
        <v>5316</v>
      </c>
      <c r="I4819" s="25" t="s">
        <v>2023</v>
      </c>
      <c r="J4819" t="s">
        <v>5669</v>
      </c>
      <c r="M4819" s="49"/>
    </row>
    <row r="4820" spans="6:13" x14ac:dyDescent="0.25">
      <c r="F4820" t="s">
        <v>5668</v>
      </c>
      <c r="G4820">
        <v>51375</v>
      </c>
      <c r="H4820">
        <v>5316</v>
      </c>
      <c r="I4820" s="25" t="s">
        <v>2023</v>
      </c>
      <c r="J4820" t="s">
        <v>5669</v>
      </c>
      <c r="M4820" s="49"/>
    </row>
    <row r="4821" spans="6:13" x14ac:dyDescent="0.25">
      <c r="F4821" t="s">
        <v>5668</v>
      </c>
      <c r="G4821">
        <v>51371</v>
      </c>
      <c r="H4821">
        <v>5316</v>
      </c>
      <c r="I4821" s="25" t="s">
        <v>2023</v>
      </c>
      <c r="J4821" t="s">
        <v>5669</v>
      </c>
      <c r="M4821" s="49"/>
    </row>
    <row r="4822" spans="6:13" x14ac:dyDescent="0.25">
      <c r="F4822" t="s">
        <v>5668</v>
      </c>
      <c r="G4822">
        <v>51381</v>
      </c>
      <c r="H4822">
        <v>5316</v>
      </c>
      <c r="I4822" s="25" t="s">
        <v>2023</v>
      </c>
      <c r="J4822" t="s">
        <v>5669</v>
      </c>
      <c r="M4822" s="49"/>
    </row>
    <row r="4823" spans="6:13" x14ac:dyDescent="0.25">
      <c r="F4823" t="s">
        <v>5668</v>
      </c>
      <c r="G4823">
        <v>51379</v>
      </c>
      <c r="H4823">
        <v>5316</v>
      </c>
      <c r="I4823" s="25" t="s">
        <v>2023</v>
      </c>
      <c r="J4823" t="s">
        <v>5669</v>
      </c>
      <c r="M4823" s="49"/>
    </row>
    <row r="4824" spans="6:13" x14ac:dyDescent="0.25">
      <c r="F4824" t="s">
        <v>5668</v>
      </c>
      <c r="G4824">
        <v>51373</v>
      </c>
      <c r="H4824">
        <v>5316</v>
      </c>
      <c r="I4824" s="25" t="s">
        <v>2023</v>
      </c>
      <c r="J4824" t="s">
        <v>5669</v>
      </c>
      <c r="M4824" s="49"/>
    </row>
    <row r="4825" spans="6:13" x14ac:dyDescent="0.25">
      <c r="F4825" t="s">
        <v>5670</v>
      </c>
      <c r="G4825">
        <v>35423</v>
      </c>
      <c r="H4825">
        <v>6531</v>
      </c>
      <c r="I4825" s="25" t="s">
        <v>2046</v>
      </c>
      <c r="J4825" t="s">
        <v>2306</v>
      </c>
      <c r="M4825" s="49"/>
    </row>
    <row r="4826" spans="6:13" x14ac:dyDescent="0.25">
      <c r="F4826" t="s">
        <v>5671</v>
      </c>
      <c r="G4826">
        <v>33165</v>
      </c>
      <c r="H4826">
        <v>5774</v>
      </c>
      <c r="I4826" s="25" t="s">
        <v>2023</v>
      </c>
      <c r="J4826" t="s">
        <v>2304</v>
      </c>
      <c r="M4826" s="49"/>
    </row>
    <row r="4827" spans="6:13" x14ac:dyDescent="0.25">
      <c r="F4827" t="s">
        <v>5671</v>
      </c>
      <c r="G4827">
        <v>77839</v>
      </c>
      <c r="H4827">
        <v>8216</v>
      </c>
      <c r="I4827" s="25" t="s">
        <v>2018</v>
      </c>
      <c r="J4827" t="s">
        <v>2564</v>
      </c>
      <c r="M4827" s="49"/>
    </row>
    <row r="4828" spans="6:13" x14ac:dyDescent="0.25">
      <c r="F4828" t="s">
        <v>5671</v>
      </c>
      <c r="G4828">
        <v>91586</v>
      </c>
      <c r="H4828">
        <v>9571</v>
      </c>
      <c r="I4828" s="25" t="s">
        <v>2050</v>
      </c>
      <c r="J4828" t="s">
        <v>2113</v>
      </c>
      <c r="M4828" s="49"/>
    </row>
    <row r="4829" spans="6:13" x14ac:dyDescent="0.25">
      <c r="F4829" t="s">
        <v>5671</v>
      </c>
      <c r="G4829">
        <v>9244</v>
      </c>
      <c r="H4829">
        <v>14522</v>
      </c>
      <c r="I4829" s="25" t="s">
        <v>2135</v>
      </c>
      <c r="J4829" t="s">
        <v>2100</v>
      </c>
      <c r="M4829" s="49"/>
    </row>
    <row r="4830" spans="6:13" x14ac:dyDescent="0.25">
      <c r="F4830" t="s">
        <v>5672</v>
      </c>
      <c r="G4830">
        <v>95192</v>
      </c>
      <c r="H4830">
        <v>9475</v>
      </c>
      <c r="I4830" s="25" t="s">
        <v>2050</v>
      </c>
      <c r="J4830" t="s">
        <v>2201</v>
      </c>
      <c r="M4830" s="49"/>
    </row>
    <row r="4831" spans="6:13" x14ac:dyDescent="0.25">
      <c r="F4831" t="s">
        <v>5673</v>
      </c>
      <c r="G4831">
        <v>9638</v>
      </c>
      <c r="H4831">
        <v>14522</v>
      </c>
      <c r="I4831" s="25" t="s">
        <v>2135</v>
      </c>
      <c r="J4831" t="s">
        <v>2100</v>
      </c>
      <c r="M4831" s="49"/>
    </row>
    <row r="4832" spans="6:13" x14ac:dyDescent="0.25">
      <c r="F4832" t="s">
        <v>2404</v>
      </c>
      <c r="G4832">
        <v>35104</v>
      </c>
      <c r="H4832">
        <v>6635</v>
      </c>
      <c r="I4832" s="25" t="s">
        <v>2046</v>
      </c>
      <c r="J4832" t="s">
        <v>2308</v>
      </c>
      <c r="M4832" s="49"/>
    </row>
    <row r="4833" spans="6:13" x14ac:dyDescent="0.25">
      <c r="F4833" t="s">
        <v>2404</v>
      </c>
      <c r="G4833">
        <v>96215</v>
      </c>
      <c r="H4833">
        <v>9478</v>
      </c>
      <c r="I4833" s="25" t="s">
        <v>2050</v>
      </c>
      <c r="J4833" t="s">
        <v>2404</v>
      </c>
      <c r="M4833" s="49"/>
    </row>
    <row r="4834" spans="6:13" x14ac:dyDescent="0.25">
      <c r="F4834" t="s">
        <v>5674</v>
      </c>
      <c r="G4834">
        <v>15345</v>
      </c>
      <c r="H4834">
        <v>12064</v>
      </c>
      <c r="I4834" s="25" t="s">
        <v>2356</v>
      </c>
      <c r="J4834" t="s">
        <v>2243</v>
      </c>
      <c r="M4834" s="49"/>
    </row>
    <row r="4835" spans="6:13" x14ac:dyDescent="0.25">
      <c r="F4835" t="s">
        <v>5674</v>
      </c>
      <c r="G4835">
        <v>15345</v>
      </c>
      <c r="H4835">
        <v>12064</v>
      </c>
      <c r="I4835" s="25" t="s">
        <v>2356</v>
      </c>
      <c r="J4835" t="s">
        <v>2243</v>
      </c>
      <c r="M4835" s="49"/>
    </row>
    <row r="4836" spans="6:13" x14ac:dyDescent="0.25">
      <c r="F4836" t="s">
        <v>5675</v>
      </c>
      <c r="G4836">
        <v>72805</v>
      </c>
      <c r="H4836">
        <v>8415</v>
      </c>
      <c r="I4836" s="25" t="s">
        <v>2018</v>
      </c>
      <c r="J4836" t="s">
        <v>2325</v>
      </c>
      <c r="M4836" s="49"/>
    </row>
    <row r="4837" spans="6:13" x14ac:dyDescent="0.25">
      <c r="F4837" t="s">
        <v>5675</v>
      </c>
      <c r="G4837">
        <v>9350</v>
      </c>
      <c r="H4837">
        <v>14524</v>
      </c>
      <c r="I4837" s="25" t="s">
        <v>2135</v>
      </c>
      <c r="J4837" t="s">
        <v>3424</v>
      </c>
      <c r="M4837" s="49"/>
    </row>
    <row r="4838" spans="6:13" x14ac:dyDescent="0.25">
      <c r="F4838" t="s">
        <v>5676</v>
      </c>
      <c r="G4838">
        <v>8115</v>
      </c>
      <c r="H4838">
        <v>14524</v>
      </c>
      <c r="I4838" s="25" t="s">
        <v>2135</v>
      </c>
      <c r="J4838" t="s">
        <v>3424</v>
      </c>
      <c r="M4838" s="49"/>
    </row>
    <row r="4839" spans="6:13" x14ac:dyDescent="0.25">
      <c r="F4839" t="s">
        <v>5677</v>
      </c>
      <c r="G4839">
        <v>73669</v>
      </c>
      <c r="H4839">
        <v>8116</v>
      </c>
      <c r="I4839" s="25" t="s">
        <v>2018</v>
      </c>
      <c r="J4839" t="s">
        <v>2213</v>
      </c>
      <c r="M4839" s="49"/>
    </row>
    <row r="4840" spans="6:13" x14ac:dyDescent="0.25">
      <c r="F4840" t="s">
        <v>5678</v>
      </c>
      <c r="G4840">
        <v>31618</v>
      </c>
      <c r="H4840">
        <v>3256</v>
      </c>
      <c r="I4840" s="25" t="s">
        <v>2074</v>
      </c>
      <c r="J4840" t="s">
        <v>2271</v>
      </c>
      <c r="M4840" s="49"/>
    </row>
    <row r="4841" spans="6:13" x14ac:dyDescent="0.25">
      <c r="F4841" t="s">
        <v>5679</v>
      </c>
      <c r="G4841">
        <v>34396</v>
      </c>
      <c r="H4841">
        <v>6633</v>
      </c>
      <c r="I4841" s="25" t="s">
        <v>2046</v>
      </c>
      <c r="J4841" t="s">
        <v>2162</v>
      </c>
      <c r="M4841" s="49"/>
    </row>
    <row r="4842" spans="6:13" x14ac:dyDescent="0.25">
      <c r="F4842" t="s">
        <v>5680</v>
      </c>
      <c r="G4842">
        <v>38704</v>
      </c>
      <c r="H4842">
        <v>3153</v>
      </c>
      <c r="I4842" s="25" t="s">
        <v>2074</v>
      </c>
      <c r="J4842" t="s">
        <v>2152</v>
      </c>
      <c r="M4842" s="49"/>
    </row>
    <row r="4843" spans="6:13" x14ac:dyDescent="0.25">
      <c r="F4843" t="s">
        <v>5681</v>
      </c>
      <c r="G4843">
        <v>16559</v>
      </c>
      <c r="H4843">
        <v>12065</v>
      </c>
      <c r="I4843" s="25" t="s">
        <v>2356</v>
      </c>
      <c r="J4843" t="s">
        <v>2283</v>
      </c>
      <c r="M4843" s="49"/>
    </row>
    <row r="4844" spans="6:13" x14ac:dyDescent="0.25">
      <c r="F4844" t="s">
        <v>5682</v>
      </c>
      <c r="G4844">
        <v>15868</v>
      </c>
      <c r="H4844">
        <v>12061</v>
      </c>
      <c r="I4844" s="25" t="s">
        <v>2356</v>
      </c>
      <c r="J4844" t="s">
        <v>3033</v>
      </c>
      <c r="M4844" s="49"/>
    </row>
    <row r="4845" spans="6:13" x14ac:dyDescent="0.25">
      <c r="F4845" t="s">
        <v>5683</v>
      </c>
      <c r="G4845">
        <v>1825</v>
      </c>
      <c r="H4845">
        <v>14628</v>
      </c>
      <c r="I4845" s="25" t="s">
        <v>2135</v>
      </c>
      <c r="J4845" t="s">
        <v>2347</v>
      </c>
      <c r="M4845" s="49"/>
    </row>
    <row r="4846" spans="6:13" x14ac:dyDescent="0.25">
      <c r="F4846" t="s">
        <v>5684</v>
      </c>
      <c r="G4846">
        <v>65835</v>
      </c>
      <c r="H4846">
        <v>6436</v>
      </c>
      <c r="I4846" s="25" t="s">
        <v>2046</v>
      </c>
      <c r="J4846" t="s">
        <v>2730</v>
      </c>
      <c r="M4846" s="49"/>
    </row>
    <row r="4847" spans="6:13" x14ac:dyDescent="0.25">
      <c r="F4847" t="s">
        <v>5685</v>
      </c>
      <c r="G4847">
        <v>49536</v>
      </c>
      <c r="H4847">
        <v>5566</v>
      </c>
      <c r="I4847" s="25" t="s">
        <v>2023</v>
      </c>
      <c r="J4847" t="s">
        <v>2379</v>
      </c>
      <c r="M4847" s="49"/>
    </row>
    <row r="4848" spans="6:13" x14ac:dyDescent="0.25">
      <c r="F4848" t="s">
        <v>5686</v>
      </c>
      <c r="G4848">
        <v>28865</v>
      </c>
      <c r="H4848">
        <v>3356</v>
      </c>
      <c r="I4848" s="25" t="s">
        <v>2074</v>
      </c>
      <c r="J4848" t="s">
        <v>2295</v>
      </c>
      <c r="M4848" s="49"/>
    </row>
    <row r="4849" spans="6:13" x14ac:dyDescent="0.25">
      <c r="F4849" t="s">
        <v>5687</v>
      </c>
      <c r="G4849">
        <v>74838</v>
      </c>
      <c r="H4849">
        <v>8225</v>
      </c>
      <c r="I4849" s="25" t="s">
        <v>2018</v>
      </c>
      <c r="J4849" t="s">
        <v>2108</v>
      </c>
      <c r="M4849" s="49"/>
    </row>
    <row r="4850" spans="6:13" x14ac:dyDescent="0.25">
      <c r="F4850" t="s">
        <v>5688</v>
      </c>
      <c r="G4850">
        <v>9212</v>
      </c>
      <c r="H4850">
        <v>14524</v>
      </c>
      <c r="I4850" s="25" t="s">
        <v>2135</v>
      </c>
      <c r="J4850" t="s">
        <v>3424</v>
      </c>
      <c r="M4850" s="49"/>
    </row>
    <row r="4851" spans="6:13" x14ac:dyDescent="0.25">
      <c r="F4851" t="s">
        <v>5689</v>
      </c>
      <c r="G4851">
        <v>65554</v>
      </c>
      <c r="H4851">
        <v>6533</v>
      </c>
      <c r="I4851" s="25" t="s">
        <v>2046</v>
      </c>
      <c r="J4851" t="s">
        <v>2629</v>
      </c>
      <c r="M4851" s="49"/>
    </row>
    <row r="4852" spans="6:13" x14ac:dyDescent="0.25">
      <c r="F4852" t="s">
        <v>5689</v>
      </c>
      <c r="G4852">
        <v>65550</v>
      </c>
      <c r="H4852">
        <v>6533</v>
      </c>
      <c r="I4852" s="25" t="s">
        <v>2046</v>
      </c>
      <c r="J4852" t="s">
        <v>2629</v>
      </c>
      <c r="M4852" s="49"/>
    </row>
    <row r="4853" spans="6:13" x14ac:dyDescent="0.25">
      <c r="F4853" t="s">
        <v>5689</v>
      </c>
      <c r="G4853">
        <v>65549</v>
      </c>
      <c r="H4853">
        <v>6533</v>
      </c>
      <c r="I4853" s="25" t="s">
        <v>2046</v>
      </c>
      <c r="J4853" t="s">
        <v>2629</v>
      </c>
      <c r="M4853" s="49"/>
    </row>
    <row r="4854" spans="6:13" x14ac:dyDescent="0.25">
      <c r="F4854" t="s">
        <v>5689</v>
      </c>
      <c r="G4854">
        <v>65555</v>
      </c>
      <c r="H4854">
        <v>6533</v>
      </c>
      <c r="I4854" s="25" t="s">
        <v>2046</v>
      </c>
      <c r="J4854" t="s">
        <v>2629</v>
      </c>
      <c r="M4854" s="49"/>
    </row>
    <row r="4855" spans="6:13" x14ac:dyDescent="0.25">
      <c r="F4855" t="s">
        <v>5689</v>
      </c>
      <c r="G4855">
        <v>65551</v>
      </c>
      <c r="H4855">
        <v>6533</v>
      </c>
      <c r="I4855" s="25" t="s">
        <v>2046</v>
      </c>
      <c r="J4855" t="s">
        <v>2629</v>
      </c>
      <c r="M4855" s="49"/>
    </row>
    <row r="4856" spans="6:13" x14ac:dyDescent="0.25">
      <c r="F4856" t="s">
        <v>5689</v>
      </c>
      <c r="G4856">
        <v>65556</v>
      </c>
      <c r="H4856">
        <v>6533</v>
      </c>
      <c r="I4856" s="25" t="s">
        <v>2046</v>
      </c>
      <c r="J4856" t="s">
        <v>2629</v>
      </c>
      <c r="M4856" s="49"/>
    </row>
    <row r="4857" spans="6:13" x14ac:dyDescent="0.25">
      <c r="F4857" t="s">
        <v>5689</v>
      </c>
      <c r="G4857">
        <v>65552</v>
      </c>
      <c r="H4857">
        <v>6533</v>
      </c>
      <c r="I4857" s="25" t="s">
        <v>2046</v>
      </c>
      <c r="J4857" t="s">
        <v>2629</v>
      </c>
      <c r="M4857" s="49"/>
    </row>
    <row r="4858" spans="6:13" x14ac:dyDescent="0.25">
      <c r="F4858" t="s">
        <v>5689</v>
      </c>
      <c r="G4858">
        <v>65553</v>
      </c>
      <c r="H4858">
        <v>6533</v>
      </c>
      <c r="I4858" s="25" t="s">
        <v>2046</v>
      </c>
      <c r="J4858" t="s">
        <v>2629</v>
      </c>
      <c r="M4858" s="49"/>
    </row>
    <row r="4859" spans="6:13" x14ac:dyDescent="0.25">
      <c r="F4859" t="s">
        <v>5690</v>
      </c>
      <c r="G4859">
        <v>67117</v>
      </c>
      <c r="H4859">
        <v>7338</v>
      </c>
      <c r="I4859" s="25" t="s">
        <v>2123</v>
      </c>
      <c r="J4859" t="s">
        <v>2448</v>
      </c>
      <c r="M4859" s="49"/>
    </row>
    <row r="4860" spans="6:13" x14ac:dyDescent="0.25">
      <c r="F4860" t="s">
        <v>5691</v>
      </c>
      <c r="G4860">
        <v>63694</v>
      </c>
      <c r="H4860">
        <v>6440</v>
      </c>
      <c r="I4860" s="25" t="s">
        <v>2046</v>
      </c>
      <c r="J4860" t="s">
        <v>2415</v>
      </c>
      <c r="M4860" s="49"/>
    </row>
    <row r="4861" spans="6:13" x14ac:dyDescent="0.25">
      <c r="F4861" t="s">
        <v>5692</v>
      </c>
      <c r="G4861">
        <v>22959</v>
      </c>
      <c r="H4861">
        <v>1053</v>
      </c>
      <c r="I4861" s="25" t="s">
        <v>2085</v>
      </c>
      <c r="J4861" t="s">
        <v>2193</v>
      </c>
      <c r="M4861" s="49"/>
    </row>
    <row r="4862" spans="6:13" x14ac:dyDescent="0.25">
      <c r="F4862" t="s">
        <v>4735</v>
      </c>
      <c r="G4862">
        <v>88131</v>
      </c>
      <c r="H4862">
        <v>9776</v>
      </c>
      <c r="I4862" s="25" t="s">
        <v>2050</v>
      </c>
      <c r="J4862" t="s">
        <v>4735</v>
      </c>
      <c r="M4862" s="49"/>
    </row>
    <row r="4863" spans="6:13" x14ac:dyDescent="0.25">
      <c r="F4863" t="s">
        <v>5693</v>
      </c>
      <c r="G4863">
        <v>35440</v>
      </c>
      <c r="H4863">
        <v>6531</v>
      </c>
      <c r="I4863" s="25" t="s">
        <v>2046</v>
      </c>
      <c r="J4863" t="s">
        <v>2306</v>
      </c>
      <c r="M4863" s="49"/>
    </row>
    <row r="4864" spans="6:13" x14ac:dyDescent="0.25">
      <c r="F4864" t="s">
        <v>5694</v>
      </c>
      <c r="G4864">
        <v>25791</v>
      </c>
      <c r="H4864">
        <v>1051</v>
      </c>
      <c r="I4864" s="25" t="s">
        <v>2085</v>
      </c>
      <c r="J4864" t="s">
        <v>2097</v>
      </c>
      <c r="M4864" s="49"/>
    </row>
    <row r="4865" spans="6:13" x14ac:dyDescent="0.25">
      <c r="F4865" t="s">
        <v>5695</v>
      </c>
      <c r="G4865">
        <v>67473</v>
      </c>
      <c r="H4865">
        <v>7332</v>
      </c>
      <c r="I4865" s="25" t="s">
        <v>2123</v>
      </c>
      <c r="J4865" t="s">
        <v>2440</v>
      </c>
      <c r="M4865" s="49"/>
    </row>
    <row r="4866" spans="6:13" x14ac:dyDescent="0.25">
      <c r="F4866" t="s">
        <v>5696</v>
      </c>
      <c r="G4866">
        <v>88161</v>
      </c>
      <c r="H4866">
        <v>9776</v>
      </c>
      <c r="I4866" s="25" t="s">
        <v>2050</v>
      </c>
      <c r="J4866" t="s">
        <v>4735</v>
      </c>
      <c r="M4866" s="49"/>
    </row>
    <row r="4867" spans="6:13" x14ac:dyDescent="0.25">
      <c r="F4867" t="s">
        <v>5697</v>
      </c>
      <c r="G4867">
        <v>64678</v>
      </c>
      <c r="H4867">
        <v>6431</v>
      </c>
      <c r="I4867" s="25" t="s">
        <v>2046</v>
      </c>
      <c r="J4867" t="s">
        <v>2065</v>
      </c>
      <c r="M4867" s="49"/>
    </row>
    <row r="4868" spans="6:13" x14ac:dyDescent="0.25">
      <c r="F4868" t="s">
        <v>5698</v>
      </c>
      <c r="G4868">
        <v>49699</v>
      </c>
      <c r="H4868">
        <v>3453</v>
      </c>
      <c r="I4868" s="25" t="s">
        <v>2074</v>
      </c>
      <c r="J4868" t="s">
        <v>2069</v>
      </c>
      <c r="M4868" s="49"/>
    </row>
    <row r="4869" spans="6:13" x14ac:dyDescent="0.25">
      <c r="F4869" t="s">
        <v>5699</v>
      </c>
      <c r="G4869">
        <v>31698</v>
      </c>
      <c r="H4869">
        <v>3257</v>
      </c>
      <c r="I4869" s="25" t="s">
        <v>2074</v>
      </c>
      <c r="J4869" t="s">
        <v>2167</v>
      </c>
      <c r="M4869" s="49"/>
    </row>
    <row r="4870" spans="6:13" x14ac:dyDescent="0.25">
      <c r="F4870" t="s">
        <v>5700</v>
      </c>
      <c r="G4870">
        <v>51789</v>
      </c>
      <c r="H4870">
        <v>5374</v>
      </c>
      <c r="I4870" s="25" t="s">
        <v>2023</v>
      </c>
      <c r="J4870" t="s">
        <v>2281</v>
      </c>
      <c r="M4870" s="49"/>
    </row>
    <row r="4871" spans="6:13" x14ac:dyDescent="0.25">
      <c r="F4871" t="s">
        <v>5701</v>
      </c>
      <c r="G4871">
        <v>16835</v>
      </c>
      <c r="H4871">
        <v>12068</v>
      </c>
      <c r="I4871" s="25" t="s">
        <v>2356</v>
      </c>
      <c r="J4871" t="s">
        <v>2299</v>
      </c>
      <c r="M4871" s="49"/>
    </row>
    <row r="4872" spans="6:13" x14ac:dyDescent="0.25">
      <c r="F4872" t="s">
        <v>5702</v>
      </c>
      <c r="G4872">
        <v>49808</v>
      </c>
      <c r="H4872">
        <v>3454</v>
      </c>
      <c r="I4872" s="25" t="s">
        <v>2074</v>
      </c>
      <c r="J4872" t="s">
        <v>2118</v>
      </c>
      <c r="M4872" s="49"/>
    </row>
    <row r="4873" spans="6:13" x14ac:dyDescent="0.25">
      <c r="F4873" t="s">
        <v>5702</v>
      </c>
      <c r="G4873">
        <v>49811</v>
      </c>
      <c r="H4873">
        <v>3454</v>
      </c>
      <c r="I4873" s="25" t="s">
        <v>2074</v>
      </c>
      <c r="J4873" t="s">
        <v>2118</v>
      </c>
      <c r="M4873" s="49"/>
    </row>
    <row r="4874" spans="6:13" x14ac:dyDescent="0.25">
      <c r="F4874" t="s">
        <v>5702</v>
      </c>
      <c r="G4874">
        <v>49809</v>
      </c>
      <c r="H4874">
        <v>3454</v>
      </c>
      <c r="I4874" s="25" t="s">
        <v>2074</v>
      </c>
      <c r="J4874" t="s">
        <v>2118</v>
      </c>
      <c r="M4874" s="49"/>
    </row>
    <row r="4875" spans="6:13" x14ac:dyDescent="0.25">
      <c r="F4875" t="s">
        <v>5703</v>
      </c>
      <c r="G4875">
        <v>67360</v>
      </c>
      <c r="H4875">
        <v>7334</v>
      </c>
      <c r="I4875" s="25" t="s">
        <v>2123</v>
      </c>
      <c r="J4875" t="s">
        <v>2873</v>
      </c>
      <c r="M4875" s="49"/>
    </row>
    <row r="4876" spans="6:13" x14ac:dyDescent="0.25">
      <c r="F4876" t="s">
        <v>5704</v>
      </c>
      <c r="G4876">
        <v>76351</v>
      </c>
      <c r="H4876">
        <v>8215</v>
      </c>
      <c r="I4876" s="25" t="s">
        <v>2018</v>
      </c>
      <c r="J4876" t="s">
        <v>2724</v>
      </c>
      <c r="M4876" s="49"/>
    </row>
    <row r="4877" spans="6:13" x14ac:dyDescent="0.25">
      <c r="F4877" t="s">
        <v>5705</v>
      </c>
      <c r="G4877">
        <v>52441</v>
      </c>
      <c r="H4877">
        <v>5358</v>
      </c>
      <c r="I4877" s="25" t="s">
        <v>2023</v>
      </c>
      <c r="J4877" t="s">
        <v>2106</v>
      </c>
      <c r="M4877" s="49"/>
    </row>
    <row r="4878" spans="6:13" x14ac:dyDescent="0.25">
      <c r="F4878" t="s">
        <v>5706</v>
      </c>
      <c r="G4878">
        <v>31636</v>
      </c>
      <c r="H4878">
        <v>3256</v>
      </c>
      <c r="I4878" s="25" t="s">
        <v>2074</v>
      </c>
      <c r="J4878" t="s">
        <v>2271</v>
      </c>
      <c r="M4878" s="49"/>
    </row>
    <row r="4879" spans="6:13" x14ac:dyDescent="0.25">
      <c r="F4879" t="s">
        <v>5707</v>
      </c>
      <c r="G4879">
        <v>63589</v>
      </c>
      <c r="H4879">
        <v>6435</v>
      </c>
      <c r="I4879" s="25" t="s">
        <v>2046</v>
      </c>
      <c r="J4879" t="s">
        <v>2703</v>
      </c>
      <c r="M4879" s="49"/>
    </row>
    <row r="4880" spans="6:13" x14ac:dyDescent="0.25">
      <c r="F4880" t="s">
        <v>5708</v>
      </c>
      <c r="G4880">
        <v>53545</v>
      </c>
      <c r="H4880">
        <v>7138</v>
      </c>
      <c r="I4880" s="25" t="s">
        <v>2123</v>
      </c>
      <c r="J4880" t="s">
        <v>2489</v>
      </c>
      <c r="M4880" s="49"/>
    </row>
    <row r="4881" spans="6:13" x14ac:dyDescent="0.25">
      <c r="F4881" t="s">
        <v>5709</v>
      </c>
      <c r="G4881">
        <v>59510</v>
      </c>
      <c r="H4881">
        <v>5974</v>
      </c>
      <c r="I4881" s="25" t="s">
        <v>2023</v>
      </c>
      <c r="J4881" t="s">
        <v>2368</v>
      </c>
      <c r="M4881" s="49"/>
    </row>
    <row r="4882" spans="6:13" x14ac:dyDescent="0.25">
      <c r="F4882" t="s">
        <v>5710</v>
      </c>
      <c r="G4882">
        <v>59557</v>
      </c>
      <c r="H4882">
        <v>5974</v>
      </c>
      <c r="I4882" s="25" t="s">
        <v>2023</v>
      </c>
      <c r="J4882" t="s">
        <v>2368</v>
      </c>
      <c r="M4882" s="49"/>
    </row>
    <row r="4883" spans="6:13" x14ac:dyDescent="0.25">
      <c r="F4883" t="s">
        <v>5710</v>
      </c>
      <c r="G4883">
        <v>59558</v>
      </c>
      <c r="H4883">
        <v>5974</v>
      </c>
      <c r="I4883" s="25" t="s">
        <v>2023</v>
      </c>
      <c r="J4883" t="s">
        <v>2368</v>
      </c>
      <c r="M4883" s="49"/>
    </row>
    <row r="4884" spans="6:13" x14ac:dyDescent="0.25">
      <c r="F4884" t="s">
        <v>5710</v>
      </c>
      <c r="G4884">
        <v>59556</v>
      </c>
      <c r="H4884">
        <v>5974</v>
      </c>
      <c r="I4884" s="25" t="s">
        <v>2023</v>
      </c>
      <c r="J4884" t="s">
        <v>2368</v>
      </c>
      <c r="M4884" s="49"/>
    </row>
    <row r="4885" spans="6:13" x14ac:dyDescent="0.25">
      <c r="F4885" t="s">
        <v>5710</v>
      </c>
      <c r="G4885">
        <v>59555</v>
      </c>
      <c r="H4885">
        <v>5974</v>
      </c>
      <c r="I4885" s="25" t="s">
        <v>2023</v>
      </c>
      <c r="J4885" t="s">
        <v>2368</v>
      </c>
      <c r="M4885" s="49"/>
    </row>
    <row r="4886" spans="6:13" x14ac:dyDescent="0.25">
      <c r="F4886" t="s">
        <v>5711</v>
      </c>
      <c r="G4886">
        <v>96170</v>
      </c>
      <c r="H4886">
        <v>9471</v>
      </c>
      <c r="I4886" s="25" t="s">
        <v>2050</v>
      </c>
      <c r="J4886" t="s">
        <v>2392</v>
      </c>
      <c r="M4886" s="49"/>
    </row>
    <row r="4887" spans="6:13" x14ac:dyDescent="0.25">
      <c r="F4887" t="s">
        <v>5712</v>
      </c>
      <c r="G4887">
        <v>54587</v>
      </c>
      <c r="H4887">
        <v>7233</v>
      </c>
      <c r="I4887" s="25" t="s">
        <v>2123</v>
      </c>
      <c r="J4887" t="s">
        <v>2416</v>
      </c>
      <c r="M4887" s="49"/>
    </row>
    <row r="4888" spans="6:13" x14ac:dyDescent="0.25">
      <c r="F4888" t="s">
        <v>5713</v>
      </c>
      <c r="G4888">
        <v>25992</v>
      </c>
      <c r="H4888">
        <v>1054</v>
      </c>
      <c r="I4888" s="25" t="s">
        <v>2085</v>
      </c>
      <c r="J4888" t="s">
        <v>2195</v>
      </c>
      <c r="M4888" s="49"/>
    </row>
    <row r="4889" spans="6:13" x14ac:dyDescent="0.25">
      <c r="F4889" t="s">
        <v>5714</v>
      </c>
      <c r="G4889">
        <v>96123</v>
      </c>
      <c r="H4889">
        <v>9471</v>
      </c>
      <c r="I4889" s="25" t="s">
        <v>2050</v>
      </c>
      <c r="J4889" t="s">
        <v>2392</v>
      </c>
      <c r="M4889" s="49"/>
    </row>
    <row r="4890" spans="6:13" x14ac:dyDescent="0.25">
      <c r="F4890" t="s">
        <v>5715</v>
      </c>
      <c r="G4890">
        <v>2708</v>
      </c>
      <c r="H4890">
        <v>14626</v>
      </c>
      <c r="I4890" s="25" t="s">
        <v>2135</v>
      </c>
      <c r="J4890" t="s">
        <v>2150</v>
      </c>
      <c r="M4890" s="49"/>
    </row>
    <row r="4891" spans="6:13" x14ac:dyDescent="0.25">
      <c r="F4891" t="s">
        <v>5716</v>
      </c>
      <c r="G4891">
        <v>74931</v>
      </c>
      <c r="H4891">
        <v>8226</v>
      </c>
      <c r="I4891" s="25" t="s">
        <v>2018</v>
      </c>
      <c r="J4891" t="s">
        <v>2442</v>
      </c>
      <c r="M4891" s="49"/>
    </row>
    <row r="4892" spans="6:13" x14ac:dyDescent="0.25">
      <c r="F4892" t="s">
        <v>5717</v>
      </c>
      <c r="G4892">
        <v>7356</v>
      </c>
      <c r="H4892">
        <v>16075</v>
      </c>
      <c r="I4892" s="25" t="s">
        <v>2384</v>
      </c>
      <c r="J4892" t="s">
        <v>4221</v>
      </c>
      <c r="M4892" s="49"/>
    </row>
    <row r="4893" spans="6:13" x14ac:dyDescent="0.25">
      <c r="F4893" t="s">
        <v>5718</v>
      </c>
      <c r="G4893">
        <v>18314</v>
      </c>
      <c r="H4893">
        <v>13073</v>
      </c>
      <c r="I4893" s="25" t="s">
        <v>2191</v>
      </c>
      <c r="J4893" t="s">
        <v>2192</v>
      </c>
      <c r="M4893" s="49"/>
    </row>
    <row r="4894" spans="6:13" x14ac:dyDescent="0.25">
      <c r="F4894" t="s">
        <v>5719</v>
      </c>
      <c r="G4894">
        <v>39279</v>
      </c>
      <c r="H4894">
        <v>15086</v>
      </c>
      <c r="I4894" s="25" t="s">
        <v>2241</v>
      </c>
      <c r="J4894" t="s">
        <v>3064</v>
      </c>
      <c r="M4894" s="49"/>
    </row>
    <row r="4895" spans="6:13" x14ac:dyDescent="0.25">
      <c r="F4895" t="s">
        <v>5720</v>
      </c>
      <c r="G4895">
        <v>74369</v>
      </c>
      <c r="H4895">
        <v>8118</v>
      </c>
      <c r="I4895" s="25" t="s">
        <v>2018</v>
      </c>
      <c r="J4895" t="s">
        <v>2142</v>
      </c>
      <c r="M4895" s="49"/>
    </row>
    <row r="4896" spans="6:13" x14ac:dyDescent="0.25">
      <c r="F4896" t="s">
        <v>5721</v>
      </c>
      <c r="G4896">
        <v>17321</v>
      </c>
      <c r="H4896">
        <v>13075</v>
      </c>
      <c r="I4896" s="25" t="s">
        <v>2191</v>
      </c>
      <c r="J4896" t="s">
        <v>2160</v>
      </c>
      <c r="M4896" s="49"/>
    </row>
    <row r="4897" spans="6:13" x14ac:dyDescent="0.25">
      <c r="F4897" t="s">
        <v>5722</v>
      </c>
      <c r="G4897">
        <v>76597</v>
      </c>
      <c r="H4897">
        <v>8216</v>
      </c>
      <c r="I4897" s="25" t="s">
        <v>2018</v>
      </c>
      <c r="J4897" t="s">
        <v>2564</v>
      </c>
      <c r="M4897" s="49"/>
    </row>
    <row r="4898" spans="6:13" x14ac:dyDescent="0.25">
      <c r="F4898" t="s">
        <v>5723</v>
      </c>
      <c r="G4898">
        <v>79843</v>
      </c>
      <c r="H4898">
        <v>8315</v>
      </c>
      <c r="I4898" s="25" t="s">
        <v>2018</v>
      </c>
      <c r="J4898" t="s">
        <v>2061</v>
      </c>
      <c r="M4898" s="49"/>
    </row>
    <row r="4899" spans="6:13" x14ac:dyDescent="0.25">
      <c r="F4899" t="s">
        <v>5724</v>
      </c>
      <c r="G4899">
        <v>93470</v>
      </c>
      <c r="H4899">
        <v>9372</v>
      </c>
      <c r="I4899" s="25" t="s">
        <v>2050</v>
      </c>
      <c r="J4899" t="s">
        <v>2523</v>
      </c>
      <c r="M4899" s="49"/>
    </row>
    <row r="4900" spans="6:13" x14ac:dyDescent="0.25">
      <c r="F4900" t="s">
        <v>5725</v>
      </c>
      <c r="G4900">
        <v>34253</v>
      </c>
      <c r="H4900">
        <v>6633</v>
      </c>
      <c r="I4900" s="25" t="s">
        <v>2046</v>
      </c>
      <c r="J4900" t="s">
        <v>2162</v>
      </c>
      <c r="M4900" s="49"/>
    </row>
    <row r="4901" spans="6:13" x14ac:dyDescent="0.25">
      <c r="F4901" t="s">
        <v>5726</v>
      </c>
      <c r="G4901">
        <v>53797</v>
      </c>
      <c r="H4901">
        <v>5382</v>
      </c>
      <c r="I4901" s="25" t="s">
        <v>2023</v>
      </c>
      <c r="J4901" t="s">
        <v>2298</v>
      </c>
      <c r="M4901" s="49"/>
    </row>
    <row r="4902" spans="6:13" x14ac:dyDescent="0.25">
      <c r="F4902" t="s">
        <v>5727</v>
      </c>
      <c r="G4902">
        <v>1847</v>
      </c>
      <c r="H4902">
        <v>14628</v>
      </c>
      <c r="I4902" s="25" t="s">
        <v>2135</v>
      </c>
      <c r="J4902" t="s">
        <v>2347</v>
      </c>
      <c r="M4902" s="49"/>
    </row>
    <row r="4903" spans="6:13" x14ac:dyDescent="0.25">
      <c r="F4903" t="s">
        <v>5728</v>
      </c>
      <c r="G4903">
        <v>35792</v>
      </c>
      <c r="H4903">
        <v>6533</v>
      </c>
      <c r="I4903" s="25" t="s">
        <v>2046</v>
      </c>
      <c r="J4903" t="s">
        <v>2629</v>
      </c>
      <c r="M4903" s="49"/>
    </row>
    <row r="4904" spans="6:13" x14ac:dyDescent="0.25">
      <c r="F4904" t="s">
        <v>5729</v>
      </c>
      <c r="G4904">
        <v>49393</v>
      </c>
      <c r="H4904">
        <v>3460</v>
      </c>
      <c r="I4904" s="25" t="s">
        <v>2074</v>
      </c>
      <c r="J4904" t="s">
        <v>2408</v>
      </c>
      <c r="M4904" s="49"/>
    </row>
    <row r="4905" spans="6:13" x14ac:dyDescent="0.25">
      <c r="F4905" t="s">
        <v>5730</v>
      </c>
      <c r="G4905">
        <v>32584</v>
      </c>
      <c r="H4905">
        <v>5758</v>
      </c>
      <c r="I4905" s="25" t="s">
        <v>2023</v>
      </c>
      <c r="J4905" t="s">
        <v>2189</v>
      </c>
      <c r="M4905" s="49"/>
    </row>
    <row r="4906" spans="6:13" x14ac:dyDescent="0.25">
      <c r="F4906" t="s">
        <v>5731</v>
      </c>
      <c r="G4906">
        <v>67727</v>
      </c>
      <c r="H4906">
        <v>7333</v>
      </c>
      <c r="I4906" s="25" t="s">
        <v>2123</v>
      </c>
      <c r="J4906" t="s">
        <v>2103</v>
      </c>
      <c r="M4906" s="49"/>
    </row>
    <row r="4907" spans="6:13" x14ac:dyDescent="0.25">
      <c r="F4907" t="s">
        <v>5732</v>
      </c>
      <c r="G4907">
        <v>97816</v>
      </c>
      <c r="H4907">
        <v>9677</v>
      </c>
      <c r="I4907" s="25" t="s">
        <v>2050</v>
      </c>
      <c r="J4907" t="s">
        <v>2527</v>
      </c>
      <c r="M4907" s="49"/>
    </row>
    <row r="4908" spans="6:13" x14ac:dyDescent="0.25">
      <c r="F4908" t="s">
        <v>5733</v>
      </c>
      <c r="G4908">
        <v>35102</v>
      </c>
      <c r="H4908">
        <v>6534</v>
      </c>
      <c r="I4908" s="25" t="s">
        <v>2046</v>
      </c>
      <c r="J4908" t="s">
        <v>2471</v>
      </c>
      <c r="M4908" s="49"/>
    </row>
    <row r="4909" spans="6:13" x14ac:dyDescent="0.25">
      <c r="F4909" t="s">
        <v>5734</v>
      </c>
      <c r="G4909">
        <v>2999</v>
      </c>
      <c r="H4909">
        <v>14625</v>
      </c>
      <c r="I4909" s="25" t="s">
        <v>2135</v>
      </c>
      <c r="J4909" t="s">
        <v>2041</v>
      </c>
      <c r="M4909" s="49"/>
    </row>
    <row r="4910" spans="6:13" x14ac:dyDescent="0.25">
      <c r="F4910" t="s">
        <v>5735</v>
      </c>
      <c r="G4910">
        <v>84180</v>
      </c>
      <c r="H4910">
        <v>9279</v>
      </c>
      <c r="I4910" s="25" t="s">
        <v>2050</v>
      </c>
      <c r="J4910" t="s">
        <v>3574</v>
      </c>
      <c r="M4910" s="49"/>
    </row>
    <row r="4911" spans="6:13" x14ac:dyDescent="0.25">
      <c r="F4911" t="s">
        <v>5736</v>
      </c>
      <c r="G4911">
        <v>17121</v>
      </c>
      <c r="H4911">
        <v>13075</v>
      </c>
      <c r="I4911" s="25" t="s">
        <v>2191</v>
      </c>
      <c r="J4911" t="s">
        <v>2160</v>
      </c>
      <c r="M4911" s="49"/>
    </row>
    <row r="4912" spans="6:13" x14ac:dyDescent="0.25">
      <c r="F4912" t="s">
        <v>5737</v>
      </c>
      <c r="G4912">
        <v>94359</v>
      </c>
      <c r="H4912">
        <v>9278</v>
      </c>
      <c r="I4912" s="25" t="s">
        <v>2050</v>
      </c>
      <c r="J4912" t="s">
        <v>2170</v>
      </c>
      <c r="M4912" s="49"/>
    </row>
    <row r="4913" spans="6:13" x14ac:dyDescent="0.25">
      <c r="F4913" t="s">
        <v>5738</v>
      </c>
      <c r="G4913">
        <v>35457</v>
      </c>
      <c r="H4913">
        <v>6531</v>
      </c>
      <c r="I4913" s="25" t="s">
        <v>2046</v>
      </c>
      <c r="J4913" t="s">
        <v>2306</v>
      </c>
      <c r="M4913" s="49"/>
    </row>
    <row r="4914" spans="6:13" x14ac:dyDescent="0.25">
      <c r="F4914" t="s">
        <v>5739</v>
      </c>
      <c r="G4914">
        <v>1623</v>
      </c>
      <c r="H4914">
        <v>14627</v>
      </c>
      <c r="I4914" s="25" t="s">
        <v>2135</v>
      </c>
      <c r="J4914" t="s">
        <v>2251</v>
      </c>
      <c r="M4914" s="49"/>
    </row>
    <row r="4915" spans="6:13" x14ac:dyDescent="0.25">
      <c r="F4915" t="s">
        <v>5740</v>
      </c>
      <c r="G4915">
        <v>49624</v>
      </c>
      <c r="H4915">
        <v>3453</v>
      </c>
      <c r="I4915" s="25" t="s">
        <v>2074</v>
      </c>
      <c r="J4915" t="s">
        <v>2069</v>
      </c>
      <c r="M4915" s="49"/>
    </row>
    <row r="4916" spans="6:13" x14ac:dyDescent="0.25">
      <c r="F4916" t="s">
        <v>5741</v>
      </c>
      <c r="G4916">
        <v>91475</v>
      </c>
      <c r="H4916">
        <v>9572</v>
      </c>
      <c r="I4916" s="25" t="s">
        <v>2050</v>
      </c>
      <c r="J4916" t="s">
        <v>2105</v>
      </c>
      <c r="M4916" s="49"/>
    </row>
    <row r="4917" spans="6:13" x14ac:dyDescent="0.25">
      <c r="F4917" t="s">
        <v>5742</v>
      </c>
      <c r="G4917">
        <v>56295</v>
      </c>
      <c r="H4917">
        <v>7137</v>
      </c>
      <c r="I4917" s="25" t="s">
        <v>2123</v>
      </c>
      <c r="J4917" t="s">
        <v>2246</v>
      </c>
      <c r="M4917" s="49"/>
    </row>
    <row r="4918" spans="6:13" x14ac:dyDescent="0.25">
      <c r="F4918" t="s">
        <v>5743</v>
      </c>
      <c r="G4918">
        <v>89173</v>
      </c>
      <c r="H4918">
        <v>8425</v>
      </c>
      <c r="I4918" s="25" t="s">
        <v>2018</v>
      </c>
      <c r="J4918" t="s">
        <v>2027</v>
      </c>
      <c r="M4918" s="49"/>
    </row>
    <row r="4919" spans="6:13" x14ac:dyDescent="0.25">
      <c r="F4919" t="s">
        <v>5744</v>
      </c>
      <c r="G4919">
        <v>24366</v>
      </c>
      <c r="H4919">
        <v>1058</v>
      </c>
      <c r="I4919" s="25" t="s">
        <v>2085</v>
      </c>
      <c r="J4919" t="s">
        <v>2086</v>
      </c>
      <c r="M4919" s="49"/>
    </row>
    <row r="4920" spans="6:13" x14ac:dyDescent="0.25">
      <c r="F4920" t="s">
        <v>5745</v>
      </c>
      <c r="G4920">
        <v>65391</v>
      </c>
      <c r="H4920">
        <v>6439</v>
      </c>
      <c r="I4920" s="25" t="s">
        <v>2046</v>
      </c>
      <c r="J4920" t="s">
        <v>2047</v>
      </c>
      <c r="M4920" s="49"/>
    </row>
    <row r="4921" spans="6:13" x14ac:dyDescent="0.25">
      <c r="F4921" t="s">
        <v>5745</v>
      </c>
      <c r="G4921">
        <v>65391</v>
      </c>
      <c r="H4921">
        <v>7141</v>
      </c>
      <c r="I4921" s="25" t="s">
        <v>2123</v>
      </c>
      <c r="J4921" t="s">
        <v>2388</v>
      </c>
      <c r="M4921" s="49"/>
    </row>
    <row r="4922" spans="6:13" x14ac:dyDescent="0.25">
      <c r="F4922" t="s">
        <v>5745</v>
      </c>
      <c r="G4922">
        <v>73547</v>
      </c>
      <c r="H4922">
        <v>8117</v>
      </c>
      <c r="I4922" s="25" t="s">
        <v>2018</v>
      </c>
      <c r="J4922" t="s">
        <v>2089</v>
      </c>
      <c r="M4922" s="49"/>
    </row>
    <row r="4923" spans="6:13" x14ac:dyDescent="0.25">
      <c r="F4923" t="s">
        <v>5745</v>
      </c>
      <c r="G4923">
        <v>73547</v>
      </c>
      <c r="H4923">
        <v>8136</v>
      </c>
      <c r="I4923" s="25" t="s">
        <v>2018</v>
      </c>
      <c r="J4923" t="s">
        <v>2039</v>
      </c>
      <c r="M4923" s="49"/>
    </row>
    <row r="4924" spans="6:13" x14ac:dyDescent="0.25">
      <c r="F4924" t="s">
        <v>2227</v>
      </c>
      <c r="G4924">
        <v>79540</v>
      </c>
      <c r="H4924">
        <v>8336</v>
      </c>
      <c r="I4924" s="25" t="s">
        <v>2018</v>
      </c>
      <c r="J4924" t="s">
        <v>2227</v>
      </c>
      <c r="M4924" s="49"/>
    </row>
    <row r="4925" spans="6:13" x14ac:dyDescent="0.25">
      <c r="F4925" t="s">
        <v>2227</v>
      </c>
      <c r="G4925">
        <v>79541</v>
      </c>
      <c r="H4925">
        <v>8336</v>
      </c>
      <c r="I4925" s="25" t="s">
        <v>2018</v>
      </c>
      <c r="J4925" t="s">
        <v>2227</v>
      </c>
      <c r="M4925" s="49"/>
    </row>
    <row r="4926" spans="6:13" x14ac:dyDescent="0.25">
      <c r="F4926" t="s">
        <v>2227</v>
      </c>
      <c r="G4926">
        <v>79539</v>
      </c>
      <c r="H4926">
        <v>8336</v>
      </c>
      <c r="I4926" s="25" t="s">
        <v>2018</v>
      </c>
      <c r="J4926" t="s">
        <v>2227</v>
      </c>
      <c r="M4926" s="49"/>
    </row>
    <row r="4927" spans="6:13" x14ac:dyDescent="0.25">
      <c r="F4927" t="s">
        <v>5746</v>
      </c>
      <c r="G4927">
        <v>64653</v>
      </c>
      <c r="H4927">
        <v>6431</v>
      </c>
      <c r="I4927" s="25" t="s">
        <v>2046</v>
      </c>
      <c r="J4927" t="s">
        <v>2065</v>
      </c>
      <c r="M4927" s="49"/>
    </row>
    <row r="4928" spans="6:13" x14ac:dyDescent="0.25">
      <c r="F4928" t="s">
        <v>5747</v>
      </c>
      <c r="G4928">
        <v>26901</v>
      </c>
      <c r="H4928">
        <v>3454</v>
      </c>
      <c r="I4928" s="25" t="s">
        <v>2074</v>
      </c>
      <c r="J4928" t="s">
        <v>2118</v>
      </c>
      <c r="M4928" s="49"/>
    </row>
    <row r="4929" spans="6:13" x14ac:dyDescent="0.25">
      <c r="F4929" t="s">
        <v>5748</v>
      </c>
      <c r="G4929">
        <v>66679</v>
      </c>
      <c r="H4929">
        <v>10042</v>
      </c>
      <c r="I4929" s="25" t="s">
        <v>2849</v>
      </c>
      <c r="J4929" t="s">
        <v>2850</v>
      </c>
      <c r="M4929" s="49"/>
    </row>
    <row r="4930" spans="6:13" x14ac:dyDescent="0.25">
      <c r="F4930" t="s">
        <v>5749</v>
      </c>
      <c r="G4930">
        <v>72290</v>
      </c>
      <c r="H4930">
        <v>8237</v>
      </c>
      <c r="I4930" s="25" t="s">
        <v>2018</v>
      </c>
      <c r="J4930" t="s">
        <v>2336</v>
      </c>
      <c r="M4930" s="49"/>
    </row>
    <row r="4931" spans="6:13" x14ac:dyDescent="0.25">
      <c r="F4931" t="s">
        <v>5750</v>
      </c>
      <c r="G4931">
        <v>8294</v>
      </c>
      <c r="H4931">
        <v>14521</v>
      </c>
      <c r="I4931" s="25" t="s">
        <v>2135</v>
      </c>
      <c r="J4931" t="s">
        <v>2032</v>
      </c>
      <c r="M4931" s="49"/>
    </row>
    <row r="4932" spans="6:13" x14ac:dyDescent="0.25">
      <c r="F4932" t="s">
        <v>5751</v>
      </c>
      <c r="G4932">
        <v>49504</v>
      </c>
      <c r="H4932">
        <v>5566</v>
      </c>
      <c r="I4932" s="25" t="s">
        <v>2023</v>
      </c>
      <c r="J4932" t="s">
        <v>2379</v>
      </c>
      <c r="M4932" s="49"/>
    </row>
    <row r="4933" spans="6:13" x14ac:dyDescent="0.25">
      <c r="F4933" t="s">
        <v>5752</v>
      </c>
      <c r="G4933">
        <v>79807</v>
      </c>
      <c r="H4933">
        <v>8337</v>
      </c>
      <c r="I4933" s="25" t="s">
        <v>2018</v>
      </c>
      <c r="J4933" t="s">
        <v>2248</v>
      </c>
      <c r="M4933" s="49"/>
    </row>
    <row r="4934" spans="6:13" x14ac:dyDescent="0.25">
      <c r="F4934" t="s">
        <v>5753</v>
      </c>
      <c r="G4934">
        <v>25864</v>
      </c>
      <c r="H4934">
        <v>1054</v>
      </c>
      <c r="I4934" s="25" t="s">
        <v>2085</v>
      </c>
      <c r="J4934" t="s">
        <v>2195</v>
      </c>
      <c r="M4934" s="49"/>
    </row>
    <row r="4935" spans="6:13" x14ac:dyDescent="0.25">
      <c r="F4935" t="s">
        <v>5754</v>
      </c>
      <c r="G4935">
        <v>74245</v>
      </c>
      <c r="H4935">
        <v>8125</v>
      </c>
      <c r="I4935" s="25" t="s">
        <v>2018</v>
      </c>
      <c r="J4935" t="s">
        <v>2060</v>
      </c>
      <c r="M4935" s="49"/>
    </row>
    <row r="4936" spans="6:13" x14ac:dyDescent="0.25">
      <c r="F4936" t="s">
        <v>5755</v>
      </c>
      <c r="G4936">
        <v>27612</v>
      </c>
      <c r="H4936">
        <v>3352</v>
      </c>
      <c r="I4936" s="25" t="s">
        <v>2074</v>
      </c>
      <c r="J4936" t="s">
        <v>2079</v>
      </c>
      <c r="M4936" s="49"/>
    </row>
    <row r="4937" spans="6:13" x14ac:dyDescent="0.25">
      <c r="F4937" t="s">
        <v>5756</v>
      </c>
      <c r="G4937">
        <v>32312</v>
      </c>
      <c r="H4937">
        <v>5770</v>
      </c>
      <c r="I4937" s="25" t="s">
        <v>2023</v>
      </c>
      <c r="J4937" t="s">
        <v>2257</v>
      </c>
      <c r="M4937" s="49"/>
    </row>
    <row r="4938" spans="6:13" x14ac:dyDescent="0.25">
      <c r="F4938" t="s">
        <v>5757</v>
      </c>
      <c r="G4938">
        <v>15907</v>
      </c>
      <c r="H4938">
        <v>12061</v>
      </c>
      <c r="I4938" s="25" t="s">
        <v>2356</v>
      </c>
      <c r="J4938" t="s">
        <v>3033</v>
      </c>
      <c r="M4938" s="49"/>
    </row>
    <row r="4939" spans="6:13" x14ac:dyDescent="0.25">
      <c r="F4939" t="s">
        <v>5758</v>
      </c>
      <c r="G4939">
        <v>3222</v>
      </c>
      <c r="H4939">
        <v>12066</v>
      </c>
      <c r="I4939" s="25" t="s">
        <v>2356</v>
      </c>
      <c r="J4939" t="s">
        <v>2357</v>
      </c>
      <c r="M4939" s="49"/>
    </row>
    <row r="4940" spans="6:13" x14ac:dyDescent="0.25">
      <c r="F4940" t="s">
        <v>5759</v>
      </c>
      <c r="G4940">
        <v>29488</v>
      </c>
      <c r="H4940">
        <v>3354</v>
      </c>
      <c r="I4940" s="25" t="s">
        <v>2074</v>
      </c>
      <c r="J4940" t="s">
        <v>2232</v>
      </c>
      <c r="M4940" s="49"/>
    </row>
    <row r="4941" spans="6:13" x14ac:dyDescent="0.25">
      <c r="F4941" t="s">
        <v>5760</v>
      </c>
      <c r="G4941">
        <v>23560</v>
      </c>
      <c r="H4941">
        <v>1003</v>
      </c>
      <c r="I4941" s="25" t="s">
        <v>2085</v>
      </c>
      <c r="J4941" t="s">
        <v>2229</v>
      </c>
      <c r="M4941" s="49"/>
    </row>
    <row r="4942" spans="6:13" x14ac:dyDescent="0.25">
      <c r="F4942" t="s">
        <v>5760</v>
      </c>
      <c r="G4942">
        <v>23569</v>
      </c>
      <c r="H4942">
        <v>1003</v>
      </c>
      <c r="I4942" s="25" t="s">
        <v>2085</v>
      </c>
      <c r="J4942" t="s">
        <v>2229</v>
      </c>
      <c r="M4942" s="49"/>
    </row>
    <row r="4943" spans="6:13" x14ac:dyDescent="0.25">
      <c r="F4943" t="s">
        <v>5760</v>
      </c>
      <c r="G4943">
        <v>23566</v>
      </c>
      <c r="H4943">
        <v>1003</v>
      </c>
      <c r="I4943" s="25" t="s">
        <v>2085</v>
      </c>
      <c r="J4943" t="s">
        <v>2229</v>
      </c>
      <c r="M4943" s="49"/>
    </row>
    <row r="4944" spans="6:13" x14ac:dyDescent="0.25">
      <c r="F4944" t="s">
        <v>5760</v>
      </c>
      <c r="G4944">
        <v>23556</v>
      </c>
      <c r="H4944">
        <v>1003</v>
      </c>
      <c r="I4944" s="25" t="s">
        <v>2085</v>
      </c>
      <c r="J4944" t="s">
        <v>2229</v>
      </c>
      <c r="M4944" s="49"/>
    </row>
    <row r="4945" spans="6:13" x14ac:dyDescent="0.25">
      <c r="F4945" t="s">
        <v>5760</v>
      </c>
      <c r="G4945">
        <v>23558</v>
      </c>
      <c r="H4945">
        <v>1003</v>
      </c>
      <c r="I4945" s="25" t="s">
        <v>2085</v>
      </c>
      <c r="J4945" t="s">
        <v>2229</v>
      </c>
      <c r="M4945" s="49"/>
    </row>
    <row r="4946" spans="6:13" x14ac:dyDescent="0.25">
      <c r="F4946" t="s">
        <v>5760</v>
      </c>
      <c r="G4946">
        <v>23570</v>
      </c>
      <c r="H4946">
        <v>1003</v>
      </c>
      <c r="I4946" s="25" t="s">
        <v>2085</v>
      </c>
      <c r="J4946" t="s">
        <v>2229</v>
      </c>
      <c r="M4946" s="49"/>
    </row>
    <row r="4947" spans="6:13" x14ac:dyDescent="0.25">
      <c r="F4947" t="s">
        <v>5760</v>
      </c>
      <c r="G4947">
        <v>23552</v>
      </c>
      <c r="H4947">
        <v>1003</v>
      </c>
      <c r="I4947" s="25" t="s">
        <v>2085</v>
      </c>
      <c r="J4947" t="s">
        <v>2229</v>
      </c>
      <c r="M4947" s="49"/>
    </row>
    <row r="4948" spans="6:13" x14ac:dyDescent="0.25">
      <c r="F4948" t="s">
        <v>5760</v>
      </c>
      <c r="G4948">
        <v>23564</v>
      </c>
      <c r="H4948">
        <v>1003</v>
      </c>
      <c r="I4948" s="25" t="s">
        <v>2085</v>
      </c>
      <c r="J4948" t="s">
        <v>2229</v>
      </c>
      <c r="M4948" s="49"/>
    </row>
    <row r="4949" spans="6:13" x14ac:dyDescent="0.25">
      <c r="F4949" t="s">
        <v>5760</v>
      </c>
      <c r="G4949">
        <v>23562</v>
      </c>
      <c r="H4949">
        <v>1003</v>
      </c>
      <c r="I4949" s="25" t="s">
        <v>2085</v>
      </c>
      <c r="J4949" t="s">
        <v>2229</v>
      </c>
      <c r="M4949" s="49"/>
    </row>
    <row r="4950" spans="6:13" x14ac:dyDescent="0.25">
      <c r="F4950" t="s">
        <v>5761</v>
      </c>
      <c r="G4950">
        <v>23568</v>
      </c>
      <c r="H4950">
        <v>1003</v>
      </c>
      <c r="I4950" s="25" t="s">
        <v>2085</v>
      </c>
      <c r="J4950" t="s">
        <v>2229</v>
      </c>
      <c r="M4950" s="49"/>
    </row>
    <row r="4951" spans="6:13" x14ac:dyDescent="0.25">
      <c r="F4951" t="s">
        <v>5762</v>
      </c>
      <c r="G4951">
        <v>23554</v>
      </c>
      <c r="H4951">
        <v>1003</v>
      </c>
      <c r="I4951" s="25" t="s">
        <v>2085</v>
      </c>
      <c r="J4951" t="s">
        <v>2229</v>
      </c>
      <c r="M4951" s="49"/>
    </row>
    <row r="4952" spans="6:13" x14ac:dyDescent="0.25">
      <c r="F4952" t="s">
        <v>5763</v>
      </c>
      <c r="G4952">
        <v>17509</v>
      </c>
      <c r="H4952">
        <v>13075</v>
      </c>
      <c r="I4952" s="25" t="s">
        <v>2191</v>
      </c>
      <c r="J4952" t="s">
        <v>2160</v>
      </c>
      <c r="M4952" s="49"/>
    </row>
    <row r="4953" spans="6:13" x14ac:dyDescent="0.25">
      <c r="F4953" t="s">
        <v>5764</v>
      </c>
      <c r="G4953">
        <v>19069</v>
      </c>
      <c r="H4953">
        <v>13074</v>
      </c>
      <c r="I4953" s="25" t="s">
        <v>2191</v>
      </c>
      <c r="J4953" t="s">
        <v>2275</v>
      </c>
      <c r="M4953" s="49"/>
    </row>
    <row r="4954" spans="6:13" x14ac:dyDescent="0.25">
      <c r="F4954" t="s">
        <v>5765</v>
      </c>
      <c r="G4954">
        <v>19249</v>
      </c>
      <c r="H4954">
        <v>13076</v>
      </c>
      <c r="I4954" s="25" t="s">
        <v>2191</v>
      </c>
      <c r="J4954" t="s">
        <v>2234</v>
      </c>
      <c r="M4954" s="49"/>
    </row>
    <row r="4955" spans="6:13" x14ac:dyDescent="0.25">
      <c r="F4955" t="s">
        <v>5766</v>
      </c>
      <c r="G4955">
        <v>19386</v>
      </c>
      <c r="H4955">
        <v>13076</v>
      </c>
      <c r="I4955" s="25" t="s">
        <v>2191</v>
      </c>
      <c r="J4955" t="s">
        <v>2234</v>
      </c>
      <c r="M4955" s="49"/>
    </row>
    <row r="4956" spans="6:13" x14ac:dyDescent="0.25">
      <c r="F4956" t="s">
        <v>5767</v>
      </c>
      <c r="G4956">
        <v>29439</v>
      </c>
      <c r="H4956">
        <v>3354</v>
      </c>
      <c r="I4956" s="25" t="s">
        <v>2074</v>
      </c>
      <c r="J4956" t="s">
        <v>2232</v>
      </c>
      <c r="M4956" s="49"/>
    </row>
    <row r="4957" spans="6:13" x14ac:dyDescent="0.25">
      <c r="F4957" t="s">
        <v>5768</v>
      </c>
      <c r="G4957">
        <v>4613</v>
      </c>
      <c r="H4957">
        <v>16077</v>
      </c>
      <c r="I4957" s="25" t="s">
        <v>2384</v>
      </c>
      <c r="J4957" t="s">
        <v>2385</v>
      </c>
      <c r="M4957" s="49"/>
    </row>
    <row r="4958" spans="6:13" x14ac:dyDescent="0.25">
      <c r="F4958" t="s">
        <v>5769</v>
      </c>
      <c r="G4958">
        <v>29487</v>
      </c>
      <c r="H4958">
        <v>3354</v>
      </c>
      <c r="I4958" s="25" t="s">
        <v>2074</v>
      </c>
      <c r="J4958" t="s">
        <v>2232</v>
      </c>
      <c r="M4958" s="49"/>
    </row>
    <row r="4959" spans="6:13" x14ac:dyDescent="0.25">
      <c r="F4959" t="s">
        <v>5770</v>
      </c>
      <c r="G4959">
        <v>15926</v>
      </c>
      <c r="H4959">
        <v>12061</v>
      </c>
      <c r="I4959" s="25" t="s">
        <v>2356</v>
      </c>
      <c r="J4959" t="s">
        <v>3033</v>
      </c>
      <c r="M4959" s="49"/>
    </row>
    <row r="4960" spans="6:13" x14ac:dyDescent="0.25">
      <c r="F4960" t="s">
        <v>5771</v>
      </c>
      <c r="G4960">
        <v>14943</v>
      </c>
      <c r="H4960">
        <v>12072</v>
      </c>
      <c r="I4960" s="25" t="s">
        <v>2356</v>
      </c>
      <c r="J4960" t="s">
        <v>2456</v>
      </c>
      <c r="M4960" s="49"/>
    </row>
    <row r="4961" spans="6:13" x14ac:dyDescent="0.25">
      <c r="F4961" t="s">
        <v>5772</v>
      </c>
      <c r="G4961">
        <v>58515</v>
      </c>
      <c r="H4961">
        <v>5962</v>
      </c>
      <c r="I4961" s="25" t="s">
        <v>2023</v>
      </c>
      <c r="J4961" t="s">
        <v>2239</v>
      </c>
      <c r="M4961" s="49"/>
    </row>
    <row r="4962" spans="6:13" x14ac:dyDescent="0.25">
      <c r="F4962" t="s">
        <v>5772</v>
      </c>
      <c r="G4962">
        <v>58511</v>
      </c>
      <c r="H4962">
        <v>5962</v>
      </c>
      <c r="I4962" s="25" t="s">
        <v>2023</v>
      </c>
      <c r="J4962" t="s">
        <v>2239</v>
      </c>
      <c r="M4962" s="49"/>
    </row>
    <row r="4963" spans="6:13" x14ac:dyDescent="0.25">
      <c r="F4963" t="s">
        <v>5772</v>
      </c>
      <c r="G4963">
        <v>58509</v>
      </c>
      <c r="H4963">
        <v>5962</v>
      </c>
      <c r="I4963" s="25" t="s">
        <v>2023</v>
      </c>
      <c r="J4963" t="s">
        <v>2239</v>
      </c>
      <c r="M4963" s="49"/>
    </row>
    <row r="4964" spans="6:13" x14ac:dyDescent="0.25">
      <c r="F4964" t="s">
        <v>5772</v>
      </c>
      <c r="G4964">
        <v>58507</v>
      </c>
      <c r="H4964">
        <v>5962</v>
      </c>
      <c r="I4964" s="25" t="s">
        <v>2023</v>
      </c>
      <c r="J4964" t="s">
        <v>2239</v>
      </c>
      <c r="M4964" s="49"/>
    </row>
    <row r="4965" spans="6:13" x14ac:dyDescent="0.25">
      <c r="F4965" t="s">
        <v>5772</v>
      </c>
      <c r="G4965">
        <v>58513</v>
      </c>
      <c r="H4965">
        <v>5962</v>
      </c>
      <c r="I4965" s="25" t="s">
        <v>2023</v>
      </c>
      <c r="J4965" t="s">
        <v>2239</v>
      </c>
      <c r="M4965" s="49"/>
    </row>
    <row r="4966" spans="6:13" x14ac:dyDescent="0.25">
      <c r="F4966" t="s">
        <v>5773</v>
      </c>
      <c r="G4966">
        <v>29394</v>
      </c>
      <c r="H4966">
        <v>3360</v>
      </c>
      <c r="I4966" s="25" t="s">
        <v>2074</v>
      </c>
      <c r="J4966" t="s">
        <v>2400</v>
      </c>
      <c r="M4966" s="49"/>
    </row>
    <row r="4967" spans="6:13" x14ac:dyDescent="0.25">
      <c r="F4967" t="s">
        <v>5774</v>
      </c>
      <c r="G4967">
        <v>31702</v>
      </c>
      <c r="H4967">
        <v>3257</v>
      </c>
      <c r="I4967" s="25" t="s">
        <v>2074</v>
      </c>
      <c r="J4967" t="s">
        <v>2167</v>
      </c>
      <c r="M4967" s="49"/>
    </row>
    <row r="4968" spans="6:13" x14ac:dyDescent="0.25">
      <c r="F4968" t="s">
        <v>5775</v>
      </c>
      <c r="G4968">
        <v>59348</v>
      </c>
      <c r="H4968">
        <v>5558</v>
      </c>
      <c r="I4968" s="25" t="s">
        <v>2023</v>
      </c>
      <c r="J4968" t="s">
        <v>2076</v>
      </c>
      <c r="M4968" s="49"/>
    </row>
    <row r="4969" spans="6:13" x14ac:dyDescent="0.25">
      <c r="F4969" t="s">
        <v>2142</v>
      </c>
      <c r="G4969">
        <v>71640</v>
      </c>
      <c r="H4969">
        <v>8118</v>
      </c>
      <c r="I4969" s="25" t="s">
        <v>2018</v>
      </c>
      <c r="J4969" t="s">
        <v>2142</v>
      </c>
      <c r="M4969" s="49"/>
    </row>
    <row r="4970" spans="6:13" x14ac:dyDescent="0.25">
      <c r="F4970" t="s">
        <v>2142</v>
      </c>
      <c r="G4970">
        <v>71638</v>
      </c>
      <c r="H4970">
        <v>8118</v>
      </c>
      <c r="I4970" s="25" t="s">
        <v>2018</v>
      </c>
      <c r="J4970" t="s">
        <v>2142</v>
      </c>
      <c r="M4970" s="49"/>
    </row>
    <row r="4971" spans="6:13" x14ac:dyDescent="0.25">
      <c r="F4971" t="s">
        <v>2142</v>
      </c>
      <c r="G4971">
        <v>71636</v>
      </c>
      <c r="H4971">
        <v>8118</v>
      </c>
      <c r="I4971" s="25" t="s">
        <v>2018</v>
      </c>
      <c r="J4971" t="s">
        <v>2142</v>
      </c>
      <c r="M4971" s="49"/>
    </row>
    <row r="4972" spans="6:13" x14ac:dyDescent="0.25">
      <c r="F4972" t="s">
        <v>2142</v>
      </c>
      <c r="G4972">
        <v>71634</v>
      </c>
      <c r="H4972">
        <v>8118</v>
      </c>
      <c r="I4972" s="25" t="s">
        <v>2018</v>
      </c>
      <c r="J4972" t="s">
        <v>2142</v>
      </c>
      <c r="M4972" s="49"/>
    </row>
    <row r="4973" spans="6:13" x14ac:dyDescent="0.25">
      <c r="F4973" t="s">
        <v>2142</v>
      </c>
      <c r="G4973">
        <v>71642</v>
      </c>
      <c r="H4973">
        <v>8118</v>
      </c>
      <c r="I4973" s="25" t="s">
        <v>2018</v>
      </c>
      <c r="J4973" t="s">
        <v>2142</v>
      </c>
      <c r="M4973" s="49"/>
    </row>
    <row r="4974" spans="6:13" x14ac:dyDescent="0.25">
      <c r="F4974" t="s">
        <v>5776</v>
      </c>
      <c r="G4974">
        <v>95364</v>
      </c>
      <c r="H4974">
        <v>9477</v>
      </c>
      <c r="I4974" s="25" t="s">
        <v>2050</v>
      </c>
      <c r="J4974" t="s">
        <v>4385</v>
      </c>
      <c r="M4974" s="49"/>
    </row>
    <row r="4975" spans="6:13" x14ac:dyDescent="0.25">
      <c r="F4975" t="s">
        <v>5777</v>
      </c>
      <c r="G4975">
        <v>14974</v>
      </c>
      <c r="H4975">
        <v>12072</v>
      </c>
      <c r="I4975" s="25" t="s">
        <v>2356</v>
      </c>
      <c r="J4975" t="s">
        <v>2456</v>
      </c>
      <c r="M4975" s="49"/>
    </row>
    <row r="4976" spans="6:13" x14ac:dyDescent="0.25">
      <c r="F4976" t="s">
        <v>5778</v>
      </c>
      <c r="G4976">
        <v>67061</v>
      </c>
      <c r="H4976">
        <v>7314</v>
      </c>
      <c r="I4976" s="25" t="s">
        <v>2123</v>
      </c>
      <c r="J4976" t="s">
        <v>5779</v>
      </c>
      <c r="M4976" s="49"/>
    </row>
    <row r="4977" spans="6:13" x14ac:dyDescent="0.25">
      <c r="F4977" t="s">
        <v>5778</v>
      </c>
      <c r="G4977">
        <v>67065</v>
      </c>
      <c r="H4977">
        <v>7314</v>
      </c>
      <c r="I4977" s="25" t="s">
        <v>2123</v>
      </c>
      <c r="J4977" t="s">
        <v>5779</v>
      </c>
      <c r="M4977" s="49"/>
    </row>
    <row r="4978" spans="6:13" x14ac:dyDescent="0.25">
      <c r="F4978" t="s">
        <v>5778</v>
      </c>
      <c r="G4978">
        <v>67069</v>
      </c>
      <c r="H4978">
        <v>7314</v>
      </c>
      <c r="I4978" s="25" t="s">
        <v>2123</v>
      </c>
      <c r="J4978" t="s">
        <v>5779</v>
      </c>
      <c r="M4978" s="49"/>
    </row>
    <row r="4979" spans="6:13" x14ac:dyDescent="0.25">
      <c r="F4979" t="s">
        <v>5778</v>
      </c>
      <c r="G4979">
        <v>67059</v>
      </c>
      <c r="H4979">
        <v>7314</v>
      </c>
      <c r="I4979" s="25" t="s">
        <v>2123</v>
      </c>
      <c r="J4979" t="s">
        <v>5779</v>
      </c>
      <c r="M4979" s="49"/>
    </row>
    <row r="4980" spans="6:13" x14ac:dyDescent="0.25">
      <c r="F4980" t="s">
        <v>5778</v>
      </c>
      <c r="G4980">
        <v>67067</v>
      </c>
      <c r="H4980">
        <v>7314</v>
      </c>
      <c r="I4980" s="25" t="s">
        <v>2123</v>
      </c>
      <c r="J4980" t="s">
        <v>5779</v>
      </c>
      <c r="M4980" s="49"/>
    </row>
    <row r="4981" spans="6:13" x14ac:dyDescent="0.25">
      <c r="F4981" t="s">
        <v>5778</v>
      </c>
      <c r="G4981">
        <v>67067</v>
      </c>
      <c r="H4981">
        <v>7314</v>
      </c>
      <c r="I4981" s="25" t="s">
        <v>2123</v>
      </c>
      <c r="J4981" t="s">
        <v>5779</v>
      </c>
      <c r="M4981" s="49"/>
    </row>
    <row r="4982" spans="6:13" x14ac:dyDescent="0.25">
      <c r="F4982" t="s">
        <v>5778</v>
      </c>
      <c r="G4982">
        <v>67063</v>
      </c>
      <c r="H4982">
        <v>7314</v>
      </c>
      <c r="I4982" s="25" t="s">
        <v>2123</v>
      </c>
      <c r="J4982" t="s">
        <v>5779</v>
      </c>
      <c r="M4982" s="49"/>
    </row>
    <row r="4983" spans="6:13" x14ac:dyDescent="0.25">
      <c r="F4983" t="s">
        <v>5778</v>
      </c>
      <c r="G4983">
        <v>67071</v>
      </c>
      <c r="H4983">
        <v>7314</v>
      </c>
      <c r="I4983" s="25" t="s">
        <v>2123</v>
      </c>
      <c r="J4983" t="s">
        <v>5779</v>
      </c>
      <c r="M4983" s="49"/>
    </row>
    <row r="4984" spans="6:13" x14ac:dyDescent="0.25">
      <c r="F4984" t="s">
        <v>5780</v>
      </c>
      <c r="G4984">
        <v>19288</v>
      </c>
      <c r="H4984">
        <v>13076</v>
      </c>
      <c r="I4984" s="25" t="s">
        <v>2191</v>
      </c>
      <c r="J4984" t="s">
        <v>2234</v>
      </c>
      <c r="M4984" s="49"/>
    </row>
    <row r="4985" spans="6:13" x14ac:dyDescent="0.25">
      <c r="F4985" t="s">
        <v>5781</v>
      </c>
      <c r="G4985">
        <v>96337</v>
      </c>
      <c r="H4985">
        <v>9476</v>
      </c>
      <c r="I4985" s="25" t="s">
        <v>2050</v>
      </c>
      <c r="J4985" t="s">
        <v>5435</v>
      </c>
      <c r="M4985" s="49"/>
    </row>
    <row r="4986" spans="6:13" x14ac:dyDescent="0.25">
      <c r="F4986" t="s">
        <v>5782</v>
      </c>
      <c r="G4986">
        <v>37635</v>
      </c>
      <c r="H4986">
        <v>3255</v>
      </c>
      <c r="I4986" s="25" t="s">
        <v>2074</v>
      </c>
      <c r="J4986" t="s">
        <v>3044</v>
      </c>
      <c r="M4986" s="49"/>
    </row>
    <row r="4987" spans="6:13" x14ac:dyDescent="0.25">
      <c r="F4987" t="s">
        <v>5783</v>
      </c>
      <c r="G4987">
        <v>9385</v>
      </c>
      <c r="H4987">
        <v>14521</v>
      </c>
      <c r="I4987" s="25" t="s">
        <v>2135</v>
      </c>
      <c r="J4987" t="s">
        <v>2032</v>
      </c>
      <c r="M4987" s="49"/>
    </row>
    <row r="4988" spans="6:13" x14ac:dyDescent="0.25">
      <c r="F4988" t="s">
        <v>5784</v>
      </c>
      <c r="G4988">
        <v>32676</v>
      </c>
      <c r="H4988">
        <v>5766</v>
      </c>
      <c r="I4988" s="25" t="s">
        <v>2023</v>
      </c>
      <c r="J4988" t="s">
        <v>2223</v>
      </c>
      <c r="M4988" s="49"/>
    </row>
    <row r="4989" spans="6:13" x14ac:dyDescent="0.25">
      <c r="F4989" t="s">
        <v>5785</v>
      </c>
      <c r="G4989">
        <v>31711</v>
      </c>
      <c r="H4989">
        <v>3257</v>
      </c>
      <c r="I4989" s="25" t="s">
        <v>2074</v>
      </c>
      <c r="J4989" t="s">
        <v>2167</v>
      </c>
      <c r="M4989" s="49"/>
    </row>
    <row r="4990" spans="6:13" x14ac:dyDescent="0.25">
      <c r="F4990" t="s">
        <v>5786</v>
      </c>
      <c r="G4990">
        <v>92706</v>
      </c>
      <c r="H4990">
        <v>9374</v>
      </c>
      <c r="I4990" s="25" t="s">
        <v>2050</v>
      </c>
      <c r="J4990" t="s">
        <v>2420</v>
      </c>
      <c r="M4990" s="49"/>
    </row>
    <row r="4991" spans="6:13" x14ac:dyDescent="0.25">
      <c r="F4991" t="s">
        <v>5787</v>
      </c>
      <c r="G4991">
        <v>99885</v>
      </c>
      <c r="H4991">
        <v>16067</v>
      </c>
      <c r="I4991" s="25" t="s">
        <v>2384</v>
      </c>
      <c r="J4991" t="s">
        <v>2155</v>
      </c>
      <c r="M4991" s="49"/>
    </row>
    <row r="4992" spans="6:13" x14ac:dyDescent="0.25">
      <c r="F4992" t="s">
        <v>5788</v>
      </c>
      <c r="G4992">
        <v>97511</v>
      </c>
      <c r="H4992">
        <v>9678</v>
      </c>
      <c r="I4992" s="25" t="s">
        <v>2050</v>
      </c>
      <c r="J4992" t="s">
        <v>2918</v>
      </c>
      <c r="M4992" s="49"/>
    </row>
    <row r="4993" spans="6:13" x14ac:dyDescent="0.25">
      <c r="F4993" t="s">
        <v>5789</v>
      </c>
      <c r="G4993">
        <v>25774</v>
      </c>
      <c r="H4993">
        <v>1051</v>
      </c>
      <c r="I4993" s="25" t="s">
        <v>2085</v>
      </c>
      <c r="J4993" t="s">
        <v>2097</v>
      </c>
      <c r="M4993" s="49"/>
    </row>
    <row r="4994" spans="6:13" x14ac:dyDescent="0.25">
      <c r="F4994" t="s">
        <v>2129</v>
      </c>
      <c r="G4994">
        <v>21339</v>
      </c>
      <c r="H4994">
        <v>3355</v>
      </c>
      <c r="I4994" s="25" t="s">
        <v>2074</v>
      </c>
      <c r="J4994" t="s">
        <v>2129</v>
      </c>
      <c r="M4994" s="49"/>
    </row>
    <row r="4995" spans="6:13" x14ac:dyDescent="0.25">
      <c r="F4995" t="s">
        <v>2129</v>
      </c>
      <c r="G4995">
        <v>21335</v>
      </c>
      <c r="H4995">
        <v>3355</v>
      </c>
      <c r="I4995" s="25" t="s">
        <v>2074</v>
      </c>
      <c r="J4995" t="s">
        <v>2129</v>
      </c>
      <c r="M4995" s="49"/>
    </row>
    <row r="4996" spans="6:13" x14ac:dyDescent="0.25">
      <c r="F4996" t="s">
        <v>2129</v>
      </c>
      <c r="G4996">
        <v>21337</v>
      </c>
      <c r="H4996">
        <v>3355</v>
      </c>
      <c r="I4996" s="25" t="s">
        <v>2074</v>
      </c>
      <c r="J4996" t="s">
        <v>2129</v>
      </c>
      <c r="M4996" s="49"/>
    </row>
    <row r="4997" spans="6:13" x14ac:dyDescent="0.25">
      <c r="F4997" t="s">
        <v>5790</v>
      </c>
      <c r="G4997">
        <v>44532</v>
      </c>
      <c r="H4997">
        <v>5978</v>
      </c>
      <c r="I4997" s="25" t="s">
        <v>2023</v>
      </c>
      <c r="J4997" t="s">
        <v>2402</v>
      </c>
      <c r="M4997" s="49"/>
    </row>
    <row r="4998" spans="6:13" x14ac:dyDescent="0.25">
      <c r="F4998" t="s">
        <v>5790</v>
      </c>
      <c r="G4998">
        <v>44534</v>
      </c>
      <c r="H4998">
        <v>5978</v>
      </c>
      <c r="I4998" s="25" t="s">
        <v>2023</v>
      </c>
      <c r="J4998" t="s">
        <v>2402</v>
      </c>
      <c r="M4998" s="49"/>
    </row>
    <row r="4999" spans="6:13" x14ac:dyDescent="0.25">
      <c r="F4999" t="s">
        <v>5790</v>
      </c>
      <c r="G4999">
        <v>44536</v>
      </c>
      <c r="H4999">
        <v>5978</v>
      </c>
      <c r="I4999" s="25" t="s">
        <v>2023</v>
      </c>
      <c r="J4999" t="s">
        <v>2402</v>
      </c>
      <c r="M4999" s="49"/>
    </row>
    <row r="5000" spans="6:13" x14ac:dyDescent="0.25">
      <c r="F5000" t="s">
        <v>5791</v>
      </c>
      <c r="G5000">
        <v>48480</v>
      </c>
      <c r="H5000">
        <v>3454</v>
      </c>
      <c r="I5000" s="25" t="s">
        <v>2074</v>
      </c>
      <c r="J5000" t="s">
        <v>2118</v>
      </c>
      <c r="M5000" s="49"/>
    </row>
    <row r="5001" spans="6:13" x14ac:dyDescent="0.25">
      <c r="F5001" t="s">
        <v>5792</v>
      </c>
      <c r="G5001">
        <v>9328</v>
      </c>
      <c r="H5001">
        <v>14522</v>
      </c>
      <c r="I5001" s="25" t="s">
        <v>2135</v>
      </c>
      <c r="J5001" t="s">
        <v>2100</v>
      </c>
      <c r="M5001" s="49"/>
    </row>
    <row r="5002" spans="6:13" x14ac:dyDescent="0.25">
      <c r="F5002" t="s">
        <v>5793</v>
      </c>
      <c r="G5002">
        <v>67363</v>
      </c>
      <c r="H5002">
        <v>7334</v>
      </c>
      <c r="I5002" s="25" t="s">
        <v>2123</v>
      </c>
      <c r="J5002" t="s">
        <v>2873</v>
      </c>
      <c r="M5002" s="49"/>
    </row>
    <row r="5003" spans="6:13" x14ac:dyDescent="0.25">
      <c r="F5003" t="s">
        <v>5794</v>
      </c>
      <c r="G5003">
        <v>24321</v>
      </c>
      <c r="H5003">
        <v>1057</v>
      </c>
      <c r="I5003" s="25" t="s">
        <v>2085</v>
      </c>
      <c r="J5003" t="s">
        <v>2313</v>
      </c>
      <c r="M5003" s="49"/>
    </row>
    <row r="5004" spans="6:13" x14ac:dyDescent="0.25">
      <c r="F5004" t="s">
        <v>5795</v>
      </c>
      <c r="G5004">
        <v>22952</v>
      </c>
      <c r="H5004">
        <v>1062</v>
      </c>
      <c r="I5004" s="25" t="s">
        <v>2085</v>
      </c>
      <c r="J5004" t="s">
        <v>2188</v>
      </c>
      <c r="M5004" s="49"/>
    </row>
    <row r="5005" spans="6:13" x14ac:dyDescent="0.25">
      <c r="F5005" t="s">
        <v>5796</v>
      </c>
      <c r="G5005">
        <v>25585</v>
      </c>
      <c r="H5005">
        <v>1058</v>
      </c>
      <c r="I5005" s="25" t="s">
        <v>2085</v>
      </c>
      <c r="J5005" t="s">
        <v>2086</v>
      </c>
      <c r="M5005" s="49"/>
    </row>
    <row r="5006" spans="6:13" x14ac:dyDescent="0.25">
      <c r="F5006" t="s">
        <v>5797</v>
      </c>
      <c r="G5006">
        <v>64750</v>
      </c>
      <c r="H5006">
        <v>6437</v>
      </c>
      <c r="I5006" s="25" t="s">
        <v>2046</v>
      </c>
      <c r="J5006" t="s">
        <v>2674</v>
      </c>
      <c r="M5006" s="49"/>
    </row>
    <row r="5007" spans="6:13" x14ac:dyDescent="0.25">
      <c r="F5007" t="s">
        <v>5798</v>
      </c>
      <c r="G5007">
        <v>6686</v>
      </c>
      <c r="H5007">
        <v>15084</v>
      </c>
      <c r="I5007" s="25" t="s">
        <v>2241</v>
      </c>
      <c r="J5007" t="s">
        <v>2615</v>
      </c>
      <c r="M5007" s="49"/>
    </row>
    <row r="5008" spans="6:13" x14ac:dyDescent="0.25">
      <c r="F5008" t="s">
        <v>5799</v>
      </c>
      <c r="G5008">
        <v>56826</v>
      </c>
      <c r="H5008">
        <v>7135</v>
      </c>
      <c r="I5008" s="25" t="s">
        <v>2123</v>
      </c>
      <c r="J5008" t="s">
        <v>2072</v>
      </c>
      <c r="M5008" s="49"/>
    </row>
    <row r="5009" spans="6:13" x14ac:dyDescent="0.25">
      <c r="F5009" t="s">
        <v>5800</v>
      </c>
      <c r="G5009">
        <v>89440</v>
      </c>
      <c r="H5009">
        <v>9773</v>
      </c>
      <c r="I5009" s="25" t="s">
        <v>2050</v>
      </c>
      <c r="J5009" t="s">
        <v>2231</v>
      </c>
      <c r="M5009" s="49"/>
    </row>
    <row r="5010" spans="6:13" x14ac:dyDescent="0.25">
      <c r="F5010" t="s">
        <v>5801</v>
      </c>
      <c r="G5010">
        <v>54617</v>
      </c>
      <c r="H5010">
        <v>7232</v>
      </c>
      <c r="I5010" s="25" t="s">
        <v>2123</v>
      </c>
      <c r="J5010" t="s">
        <v>2112</v>
      </c>
      <c r="M5010" s="49"/>
    </row>
    <row r="5011" spans="6:13" x14ac:dyDescent="0.25">
      <c r="F5011" t="s">
        <v>5802</v>
      </c>
      <c r="G5011">
        <v>19209</v>
      </c>
      <c r="H5011">
        <v>13074</v>
      </c>
      <c r="I5011" s="25" t="s">
        <v>2191</v>
      </c>
      <c r="J5011" t="s">
        <v>2275</v>
      </c>
      <c r="M5011" s="49"/>
    </row>
    <row r="5012" spans="6:13" x14ac:dyDescent="0.25">
      <c r="F5012" t="s">
        <v>5803</v>
      </c>
      <c r="G5012">
        <v>17279</v>
      </c>
      <c r="H5012">
        <v>12073</v>
      </c>
      <c r="I5012" s="25" t="s">
        <v>2356</v>
      </c>
      <c r="J5012" t="s">
        <v>2397</v>
      </c>
      <c r="M5012" s="49"/>
    </row>
    <row r="5013" spans="6:13" x14ac:dyDescent="0.25">
      <c r="F5013" t="s">
        <v>5804</v>
      </c>
      <c r="G5013">
        <v>27249</v>
      </c>
      <c r="H5013">
        <v>3251</v>
      </c>
      <c r="I5013" s="25" t="s">
        <v>2074</v>
      </c>
      <c r="J5013" t="s">
        <v>2094</v>
      </c>
      <c r="M5013" s="49"/>
    </row>
    <row r="5014" spans="6:13" x14ac:dyDescent="0.25">
      <c r="F5014" t="s">
        <v>5805</v>
      </c>
      <c r="G5014">
        <v>24404</v>
      </c>
      <c r="H5014">
        <v>1059</v>
      </c>
      <c r="I5014" s="25" t="s">
        <v>2085</v>
      </c>
      <c r="J5014" t="s">
        <v>2354</v>
      </c>
      <c r="M5014" s="49"/>
    </row>
    <row r="5015" spans="6:13" x14ac:dyDescent="0.25">
      <c r="F5015" t="s">
        <v>5806</v>
      </c>
      <c r="G5015">
        <v>4827</v>
      </c>
      <c r="H5015">
        <v>14729</v>
      </c>
      <c r="I5015" s="25" t="s">
        <v>2135</v>
      </c>
      <c r="J5015" t="s">
        <v>2684</v>
      </c>
      <c r="M5015" s="49"/>
    </row>
    <row r="5016" spans="6:13" x14ac:dyDescent="0.25">
      <c r="F5016" t="s">
        <v>5807</v>
      </c>
      <c r="G5016">
        <v>67686</v>
      </c>
      <c r="H5016">
        <v>7335</v>
      </c>
      <c r="I5016" s="25" t="s">
        <v>2123</v>
      </c>
      <c r="J5016" t="s">
        <v>2843</v>
      </c>
      <c r="M5016" s="49"/>
    </row>
    <row r="5017" spans="6:13" x14ac:dyDescent="0.25">
      <c r="F5017" t="s">
        <v>5808</v>
      </c>
      <c r="G5017">
        <v>39112</v>
      </c>
      <c r="H5017">
        <v>15003</v>
      </c>
      <c r="I5017" s="25" t="s">
        <v>2241</v>
      </c>
      <c r="J5017" t="s">
        <v>5809</v>
      </c>
      <c r="M5017" s="49"/>
    </row>
    <row r="5018" spans="6:13" x14ac:dyDescent="0.25">
      <c r="F5018" t="s">
        <v>5808</v>
      </c>
      <c r="G5018">
        <v>39124</v>
      </c>
      <c r="H5018">
        <v>15003</v>
      </c>
      <c r="I5018" s="25" t="s">
        <v>2241</v>
      </c>
      <c r="J5018" t="s">
        <v>5809</v>
      </c>
      <c r="M5018" s="49"/>
    </row>
    <row r="5019" spans="6:13" x14ac:dyDescent="0.25">
      <c r="F5019" t="s">
        <v>5808</v>
      </c>
      <c r="G5019">
        <v>39114</v>
      </c>
      <c r="H5019">
        <v>15003</v>
      </c>
      <c r="I5019" s="25" t="s">
        <v>2241</v>
      </c>
      <c r="J5019" t="s">
        <v>5809</v>
      </c>
      <c r="M5019" s="49"/>
    </row>
    <row r="5020" spans="6:13" x14ac:dyDescent="0.25">
      <c r="F5020" t="s">
        <v>5808</v>
      </c>
      <c r="G5020">
        <v>39104</v>
      </c>
      <c r="H5020">
        <v>15003</v>
      </c>
      <c r="I5020" s="25" t="s">
        <v>2241</v>
      </c>
      <c r="J5020" t="s">
        <v>5809</v>
      </c>
      <c r="M5020" s="49"/>
    </row>
    <row r="5021" spans="6:13" x14ac:dyDescent="0.25">
      <c r="F5021" t="s">
        <v>5808</v>
      </c>
      <c r="G5021">
        <v>39126</v>
      </c>
      <c r="H5021">
        <v>15003</v>
      </c>
      <c r="I5021" s="25" t="s">
        <v>2241</v>
      </c>
      <c r="J5021" t="s">
        <v>5809</v>
      </c>
      <c r="M5021" s="49"/>
    </row>
    <row r="5022" spans="6:13" x14ac:dyDescent="0.25">
      <c r="F5022" t="s">
        <v>5808</v>
      </c>
      <c r="G5022">
        <v>39114</v>
      </c>
      <c r="H5022">
        <v>15003</v>
      </c>
      <c r="I5022" s="25" t="s">
        <v>2241</v>
      </c>
      <c r="J5022" t="s">
        <v>5809</v>
      </c>
      <c r="M5022" s="49"/>
    </row>
    <row r="5023" spans="6:13" x14ac:dyDescent="0.25">
      <c r="F5023" t="s">
        <v>5808</v>
      </c>
      <c r="G5023">
        <v>39114</v>
      </c>
      <c r="H5023">
        <v>15003</v>
      </c>
      <c r="I5023" s="25" t="s">
        <v>2241</v>
      </c>
      <c r="J5023" t="s">
        <v>5809</v>
      </c>
      <c r="M5023" s="49"/>
    </row>
    <row r="5024" spans="6:13" x14ac:dyDescent="0.25">
      <c r="F5024" t="s">
        <v>5808</v>
      </c>
      <c r="G5024">
        <v>39122</v>
      </c>
      <c r="H5024">
        <v>15003</v>
      </c>
      <c r="I5024" s="25" t="s">
        <v>2241</v>
      </c>
      <c r="J5024" t="s">
        <v>5809</v>
      </c>
      <c r="M5024" s="49"/>
    </row>
    <row r="5025" spans="6:13" x14ac:dyDescent="0.25">
      <c r="F5025" t="s">
        <v>5808</v>
      </c>
      <c r="G5025">
        <v>39114</v>
      </c>
      <c r="H5025">
        <v>15003</v>
      </c>
      <c r="I5025" s="25" t="s">
        <v>2241</v>
      </c>
      <c r="J5025" t="s">
        <v>5809</v>
      </c>
      <c r="M5025" s="49"/>
    </row>
    <row r="5026" spans="6:13" x14ac:dyDescent="0.25">
      <c r="F5026" t="s">
        <v>5808</v>
      </c>
      <c r="G5026">
        <v>39108</v>
      </c>
      <c r="H5026">
        <v>15003</v>
      </c>
      <c r="I5026" s="25" t="s">
        <v>2241</v>
      </c>
      <c r="J5026" t="s">
        <v>5809</v>
      </c>
      <c r="M5026" s="49"/>
    </row>
    <row r="5027" spans="6:13" x14ac:dyDescent="0.25">
      <c r="F5027" t="s">
        <v>5808</v>
      </c>
      <c r="G5027">
        <v>39110</v>
      </c>
      <c r="H5027">
        <v>15003</v>
      </c>
      <c r="I5027" s="25" t="s">
        <v>2241</v>
      </c>
      <c r="J5027" t="s">
        <v>5809</v>
      </c>
      <c r="M5027" s="49"/>
    </row>
    <row r="5028" spans="6:13" x14ac:dyDescent="0.25">
      <c r="F5028" t="s">
        <v>5808</v>
      </c>
      <c r="G5028">
        <v>39118</v>
      </c>
      <c r="H5028">
        <v>15003</v>
      </c>
      <c r="I5028" s="25" t="s">
        <v>2241</v>
      </c>
      <c r="J5028" t="s">
        <v>5809</v>
      </c>
      <c r="M5028" s="49"/>
    </row>
    <row r="5029" spans="6:13" x14ac:dyDescent="0.25">
      <c r="F5029" t="s">
        <v>5808</v>
      </c>
      <c r="G5029">
        <v>39114</v>
      </c>
      <c r="H5029">
        <v>15003</v>
      </c>
      <c r="I5029" s="25" t="s">
        <v>2241</v>
      </c>
      <c r="J5029" t="s">
        <v>5809</v>
      </c>
      <c r="M5029" s="49"/>
    </row>
    <row r="5030" spans="6:13" x14ac:dyDescent="0.25">
      <c r="F5030" t="s">
        <v>5808</v>
      </c>
      <c r="G5030">
        <v>39116</v>
      </c>
      <c r="H5030">
        <v>15003</v>
      </c>
      <c r="I5030" s="25" t="s">
        <v>2241</v>
      </c>
      <c r="J5030" t="s">
        <v>5809</v>
      </c>
      <c r="M5030" s="49"/>
    </row>
    <row r="5031" spans="6:13" x14ac:dyDescent="0.25">
      <c r="F5031" t="s">
        <v>5808</v>
      </c>
      <c r="G5031">
        <v>39114</v>
      </c>
      <c r="H5031">
        <v>15003</v>
      </c>
      <c r="I5031" s="25" t="s">
        <v>2241</v>
      </c>
      <c r="J5031" t="s">
        <v>5809</v>
      </c>
      <c r="M5031" s="49"/>
    </row>
    <row r="5032" spans="6:13" x14ac:dyDescent="0.25">
      <c r="F5032" t="s">
        <v>5808</v>
      </c>
      <c r="G5032">
        <v>39128</v>
      </c>
      <c r="H5032">
        <v>15003</v>
      </c>
      <c r="I5032" s="25" t="s">
        <v>2241</v>
      </c>
      <c r="J5032" t="s">
        <v>5809</v>
      </c>
      <c r="M5032" s="49"/>
    </row>
    <row r="5033" spans="6:13" x14ac:dyDescent="0.25">
      <c r="F5033" t="s">
        <v>5808</v>
      </c>
      <c r="G5033">
        <v>39130</v>
      </c>
      <c r="H5033">
        <v>15003</v>
      </c>
      <c r="I5033" s="25" t="s">
        <v>2241</v>
      </c>
      <c r="J5033" t="s">
        <v>5809</v>
      </c>
      <c r="M5033" s="49"/>
    </row>
    <row r="5034" spans="6:13" x14ac:dyDescent="0.25">
      <c r="F5034" t="s">
        <v>5808</v>
      </c>
      <c r="G5034">
        <v>39120</v>
      </c>
      <c r="H5034">
        <v>15003</v>
      </c>
      <c r="I5034" s="25" t="s">
        <v>2241</v>
      </c>
      <c r="J5034" t="s">
        <v>5809</v>
      </c>
      <c r="M5034" s="49"/>
    </row>
    <row r="5035" spans="6:13" x14ac:dyDescent="0.25">
      <c r="F5035" t="s">
        <v>5808</v>
      </c>
      <c r="G5035">
        <v>39106</v>
      </c>
      <c r="H5035">
        <v>15003</v>
      </c>
      <c r="I5035" s="25" t="s">
        <v>2241</v>
      </c>
      <c r="J5035" t="s">
        <v>5809</v>
      </c>
      <c r="M5035" s="49"/>
    </row>
    <row r="5036" spans="6:13" x14ac:dyDescent="0.25">
      <c r="F5036" t="s">
        <v>5810</v>
      </c>
      <c r="G5036">
        <v>71106</v>
      </c>
      <c r="H5036">
        <v>8115</v>
      </c>
      <c r="I5036" s="25" t="s">
        <v>2018</v>
      </c>
      <c r="J5036" t="s">
        <v>2222</v>
      </c>
      <c r="M5036" s="49"/>
    </row>
    <row r="5037" spans="6:13" x14ac:dyDescent="0.25">
      <c r="F5037" t="s">
        <v>5811</v>
      </c>
      <c r="G5037">
        <v>77972</v>
      </c>
      <c r="H5037">
        <v>8317</v>
      </c>
      <c r="I5037" s="25" t="s">
        <v>2018</v>
      </c>
      <c r="J5037" t="s">
        <v>2071</v>
      </c>
      <c r="M5037" s="49"/>
    </row>
    <row r="5038" spans="6:13" x14ac:dyDescent="0.25">
      <c r="F5038" t="s">
        <v>5812</v>
      </c>
      <c r="G5038">
        <v>78601</v>
      </c>
      <c r="H5038">
        <v>8327</v>
      </c>
      <c r="I5038" s="25" t="s">
        <v>2018</v>
      </c>
      <c r="J5038" t="s">
        <v>2277</v>
      </c>
      <c r="M5038" s="49"/>
    </row>
    <row r="5039" spans="6:13" x14ac:dyDescent="0.25">
      <c r="F5039" t="s">
        <v>5813</v>
      </c>
      <c r="G5039">
        <v>95695</v>
      </c>
      <c r="H5039">
        <v>9377</v>
      </c>
      <c r="I5039" s="25" t="s">
        <v>2050</v>
      </c>
      <c r="J5039" t="s">
        <v>2393</v>
      </c>
      <c r="M5039" s="49"/>
    </row>
    <row r="5040" spans="6:13" x14ac:dyDescent="0.25">
      <c r="F5040" t="s">
        <v>5814</v>
      </c>
      <c r="G5040">
        <v>86747</v>
      </c>
      <c r="H5040">
        <v>9779</v>
      </c>
      <c r="I5040" s="25" t="s">
        <v>2050</v>
      </c>
      <c r="J5040" t="s">
        <v>2280</v>
      </c>
      <c r="M5040" s="49"/>
    </row>
    <row r="5041" spans="6:13" x14ac:dyDescent="0.25">
      <c r="F5041" t="s">
        <v>5815</v>
      </c>
      <c r="G5041">
        <v>67487</v>
      </c>
      <c r="H5041">
        <v>7337</v>
      </c>
      <c r="I5041" s="25" t="s">
        <v>2123</v>
      </c>
      <c r="J5041" t="s">
        <v>2256</v>
      </c>
      <c r="M5041" s="49"/>
    </row>
    <row r="5042" spans="6:13" x14ac:dyDescent="0.25">
      <c r="F5042" t="s">
        <v>5816</v>
      </c>
      <c r="G5042">
        <v>63814</v>
      </c>
      <c r="H5042">
        <v>9671</v>
      </c>
      <c r="I5042" s="25" t="s">
        <v>2050</v>
      </c>
      <c r="J5042" t="s">
        <v>2453</v>
      </c>
      <c r="M5042" s="49"/>
    </row>
    <row r="5043" spans="6:13" x14ac:dyDescent="0.25">
      <c r="F5043" t="s">
        <v>5817</v>
      </c>
      <c r="G5043">
        <v>97350</v>
      </c>
      <c r="H5043">
        <v>9675</v>
      </c>
      <c r="I5043" s="25" t="s">
        <v>2050</v>
      </c>
      <c r="J5043" t="s">
        <v>2259</v>
      </c>
      <c r="M5043" s="49"/>
    </row>
    <row r="5044" spans="6:13" x14ac:dyDescent="0.25">
      <c r="F5044" t="s">
        <v>5818</v>
      </c>
      <c r="G5044">
        <v>84048</v>
      </c>
      <c r="H5044">
        <v>9273</v>
      </c>
      <c r="I5044" s="25" t="s">
        <v>2050</v>
      </c>
      <c r="J5044" t="s">
        <v>2054</v>
      </c>
      <c r="M5044" s="49"/>
    </row>
    <row r="5045" spans="6:13" x14ac:dyDescent="0.25">
      <c r="F5045" t="s">
        <v>5819</v>
      </c>
      <c r="G5045">
        <v>74535</v>
      </c>
      <c r="H5045">
        <v>8127</v>
      </c>
      <c r="I5045" s="25" t="s">
        <v>2018</v>
      </c>
      <c r="J5045" t="s">
        <v>3126</v>
      </c>
      <c r="M5045" s="49"/>
    </row>
    <row r="5046" spans="6:13" x14ac:dyDescent="0.25">
      <c r="F5046" t="s">
        <v>5820</v>
      </c>
      <c r="G5046">
        <v>63533</v>
      </c>
      <c r="H5046">
        <v>6438</v>
      </c>
      <c r="I5046" s="25" t="s">
        <v>2046</v>
      </c>
      <c r="J5046" t="s">
        <v>3567</v>
      </c>
      <c r="M5046" s="49"/>
    </row>
    <row r="5047" spans="6:13" x14ac:dyDescent="0.25">
      <c r="F5047" t="s">
        <v>5821</v>
      </c>
      <c r="G5047">
        <v>95336</v>
      </c>
      <c r="H5047">
        <v>9477</v>
      </c>
      <c r="I5047" s="25" t="s">
        <v>2050</v>
      </c>
      <c r="J5047" t="s">
        <v>4385</v>
      </c>
      <c r="M5047" s="49"/>
    </row>
    <row r="5048" spans="6:13" x14ac:dyDescent="0.25">
      <c r="F5048" t="s">
        <v>5822</v>
      </c>
      <c r="G5048">
        <v>63477</v>
      </c>
      <c r="H5048">
        <v>6435</v>
      </c>
      <c r="I5048" s="25" t="s">
        <v>2046</v>
      </c>
      <c r="J5048" t="s">
        <v>2703</v>
      </c>
      <c r="M5048" s="49"/>
    </row>
    <row r="5049" spans="6:13" x14ac:dyDescent="0.25">
      <c r="F5049" t="s">
        <v>5823</v>
      </c>
      <c r="G5049">
        <v>55128</v>
      </c>
      <c r="H5049">
        <v>7315</v>
      </c>
      <c r="I5049" s="25" t="s">
        <v>2123</v>
      </c>
      <c r="J5049" t="s">
        <v>5824</v>
      </c>
      <c r="M5049" s="49"/>
    </row>
    <row r="5050" spans="6:13" x14ac:dyDescent="0.25">
      <c r="F5050" t="s">
        <v>5823</v>
      </c>
      <c r="G5050">
        <v>55122</v>
      </c>
      <c r="H5050">
        <v>7315</v>
      </c>
      <c r="I5050" s="25" t="s">
        <v>2123</v>
      </c>
      <c r="J5050" t="s">
        <v>5824</v>
      </c>
      <c r="M5050" s="49"/>
    </row>
    <row r="5051" spans="6:13" x14ac:dyDescent="0.25">
      <c r="F5051" t="s">
        <v>5823</v>
      </c>
      <c r="G5051">
        <v>55120</v>
      </c>
      <c r="H5051">
        <v>7315</v>
      </c>
      <c r="I5051" s="25" t="s">
        <v>2123</v>
      </c>
      <c r="J5051" t="s">
        <v>5824</v>
      </c>
      <c r="M5051" s="49"/>
    </row>
    <row r="5052" spans="6:13" x14ac:dyDescent="0.25">
      <c r="F5052" t="s">
        <v>5823</v>
      </c>
      <c r="G5052">
        <v>55126</v>
      </c>
      <c r="H5052">
        <v>7315</v>
      </c>
      <c r="I5052" s="25" t="s">
        <v>2123</v>
      </c>
      <c r="J5052" t="s">
        <v>5824</v>
      </c>
      <c r="M5052" s="49"/>
    </row>
    <row r="5053" spans="6:13" x14ac:dyDescent="0.25">
      <c r="F5053" t="s">
        <v>5823</v>
      </c>
      <c r="G5053">
        <v>55118</v>
      </c>
      <c r="H5053">
        <v>7315</v>
      </c>
      <c r="I5053" s="25" t="s">
        <v>2123</v>
      </c>
      <c r="J5053" t="s">
        <v>5824</v>
      </c>
      <c r="M5053" s="49"/>
    </row>
    <row r="5054" spans="6:13" x14ac:dyDescent="0.25">
      <c r="F5054" t="s">
        <v>5823</v>
      </c>
      <c r="G5054">
        <v>55127</v>
      </c>
      <c r="H5054">
        <v>7315</v>
      </c>
      <c r="I5054" s="25" t="s">
        <v>2123</v>
      </c>
      <c r="J5054" t="s">
        <v>5824</v>
      </c>
      <c r="M5054" s="49"/>
    </row>
    <row r="5055" spans="6:13" x14ac:dyDescent="0.25">
      <c r="F5055" t="s">
        <v>5823</v>
      </c>
      <c r="G5055">
        <v>55116</v>
      </c>
      <c r="H5055">
        <v>7315</v>
      </c>
      <c r="I5055" s="25" t="s">
        <v>2123</v>
      </c>
      <c r="J5055" t="s">
        <v>5824</v>
      </c>
      <c r="M5055" s="49"/>
    </row>
    <row r="5056" spans="6:13" x14ac:dyDescent="0.25">
      <c r="F5056" t="s">
        <v>5823</v>
      </c>
      <c r="G5056">
        <v>55124</v>
      </c>
      <c r="H5056">
        <v>7315</v>
      </c>
      <c r="I5056" s="25" t="s">
        <v>2123</v>
      </c>
      <c r="J5056" t="s">
        <v>5824</v>
      </c>
      <c r="M5056" s="49"/>
    </row>
    <row r="5057" spans="6:13" x14ac:dyDescent="0.25">
      <c r="F5057" t="s">
        <v>5823</v>
      </c>
      <c r="G5057">
        <v>55130</v>
      </c>
      <c r="H5057">
        <v>7315</v>
      </c>
      <c r="I5057" s="25" t="s">
        <v>2123</v>
      </c>
      <c r="J5057" t="s">
        <v>5824</v>
      </c>
      <c r="M5057" s="49"/>
    </row>
    <row r="5058" spans="6:13" x14ac:dyDescent="0.25">
      <c r="F5058" t="s">
        <v>5823</v>
      </c>
      <c r="G5058">
        <v>55131</v>
      </c>
      <c r="H5058">
        <v>7315</v>
      </c>
      <c r="I5058" s="25" t="s">
        <v>2123</v>
      </c>
      <c r="J5058" t="s">
        <v>5824</v>
      </c>
      <c r="M5058" s="49"/>
    </row>
    <row r="5059" spans="6:13" x14ac:dyDescent="0.25">
      <c r="F5059" t="s">
        <v>5825</v>
      </c>
      <c r="G5059">
        <v>55129</v>
      </c>
      <c r="H5059">
        <v>7315</v>
      </c>
      <c r="I5059" s="25" t="s">
        <v>2123</v>
      </c>
      <c r="J5059" t="s">
        <v>5824</v>
      </c>
      <c r="M5059" s="49"/>
    </row>
    <row r="5060" spans="6:13" x14ac:dyDescent="0.25">
      <c r="F5060" t="s">
        <v>5826</v>
      </c>
      <c r="G5060">
        <v>55252</v>
      </c>
      <c r="H5060">
        <v>6414</v>
      </c>
      <c r="I5060" s="25" t="s">
        <v>2046</v>
      </c>
      <c r="J5060" t="s">
        <v>5827</v>
      </c>
      <c r="M5060" s="49"/>
    </row>
    <row r="5061" spans="6:13" x14ac:dyDescent="0.25">
      <c r="F5061" t="s">
        <v>5828</v>
      </c>
      <c r="G5061">
        <v>82216</v>
      </c>
      <c r="H5061">
        <v>9179</v>
      </c>
      <c r="I5061" s="25" t="s">
        <v>2050</v>
      </c>
      <c r="J5061" t="s">
        <v>2111</v>
      </c>
      <c r="M5061" s="49"/>
    </row>
    <row r="5062" spans="6:13" x14ac:dyDescent="0.25">
      <c r="F5062" t="s">
        <v>5829</v>
      </c>
      <c r="G5062">
        <v>83558</v>
      </c>
      <c r="H5062">
        <v>9183</v>
      </c>
      <c r="I5062" s="25" t="s">
        <v>2050</v>
      </c>
      <c r="J5062" t="s">
        <v>2474</v>
      </c>
      <c r="M5062" s="49"/>
    </row>
    <row r="5063" spans="6:13" x14ac:dyDescent="0.25">
      <c r="F5063" t="s">
        <v>5830</v>
      </c>
      <c r="G5063">
        <v>57629</v>
      </c>
      <c r="H5063">
        <v>7132</v>
      </c>
      <c r="I5063" s="25" t="s">
        <v>2123</v>
      </c>
      <c r="J5063" t="s">
        <v>2401</v>
      </c>
      <c r="M5063" s="49"/>
    </row>
    <row r="5064" spans="6:13" x14ac:dyDescent="0.25">
      <c r="F5064" t="s">
        <v>5830</v>
      </c>
      <c r="G5064">
        <v>57629</v>
      </c>
      <c r="H5064">
        <v>7132</v>
      </c>
      <c r="I5064" s="25" t="s">
        <v>2123</v>
      </c>
      <c r="J5064" t="s">
        <v>2401</v>
      </c>
      <c r="M5064" s="49"/>
    </row>
    <row r="5065" spans="6:13" x14ac:dyDescent="0.25">
      <c r="F5065" t="s">
        <v>5830</v>
      </c>
      <c r="G5065">
        <v>57629</v>
      </c>
      <c r="H5065">
        <v>7132</v>
      </c>
      <c r="I5065" s="25" t="s">
        <v>2123</v>
      </c>
      <c r="J5065" t="s">
        <v>2401</v>
      </c>
      <c r="M5065" s="49"/>
    </row>
    <row r="5066" spans="6:13" x14ac:dyDescent="0.25">
      <c r="F5066" t="s">
        <v>5830</v>
      </c>
      <c r="G5066">
        <v>57629</v>
      </c>
      <c r="H5066">
        <v>7132</v>
      </c>
      <c r="I5066" s="25" t="s">
        <v>2123</v>
      </c>
      <c r="J5066" t="s">
        <v>2401</v>
      </c>
      <c r="M5066" s="49"/>
    </row>
    <row r="5067" spans="6:13" x14ac:dyDescent="0.25">
      <c r="F5067" t="s">
        <v>5830</v>
      </c>
      <c r="G5067">
        <v>57629</v>
      </c>
      <c r="H5067">
        <v>7143</v>
      </c>
      <c r="I5067" s="25" t="s">
        <v>2123</v>
      </c>
      <c r="J5067" t="s">
        <v>2331</v>
      </c>
      <c r="M5067" s="49"/>
    </row>
    <row r="5068" spans="6:13" x14ac:dyDescent="0.25">
      <c r="F5068" t="s">
        <v>5830</v>
      </c>
      <c r="G5068">
        <v>57629</v>
      </c>
      <c r="H5068">
        <v>7143</v>
      </c>
      <c r="I5068" s="25" t="s">
        <v>2123</v>
      </c>
      <c r="J5068" t="s">
        <v>2331</v>
      </c>
      <c r="M5068" s="49"/>
    </row>
    <row r="5069" spans="6:13" x14ac:dyDescent="0.25">
      <c r="F5069" t="s">
        <v>5830</v>
      </c>
      <c r="G5069">
        <v>57629</v>
      </c>
      <c r="H5069">
        <v>7143</v>
      </c>
      <c r="I5069" s="25" t="s">
        <v>2123</v>
      </c>
      <c r="J5069" t="s">
        <v>2331</v>
      </c>
      <c r="M5069" s="49"/>
    </row>
    <row r="5070" spans="6:13" x14ac:dyDescent="0.25">
      <c r="F5070" t="s">
        <v>5830</v>
      </c>
      <c r="G5070">
        <v>57629</v>
      </c>
      <c r="H5070">
        <v>7143</v>
      </c>
      <c r="I5070" s="25" t="s">
        <v>2123</v>
      </c>
      <c r="J5070" t="s">
        <v>2331</v>
      </c>
      <c r="M5070" s="49"/>
    </row>
    <row r="5071" spans="6:13" x14ac:dyDescent="0.25">
      <c r="F5071" t="s">
        <v>5831</v>
      </c>
      <c r="G5071">
        <v>54426</v>
      </c>
      <c r="H5071">
        <v>7231</v>
      </c>
      <c r="I5071" s="25" t="s">
        <v>2123</v>
      </c>
      <c r="J5071" t="s">
        <v>2043</v>
      </c>
      <c r="M5071" s="49"/>
    </row>
    <row r="5072" spans="6:13" x14ac:dyDescent="0.25">
      <c r="F5072" t="s">
        <v>5831</v>
      </c>
      <c r="G5072">
        <v>54426</v>
      </c>
      <c r="H5072">
        <v>7231</v>
      </c>
      <c r="I5072" s="25" t="s">
        <v>2123</v>
      </c>
      <c r="J5072" t="s">
        <v>2043</v>
      </c>
      <c r="M5072" s="49"/>
    </row>
    <row r="5073" spans="6:13" x14ac:dyDescent="0.25">
      <c r="F5073" t="s">
        <v>5831</v>
      </c>
      <c r="G5073">
        <v>54426</v>
      </c>
      <c r="H5073">
        <v>7231</v>
      </c>
      <c r="I5073" s="25" t="s">
        <v>2123</v>
      </c>
      <c r="J5073" t="s">
        <v>2043</v>
      </c>
      <c r="M5073" s="49"/>
    </row>
    <row r="5074" spans="6:13" x14ac:dyDescent="0.25">
      <c r="F5074" t="s">
        <v>5831</v>
      </c>
      <c r="G5074">
        <v>54426</v>
      </c>
      <c r="H5074">
        <v>7235</v>
      </c>
      <c r="I5074" s="25" t="s">
        <v>2123</v>
      </c>
      <c r="J5074" t="s">
        <v>2395</v>
      </c>
      <c r="M5074" s="49"/>
    </row>
    <row r="5075" spans="6:13" x14ac:dyDescent="0.25">
      <c r="F5075" t="s">
        <v>5831</v>
      </c>
      <c r="G5075">
        <v>54426</v>
      </c>
      <c r="H5075">
        <v>7235</v>
      </c>
      <c r="I5075" s="25" t="s">
        <v>2123</v>
      </c>
      <c r="J5075" t="s">
        <v>2395</v>
      </c>
      <c r="M5075" s="49"/>
    </row>
    <row r="5076" spans="6:13" x14ac:dyDescent="0.25">
      <c r="F5076" t="s">
        <v>5831</v>
      </c>
      <c r="G5076">
        <v>54426</v>
      </c>
      <c r="H5076">
        <v>7235</v>
      </c>
      <c r="I5076" s="25" t="s">
        <v>2123</v>
      </c>
      <c r="J5076" t="s">
        <v>2395</v>
      </c>
      <c r="M5076" s="49"/>
    </row>
    <row r="5077" spans="6:13" x14ac:dyDescent="0.25">
      <c r="F5077" t="s">
        <v>5832</v>
      </c>
      <c r="G5077">
        <v>17139</v>
      </c>
      <c r="H5077">
        <v>13071</v>
      </c>
      <c r="I5077" s="25" t="s">
        <v>2191</v>
      </c>
      <c r="J5077" t="s">
        <v>2091</v>
      </c>
      <c r="M5077" s="49"/>
    </row>
    <row r="5078" spans="6:13" x14ac:dyDescent="0.25">
      <c r="F5078" t="s">
        <v>5833</v>
      </c>
      <c r="G5078">
        <v>17213</v>
      </c>
      <c r="H5078">
        <v>13071</v>
      </c>
      <c r="I5078" s="25" t="s">
        <v>2191</v>
      </c>
      <c r="J5078" t="s">
        <v>2091</v>
      </c>
      <c r="M5078" s="49"/>
    </row>
    <row r="5079" spans="6:13" x14ac:dyDescent="0.25">
      <c r="F5079" t="s">
        <v>5834</v>
      </c>
      <c r="G5079">
        <v>23714</v>
      </c>
      <c r="H5079">
        <v>1055</v>
      </c>
      <c r="I5079" s="25" t="s">
        <v>2085</v>
      </c>
      <c r="J5079" t="s">
        <v>2185</v>
      </c>
      <c r="M5079" s="49"/>
    </row>
    <row r="5080" spans="6:13" x14ac:dyDescent="0.25">
      <c r="F5080" t="s">
        <v>5834</v>
      </c>
      <c r="G5080">
        <v>23714</v>
      </c>
      <c r="H5080">
        <v>1057</v>
      </c>
      <c r="I5080" s="25" t="s">
        <v>2085</v>
      </c>
      <c r="J5080" t="s">
        <v>2313</v>
      </c>
      <c r="M5080" s="49"/>
    </row>
    <row r="5081" spans="6:13" x14ac:dyDescent="0.25">
      <c r="F5081" t="s">
        <v>5835</v>
      </c>
      <c r="G5081">
        <v>84333</v>
      </c>
      <c r="H5081">
        <v>9277</v>
      </c>
      <c r="I5081" s="25" t="s">
        <v>2050</v>
      </c>
      <c r="J5081" t="s">
        <v>2529</v>
      </c>
      <c r="M5081" s="49"/>
    </row>
    <row r="5082" spans="6:13" x14ac:dyDescent="0.25">
      <c r="F5082" t="s">
        <v>5836</v>
      </c>
      <c r="G5082">
        <v>84066</v>
      </c>
      <c r="H5082">
        <v>9278</v>
      </c>
      <c r="I5082" s="25" t="s">
        <v>2050</v>
      </c>
      <c r="J5082" t="s">
        <v>2170</v>
      </c>
      <c r="M5082" s="49"/>
    </row>
    <row r="5083" spans="6:13" x14ac:dyDescent="0.25">
      <c r="F5083" t="s">
        <v>5837</v>
      </c>
      <c r="G5083">
        <v>79429</v>
      </c>
      <c r="H5083">
        <v>8336</v>
      </c>
      <c r="I5083" s="25" t="s">
        <v>2018</v>
      </c>
      <c r="J5083" t="s">
        <v>2227</v>
      </c>
      <c r="M5083" s="49"/>
    </row>
    <row r="5084" spans="6:13" x14ac:dyDescent="0.25">
      <c r="F5084" t="s">
        <v>5838</v>
      </c>
      <c r="G5084">
        <v>76316</v>
      </c>
      <c r="H5084">
        <v>8215</v>
      </c>
      <c r="I5084" s="25" t="s">
        <v>2018</v>
      </c>
      <c r="J5084" t="s">
        <v>2724</v>
      </c>
      <c r="M5084" s="49"/>
    </row>
    <row r="5085" spans="6:13" x14ac:dyDescent="0.25">
      <c r="F5085" t="s">
        <v>5838</v>
      </c>
      <c r="G5085">
        <v>69254</v>
      </c>
      <c r="H5085">
        <v>8226</v>
      </c>
      <c r="I5085" s="25" t="s">
        <v>2018</v>
      </c>
      <c r="J5085" t="s">
        <v>2442</v>
      </c>
      <c r="M5085" s="49"/>
    </row>
    <row r="5086" spans="6:13" x14ac:dyDescent="0.25">
      <c r="F5086" t="s">
        <v>5839</v>
      </c>
      <c r="G5086">
        <v>34323</v>
      </c>
      <c r="H5086">
        <v>6634</v>
      </c>
      <c r="I5086" s="25" t="s">
        <v>2046</v>
      </c>
      <c r="J5086" t="s">
        <v>2360</v>
      </c>
      <c r="M5086" s="49"/>
    </row>
    <row r="5087" spans="6:13" x14ac:dyDescent="0.25">
      <c r="F5087" t="s">
        <v>5840</v>
      </c>
      <c r="G5087">
        <v>79364</v>
      </c>
      <c r="H5087">
        <v>8316</v>
      </c>
      <c r="I5087" s="25" t="s">
        <v>2018</v>
      </c>
      <c r="J5087" t="s">
        <v>2764</v>
      </c>
      <c r="M5087" s="49"/>
    </row>
    <row r="5088" spans="6:13" x14ac:dyDescent="0.25">
      <c r="F5088" t="s">
        <v>5840</v>
      </c>
      <c r="G5088">
        <v>79364</v>
      </c>
      <c r="H5088">
        <v>8316</v>
      </c>
      <c r="I5088" s="25" t="s">
        <v>2018</v>
      </c>
      <c r="J5088" t="s">
        <v>2764</v>
      </c>
      <c r="M5088" s="49"/>
    </row>
    <row r="5089" spans="6:13" x14ac:dyDescent="0.25">
      <c r="F5089" t="s">
        <v>5841</v>
      </c>
      <c r="G5089">
        <v>57636</v>
      </c>
      <c r="H5089">
        <v>7132</v>
      </c>
      <c r="I5089" s="25" t="s">
        <v>2123</v>
      </c>
      <c r="J5089" t="s">
        <v>2401</v>
      </c>
      <c r="M5089" s="49"/>
    </row>
    <row r="5090" spans="6:13" x14ac:dyDescent="0.25">
      <c r="F5090" t="s">
        <v>5842</v>
      </c>
      <c r="G5090">
        <v>82291</v>
      </c>
      <c r="H5090">
        <v>9179</v>
      </c>
      <c r="I5090" s="25" t="s">
        <v>2050</v>
      </c>
      <c r="J5090" t="s">
        <v>2111</v>
      </c>
      <c r="M5090" s="49"/>
    </row>
    <row r="5091" spans="6:13" x14ac:dyDescent="0.25">
      <c r="F5091" t="s">
        <v>5843</v>
      </c>
      <c r="G5091">
        <v>94437</v>
      </c>
      <c r="H5091">
        <v>9279</v>
      </c>
      <c r="I5091" s="25" t="s">
        <v>2050</v>
      </c>
      <c r="J5091" t="s">
        <v>3574</v>
      </c>
      <c r="M5091" s="49"/>
    </row>
    <row r="5092" spans="6:13" x14ac:dyDescent="0.25">
      <c r="F5092" t="s">
        <v>5844</v>
      </c>
      <c r="G5092">
        <v>85077</v>
      </c>
      <c r="H5092">
        <v>9186</v>
      </c>
      <c r="I5092" s="25" t="s">
        <v>2050</v>
      </c>
      <c r="J5092" t="s">
        <v>2594</v>
      </c>
      <c r="M5092" s="49"/>
    </row>
    <row r="5093" spans="6:13" x14ac:dyDescent="0.25">
      <c r="F5093" t="s">
        <v>5845</v>
      </c>
      <c r="G5093">
        <v>66399</v>
      </c>
      <c r="H5093">
        <v>10045</v>
      </c>
      <c r="I5093" s="25" t="s">
        <v>2849</v>
      </c>
      <c r="J5093" t="s">
        <v>3048</v>
      </c>
      <c r="M5093" s="49"/>
    </row>
    <row r="5094" spans="6:13" x14ac:dyDescent="0.25">
      <c r="F5094" t="s">
        <v>5846</v>
      </c>
      <c r="G5094">
        <v>54531</v>
      </c>
      <c r="H5094">
        <v>7231</v>
      </c>
      <c r="I5094" s="25" t="s">
        <v>2123</v>
      </c>
      <c r="J5094" t="s">
        <v>2043</v>
      </c>
      <c r="M5094" s="49"/>
    </row>
    <row r="5095" spans="6:13" x14ac:dyDescent="0.25">
      <c r="F5095" t="s">
        <v>5847</v>
      </c>
      <c r="G5095">
        <v>68165</v>
      </c>
      <c r="H5095">
        <v>8222</v>
      </c>
      <c r="I5095" s="25" t="s">
        <v>2018</v>
      </c>
      <c r="J5095" t="s">
        <v>5848</v>
      </c>
      <c r="M5095" s="49"/>
    </row>
    <row r="5096" spans="6:13" x14ac:dyDescent="0.25">
      <c r="F5096" t="s">
        <v>5847</v>
      </c>
      <c r="G5096">
        <v>68259</v>
      </c>
      <c r="H5096">
        <v>8222</v>
      </c>
      <c r="I5096" s="25" t="s">
        <v>2018</v>
      </c>
      <c r="J5096" t="s">
        <v>5848</v>
      </c>
      <c r="M5096" s="49"/>
    </row>
    <row r="5097" spans="6:13" x14ac:dyDescent="0.25">
      <c r="F5097" t="s">
        <v>5847</v>
      </c>
      <c r="G5097">
        <v>68229</v>
      </c>
      <c r="H5097">
        <v>8222</v>
      </c>
      <c r="I5097" s="25" t="s">
        <v>2018</v>
      </c>
      <c r="J5097" t="s">
        <v>5848</v>
      </c>
      <c r="M5097" s="49"/>
    </row>
    <row r="5098" spans="6:13" x14ac:dyDescent="0.25">
      <c r="F5098" t="s">
        <v>5847</v>
      </c>
      <c r="G5098">
        <v>68161</v>
      </c>
      <c r="H5098">
        <v>8222</v>
      </c>
      <c r="I5098" s="25" t="s">
        <v>2018</v>
      </c>
      <c r="J5098" t="s">
        <v>5848</v>
      </c>
      <c r="M5098" s="49"/>
    </row>
    <row r="5099" spans="6:13" x14ac:dyDescent="0.25">
      <c r="F5099" t="s">
        <v>5847</v>
      </c>
      <c r="G5099">
        <v>68159</v>
      </c>
      <c r="H5099">
        <v>8222</v>
      </c>
      <c r="I5099" s="25" t="s">
        <v>2018</v>
      </c>
      <c r="J5099" t="s">
        <v>5848</v>
      </c>
      <c r="M5099" s="49"/>
    </row>
    <row r="5100" spans="6:13" x14ac:dyDescent="0.25">
      <c r="F5100" t="s">
        <v>5847</v>
      </c>
      <c r="G5100">
        <v>68239</v>
      </c>
      <c r="H5100">
        <v>8222</v>
      </c>
      <c r="I5100" s="25" t="s">
        <v>2018</v>
      </c>
      <c r="J5100" t="s">
        <v>5848</v>
      </c>
      <c r="M5100" s="49"/>
    </row>
    <row r="5101" spans="6:13" x14ac:dyDescent="0.25">
      <c r="F5101" t="s">
        <v>5847</v>
      </c>
      <c r="G5101">
        <v>68199</v>
      </c>
      <c r="H5101">
        <v>8222</v>
      </c>
      <c r="I5101" s="25" t="s">
        <v>2018</v>
      </c>
      <c r="J5101" t="s">
        <v>5848</v>
      </c>
      <c r="M5101" s="49"/>
    </row>
    <row r="5102" spans="6:13" x14ac:dyDescent="0.25">
      <c r="F5102" t="s">
        <v>5847</v>
      </c>
      <c r="G5102">
        <v>68309</v>
      </c>
      <c r="H5102">
        <v>8222</v>
      </c>
      <c r="I5102" s="25" t="s">
        <v>2018</v>
      </c>
      <c r="J5102" t="s">
        <v>5848</v>
      </c>
      <c r="M5102" s="49"/>
    </row>
    <row r="5103" spans="6:13" x14ac:dyDescent="0.25">
      <c r="F5103" t="s">
        <v>5847</v>
      </c>
      <c r="G5103">
        <v>68219</v>
      </c>
      <c r="H5103">
        <v>8222</v>
      </c>
      <c r="I5103" s="25" t="s">
        <v>2018</v>
      </c>
      <c r="J5103" t="s">
        <v>5848</v>
      </c>
      <c r="M5103" s="49"/>
    </row>
    <row r="5104" spans="6:13" x14ac:dyDescent="0.25">
      <c r="F5104" t="s">
        <v>5847</v>
      </c>
      <c r="G5104">
        <v>68307</v>
      </c>
      <c r="H5104">
        <v>8222</v>
      </c>
      <c r="I5104" s="25" t="s">
        <v>2018</v>
      </c>
      <c r="J5104" t="s">
        <v>5848</v>
      </c>
      <c r="M5104" s="49"/>
    </row>
    <row r="5105" spans="6:13" x14ac:dyDescent="0.25">
      <c r="F5105" t="s">
        <v>5847</v>
      </c>
      <c r="G5105">
        <v>68169</v>
      </c>
      <c r="H5105">
        <v>8222</v>
      </c>
      <c r="I5105" s="25" t="s">
        <v>2018</v>
      </c>
      <c r="J5105" t="s">
        <v>5848</v>
      </c>
      <c r="M5105" s="49"/>
    </row>
    <row r="5106" spans="6:13" x14ac:dyDescent="0.25">
      <c r="F5106" t="s">
        <v>5847</v>
      </c>
      <c r="G5106">
        <v>68163</v>
      </c>
      <c r="H5106">
        <v>8222</v>
      </c>
      <c r="I5106" s="25" t="s">
        <v>2018</v>
      </c>
      <c r="J5106" t="s">
        <v>5848</v>
      </c>
      <c r="M5106" s="49"/>
    </row>
    <row r="5107" spans="6:13" x14ac:dyDescent="0.25">
      <c r="F5107" t="s">
        <v>5847</v>
      </c>
      <c r="G5107">
        <v>68305</v>
      </c>
      <c r="H5107">
        <v>8222</v>
      </c>
      <c r="I5107" s="25" t="s">
        <v>2018</v>
      </c>
      <c r="J5107" t="s">
        <v>5848</v>
      </c>
      <c r="M5107" s="49"/>
    </row>
    <row r="5108" spans="6:13" x14ac:dyDescent="0.25">
      <c r="F5108" t="s">
        <v>5847</v>
      </c>
      <c r="G5108">
        <v>68167</v>
      </c>
      <c r="H5108">
        <v>8222</v>
      </c>
      <c r="I5108" s="25" t="s">
        <v>2018</v>
      </c>
      <c r="J5108" t="s">
        <v>5848</v>
      </c>
      <c r="M5108" s="49"/>
    </row>
    <row r="5109" spans="6:13" x14ac:dyDescent="0.25">
      <c r="F5109" t="s">
        <v>5849</v>
      </c>
      <c r="G5109">
        <v>6343</v>
      </c>
      <c r="H5109">
        <v>15087</v>
      </c>
      <c r="I5109" s="25" t="s">
        <v>2241</v>
      </c>
      <c r="J5109" t="s">
        <v>2324</v>
      </c>
      <c r="M5109" s="49"/>
    </row>
    <row r="5110" spans="6:13" x14ac:dyDescent="0.25">
      <c r="F5110" t="s">
        <v>5850</v>
      </c>
      <c r="G5110">
        <v>92708</v>
      </c>
      <c r="H5110">
        <v>9374</v>
      </c>
      <c r="I5110" s="25" t="s">
        <v>2050</v>
      </c>
      <c r="J5110" t="s">
        <v>2420</v>
      </c>
      <c r="M5110" s="49"/>
    </row>
    <row r="5111" spans="6:13" x14ac:dyDescent="0.25">
      <c r="F5111" t="s">
        <v>5851</v>
      </c>
      <c r="G5111">
        <v>71672</v>
      </c>
      <c r="H5111">
        <v>8118</v>
      </c>
      <c r="I5111" s="25" t="s">
        <v>2018</v>
      </c>
      <c r="J5111" t="s">
        <v>2142</v>
      </c>
      <c r="M5111" s="49"/>
    </row>
    <row r="5112" spans="6:13" x14ac:dyDescent="0.25">
      <c r="F5112" t="s">
        <v>5851</v>
      </c>
      <c r="G5112">
        <v>71672</v>
      </c>
      <c r="H5112">
        <v>8118</v>
      </c>
      <c r="I5112" s="25" t="s">
        <v>2018</v>
      </c>
      <c r="J5112" t="s">
        <v>2142</v>
      </c>
      <c r="M5112" s="49"/>
    </row>
    <row r="5113" spans="6:13" x14ac:dyDescent="0.25">
      <c r="F5113" t="s">
        <v>5851</v>
      </c>
      <c r="G5113">
        <v>71672</v>
      </c>
      <c r="H5113">
        <v>8118</v>
      </c>
      <c r="I5113" s="25" t="s">
        <v>2018</v>
      </c>
      <c r="J5113" t="s">
        <v>2142</v>
      </c>
      <c r="M5113" s="49"/>
    </row>
    <row r="5114" spans="6:13" x14ac:dyDescent="0.25">
      <c r="F5114" t="s">
        <v>5852</v>
      </c>
      <c r="G5114">
        <v>35037</v>
      </c>
      <c r="H5114">
        <v>6534</v>
      </c>
      <c r="I5114" s="25" t="s">
        <v>2046</v>
      </c>
      <c r="J5114" t="s">
        <v>2471</v>
      </c>
      <c r="M5114" s="49"/>
    </row>
    <row r="5115" spans="6:13" x14ac:dyDescent="0.25">
      <c r="F5115" t="s">
        <v>5852</v>
      </c>
      <c r="G5115">
        <v>35039</v>
      </c>
      <c r="H5115">
        <v>6534</v>
      </c>
      <c r="I5115" s="25" t="s">
        <v>2046</v>
      </c>
      <c r="J5115" t="s">
        <v>2471</v>
      </c>
      <c r="M5115" s="49"/>
    </row>
    <row r="5116" spans="6:13" x14ac:dyDescent="0.25">
      <c r="F5116" t="s">
        <v>5852</v>
      </c>
      <c r="G5116">
        <v>35043</v>
      </c>
      <c r="H5116">
        <v>6534</v>
      </c>
      <c r="I5116" s="25" t="s">
        <v>2046</v>
      </c>
      <c r="J5116" t="s">
        <v>2471</v>
      </c>
      <c r="M5116" s="49"/>
    </row>
    <row r="5117" spans="6:13" x14ac:dyDescent="0.25">
      <c r="F5117" t="s">
        <v>5852</v>
      </c>
      <c r="G5117">
        <v>35041</v>
      </c>
      <c r="H5117">
        <v>6534</v>
      </c>
      <c r="I5117" s="25" t="s">
        <v>2046</v>
      </c>
      <c r="J5117" t="s">
        <v>2471</v>
      </c>
      <c r="M5117" s="49"/>
    </row>
    <row r="5118" spans="6:13" x14ac:dyDescent="0.25">
      <c r="F5118" t="s">
        <v>5853</v>
      </c>
      <c r="G5118">
        <v>79232</v>
      </c>
      <c r="H5118">
        <v>8315</v>
      </c>
      <c r="I5118" s="25" t="s">
        <v>2018</v>
      </c>
      <c r="J5118" t="s">
        <v>2061</v>
      </c>
      <c r="M5118" s="49"/>
    </row>
    <row r="5119" spans="6:13" x14ac:dyDescent="0.25">
      <c r="F5119" t="s">
        <v>5854</v>
      </c>
      <c r="G5119">
        <v>97276</v>
      </c>
      <c r="H5119">
        <v>9679</v>
      </c>
      <c r="I5119" s="25" t="s">
        <v>2050</v>
      </c>
      <c r="J5119" t="s">
        <v>2428</v>
      </c>
      <c r="M5119" s="49"/>
    </row>
    <row r="5120" spans="6:13" x14ac:dyDescent="0.25">
      <c r="F5120" t="s">
        <v>5855</v>
      </c>
      <c r="G5120">
        <v>94553</v>
      </c>
      <c r="H5120">
        <v>9278</v>
      </c>
      <c r="I5120" s="25" t="s">
        <v>2050</v>
      </c>
      <c r="J5120" t="s">
        <v>2170</v>
      </c>
      <c r="M5120" s="49"/>
    </row>
    <row r="5121" spans="6:13" x14ac:dyDescent="0.25">
      <c r="F5121" t="s">
        <v>5856</v>
      </c>
      <c r="G5121">
        <v>9496</v>
      </c>
      <c r="H5121">
        <v>14521</v>
      </c>
      <c r="I5121" s="25" t="s">
        <v>2135</v>
      </c>
      <c r="J5121" t="s">
        <v>2032</v>
      </c>
      <c r="M5121" s="49"/>
    </row>
    <row r="5122" spans="6:13" x14ac:dyDescent="0.25">
      <c r="F5122" t="s">
        <v>5857</v>
      </c>
      <c r="G5122">
        <v>51709</v>
      </c>
      <c r="H5122">
        <v>5374</v>
      </c>
      <c r="I5122" s="25" t="s">
        <v>2023</v>
      </c>
      <c r="J5122" t="s">
        <v>2281</v>
      </c>
      <c r="M5122" s="49"/>
    </row>
    <row r="5123" spans="6:13" x14ac:dyDescent="0.25">
      <c r="F5123" t="s">
        <v>5858</v>
      </c>
      <c r="G5123">
        <v>37696</v>
      </c>
      <c r="H5123">
        <v>5762</v>
      </c>
      <c r="I5123" s="25" t="s">
        <v>2023</v>
      </c>
      <c r="J5123" t="s">
        <v>2203</v>
      </c>
      <c r="M5123" s="49"/>
    </row>
    <row r="5124" spans="6:13" x14ac:dyDescent="0.25">
      <c r="F5124" t="s">
        <v>5859</v>
      </c>
      <c r="G5124">
        <v>54484</v>
      </c>
      <c r="H5124">
        <v>7231</v>
      </c>
      <c r="I5124" s="25" t="s">
        <v>2123</v>
      </c>
      <c r="J5124" t="s">
        <v>2043</v>
      </c>
      <c r="M5124" s="49"/>
    </row>
    <row r="5125" spans="6:13" x14ac:dyDescent="0.25">
      <c r="F5125" t="s">
        <v>5860</v>
      </c>
      <c r="G5125">
        <v>88677</v>
      </c>
      <c r="H5125">
        <v>8435</v>
      </c>
      <c r="I5125" s="25" t="s">
        <v>2018</v>
      </c>
      <c r="J5125" t="s">
        <v>3011</v>
      </c>
      <c r="M5125" s="49"/>
    </row>
    <row r="5126" spans="6:13" x14ac:dyDescent="0.25">
      <c r="F5126" t="s">
        <v>5861</v>
      </c>
      <c r="G5126">
        <v>2829</v>
      </c>
      <c r="H5126">
        <v>14626</v>
      </c>
      <c r="I5126" s="25" t="s">
        <v>2135</v>
      </c>
      <c r="J5126" t="s">
        <v>2150</v>
      </c>
      <c r="M5126" s="49"/>
    </row>
    <row r="5127" spans="6:13" x14ac:dyDescent="0.25">
      <c r="F5127" t="s">
        <v>5862</v>
      </c>
      <c r="G5127">
        <v>71706</v>
      </c>
      <c r="H5127">
        <v>8118</v>
      </c>
      <c r="I5127" s="25" t="s">
        <v>2018</v>
      </c>
      <c r="J5127" t="s">
        <v>2142</v>
      </c>
      <c r="M5127" s="49"/>
    </row>
    <row r="5128" spans="6:13" x14ac:dyDescent="0.25">
      <c r="F5128" t="s">
        <v>5863</v>
      </c>
      <c r="G5128">
        <v>15748</v>
      </c>
      <c r="H5128">
        <v>12061</v>
      </c>
      <c r="I5128" s="25" t="s">
        <v>2356</v>
      </c>
      <c r="J5128" t="s">
        <v>3033</v>
      </c>
      <c r="M5128" s="49"/>
    </row>
    <row r="5129" spans="6:13" x14ac:dyDescent="0.25">
      <c r="F5129" t="s">
        <v>5864</v>
      </c>
      <c r="G5129">
        <v>4416</v>
      </c>
      <c r="H5129">
        <v>14729</v>
      </c>
      <c r="I5129" s="25" t="s">
        <v>2135</v>
      </c>
      <c r="J5129" t="s">
        <v>2684</v>
      </c>
      <c r="M5129" s="49"/>
    </row>
    <row r="5130" spans="6:13" x14ac:dyDescent="0.25">
      <c r="F5130" t="s">
        <v>5865</v>
      </c>
      <c r="G5130">
        <v>84163</v>
      </c>
      <c r="H5130">
        <v>9279</v>
      </c>
      <c r="I5130" s="25" t="s">
        <v>2050</v>
      </c>
      <c r="J5130" t="s">
        <v>3574</v>
      </c>
      <c r="M5130" s="49"/>
    </row>
    <row r="5131" spans="6:13" x14ac:dyDescent="0.25">
      <c r="F5131" t="s">
        <v>5866</v>
      </c>
      <c r="G5131">
        <v>31608</v>
      </c>
      <c r="H5131">
        <v>3256</v>
      </c>
      <c r="I5131" s="25" t="s">
        <v>2074</v>
      </c>
      <c r="J5131" t="s">
        <v>2271</v>
      </c>
      <c r="M5131" s="49"/>
    </row>
    <row r="5132" spans="6:13" x14ac:dyDescent="0.25">
      <c r="F5132" t="s">
        <v>5867</v>
      </c>
      <c r="G5132">
        <v>8258</v>
      </c>
      <c r="H5132">
        <v>14523</v>
      </c>
      <c r="I5132" s="25" t="s">
        <v>2135</v>
      </c>
      <c r="J5132" t="s">
        <v>2136</v>
      </c>
      <c r="M5132" s="49"/>
    </row>
    <row r="5133" spans="6:13" x14ac:dyDescent="0.25">
      <c r="F5133" t="s">
        <v>5868</v>
      </c>
      <c r="G5133">
        <v>4420</v>
      </c>
      <c r="H5133">
        <v>14729</v>
      </c>
      <c r="I5133" s="25" t="s">
        <v>2135</v>
      </c>
      <c r="J5133" t="s">
        <v>2684</v>
      </c>
      <c r="M5133" s="49"/>
    </row>
    <row r="5134" spans="6:13" x14ac:dyDescent="0.25">
      <c r="F5134" t="s">
        <v>5869</v>
      </c>
      <c r="G5134">
        <v>99819</v>
      </c>
      <c r="H5134">
        <v>16063</v>
      </c>
      <c r="I5134" s="25" t="s">
        <v>2384</v>
      </c>
      <c r="J5134" t="s">
        <v>2687</v>
      </c>
      <c r="M5134" s="49"/>
    </row>
    <row r="5135" spans="6:13" x14ac:dyDescent="0.25">
      <c r="F5135" t="s">
        <v>5869</v>
      </c>
      <c r="G5135">
        <v>99819</v>
      </c>
      <c r="H5135">
        <v>16063</v>
      </c>
      <c r="I5135" s="25" t="s">
        <v>2384</v>
      </c>
      <c r="J5135" t="s">
        <v>2687</v>
      </c>
      <c r="M5135" s="49"/>
    </row>
    <row r="5136" spans="6:13" x14ac:dyDescent="0.25">
      <c r="F5136" t="s">
        <v>5870</v>
      </c>
      <c r="G5136">
        <v>91801</v>
      </c>
      <c r="H5136">
        <v>9577</v>
      </c>
      <c r="I5136" s="25" t="s">
        <v>2050</v>
      </c>
      <c r="J5136" t="s">
        <v>2057</v>
      </c>
      <c r="M5136" s="49"/>
    </row>
    <row r="5137" spans="6:13" x14ac:dyDescent="0.25">
      <c r="F5137" t="s">
        <v>5871</v>
      </c>
      <c r="G5137">
        <v>91477</v>
      </c>
      <c r="H5137">
        <v>9575</v>
      </c>
      <c r="I5137" s="25" t="s">
        <v>2050</v>
      </c>
      <c r="J5137" t="s">
        <v>2749</v>
      </c>
      <c r="M5137" s="49"/>
    </row>
    <row r="5138" spans="6:13" x14ac:dyDescent="0.25">
      <c r="F5138" t="s">
        <v>5871</v>
      </c>
      <c r="G5138">
        <v>91477</v>
      </c>
      <c r="H5138">
        <v>9575</v>
      </c>
      <c r="I5138" s="25" t="s">
        <v>2050</v>
      </c>
      <c r="J5138" t="s">
        <v>2749</v>
      </c>
      <c r="M5138" s="49"/>
    </row>
    <row r="5139" spans="6:13" x14ac:dyDescent="0.25">
      <c r="F5139" t="s">
        <v>5872</v>
      </c>
      <c r="G5139">
        <v>91459</v>
      </c>
      <c r="H5139">
        <v>9575</v>
      </c>
      <c r="I5139" s="25" t="s">
        <v>2050</v>
      </c>
      <c r="J5139" t="s">
        <v>2749</v>
      </c>
      <c r="M5139" s="49"/>
    </row>
    <row r="5140" spans="6:13" x14ac:dyDescent="0.25">
      <c r="F5140" t="s">
        <v>5873</v>
      </c>
      <c r="G5140">
        <v>85229</v>
      </c>
      <c r="H5140">
        <v>9174</v>
      </c>
      <c r="I5140" s="25" t="s">
        <v>2050</v>
      </c>
      <c r="J5140" t="s">
        <v>2445</v>
      </c>
      <c r="M5140" s="49"/>
    </row>
    <row r="5141" spans="6:13" x14ac:dyDescent="0.25">
      <c r="F5141" t="s">
        <v>5874</v>
      </c>
      <c r="G5141">
        <v>91478</v>
      </c>
      <c r="H5141">
        <v>9575</v>
      </c>
      <c r="I5141" s="25" t="s">
        <v>2050</v>
      </c>
      <c r="J5141" t="s">
        <v>2749</v>
      </c>
      <c r="M5141" s="49"/>
    </row>
    <row r="5142" spans="6:13" x14ac:dyDescent="0.25">
      <c r="F5142" t="s">
        <v>5875</v>
      </c>
      <c r="G5142">
        <v>87733</v>
      </c>
      <c r="H5142">
        <v>9778</v>
      </c>
      <c r="I5142" s="25" t="s">
        <v>2050</v>
      </c>
      <c r="J5142" t="s">
        <v>2460</v>
      </c>
      <c r="M5142" s="49"/>
    </row>
    <row r="5143" spans="6:13" x14ac:dyDescent="0.25">
      <c r="F5143" t="s">
        <v>5876</v>
      </c>
      <c r="G5143">
        <v>85570</v>
      </c>
      <c r="H5143">
        <v>9175</v>
      </c>
      <c r="I5143" s="25" t="s">
        <v>2050</v>
      </c>
      <c r="J5143" t="s">
        <v>2500</v>
      </c>
      <c r="M5143" s="49"/>
    </row>
    <row r="5144" spans="6:13" x14ac:dyDescent="0.25">
      <c r="F5144" t="s">
        <v>5876</v>
      </c>
      <c r="G5144">
        <v>85570</v>
      </c>
      <c r="H5144">
        <v>9177</v>
      </c>
      <c r="I5144" s="25" t="s">
        <v>2050</v>
      </c>
      <c r="J5144" t="s">
        <v>2915</v>
      </c>
      <c r="M5144" s="49"/>
    </row>
    <row r="5145" spans="6:13" x14ac:dyDescent="0.25">
      <c r="F5145" t="s">
        <v>5877</v>
      </c>
      <c r="G5145">
        <v>91480</v>
      </c>
      <c r="H5145">
        <v>9575</v>
      </c>
      <c r="I5145" s="25" t="s">
        <v>2050</v>
      </c>
      <c r="J5145" t="s">
        <v>2749</v>
      </c>
      <c r="M5145" s="49"/>
    </row>
    <row r="5146" spans="6:13" x14ac:dyDescent="0.25">
      <c r="F5146" t="s">
        <v>5878</v>
      </c>
      <c r="G5146">
        <v>86865</v>
      </c>
      <c r="H5146">
        <v>9778</v>
      </c>
      <c r="I5146" s="25" t="s">
        <v>2050</v>
      </c>
      <c r="J5146" t="s">
        <v>2460</v>
      </c>
      <c r="M5146" s="49"/>
    </row>
    <row r="5147" spans="6:13" x14ac:dyDescent="0.25">
      <c r="F5147" t="s">
        <v>5879</v>
      </c>
      <c r="G5147">
        <v>91613</v>
      </c>
      <c r="H5147">
        <v>9575</v>
      </c>
      <c r="I5147" s="25" t="s">
        <v>2050</v>
      </c>
      <c r="J5147" t="s">
        <v>2749</v>
      </c>
      <c r="M5147" s="49"/>
    </row>
    <row r="5148" spans="6:13" x14ac:dyDescent="0.25">
      <c r="F5148" t="s">
        <v>5880</v>
      </c>
      <c r="G5148">
        <v>97340</v>
      </c>
      <c r="H5148">
        <v>9675</v>
      </c>
      <c r="I5148" s="25" t="s">
        <v>2050</v>
      </c>
      <c r="J5148" t="s">
        <v>2259</v>
      </c>
      <c r="M5148" s="49"/>
    </row>
    <row r="5149" spans="6:13" x14ac:dyDescent="0.25">
      <c r="F5149" t="s">
        <v>5881</v>
      </c>
      <c r="G5149">
        <v>97828</v>
      </c>
      <c r="H5149">
        <v>9677</v>
      </c>
      <c r="I5149" s="25" t="s">
        <v>2050</v>
      </c>
      <c r="J5149" t="s">
        <v>2527</v>
      </c>
      <c r="M5149" s="49"/>
    </row>
    <row r="5150" spans="6:13" x14ac:dyDescent="0.25">
      <c r="F5150" t="s">
        <v>5882</v>
      </c>
      <c r="G5150">
        <v>84533</v>
      </c>
      <c r="H5150">
        <v>9171</v>
      </c>
      <c r="I5150" s="25" t="s">
        <v>2050</v>
      </c>
      <c r="J5150" t="s">
        <v>2446</v>
      </c>
      <c r="M5150" s="49"/>
    </row>
    <row r="5151" spans="6:13" x14ac:dyDescent="0.25">
      <c r="F5151" t="s">
        <v>5883</v>
      </c>
      <c r="G5151">
        <v>95352</v>
      </c>
      <c r="H5151">
        <v>9477</v>
      </c>
      <c r="I5151" s="25" t="s">
        <v>2050</v>
      </c>
      <c r="J5151" t="s">
        <v>4385</v>
      </c>
      <c r="M5151" s="49"/>
    </row>
    <row r="5152" spans="6:13" x14ac:dyDescent="0.25">
      <c r="F5152" t="s">
        <v>5884</v>
      </c>
      <c r="G5152">
        <v>95168</v>
      </c>
      <c r="H5152">
        <v>9479</v>
      </c>
      <c r="I5152" s="25" t="s">
        <v>2050</v>
      </c>
      <c r="J5152" t="s">
        <v>2436</v>
      </c>
      <c r="M5152" s="49"/>
    </row>
    <row r="5153" spans="6:13" x14ac:dyDescent="0.25">
      <c r="F5153" t="s">
        <v>5885</v>
      </c>
      <c r="G5153">
        <v>87616</v>
      </c>
      <c r="H5153">
        <v>9777</v>
      </c>
      <c r="I5153" s="25" t="s">
        <v>2050</v>
      </c>
      <c r="J5153" t="s">
        <v>2237</v>
      </c>
      <c r="M5153" s="49"/>
    </row>
    <row r="5154" spans="6:13" x14ac:dyDescent="0.25">
      <c r="F5154" t="s">
        <v>5886</v>
      </c>
      <c r="G5154">
        <v>86748</v>
      </c>
      <c r="H5154">
        <v>9779</v>
      </c>
      <c r="I5154" s="25" t="s">
        <v>2050</v>
      </c>
      <c r="J5154" t="s">
        <v>2280</v>
      </c>
      <c r="M5154" s="49"/>
    </row>
    <row r="5155" spans="6:13" x14ac:dyDescent="0.25">
      <c r="F5155" t="s">
        <v>5887</v>
      </c>
      <c r="G5155">
        <v>95615</v>
      </c>
      <c r="H5155">
        <v>9479</v>
      </c>
      <c r="I5155" s="25" t="s">
        <v>2050</v>
      </c>
      <c r="J5155" t="s">
        <v>2436</v>
      </c>
      <c r="M5155" s="49"/>
    </row>
    <row r="5156" spans="6:13" x14ac:dyDescent="0.25">
      <c r="F5156" t="s">
        <v>5888</v>
      </c>
      <c r="G5156">
        <v>96364</v>
      </c>
      <c r="H5156">
        <v>9476</v>
      </c>
      <c r="I5156" s="25" t="s">
        <v>2050</v>
      </c>
      <c r="J5156" t="s">
        <v>5435</v>
      </c>
      <c r="M5156" s="49"/>
    </row>
    <row r="5157" spans="6:13" x14ac:dyDescent="0.25">
      <c r="F5157" t="s">
        <v>5889</v>
      </c>
      <c r="G5157">
        <v>83487</v>
      </c>
      <c r="H5157">
        <v>9172</v>
      </c>
      <c r="I5157" s="25" t="s">
        <v>2050</v>
      </c>
      <c r="J5157" t="s">
        <v>2042</v>
      </c>
      <c r="M5157" s="49"/>
    </row>
    <row r="5158" spans="6:13" x14ac:dyDescent="0.25">
      <c r="F5158" t="s">
        <v>5889</v>
      </c>
      <c r="G5158">
        <v>83487</v>
      </c>
      <c r="H5158">
        <v>9172</v>
      </c>
      <c r="I5158" s="25" t="s">
        <v>2050</v>
      </c>
      <c r="J5158" t="s">
        <v>2042</v>
      </c>
      <c r="M5158" s="49"/>
    </row>
    <row r="5159" spans="6:13" x14ac:dyDescent="0.25">
      <c r="F5159" t="s">
        <v>5890</v>
      </c>
      <c r="G5159">
        <v>95509</v>
      </c>
      <c r="H5159">
        <v>9477</v>
      </c>
      <c r="I5159" s="25" t="s">
        <v>2050</v>
      </c>
      <c r="J5159" t="s">
        <v>4385</v>
      </c>
      <c r="M5159" s="49"/>
    </row>
    <row r="5160" spans="6:13" x14ac:dyDescent="0.25">
      <c r="F5160" t="s">
        <v>5891</v>
      </c>
      <c r="G5160">
        <v>96275</v>
      </c>
      <c r="H5160">
        <v>9478</v>
      </c>
      <c r="I5160" s="25" t="s">
        <v>2050</v>
      </c>
      <c r="J5160" t="s">
        <v>2404</v>
      </c>
      <c r="M5160" s="49"/>
    </row>
    <row r="5161" spans="6:13" x14ac:dyDescent="0.25">
      <c r="F5161" t="s">
        <v>5892</v>
      </c>
      <c r="G5161">
        <v>45768</v>
      </c>
      <c r="H5161">
        <v>5562</v>
      </c>
      <c r="I5161" s="25" t="s">
        <v>2023</v>
      </c>
      <c r="J5161" t="s">
        <v>2318</v>
      </c>
      <c r="M5161" s="49"/>
    </row>
    <row r="5162" spans="6:13" x14ac:dyDescent="0.25">
      <c r="F5162" t="s">
        <v>5892</v>
      </c>
      <c r="G5162">
        <v>45770</v>
      </c>
      <c r="H5162">
        <v>5562</v>
      </c>
      <c r="I5162" s="25" t="s">
        <v>2023</v>
      </c>
      <c r="J5162" t="s">
        <v>2318</v>
      </c>
      <c r="M5162" s="49"/>
    </row>
    <row r="5163" spans="6:13" x14ac:dyDescent="0.25">
      <c r="F5163" t="s">
        <v>5892</v>
      </c>
      <c r="G5163">
        <v>45772</v>
      </c>
      <c r="H5163">
        <v>5562</v>
      </c>
      <c r="I5163" s="25" t="s">
        <v>2023</v>
      </c>
      <c r="J5163" t="s">
        <v>2318</v>
      </c>
      <c r="M5163" s="49"/>
    </row>
    <row r="5164" spans="6:13" x14ac:dyDescent="0.25">
      <c r="F5164" t="s">
        <v>5893</v>
      </c>
      <c r="G5164">
        <v>18337</v>
      </c>
      <c r="H5164">
        <v>13073</v>
      </c>
      <c r="I5164" s="25" t="s">
        <v>2191</v>
      </c>
      <c r="J5164" t="s">
        <v>2192</v>
      </c>
      <c r="M5164" s="49"/>
    </row>
    <row r="5165" spans="6:13" x14ac:dyDescent="0.25">
      <c r="F5165" t="s">
        <v>5894</v>
      </c>
      <c r="G5165">
        <v>67297</v>
      </c>
      <c r="H5165">
        <v>7333</v>
      </c>
      <c r="I5165" s="25" t="s">
        <v>2123</v>
      </c>
      <c r="J5165" t="s">
        <v>2103</v>
      </c>
      <c r="M5165" s="49"/>
    </row>
    <row r="5166" spans="6:13" x14ac:dyDescent="0.25">
      <c r="F5166" t="s">
        <v>5895</v>
      </c>
      <c r="G5166">
        <v>19376</v>
      </c>
      <c r="H5166">
        <v>13076</v>
      </c>
      <c r="I5166" s="25" t="s">
        <v>2191</v>
      </c>
      <c r="J5166" t="s">
        <v>2234</v>
      </c>
      <c r="M5166" s="49"/>
    </row>
    <row r="5167" spans="6:13" x14ac:dyDescent="0.25">
      <c r="F5167" t="s">
        <v>5896</v>
      </c>
      <c r="G5167">
        <v>96126</v>
      </c>
      <c r="H5167">
        <v>9674</v>
      </c>
      <c r="I5167" s="25" t="s">
        <v>2050</v>
      </c>
      <c r="J5167" t="s">
        <v>2218</v>
      </c>
      <c r="M5167" s="49"/>
    </row>
    <row r="5168" spans="6:13" x14ac:dyDescent="0.25">
      <c r="F5168" t="s">
        <v>5897</v>
      </c>
      <c r="G5168">
        <v>66646</v>
      </c>
      <c r="H5168">
        <v>10046</v>
      </c>
      <c r="I5168" s="25" t="s">
        <v>2849</v>
      </c>
      <c r="J5168" t="s">
        <v>2375</v>
      </c>
      <c r="M5168" s="49"/>
    </row>
    <row r="5169" spans="6:13" x14ac:dyDescent="0.25">
      <c r="F5169" t="s">
        <v>5898</v>
      </c>
      <c r="G5169">
        <v>83250</v>
      </c>
      <c r="H5169">
        <v>9189</v>
      </c>
      <c r="I5169" s="25" t="s">
        <v>2050</v>
      </c>
      <c r="J5169" t="s">
        <v>2407</v>
      </c>
      <c r="M5169" s="49"/>
    </row>
    <row r="5170" spans="6:13" x14ac:dyDescent="0.25">
      <c r="F5170" t="s">
        <v>5899</v>
      </c>
      <c r="G5170">
        <v>34431</v>
      </c>
      <c r="H5170">
        <v>5958</v>
      </c>
      <c r="I5170" s="25" t="s">
        <v>2023</v>
      </c>
      <c r="J5170" t="s">
        <v>2199</v>
      </c>
      <c r="M5170" s="49"/>
    </row>
    <row r="5171" spans="6:13" x14ac:dyDescent="0.25">
      <c r="F5171" t="s">
        <v>5900</v>
      </c>
      <c r="G5171">
        <v>21436</v>
      </c>
      <c r="H5171">
        <v>3353</v>
      </c>
      <c r="I5171" s="25" t="s">
        <v>2074</v>
      </c>
      <c r="J5171" t="s">
        <v>2176</v>
      </c>
      <c r="M5171" s="49"/>
    </row>
    <row r="5172" spans="6:13" x14ac:dyDescent="0.25">
      <c r="F5172" t="s">
        <v>5901</v>
      </c>
      <c r="G5172">
        <v>27327</v>
      </c>
      <c r="H5172">
        <v>3251</v>
      </c>
      <c r="I5172" s="25" t="s">
        <v>2074</v>
      </c>
      <c r="J5172" t="s">
        <v>2094</v>
      </c>
      <c r="M5172" s="49"/>
    </row>
    <row r="5173" spans="6:13" x14ac:dyDescent="0.25">
      <c r="F5173" t="s">
        <v>5902</v>
      </c>
      <c r="G5173">
        <v>21439</v>
      </c>
      <c r="H5173">
        <v>3353</v>
      </c>
      <c r="I5173" s="25" t="s">
        <v>2074</v>
      </c>
      <c r="J5173" t="s">
        <v>2176</v>
      </c>
      <c r="M5173" s="49"/>
    </row>
    <row r="5174" spans="6:13" x14ac:dyDescent="0.25">
      <c r="F5174" t="s">
        <v>5903</v>
      </c>
      <c r="G5174">
        <v>86688</v>
      </c>
      <c r="H5174">
        <v>9779</v>
      </c>
      <c r="I5174" s="25" t="s">
        <v>2050</v>
      </c>
      <c r="J5174" t="s">
        <v>2280</v>
      </c>
      <c r="M5174" s="49"/>
    </row>
    <row r="5175" spans="6:13" x14ac:dyDescent="0.25">
      <c r="F5175" t="s">
        <v>5904</v>
      </c>
      <c r="G5175">
        <v>76359</v>
      </c>
      <c r="H5175">
        <v>8215</v>
      </c>
      <c r="I5175" s="25" t="s">
        <v>2018</v>
      </c>
      <c r="J5175" t="s">
        <v>2724</v>
      </c>
      <c r="M5175" s="49"/>
    </row>
    <row r="5176" spans="6:13" x14ac:dyDescent="0.25">
      <c r="F5176" t="s">
        <v>5905</v>
      </c>
      <c r="G5176">
        <v>85417</v>
      </c>
      <c r="H5176">
        <v>9178</v>
      </c>
      <c r="I5176" s="25" t="s">
        <v>2050</v>
      </c>
      <c r="J5176" t="s">
        <v>2315</v>
      </c>
      <c r="M5176" s="49"/>
    </row>
    <row r="5177" spans="6:13" x14ac:dyDescent="0.25">
      <c r="F5177" t="s">
        <v>5906</v>
      </c>
      <c r="G5177">
        <v>88437</v>
      </c>
      <c r="H5177">
        <v>8426</v>
      </c>
      <c r="I5177" s="25" t="s">
        <v>2018</v>
      </c>
      <c r="J5177" t="s">
        <v>2081</v>
      </c>
      <c r="M5177" s="49"/>
    </row>
    <row r="5178" spans="6:13" x14ac:dyDescent="0.25">
      <c r="F5178" t="s">
        <v>5907</v>
      </c>
      <c r="G5178">
        <v>97711</v>
      </c>
      <c r="H5178">
        <v>9672</v>
      </c>
      <c r="I5178" s="25" t="s">
        <v>2050</v>
      </c>
      <c r="J5178" t="s">
        <v>2620</v>
      </c>
      <c r="M5178" s="49"/>
    </row>
    <row r="5179" spans="6:13" x14ac:dyDescent="0.25">
      <c r="F5179" t="s">
        <v>5908</v>
      </c>
      <c r="G5179">
        <v>74252</v>
      </c>
      <c r="H5179">
        <v>8125</v>
      </c>
      <c r="I5179" s="25" t="s">
        <v>2018</v>
      </c>
      <c r="J5179" t="s">
        <v>2060</v>
      </c>
      <c r="M5179" s="49"/>
    </row>
    <row r="5180" spans="6:13" x14ac:dyDescent="0.25">
      <c r="F5180" t="s">
        <v>5909</v>
      </c>
      <c r="G5180">
        <v>84323</v>
      </c>
      <c r="H5180">
        <v>9277</v>
      </c>
      <c r="I5180" s="25" t="s">
        <v>2050</v>
      </c>
      <c r="J5180" t="s">
        <v>2529</v>
      </c>
      <c r="M5180" s="49"/>
    </row>
    <row r="5181" spans="6:13" x14ac:dyDescent="0.25">
      <c r="F5181" t="s">
        <v>5910</v>
      </c>
      <c r="G5181">
        <v>66506</v>
      </c>
      <c r="H5181">
        <v>7340</v>
      </c>
      <c r="I5181" s="25" t="s">
        <v>2123</v>
      </c>
      <c r="J5181" t="s">
        <v>2826</v>
      </c>
      <c r="M5181" s="49"/>
    </row>
    <row r="5182" spans="6:13" x14ac:dyDescent="0.25">
      <c r="F5182" t="s">
        <v>5911</v>
      </c>
      <c r="G5182">
        <v>56869</v>
      </c>
      <c r="H5182">
        <v>7140</v>
      </c>
      <c r="I5182" s="25" t="s">
        <v>2123</v>
      </c>
      <c r="J5182" t="s">
        <v>2329</v>
      </c>
      <c r="M5182" s="49"/>
    </row>
    <row r="5183" spans="6:13" x14ac:dyDescent="0.25">
      <c r="F5183" t="s">
        <v>5912</v>
      </c>
      <c r="G5183">
        <v>69256</v>
      </c>
      <c r="H5183">
        <v>8226</v>
      </c>
      <c r="I5183" s="25" t="s">
        <v>2018</v>
      </c>
      <c r="J5183" t="s">
        <v>2442</v>
      </c>
      <c r="M5183" s="49"/>
    </row>
    <row r="5184" spans="6:13" x14ac:dyDescent="0.25">
      <c r="F5184" t="s">
        <v>5913</v>
      </c>
      <c r="G5184">
        <v>85419</v>
      </c>
      <c r="H5184">
        <v>9178</v>
      </c>
      <c r="I5184" s="25" t="s">
        <v>2050</v>
      </c>
      <c r="J5184" t="s">
        <v>2315</v>
      </c>
      <c r="M5184" s="49"/>
    </row>
    <row r="5185" spans="6:13" x14ac:dyDescent="0.25">
      <c r="F5185" t="s">
        <v>5914</v>
      </c>
      <c r="G5185">
        <v>87665</v>
      </c>
      <c r="H5185">
        <v>9777</v>
      </c>
      <c r="I5185" s="25" t="s">
        <v>2050</v>
      </c>
      <c r="J5185" t="s">
        <v>2237</v>
      </c>
      <c r="M5185" s="49"/>
    </row>
    <row r="5186" spans="6:13" x14ac:dyDescent="0.25">
      <c r="F5186" t="s">
        <v>5915</v>
      </c>
      <c r="G5186">
        <v>75433</v>
      </c>
      <c r="H5186">
        <v>8236</v>
      </c>
      <c r="I5186" s="25" t="s">
        <v>2018</v>
      </c>
      <c r="J5186" t="s">
        <v>3087</v>
      </c>
      <c r="M5186" s="49"/>
    </row>
    <row r="5187" spans="6:13" x14ac:dyDescent="0.25">
      <c r="F5187" t="s">
        <v>5916</v>
      </c>
      <c r="G5187">
        <v>79689</v>
      </c>
      <c r="H5187">
        <v>8336</v>
      </c>
      <c r="I5187" s="25" t="s">
        <v>2018</v>
      </c>
      <c r="J5187" t="s">
        <v>2227</v>
      </c>
      <c r="M5187" s="49"/>
    </row>
    <row r="5188" spans="6:13" x14ac:dyDescent="0.25">
      <c r="F5188" t="s">
        <v>5917</v>
      </c>
      <c r="G5188">
        <v>94151</v>
      </c>
      <c r="H5188">
        <v>9272</v>
      </c>
      <c r="I5188" s="25" t="s">
        <v>2050</v>
      </c>
      <c r="J5188" t="s">
        <v>2140</v>
      </c>
      <c r="M5188" s="49"/>
    </row>
    <row r="5189" spans="6:13" x14ac:dyDescent="0.25">
      <c r="F5189" t="s">
        <v>5918</v>
      </c>
      <c r="G5189">
        <v>67133</v>
      </c>
      <c r="H5189">
        <v>7338</v>
      </c>
      <c r="I5189" s="25" t="s">
        <v>2123</v>
      </c>
      <c r="J5189" t="s">
        <v>2448</v>
      </c>
      <c r="M5189" s="49"/>
    </row>
    <row r="5190" spans="6:13" x14ac:dyDescent="0.25">
      <c r="F5190" t="s">
        <v>5919</v>
      </c>
      <c r="G5190">
        <v>93142</v>
      </c>
      <c r="H5190">
        <v>9376</v>
      </c>
      <c r="I5190" s="25" t="s">
        <v>2050</v>
      </c>
      <c r="J5190" t="s">
        <v>2390</v>
      </c>
      <c r="M5190" s="49"/>
    </row>
    <row r="5191" spans="6:13" x14ac:dyDescent="0.25">
      <c r="F5191" t="s">
        <v>5920</v>
      </c>
      <c r="G5191">
        <v>56727</v>
      </c>
      <c r="H5191">
        <v>7137</v>
      </c>
      <c r="I5191" s="25" t="s">
        <v>2123</v>
      </c>
      <c r="J5191" t="s">
        <v>2246</v>
      </c>
      <c r="M5191" s="49"/>
    </row>
    <row r="5192" spans="6:13" x14ac:dyDescent="0.25">
      <c r="F5192" t="s">
        <v>5921</v>
      </c>
      <c r="G5192">
        <v>53508</v>
      </c>
      <c r="H5192">
        <v>7131</v>
      </c>
      <c r="I5192" s="25" t="s">
        <v>2123</v>
      </c>
      <c r="J5192" t="s">
        <v>2022</v>
      </c>
      <c r="M5192" s="49"/>
    </row>
    <row r="5193" spans="6:13" x14ac:dyDescent="0.25">
      <c r="F5193" t="s">
        <v>5922</v>
      </c>
      <c r="G5193">
        <v>53894</v>
      </c>
      <c r="H5193">
        <v>5366</v>
      </c>
      <c r="I5193" s="25" t="s">
        <v>2023</v>
      </c>
      <c r="J5193" t="s">
        <v>2127</v>
      </c>
      <c r="M5193" s="49"/>
    </row>
    <row r="5194" spans="6:13" x14ac:dyDescent="0.25">
      <c r="F5194" t="s">
        <v>5923</v>
      </c>
      <c r="G5194">
        <v>21358</v>
      </c>
      <c r="H5194">
        <v>3355</v>
      </c>
      <c r="I5194" s="25" t="s">
        <v>2074</v>
      </c>
      <c r="J5194" t="s">
        <v>2129</v>
      </c>
      <c r="M5194" s="49"/>
    </row>
    <row r="5195" spans="6:13" x14ac:dyDescent="0.25">
      <c r="F5195" t="s">
        <v>5924</v>
      </c>
      <c r="G5195">
        <v>88074</v>
      </c>
      <c r="H5195">
        <v>8435</v>
      </c>
      <c r="I5195" s="25" t="s">
        <v>2018</v>
      </c>
      <c r="J5195" t="s">
        <v>3011</v>
      </c>
      <c r="M5195" s="49"/>
    </row>
    <row r="5196" spans="6:13" x14ac:dyDescent="0.25">
      <c r="F5196" t="s">
        <v>5925</v>
      </c>
      <c r="G5196">
        <v>53340</v>
      </c>
      <c r="H5196">
        <v>5382</v>
      </c>
      <c r="I5196" s="25" t="s">
        <v>2023</v>
      </c>
      <c r="J5196" t="s">
        <v>2298</v>
      </c>
      <c r="M5196" s="49"/>
    </row>
    <row r="5197" spans="6:13" x14ac:dyDescent="0.25">
      <c r="F5197" t="s">
        <v>5925</v>
      </c>
      <c r="G5197">
        <v>67149</v>
      </c>
      <c r="H5197">
        <v>7332</v>
      </c>
      <c r="I5197" s="25" t="s">
        <v>2123</v>
      </c>
      <c r="J5197" t="s">
        <v>2440</v>
      </c>
      <c r="M5197" s="49"/>
    </row>
    <row r="5198" spans="6:13" x14ac:dyDescent="0.25">
      <c r="F5198" t="s">
        <v>5926</v>
      </c>
      <c r="G5198">
        <v>74909</v>
      </c>
      <c r="H5198">
        <v>8226</v>
      </c>
      <c r="I5198" s="25" t="s">
        <v>2018</v>
      </c>
      <c r="J5198" t="s">
        <v>2442</v>
      </c>
      <c r="M5198" s="49"/>
    </row>
    <row r="5199" spans="6:13" x14ac:dyDescent="0.25">
      <c r="F5199" t="s">
        <v>5927</v>
      </c>
      <c r="G5199">
        <v>67744</v>
      </c>
      <c r="H5199">
        <v>7133</v>
      </c>
      <c r="I5199" s="25" t="s">
        <v>2123</v>
      </c>
      <c r="J5199" t="s">
        <v>2037</v>
      </c>
      <c r="M5199" s="49"/>
    </row>
    <row r="5200" spans="6:13" x14ac:dyDescent="0.25">
      <c r="F5200" t="s">
        <v>5927</v>
      </c>
      <c r="G5200">
        <v>67744</v>
      </c>
      <c r="H5200">
        <v>7133</v>
      </c>
      <c r="I5200" s="25" t="s">
        <v>2123</v>
      </c>
      <c r="J5200" t="s">
        <v>2037</v>
      </c>
      <c r="M5200" s="49"/>
    </row>
    <row r="5201" spans="6:13" x14ac:dyDescent="0.25">
      <c r="F5201" t="s">
        <v>5927</v>
      </c>
      <c r="G5201">
        <v>67744</v>
      </c>
      <c r="H5201">
        <v>7133</v>
      </c>
      <c r="I5201" s="25" t="s">
        <v>2123</v>
      </c>
      <c r="J5201" t="s">
        <v>2037</v>
      </c>
      <c r="M5201" s="49"/>
    </row>
    <row r="5202" spans="6:13" x14ac:dyDescent="0.25">
      <c r="F5202" t="s">
        <v>5927</v>
      </c>
      <c r="G5202">
        <v>67744</v>
      </c>
      <c r="H5202">
        <v>7333</v>
      </c>
      <c r="I5202" s="25" t="s">
        <v>2123</v>
      </c>
      <c r="J5202" t="s">
        <v>2103</v>
      </c>
      <c r="M5202" s="49"/>
    </row>
    <row r="5203" spans="6:13" x14ac:dyDescent="0.25">
      <c r="F5203" t="s">
        <v>5927</v>
      </c>
      <c r="G5203">
        <v>67744</v>
      </c>
      <c r="H5203">
        <v>7333</v>
      </c>
      <c r="I5203" s="25" t="s">
        <v>2123</v>
      </c>
      <c r="J5203" t="s">
        <v>2103</v>
      </c>
      <c r="M5203" s="49"/>
    </row>
    <row r="5204" spans="6:13" x14ac:dyDescent="0.25">
      <c r="F5204" t="s">
        <v>5927</v>
      </c>
      <c r="G5204">
        <v>67744</v>
      </c>
      <c r="H5204">
        <v>7333</v>
      </c>
      <c r="I5204" s="25" t="s">
        <v>2123</v>
      </c>
      <c r="J5204" t="s">
        <v>2103</v>
      </c>
      <c r="M5204" s="49"/>
    </row>
    <row r="5205" spans="6:13" x14ac:dyDescent="0.25">
      <c r="F5205" t="s">
        <v>5927</v>
      </c>
      <c r="G5205">
        <v>67744</v>
      </c>
      <c r="H5205">
        <v>7336</v>
      </c>
      <c r="I5205" s="25" t="s">
        <v>2123</v>
      </c>
      <c r="J5205" t="s">
        <v>2216</v>
      </c>
      <c r="M5205" s="49"/>
    </row>
    <row r="5206" spans="6:13" x14ac:dyDescent="0.25">
      <c r="F5206" t="s">
        <v>5927</v>
      </c>
      <c r="G5206">
        <v>67744</v>
      </c>
      <c r="H5206">
        <v>7336</v>
      </c>
      <c r="I5206" s="25" t="s">
        <v>2123</v>
      </c>
      <c r="J5206" t="s">
        <v>2216</v>
      </c>
      <c r="M5206" s="49"/>
    </row>
    <row r="5207" spans="6:13" x14ac:dyDescent="0.25">
      <c r="F5207" t="s">
        <v>5927</v>
      </c>
      <c r="G5207">
        <v>67744</v>
      </c>
      <c r="H5207">
        <v>7336</v>
      </c>
      <c r="I5207" s="25" t="s">
        <v>2123</v>
      </c>
      <c r="J5207" t="s">
        <v>2216</v>
      </c>
      <c r="M5207" s="49"/>
    </row>
    <row r="5208" spans="6:13" x14ac:dyDescent="0.25">
      <c r="F5208" t="s">
        <v>5928</v>
      </c>
      <c r="G5208">
        <v>59964</v>
      </c>
      <c r="H5208">
        <v>5958</v>
      </c>
      <c r="I5208" s="25" t="s">
        <v>2023</v>
      </c>
      <c r="J5208" t="s">
        <v>2199</v>
      </c>
      <c r="M5208" s="49"/>
    </row>
    <row r="5209" spans="6:13" x14ac:dyDescent="0.25">
      <c r="F5209" t="s">
        <v>5929</v>
      </c>
      <c r="G5209">
        <v>24994</v>
      </c>
      <c r="H5209">
        <v>1059</v>
      </c>
      <c r="I5209" s="25" t="s">
        <v>2085</v>
      </c>
      <c r="J5209" t="s">
        <v>2354</v>
      </c>
      <c r="M5209" s="49"/>
    </row>
    <row r="5210" spans="6:13" x14ac:dyDescent="0.25">
      <c r="F5210" t="s">
        <v>5930</v>
      </c>
      <c r="G5210">
        <v>89441</v>
      </c>
      <c r="H5210">
        <v>9773</v>
      </c>
      <c r="I5210" s="25" t="s">
        <v>2050</v>
      </c>
      <c r="J5210" t="s">
        <v>2231</v>
      </c>
      <c r="M5210" s="49"/>
    </row>
    <row r="5211" spans="6:13" x14ac:dyDescent="0.25">
      <c r="F5211" t="s">
        <v>5931</v>
      </c>
      <c r="G5211">
        <v>96484</v>
      </c>
      <c r="H5211">
        <v>9473</v>
      </c>
      <c r="I5211" s="25" t="s">
        <v>2050</v>
      </c>
      <c r="J5211" t="s">
        <v>2177</v>
      </c>
      <c r="M5211" s="49"/>
    </row>
    <row r="5212" spans="6:13" x14ac:dyDescent="0.25">
      <c r="F5212" t="s">
        <v>5932</v>
      </c>
      <c r="G5212">
        <v>8393</v>
      </c>
      <c r="H5212">
        <v>14524</v>
      </c>
      <c r="I5212" s="25" t="s">
        <v>2135</v>
      </c>
      <c r="J5212" t="s">
        <v>3424</v>
      </c>
      <c r="M5212" s="49"/>
    </row>
    <row r="5213" spans="6:13" x14ac:dyDescent="0.25">
      <c r="F5213" t="s">
        <v>5933</v>
      </c>
      <c r="G5213">
        <v>31715</v>
      </c>
      <c r="H5213">
        <v>3257</v>
      </c>
      <c r="I5213" s="25" t="s">
        <v>2074</v>
      </c>
      <c r="J5213" t="s">
        <v>2167</v>
      </c>
      <c r="M5213" s="49"/>
    </row>
    <row r="5214" spans="6:13" x14ac:dyDescent="0.25">
      <c r="F5214" t="s">
        <v>5934</v>
      </c>
      <c r="G5214">
        <v>40668</v>
      </c>
      <c r="H5214">
        <v>5162</v>
      </c>
      <c r="I5214" s="25" t="s">
        <v>2023</v>
      </c>
      <c r="J5214" t="s">
        <v>2333</v>
      </c>
      <c r="M5214" s="49"/>
    </row>
    <row r="5215" spans="6:13" x14ac:dyDescent="0.25">
      <c r="F5215" t="s">
        <v>5934</v>
      </c>
      <c r="G5215">
        <v>40670</v>
      </c>
      <c r="H5215">
        <v>5162</v>
      </c>
      <c r="I5215" s="25" t="s">
        <v>2023</v>
      </c>
      <c r="J5215" t="s">
        <v>2333</v>
      </c>
      <c r="M5215" s="49"/>
    </row>
    <row r="5216" spans="6:13" x14ac:dyDescent="0.25">
      <c r="F5216" t="s">
        <v>5934</v>
      </c>
      <c r="G5216">
        <v>40667</v>
      </c>
      <c r="H5216">
        <v>5162</v>
      </c>
      <c r="I5216" s="25" t="s">
        <v>2023</v>
      </c>
      <c r="J5216" t="s">
        <v>2333</v>
      </c>
      <c r="M5216" s="49"/>
    </row>
    <row r="5217" spans="6:13" x14ac:dyDescent="0.25">
      <c r="F5217" t="s">
        <v>5935</v>
      </c>
      <c r="G5217">
        <v>88709</v>
      </c>
      <c r="H5217">
        <v>8435</v>
      </c>
      <c r="I5217" s="25" t="s">
        <v>2018</v>
      </c>
      <c r="J5217" t="s">
        <v>3011</v>
      </c>
      <c r="M5217" s="49"/>
    </row>
    <row r="5218" spans="6:13" x14ac:dyDescent="0.25">
      <c r="F5218" t="s">
        <v>5935</v>
      </c>
      <c r="G5218">
        <v>88709</v>
      </c>
      <c r="H5218">
        <v>8435</v>
      </c>
      <c r="I5218" s="25" t="s">
        <v>2018</v>
      </c>
      <c r="J5218" t="s">
        <v>3011</v>
      </c>
      <c r="M5218" s="49"/>
    </row>
    <row r="5219" spans="6:13" x14ac:dyDescent="0.25">
      <c r="F5219" t="s">
        <v>5936</v>
      </c>
      <c r="G5219">
        <v>86750</v>
      </c>
      <c r="H5219">
        <v>9779</v>
      </c>
      <c r="I5219" s="25" t="s">
        <v>2050</v>
      </c>
      <c r="J5219" t="s">
        <v>2280</v>
      </c>
      <c r="M5219" s="49"/>
    </row>
    <row r="5220" spans="6:13" x14ac:dyDescent="0.25">
      <c r="F5220" t="s">
        <v>5937</v>
      </c>
      <c r="G5220">
        <v>24799</v>
      </c>
      <c r="H5220">
        <v>1058</v>
      </c>
      <c r="I5220" s="25" t="s">
        <v>2085</v>
      </c>
      <c r="J5220" t="s">
        <v>2086</v>
      </c>
      <c r="M5220" s="49"/>
    </row>
    <row r="5221" spans="6:13" x14ac:dyDescent="0.25">
      <c r="F5221" t="s">
        <v>5937</v>
      </c>
      <c r="G5221">
        <v>24799</v>
      </c>
      <c r="H5221">
        <v>1058</v>
      </c>
      <c r="I5221" s="25" t="s">
        <v>2085</v>
      </c>
      <c r="J5221" t="s">
        <v>2086</v>
      </c>
      <c r="M5221" s="49"/>
    </row>
    <row r="5222" spans="6:13" x14ac:dyDescent="0.25">
      <c r="F5222" t="s">
        <v>5937</v>
      </c>
      <c r="G5222">
        <v>24799</v>
      </c>
      <c r="H5222">
        <v>1059</v>
      </c>
      <c r="I5222" s="25" t="s">
        <v>2085</v>
      </c>
      <c r="J5222" t="s">
        <v>2354</v>
      </c>
      <c r="M5222" s="49"/>
    </row>
    <row r="5223" spans="6:13" x14ac:dyDescent="0.25">
      <c r="F5223" t="s">
        <v>5937</v>
      </c>
      <c r="G5223">
        <v>24799</v>
      </c>
      <c r="H5223">
        <v>1059</v>
      </c>
      <c r="I5223" s="25" t="s">
        <v>2085</v>
      </c>
      <c r="J5223" t="s">
        <v>2354</v>
      </c>
      <c r="M5223" s="49"/>
    </row>
    <row r="5224" spans="6:13" x14ac:dyDescent="0.25">
      <c r="F5224" t="s">
        <v>5938</v>
      </c>
      <c r="G5224">
        <v>67735</v>
      </c>
      <c r="H5224">
        <v>7335</v>
      </c>
      <c r="I5224" s="25" t="s">
        <v>2123</v>
      </c>
      <c r="J5224" t="s">
        <v>2843</v>
      </c>
      <c r="M5224" s="49"/>
    </row>
    <row r="5225" spans="6:13" x14ac:dyDescent="0.25">
      <c r="F5225" t="s">
        <v>5939</v>
      </c>
      <c r="G5225">
        <v>67678</v>
      </c>
      <c r="H5225">
        <v>7335</v>
      </c>
      <c r="I5225" s="25" t="s">
        <v>2123</v>
      </c>
      <c r="J5225" t="s">
        <v>2843</v>
      </c>
      <c r="M5225" s="49"/>
    </row>
    <row r="5226" spans="6:13" x14ac:dyDescent="0.25">
      <c r="F5226" t="s">
        <v>5940</v>
      </c>
      <c r="G5226">
        <v>95694</v>
      </c>
      <c r="H5226">
        <v>9472</v>
      </c>
      <c r="I5226" s="25" t="s">
        <v>2050</v>
      </c>
      <c r="J5226" t="s">
        <v>2180</v>
      </c>
      <c r="M5226" s="49"/>
    </row>
    <row r="5227" spans="6:13" x14ac:dyDescent="0.25">
      <c r="F5227" t="s">
        <v>5940</v>
      </c>
      <c r="G5227">
        <v>95694</v>
      </c>
      <c r="H5227">
        <v>9472</v>
      </c>
      <c r="I5227" s="25" t="s">
        <v>2050</v>
      </c>
      <c r="J5227" t="s">
        <v>2180</v>
      </c>
      <c r="M5227" s="49"/>
    </row>
    <row r="5228" spans="6:13" x14ac:dyDescent="0.25">
      <c r="F5228" t="s">
        <v>5941</v>
      </c>
      <c r="G5228">
        <v>54552</v>
      </c>
      <c r="H5228">
        <v>7233</v>
      </c>
      <c r="I5228" s="25" t="s">
        <v>2123</v>
      </c>
      <c r="J5228" t="s">
        <v>2416</v>
      </c>
      <c r="M5228" s="49"/>
    </row>
    <row r="5229" spans="6:13" x14ac:dyDescent="0.25">
      <c r="F5229" t="s">
        <v>5941</v>
      </c>
      <c r="G5229">
        <v>54552</v>
      </c>
      <c r="H5229">
        <v>7233</v>
      </c>
      <c r="I5229" s="25" t="s">
        <v>2123</v>
      </c>
      <c r="J5229" t="s">
        <v>2416</v>
      </c>
      <c r="M5229" s="49"/>
    </row>
    <row r="5230" spans="6:13" x14ac:dyDescent="0.25">
      <c r="F5230" t="s">
        <v>5942</v>
      </c>
      <c r="G5230">
        <v>54346</v>
      </c>
      <c r="H5230">
        <v>7235</v>
      </c>
      <c r="I5230" s="25" t="s">
        <v>2123</v>
      </c>
      <c r="J5230" t="s">
        <v>2395</v>
      </c>
      <c r="M5230" s="49"/>
    </row>
    <row r="5231" spans="6:13" x14ac:dyDescent="0.25">
      <c r="F5231" t="s">
        <v>5942</v>
      </c>
      <c r="G5231">
        <v>84561</v>
      </c>
      <c r="H5231">
        <v>9171</v>
      </c>
      <c r="I5231" s="25" t="s">
        <v>2050</v>
      </c>
      <c r="J5231" t="s">
        <v>2446</v>
      </c>
      <c r="M5231" s="49"/>
    </row>
    <row r="5232" spans="6:13" x14ac:dyDescent="0.25">
      <c r="F5232" t="s">
        <v>5943</v>
      </c>
      <c r="G5232">
        <v>72537</v>
      </c>
      <c r="H5232">
        <v>8415</v>
      </c>
      <c r="I5232" s="25" t="s">
        <v>2018</v>
      </c>
      <c r="J5232" t="s">
        <v>2325</v>
      </c>
      <c r="M5232" s="49"/>
    </row>
    <row r="5233" spans="6:13" x14ac:dyDescent="0.25">
      <c r="F5233" t="s">
        <v>5944</v>
      </c>
      <c r="G5233">
        <v>38527</v>
      </c>
      <c r="H5233">
        <v>3151</v>
      </c>
      <c r="I5233" s="25" t="s">
        <v>2074</v>
      </c>
      <c r="J5233" t="s">
        <v>2126</v>
      </c>
      <c r="M5233" s="49"/>
    </row>
    <row r="5234" spans="6:13" x14ac:dyDescent="0.25">
      <c r="F5234" t="s">
        <v>5945</v>
      </c>
      <c r="G5234">
        <v>38536</v>
      </c>
      <c r="H5234">
        <v>3151</v>
      </c>
      <c r="I5234" s="25" t="s">
        <v>2074</v>
      </c>
      <c r="J5234" t="s">
        <v>2126</v>
      </c>
      <c r="M5234" s="49"/>
    </row>
    <row r="5235" spans="6:13" x14ac:dyDescent="0.25">
      <c r="F5235" t="s">
        <v>5946</v>
      </c>
      <c r="G5235">
        <v>58540</v>
      </c>
      <c r="H5235">
        <v>5962</v>
      </c>
      <c r="I5235" s="25" t="s">
        <v>2023</v>
      </c>
      <c r="J5235" t="s">
        <v>2239</v>
      </c>
      <c r="M5235" s="49"/>
    </row>
    <row r="5236" spans="6:13" x14ac:dyDescent="0.25">
      <c r="F5236" t="s">
        <v>5947</v>
      </c>
      <c r="G5236">
        <v>6721</v>
      </c>
      <c r="H5236">
        <v>15084</v>
      </c>
      <c r="I5236" s="25" t="s">
        <v>2241</v>
      </c>
      <c r="J5236" t="s">
        <v>2615</v>
      </c>
      <c r="M5236" s="49"/>
    </row>
    <row r="5237" spans="6:13" x14ac:dyDescent="0.25">
      <c r="F5237" t="s">
        <v>5948</v>
      </c>
      <c r="G5237">
        <v>37276</v>
      </c>
      <c r="H5237">
        <v>6636</v>
      </c>
      <c r="I5237" s="25" t="s">
        <v>2046</v>
      </c>
      <c r="J5237" t="s">
        <v>2733</v>
      </c>
      <c r="M5237" s="49"/>
    </row>
    <row r="5238" spans="6:13" x14ac:dyDescent="0.25">
      <c r="F5238" t="s">
        <v>5949</v>
      </c>
      <c r="G5238">
        <v>91802</v>
      </c>
      <c r="H5238">
        <v>9577</v>
      </c>
      <c r="I5238" s="25" t="s">
        <v>2050</v>
      </c>
      <c r="J5238" t="s">
        <v>2057</v>
      </c>
      <c r="M5238" s="49"/>
    </row>
    <row r="5239" spans="6:13" x14ac:dyDescent="0.25">
      <c r="F5239" t="s">
        <v>5950</v>
      </c>
      <c r="G5239">
        <v>98617</v>
      </c>
      <c r="H5239">
        <v>16066</v>
      </c>
      <c r="I5239" s="25" t="s">
        <v>2384</v>
      </c>
      <c r="J5239" t="s">
        <v>2358</v>
      </c>
      <c r="M5239" s="49"/>
    </row>
    <row r="5240" spans="6:13" x14ac:dyDescent="0.25">
      <c r="F5240" t="s">
        <v>5951</v>
      </c>
      <c r="G5240">
        <v>55590</v>
      </c>
      <c r="H5240">
        <v>7133</v>
      </c>
      <c r="I5240" s="25" t="s">
        <v>2123</v>
      </c>
      <c r="J5240" t="s">
        <v>2037</v>
      </c>
      <c r="M5240" s="49"/>
    </row>
    <row r="5241" spans="6:13" x14ac:dyDescent="0.25">
      <c r="F5241" t="s">
        <v>2251</v>
      </c>
      <c r="G5241">
        <v>1662</v>
      </c>
      <c r="H5241">
        <v>14627</v>
      </c>
      <c r="I5241" s="25" t="s">
        <v>2135</v>
      </c>
      <c r="J5241" t="s">
        <v>2251</v>
      </c>
      <c r="M5241" s="49"/>
    </row>
    <row r="5242" spans="6:13" x14ac:dyDescent="0.25">
      <c r="F5242" t="s">
        <v>5952</v>
      </c>
      <c r="G5242">
        <v>77974</v>
      </c>
      <c r="H5242">
        <v>8317</v>
      </c>
      <c r="I5242" s="25" t="s">
        <v>2018</v>
      </c>
      <c r="J5242" t="s">
        <v>2071</v>
      </c>
      <c r="M5242" s="49"/>
    </row>
    <row r="5243" spans="6:13" x14ac:dyDescent="0.25">
      <c r="F5243" t="s">
        <v>5953</v>
      </c>
      <c r="G5243">
        <v>37290</v>
      </c>
      <c r="H5243">
        <v>6636</v>
      </c>
      <c r="I5243" s="25" t="s">
        <v>2046</v>
      </c>
      <c r="J5243" t="s">
        <v>2733</v>
      </c>
      <c r="M5243" s="49"/>
    </row>
    <row r="5244" spans="6:13" x14ac:dyDescent="0.25">
      <c r="F5244" t="s">
        <v>5954</v>
      </c>
      <c r="G5244">
        <v>86405</v>
      </c>
      <c r="H5244">
        <v>9772</v>
      </c>
      <c r="I5244" s="25" t="s">
        <v>2050</v>
      </c>
      <c r="J5244" t="s">
        <v>2117</v>
      </c>
      <c r="M5244" s="49"/>
    </row>
    <row r="5245" spans="6:13" x14ac:dyDescent="0.25">
      <c r="F5245" t="s">
        <v>5955</v>
      </c>
      <c r="G5245">
        <v>21406</v>
      </c>
      <c r="H5245">
        <v>3355</v>
      </c>
      <c r="I5245" s="25" t="s">
        <v>2074</v>
      </c>
      <c r="J5245" t="s">
        <v>2129</v>
      </c>
      <c r="M5245" s="49"/>
    </row>
    <row r="5246" spans="6:13" x14ac:dyDescent="0.25">
      <c r="F5246" t="s">
        <v>5956</v>
      </c>
      <c r="G5246">
        <v>16230</v>
      </c>
      <c r="H5246">
        <v>12060</v>
      </c>
      <c r="I5246" s="25" t="s">
        <v>2356</v>
      </c>
      <c r="J5246" t="s">
        <v>2040</v>
      </c>
      <c r="M5246" s="49"/>
    </row>
    <row r="5247" spans="6:13" x14ac:dyDescent="0.25">
      <c r="F5247" t="s">
        <v>5956</v>
      </c>
      <c r="G5247">
        <v>16230</v>
      </c>
      <c r="H5247">
        <v>12060</v>
      </c>
      <c r="I5247" s="25" t="s">
        <v>2356</v>
      </c>
      <c r="J5247" t="s">
        <v>2040</v>
      </c>
      <c r="M5247" s="49"/>
    </row>
    <row r="5248" spans="6:13" x14ac:dyDescent="0.25">
      <c r="F5248" t="s">
        <v>5957</v>
      </c>
      <c r="G5248">
        <v>25704</v>
      </c>
      <c r="H5248">
        <v>1051</v>
      </c>
      <c r="I5248" s="25" t="s">
        <v>2085</v>
      </c>
      <c r="J5248" t="s">
        <v>2097</v>
      </c>
      <c r="M5248" s="49"/>
    </row>
    <row r="5249" spans="6:13" x14ac:dyDescent="0.25">
      <c r="F5249" t="s">
        <v>5958</v>
      </c>
      <c r="G5249">
        <v>49324</v>
      </c>
      <c r="H5249">
        <v>3459</v>
      </c>
      <c r="I5249" s="25" t="s">
        <v>2074</v>
      </c>
      <c r="J5249" t="s">
        <v>2292</v>
      </c>
      <c r="M5249" s="49"/>
    </row>
    <row r="5250" spans="6:13" x14ac:dyDescent="0.25">
      <c r="F5250" t="s">
        <v>5958</v>
      </c>
      <c r="G5250">
        <v>49326</v>
      </c>
      <c r="H5250">
        <v>3459</v>
      </c>
      <c r="I5250" s="25" t="s">
        <v>2074</v>
      </c>
      <c r="J5250" t="s">
        <v>2292</v>
      </c>
      <c r="M5250" s="49"/>
    </row>
    <row r="5251" spans="6:13" x14ac:dyDescent="0.25">
      <c r="F5251" t="s">
        <v>5958</v>
      </c>
      <c r="G5251">
        <v>49328</v>
      </c>
      <c r="H5251">
        <v>3459</v>
      </c>
      <c r="I5251" s="25" t="s">
        <v>2074</v>
      </c>
      <c r="J5251" t="s">
        <v>2292</v>
      </c>
      <c r="M5251" s="49"/>
    </row>
    <row r="5252" spans="6:13" x14ac:dyDescent="0.25">
      <c r="F5252" t="s">
        <v>5959</v>
      </c>
      <c r="G5252">
        <v>97638</v>
      </c>
      <c r="H5252">
        <v>9673</v>
      </c>
      <c r="I5252" s="25" t="s">
        <v>2050</v>
      </c>
      <c r="J5252" t="s">
        <v>2676</v>
      </c>
      <c r="M5252" s="49"/>
    </row>
    <row r="5253" spans="6:13" x14ac:dyDescent="0.25">
      <c r="F5253" t="s">
        <v>5959</v>
      </c>
      <c r="G5253">
        <v>97638</v>
      </c>
      <c r="H5253">
        <v>9673</v>
      </c>
      <c r="I5253" s="25" t="s">
        <v>2050</v>
      </c>
      <c r="J5253" t="s">
        <v>2676</v>
      </c>
      <c r="M5253" s="49"/>
    </row>
    <row r="5254" spans="6:13" x14ac:dyDescent="0.25">
      <c r="F5254" t="s">
        <v>5960</v>
      </c>
      <c r="G5254">
        <v>56581</v>
      </c>
      <c r="H5254">
        <v>7138</v>
      </c>
      <c r="I5254" s="25" t="s">
        <v>2123</v>
      </c>
      <c r="J5254" t="s">
        <v>2489</v>
      </c>
      <c r="M5254" s="49"/>
    </row>
    <row r="5255" spans="6:13" x14ac:dyDescent="0.25">
      <c r="F5255" t="s">
        <v>5961</v>
      </c>
      <c r="G5255">
        <v>24109</v>
      </c>
      <c r="H5255">
        <v>1002</v>
      </c>
      <c r="I5255" s="25" t="s">
        <v>2085</v>
      </c>
      <c r="J5255" t="s">
        <v>2211</v>
      </c>
      <c r="M5255" s="49"/>
    </row>
    <row r="5256" spans="6:13" x14ac:dyDescent="0.25">
      <c r="F5256" t="s">
        <v>5961</v>
      </c>
      <c r="G5256">
        <v>24109</v>
      </c>
      <c r="H5256">
        <v>1058</v>
      </c>
      <c r="I5256" s="25" t="s">
        <v>2085</v>
      </c>
      <c r="J5256" t="s">
        <v>2086</v>
      </c>
      <c r="M5256" s="49"/>
    </row>
    <row r="5257" spans="6:13" x14ac:dyDescent="0.25">
      <c r="F5257" t="s">
        <v>5962</v>
      </c>
      <c r="G5257">
        <v>34212</v>
      </c>
      <c r="H5257">
        <v>6634</v>
      </c>
      <c r="I5257" s="25" t="s">
        <v>2046</v>
      </c>
      <c r="J5257" t="s">
        <v>2360</v>
      </c>
      <c r="M5257" s="49"/>
    </row>
    <row r="5258" spans="6:13" x14ac:dyDescent="0.25">
      <c r="F5258" t="s">
        <v>5963</v>
      </c>
      <c r="G5258">
        <v>96117</v>
      </c>
      <c r="H5258">
        <v>9471</v>
      </c>
      <c r="I5258" s="25" t="s">
        <v>2050</v>
      </c>
      <c r="J5258" t="s">
        <v>2392</v>
      </c>
      <c r="M5258" s="49"/>
    </row>
    <row r="5259" spans="6:13" x14ac:dyDescent="0.25">
      <c r="F5259" t="s">
        <v>5964</v>
      </c>
      <c r="G5259">
        <v>87700</v>
      </c>
      <c r="H5259">
        <v>9764</v>
      </c>
      <c r="I5259" s="25" t="s">
        <v>2050</v>
      </c>
      <c r="J5259" t="s">
        <v>5965</v>
      </c>
      <c r="M5259" s="49"/>
    </row>
    <row r="5260" spans="6:13" x14ac:dyDescent="0.25">
      <c r="F5260" t="s">
        <v>5966</v>
      </c>
      <c r="G5260">
        <v>87766</v>
      </c>
      <c r="H5260">
        <v>9778</v>
      </c>
      <c r="I5260" s="25" t="s">
        <v>2050</v>
      </c>
      <c r="J5260" t="s">
        <v>2460</v>
      </c>
      <c r="M5260" s="49"/>
    </row>
    <row r="5261" spans="6:13" x14ac:dyDescent="0.25">
      <c r="F5261" t="s">
        <v>5967</v>
      </c>
      <c r="G5261">
        <v>58706</v>
      </c>
      <c r="H5261">
        <v>5962</v>
      </c>
      <c r="I5261" s="25" t="s">
        <v>2023</v>
      </c>
      <c r="J5261" t="s">
        <v>2239</v>
      </c>
      <c r="M5261" s="49"/>
    </row>
    <row r="5262" spans="6:13" x14ac:dyDescent="0.25">
      <c r="F5262" t="s">
        <v>5967</v>
      </c>
      <c r="G5262">
        <v>58708</v>
      </c>
      <c r="H5262">
        <v>5962</v>
      </c>
      <c r="I5262" s="25" t="s">
        <v>2023</v>
      </c>
      <c r="J5262" t="s">
        <v>2239</v>
      </c>
      <c r="M5262" s="49"/>
    </row>
    <row r="5263" spans="6:13" x14ac:dyDescent="0.25">
      <c r="F5263" t="s">
        <v>5967</v>
      </c>
      <c r="G5263">
        <v>58710</v>
      </c>
      <c r="H5263">
        <v>5962</v>
      </c>
      <c r="I5263" s="25" t="s">
        <v>2023</v>
      </c>
      <c r="J5263" t="s">
        <v>2239</v>
      </c>
      <c r="M5263" s="49"/>
    </row>
    <row r="5264" spans="6:13" x14ac:dyDescent="0.25">
      <c r="F5264" t="s">
        <v>5968</v>
      </c>
      <c r="G5264">
        <v>56743</v>
      </c>
      <c r="H5264">
        <v>7137</v>
      </c>
      <c r="I5264" s="25" t="s">
        <v>2123</v>
      </c>
      <c r="J5264" t="s">
        <v>2246</v>
      </c>
      <c r="M5264" s="49"/>
    </row>
    <row r="5265" spans="6:13" x14ac:dyDescent="0.25">
      <c r="F5265" t="s">
        <v>5969</v>
      </c>
      <c r="G5265">
        <v>88512</v>
      </c>
      <c r="H5265">
        <v>8437</v>
      </c>
      <c r="I5265" s="25" t="s">
        <v>2018</v>
      </c>
      <c r="J5265" t="s">
        <v>2720</v>
      </c>
      <c r="M5265" s="49"/>
    </row>
    <row r="5266" spans="6:13" x14ac:dyDescent="0.25">
      <c r="F5266" t="s">
        <v>5969</v>
      </c>
      <c r="G5266">
        <v>88512</v>
      </c>
      <c r="H5266">
        <v>8437</v>
      </c>
      <c r="I5266" s="25" t="s">
        <v>2018</v>
      </c>
      <c r="J5266" t="s">
        <v>2720</v>
      </c>
      <c r="M5266" s="49"/>
    </row>
    <row r="5267" spans="6:13" x14ac:dyDescent="0.25">
      <c r="F5267" t="s">
        <v>5970</v>
      </c>
      <c r="G5267">
        <v>35794</v>
      </c>
      <c r="H5267">
        <v>6533</v>
      </c>
      <c r="I5267" s="25" t="s">
        <v>2046</v>
      </c>
      <c r="J5267" t="s">
        <v>2629</v>
      </c>
      <c r="M5267" s="49"/>
    </row>
    <row r="5268" spans="6:13" x14ac:dyDescent="0.25">
      <c r="F5268" t="s">
        <v>5971</v>
      </c>
      <c r="G5268">
        <v>84152</v>
      </c>
      <c r="H5268">
        <v>9279</v>
      </c>
      <c r="I5268" s="25" t="s">
        <v>2050</v>
      </c>
      <c r="J5268" t="s">
        <v>3574</v>
      </c>
      <c r="M5268" s="49"/>
    </row>
    <row r="5269" spans="6:13" x14ac:dyDescent="0.25">
      <c r="F5269" t="s">
        <v>5972</v>
      </c>
      <c r="G5269">
        <v>49637</v>
      </c>
      <c r="H5269">
        <v>3459</v>
      </c>
      <c r="I5269" s="25" t="s">
        <v>2074</v>
      </c>
      <c r="J5269" t="s">
        <v>2292</v>
      </c>
      <c r="M5269" s="49"/>
    </row>
    <row r="5270" spans="6:13" x14ac:dyDescent="0.25">
      <c r="F5270" t="s">
        <v>5973</v>
      </c>
      <c r="G5270">
        <v>99996</v>
      </c>
      <c r="H5270">
        <v>16064</v>
      </c>
      <c r="I5270" s="25" t="s">
        <v>2384</v>
      </c>
      <c r="J5270" t="s">
        <v>2405</v>
      </c>
      <c r="M5270" s="49"/>
    </row>
    <row r="5271" spans="6:13" x14ac:dyDescent="0.25">
      <c r="F5271" t="s">
        <v>2121</v>
      </c>
      <c r="G5271">
        <v>49716</v>
      </c>
      <c r="H5271">
        <v>3454</v>
      </c>
      <c r="I5271" s="25" t="s">
        <v>2074</v>
      </c>
      <c r="J5271" t="s">
        <v>2118</v>
      </c>
      <c r="M5271" s="49"/>
    </row>
    <row r="5272" spans="6:13" x14ac:dyDescent="0.25">
      <c r="F5272" t="s">
        <v>5974</v>
      </c>
      <c r="G5272">
        <v>86504</v>
      </c>
      <c r="H5272">
        <v>9771</v>
      </c>
      <c r="I5272" s="25" t="s">
        <v>2050</v>
      </c>
      <c r="J5272" t="s">
        <v>2120</v>
      </c>
      <c r="M5272" s="49"/>
    </row>
    <row r="5273" spans="6:13" x14ac:dyDescent="0.25">
      <c r="F5273" t="s">
        <v>5975</v>
      </c>
      <c r="G5273">
        <v>66589</v>
      </c>
      <c r="H5273">
        <v>10043</v>
      </c>
      <c r="I5273" s="25" t="s">
        <v>2849</v>
      </c>
      <c r="J5273" t="s">
        <v>3883</v>
      </c>
      <c r="M5273" s="49"/>
    </row>
    <row r="5274" spans="6:13" x14ac:dyDescent="0.25">
      <c r="F5274" t="s">
        <v>5976</v>
      </c>
      <c r="G5274">
        <v>79291</v>
      </c>
      <c r="H5274">
        <v>8315</v>
      </c>
      <c r="I5274" s="25" t="s">
        <v>2018</v>
      </c>
      <c r="J5274" t="s">
        <v>2061</v>
      </c>
      <c r="M5274" s="49"/>
    </row>
    <row r="5275" spans="6:13" x14ac:dyDescent="0.25">
      <c r="F5275" t="s">
        <v>5977</v>
      </c>
      <c r="G5275">
        <v>35799</v>
      </c>
      <c r="H5275">
        <v>6533</v>
      </c>
      <c r="I5275" s="25" t="s">
        <v>2046</v>
      </c>
      <c r="J5275" t="s">
        <v>2629</v>
      </c>
      <c r="M5275" s="49"/>
    </row>
    <row r="5276" spans="6:13" x14ac:dyDescent="0.25">
      <c r="F5276" t="s">
        <v>5978</v>
      </c>
      <c r="G5276">
        <v>86415</v>
      </c>
      <c r="H5276">
        <v>9771</v>
      </c>
      <c r="I5276" s="25" t="s">
        <v>2050</v>
      </c>
      <c r="J5276" t="s">
        <v>2120</v>
      </c>
      <c r="M5276" s="49"/>
    </row>
    <row r="5277" spans="6:13" x14ac:dyDescent="0.25">
      <c r="F5277" t="s">
        <v>5979</v>
      </c>
      <c r="G5277">
        <v>91732</v>
      </c>
      <c r="H5277">
        <v>9571</v>
      </c>
      <c r="I5277" s="25" t="s">
        <v>2050</v>
      </c>
      <c r="J5277" t="s">
        <v>2113</v>
      </c>
      <c r="M5277" s="49"/>
    </row>
    <row r="5278" spans="6:13" x14ac:dyDescent="0.25">
      <c r="F5278" t="s">
        <v>5980</v>
      </c>
      <c r="G5278">
        <v>89188</v>
      </c>
      <c r="H5278">
        <v>8425</v>
      </c>
      <c r="I5278" s="25" t="s">
        <v>2018</v>
      </c>
      <c r="J5278" t="s">
        <v>2027</v>
      </c>
      <c r="M5278" s="49"/>
    </row>
    <row r="5279" spans="6:13" x14ac:dyDescent="0.25">
      <c r="F5279" t="s">
        <v>5981</v>
      </c>
      <c r="G5279">
        <v>6217</v>
      </c>
      <c r="H5279">
        <v>15088</v>
      </c>
      <c r="I5279" s="25" t="s">
        <v>2241</v>
      </c>
      <c r="J5279" t="s">
        <v>2344</v>
      </c>
      <c r="M5279" s="49"/>
    </row>
    <row r="5280" spans="6:13" x14ac:dyDescent="0.25">
      <c r="F5280" t="s">
        <v>5982</v>
      </c>
      <c r="G5280">
        <v>54318</v>
      </c>
      <c r="H5280">
        <v>7235</v>
      </c>
      <c r="I5280" s="25" t="s">
        <v>2123</v>
      </c>
      <c r="J5280" t="s">
        <v>2395</v>
      </c>
      <c r="M5280" s="49"/>
    </row>
    <row r="5281" spans="6:13" x14ac:dyDescent="0.25">
      <c r="F5281" t="s">
        <v>5983</v>
      </c>
      <c r="G5281">
        <v>86690</v>
      </c>
      <c r="H5281">
        <v>9779</v>
      </c>
      <c r="I5281" s="25" t="s">
        <v>2050</v>
      </c>
      <c r="J5281" t="s">
        <v>2280</v>
      </c>
      <c r="M5281" s="49"/>
    </row>
    <row r="5282" spans="6:13" x14ac:dyDescent="0.25">
      <c r="F5282" t="s">
        <v>5984</v>
      </c>
      <c r="G5282">
        <v>56753</v>
      </c>
      <c r="H5282">
        <v>7137</v>
      </c>
      <c r="I5282" s="25" t="s">
        <v>2123</v>
      </c>
      <c r="J5282" t="s">
        <v>2246</v>
      </c>
      <c r="M5282" s="49"/>
    </row>
    <row r="5283" spans="6:13" x14ac:dyDescent="0.25">
      <c r="F5283" t="s">
        <v>5984</v>
      </c>
      <c r="G5283">
        <v>56753</v>
      </c>
      <c r="H5283">
        <v>7137</v>
      </c>
      <c r="I5283" s="25" t="s">
        <v>2123</v>
      </c>
      <c r="J5283" t="s">
        <v>2246</v>
      </c>
      <c r="M5283" s="49"/>
    </row>
    <row r="5284" spans="6:13" x14ac:dyDescent="0.25">
      <c r="F5284" t="s">
        <v>5985</v>
      </c>
      <c r="G5284">
        <v>55627</v>
      </c>
      <c r="H5284">
        <v>7133</v>
      </c>
      <c r="I5284" s="25" t="s">
        <v>2123</v>
      </c>
      <c r="J5284" t="s">
        <v>2037</v>
      </c>
      <c r="M5284" s="49"/>
    </row>
    <row r="5285" spans="6:13" x14ac:dyDescent="0.25">
      <c r="F5285" t="s">
        <v>5986</v>
      </c>
      <c r="G5285">
        <v>49586</v>
      </c>
      <c r="H5285">
        <v>3459</v>
      </c>
      <c r="I5285" s="25" t="s">
        <v>2074</v>
      </c>
      <c r="J5285" t="s">
        <v>2292</v>
      </c>
      <c r="M5285" s="49"/>
    </row>
    <row r="5286" spans="6:13" x14ac:dyDescent="0.25">
      <c r="F5286" t="s">
        <v>5987</v>
      </c>
      <c r="G5286">
        <v>52399</v>
      </c>
      <c r="H5286">
        <v>5358</v>
      </c>
      <c r="I5286" s="25" t="s">
        <v>2023</v>
      </c>
      <c r="J5286" t="s">
        <v>2106</v>
      </c>
      <c r="M5286" s="49"/>
    </row>
    <row r="5287" spans="6:13" x14ac:dyDescent="0.25">
      <c r="F5287" t="s">
        <v>5988</v>
      </c>
      <c r="G5287">
        <v>79249</v>
      </c>
      <c r="H5287">
        <v>8315</v>
      </c>
      <c r="I5287" s="25" t="s">
        <v>2018</v>
      </c>
      <c r="J5287" t="s">
        <v>2061</v>
      </c>
      <c r="M5287" s="49"/>
    </row>
    <row r="5288" spans="6:13" x14ac:dyDescent="0.25">
      <c r="F5288" t="s">
        <v>5989</v>
      </c>
      <c r="G5288">
        <v>66663</v>
      </c>
      <c r="H5288">
        <v>10042</v>
      </c>
      <c r="I5288" s="25" t="s">
        <v>2849</v>
      </c>
      <c r="J5288" t="s">
        <v>2850</v>
      </c>
      <c r="M5288" s="49"/>
    </row>
    <row r="5289" spans="6:13" x14ac:dyDescent="0.25">
      <c r="F5289" t="s">
        <v>5990</v>
      </c>
      <c r="G5289">
        <v>59872</v>
      </c>
      <c r="H5289">
        <v>5958</v>
      </c>
      <c r="I5289" s="25" t="s">
        <v>2023</v>
      </c>
      <c r="J5289" t="s">
        <v>2199</v>
      </c>
      <c r="M5289" s="49"/>
    </row>
    <row r="5290" spans="6:13" x14ac:dyDescent="0.25">
      <c r="F5290" t="s">
        <v>5991</v>
      </c>
      <c r="G5290">
        <v>63875</v>
      </c>
      <c r="H5290">
        <v>9671</v>
      </c>
      <c r="I5290" s="25" t="s">
        <v>2050</v>
      </c>
      <c r="J5290" t="s">
        <v>2453</v>
      </c>
      <c r="M5290" s="49"/>
    </row>
    <row r="5291" spans="6:13" x14ac:dyDescent="0.25">
      <c r="F5291" t="s">
        <v>5992</v>
      </c>
      <c r="G5291">
        <v>64409</v>
      </c>
      <c r="H5291">
        <v>6432</v>
      </c>
      <c r="I5291" s="25" t="s">
        <v>2046</v>
      </c>
      <c r="J5291" t="s">
        <v>2338</v>
      </c>
      <c r="M5291" s="49"/>
    </row>
    <row r="5292" spans="6:13" x14ac:dyDescent="0.25">
      <c r="F5292" t="s">
        <v>5993</v>
      </c>
      <c r="G5292">
        <v>88605</v>
      </c>
      <c r="H5292">
        <v>8437</v>
      </c>
      <c r="I5292" s="25" t="s">
        <v>2018</v>
      </c>
      <c r="J5292" t="s">
        <v>2720</v>
      </c>
      <c r="M5292" s="49"/>
    </row>
    <row r="5293" spans="6:13" x14ac:dyDescent="0.25">
      <c r="F5293" t="s">
        <v>5994</v>
      </c>
      <c r="G5293">
        <v>72469</v>
      </c>
      <c r="H5293">
        <v>8417</v>
      </c>
      <c r="I5293" s="25" t="s">
        <v>2018</v>
      </c>
      <c r="J5293" t="s">
        <v>2269</v>
      </c>
      <c r="M5293" s="49"/>
    </row>
    <row r="5294" spans="6:13" x14ac:dyDescent="0.25">
      <c r="F5294" t="s">
        <v>5995</v>
      </c>
      <c r="G5294">
        <v>48629</v>
      </c>
      <c r="H5294">
        <v>5566</v>
      </c>
      <c r="I5294" s="25" t="s">
        <v>2023</v>
      </c>
      <c r="J5294" t="s">
        <v>2379</v>
      </c>
      <c r="M5294" s="49"/>
    </row>
    <row r="5295" spans="6:13" x14ac:dyDescent="0.25">
      <c r="F5295" t="s">
        <v>5996</v>
      </c>
      <c r="G5295">
        <v>94526</v>
      </c>
      <c r="H5295">
        <v>9271</v>
      </c>
      <c r="I5295" s="25" t="s">
        <v>2050</v>
      </c>
      <c r="J5295" t="s">
        <v>2172</v>
      </c>
      <c r="M5295" s="49"/>
    </row>
    <row r="5296" spans="6:13" x14ac:dyDescent="0.25">
      <c r="F5296" t="s">
        <v>5997</v>
      </c>
      <c r="G5296">
        <v>67582</v>
      </c>
      <c r="H5296">
        <v>7331</v>
      </c>
      <c r="I5296" s="25" t="s">
        <v>2123</v>
      </c>
      <c r="J5296" t="s">
        <v>2029</v>
      </c>
      <c r="M5296" s="49"/>
    </row>
    <row r="5297" spans="6:13" x14ac:dyDescent="0.25">
      <c r="F5297" t="s">
        <v>5997</v>
      </c>
      <c r="G5297">
        <v>84562</v>
      </c>
      <c r="H5297">
        <v>9183</v>
      </c>
      <c r="I5297" s="25" t="s">
        <v>2050</v>
      </c>
      <c r="J5297" t="s">
        <v>2474</v>
      </c>
      <c r="M5297" s="49"/>
    </row>
    <row r="5298" spans="6:13" x14ac:dyDescent="0.25">
      <c r="F5298" t="s">
        <v>5998</v>
      </c>
      <c r="G5298">
        <v>49497</v>
      </c>
      <c r="H5298">
        <v>5566</v>
      </c>
      <c r="I5298" s="25" t="s">
        <v>2023</v>
      </c>
      <c r="J5298" t="s">
        <v>2379</v>
      </c>
      <c r="M5298" s="49"/>
    </row>
    <row r="5299" spans="6:13" x14ac:dyDescent="0.25">
      <c r="F5299" t="s">
        <v>5999</v>
      </c>
      <c r="G5299">
        <v>66693</v>
      </c>
      <c r="H5299">
        <v>10042</v>
      </c>
      <c r="I5299" s="25" t="s">
        <v>2849</v>
      </c>
      <c r="J5299" t="s">
        <v>2850</v>
      </c>
      <c r="M5299" s="49"/>
    </row>
    <row r="5300" spans="6:13" x14ac:dyDescent="0.25">
      <c r="F5300" t="s">
        <v>2252</v>
      </c>
      <c r="G5300">
        <v>40822</v>
      </c>
      <c r="H5300">
        <v>5158</v>
      </c>
      <c r="I5300" s="25" t="s">
        <v>2023</v>
      </c>
      <c r="J5300" t="s">
        <v>2252</v>
      </c>
      <c r="M5300" s="49"/>
    </row>
    <row r="5301" spans="6:13" x14ac:dyDescent="0.25">
      <c r="F5301" t="s">
        <v>6000</v>
      </c>
      <c r="G5301">
        <v>72555</v>
      </c>
      <c r="H5301">
        <v>8415</v>
      </c>
      <c r="I5301" s="25" t="s">
        <v>2018</v>
      </c>
      <c r="J5301" t="s">
        <v>2325</v>
      </c>
      <c r="M5301" s="49"/>
    </row>
    <row r="5302" spans="6:13" x14ac:dyDescent="0.25">
      <c r="F5302" t="s">
        <v>6001</v>
      </c>
      <c r="G5302">
        <v>56414</v>
      </c>
      <c r="H5302">
        <v>7143</v>
      </c>
      <c r="I5302" s="25" t="s">
        <v>2123</v>
      </c>
      <c r="J5302" t="s">
        <v>2331</v>
      </c>
      <c r="M5302" s="49"/>
    </row>
    <row r="5303" spans="6:13" x14ac:dyDescent="0.25">
      <c r="F5303" t="s">
        <v>6002</v>
      </c>
      <c r="G5303">
        <v>4610</v>
      </c>
      <c r="H5303">
        <v>16077</v>
      </c>
      <c r="I5303" s="25" t="s">
        <v>2384</v>
      </c>
      <c r="J5303" t="s">
        <v>2385</v>
      </c>
      <c r="M5303" s="49"/>
    </row>
    <row r="5304" spans="6:13" x14ac:dyDescent="0.25">
      <c r="F5304" t="s">
        <v>6003</v>
      </c>
      <c r="G5304">
        <v>16945</v>
      </c>
      <c r="H5304">
        <v>12070</v>
      </c>
      <c r="I5304" s="25" t="s">
        <v>2356</v>
      </c>
      <c r="J5304" t="s">
        <v>2316</v>
      </c>
      <c r="M5304" s="49"/>
    </row>
    <row r="5305" spans="6:13" x14ac:dyDescent="0.25">
      <c r="F5305" t="s">
        <v>6004</v>
      </c>
      <c r="G5305">
        <v>96247</v>
      </c>
      <c r="H5305">
        <v>9478</v>
      </c>
      <c r="I5305" s="25" t="s">
        <v>2050</v>
      </c>
      <c r="J5305" t="s">
        <v>2404</v>
      </c>
      <c r="M5305" s="49"/>
    </row>
    <row r="5306" spans="6:13" x14ac:dyDescent="0.25">
      <c r="F5306" t="s">
        <v>6005</v>
      </c>
      <c r="G5306">
        <v>97513</v>
      </c>
      <c r="H5306">
        <v>9678</v>
      </c>
      <c r="I5306" s="25" t="s">
        <v>2050</v>
      </c>
      <c r="J5306" t="s">
        <v>2918</v>
      </c>
      <c r="M5306" s="49"/>
    </row>
    <row r="5307" spans="6:13" x14ac:dyDescent="0.25">
      <c r="F5307" t="s">
        <v>6006</v>
      </c>
      <c r="G5307">
        <v>74544</v>
      </c>
      <c r="H5307">
        <v>8127</v>
      </c>
      <c r="I5307" s="25" t="s">
        <v>2018</v>
      </c>
      <c r="J5307" t="s">
        <v>3126</v>
      </c>
      <c r="M5307" s="49"/>
    </row>
    <row r="5308" spans="6:13" x14ac:dyDescent="0.25">
      <c r="F5308" t="s">
        <v>6007</v>
      </c>
      <c r="G5308">
        <v>74545</v>
      </c>
      <c r="H5308">
        <v>8127</v>
      </c>
      <c r="I5308" s="25" t="s">
        <v>2018</v>
      </c>
      <c r="J5308" t="s">
        <v>3126</v>
      </c>
      <c r="M5308" s="49"/>
    </row>
    <row r="5309" spans="6:13" x14ac:dyDescent="0.25">
      <c r="F5309" t="s">
        <v>6008</v>
      </c>
      <c r="G5309">
        <v>93185</v>
      </c>
      <c r="H5309">
        <v>9372</v>
      </c>
      <c r="I5309" s="25" t="s">
        <v>2050</v>
      </c>
      <c r="J5309" t="s">
        <v>2523</v>
      </c>
      <c r="M5309" s="49"/>
    </row>
    <row r="5310" spans="6:13" x14ac:dyDescent="0.25">
      <c r="F5310" t="s">
        <v>6009</v>
      </c>
      <c r="G5310">
        <v>64720</v>
      </c>
      <c r="H5310">
        <v>6437</v>
      </c>
      <c r="I5310" s="25" t="s">
        <v>2046</v>
      </c>
      <c r="J5310" t="s">
        <v>2674</v>
      </c>
      <c r="M5310" s="49"/>
    </row>
    <row r="5311" spans="6:13" x14ac:dyDescent="0.25">
      <c r="F5311" t="s">
        <v>6010</v>
      </c>
      <c r="G5311">
        <v>14552</v>
      </c>
      <c r="H5311">
        <v>12069</v>
      </c>
      <c r="I5311" s="25" t="s">
        <v>2356</v>
      </c>
      <c r="J5311" t="s">
        <v>2857</v>
      </c>
      <c r="M5311" s="49"/>
    </row>
    <row r="5312" spans="6:13" x14ac:dyDescent="0.25">
      <c r="F5312" t="s">
        <v>6011</v>
      </c>
      <c r="G5312">
        <v>86866</v>
      </c>
      <c r="H5312">
        <v>9772</v>
      </c>
      <c r="I5312" s="25" t="s">
        <v>2050</v>
      </c>
      <c r="J5312" t="s">
        <v>2117</v>
      </c>
      <c r="M5312" s="49"/>
    </row>
    <row r="5313" spans="6:13" x14ac:dyDescent="0.25">
      <c r="F5313" t="s">
        <v>6012</v>
      </c>
      <c r="G5313">
        <v>56357</v>
      </c>
      <c r="H5313">
        <v>7141</v>
      </c>
      <c r="I5313" s="25" t="s">
        <v>2123</v>
      </c>
      <c r="J5313" t="s">
        <v>2388</v>
      </c>
      <c r="M5313" s="49"/>
    </row>
    <row r="5314" spans="6:13" x14ac:dyDescent="0.25">
      <c r="F5314" t="s">
        <v>6013</v>
      </c>
      <c r="G5314">
        <v>24247</v>
      </c>
      <c r="H5314">
        <v>1058</v>
      </c>
      <c r="I5314" s="25" t="s">
        <v>2085</v>
      </c>
      <c r="J5314" t="s">
        <v>2086</v>
      </c>
      <c r="M5314" s="49"/>
    </row>
    <row r="5315" spans="6:13" x14ac:dyDescent="0.25">
      <c r="F5315" t="s">
        <v>2254</v>
      </c>
      <c r="G5315">
        <v>83714</v>
      </c>
      <c r="H5315">
        <v>9182</v>
      </c>
      <c r="I5315" s="25" t="s">
        <v>2050</v>
      </c>
      <c r="J5315" t="s">
        <v>2254</v>
      </c>
      <c r="M5315" s="49"/>
    </row>
    <row r="5316" spans="6:13" x14ac:dyDescent="0.25">
      <c r="F5316" t="s">
        <v>6014</v>
      </c>
      <c r="G5316">
        <v>88487</v>
      </c>
      <c r="H5316">
        <v>8426</v>
      </c>
      <c r="I5316" s="25" t="s">
        <v>2018</v>
      </c>
      <c r="J5316" t="s">
        <v>2081</v>
      </c>
      <c r="M5316" s="49"/>
    </row>
    <row r="5317" spans="6:13" x14ac:dyDescent="0.25">
      <c r="F5317" t="s">
        <v>6015</v>
      </c>
      <c r="G5317">
        <v>99826</v>
      </c>
      <c r="H5317">
        <v>16063</v>
      </c>
      <c r="I5317" s="25" t="s">
        <v>2384</v>
      </c>
      <c r="J5317" t="s">
        <v>2687</v>
      </c>
      <c r="M5317" s="49"/>
    </row>
    <row r="5318" spans="6:13" x14ac:dyDescent="0.25">
      <c r="F5318" t="s">
        <v>6016</v>
      </c>
      <c r="G5318">
        <v>25866</v>
      </c>
      <c r="H5318">
        <v>1054</v>
      </c>
      <c r="I5318" s="25" t="s">
        <v>2085</v>
      </c>
      <c r="J5318" t="s">
        <v>2195</v>
      </c>
      <c r="M5318" s="49"/>
    </row>
    <row r="5319" spans="6:13" x14ac:dyDescent="0.25">
      <c r="F5319" t="s">
        <v>6017</v>
      </c>
      <c r="G5319">
        <v>14715</v>
      </c>
      <c r="H5319">
        <v>12063</v>
      </c>
      <c r="I5319" s="25" t="s">
        <v>2356</v>
      </c>
      <c r="J5319" t="s">
        <v>2181</v>
      </c>
      <c r="M5319" s="49"/>
    </row>
    <row r="5320" spans="6:13" x14ac:dyDescent="0.25">
      <c r="F5320" t="s">
        <v>6017</v>
      </c>
      <c r="G5320">
        <v>14715</v>
      </c>
      <c r="H5320">
        <v>15090</v>
      </c>
      <c r="I5320" s="25" t="s">
        <v>2241</v>
      </c>
      <c r="J5320" t="s">
        <v>2382</v>
      </c>
      <c r="M5320" s="49"/>
    </row>
    <row r="5321" spans="6:13" x14ac:dyDescent="0.25">
      <c r="F5321" t="s">
        <v>6018</v>
      </c>
      <c r="G5321">
        <v>93468</v>
      </c>
      <c r="H5321">
        <v>9372</v>
      </c>
      <c r="I5321" s="25" t="s">
        <v>2050</v>
      </c>
      <c r="J5321" t="s">
        <v>2523</v>
      </c>
      <c r="M5321" s="49"/>
    </row>
    <row r="5322" spans="6:13" x14ac:dyDescent="0.25">
      <c r="F5322" t="s">
        <v>2381</v>
      </c>
      <c r="G5322">
        <v>63897</v>
      </c>
      <c r="H5322">
        <v>9676</v>
      </c>
      <c r="I5322" s="25" t="s">
        <v>2050</v>
      </c>
      <c r="J5322" t="s">
        <v>2381</v>
      </c>
      <c r="M5322" s="49"/>
    </row>
    <row r="5323" spans="6:13" x14ac:dyDescent="0.25">
      <c r="F5323" t="s">
        <v>6019</v>
      </c>
      <c r="G5323">
        <v>18519</v>
      </c>
      <c r="H5323">
        <v>13073</v>
      </c>
      <c r="I5323" s="25" t="s">
        <v>2191</v>
      </c>
      <c r="J5323" t="s">
        <v>2192</v>
      </c>
      <c r="M5323" s="49"/>
    </row>
    <row r="5324" spans="6:13" x14ac:dyDescent="0.25">
      <c r="F5324" t="s">
        <v>6020</v>
      </c>
      <c r="G5324">
        <v>87719</v>
      </c>
      <c r="H5324">
        <v>9778</v>
      </c>
      <c r="I5324" s="25" t="s">
        <v>2050</v>
      </c>
      <c r="J5324" t="s">
        <v>2460</v>
      </c>
      <c r="M5324" s="49"/>
    </row>
    <row r="5325" spans="6:13" x14ac:dyDescent="0.25">
      <c r="F5325" t="s">
        <v>6021</v>
      </c>
      <c r="G5325">
        <v>93349</v>
      </c>
      <c r="H5325">
        <v>9176</v>
      </c>
      <c r="I5325" s="25" t="s">
        <v>2050</v>
      </c>
      <c r="J5325" t="s">
        <v>2102</v>
      </c>
      <c r="M5325" s="49"/>
    </row>
    <row r="5326" spans="6:13" x14ac:dyDescent="0.25">
      <c r="F5326" t="s">
        <v>6022</v>
      </c>
      <c r="G5326">
        <v>32429</v>
      </c>
      <c r="H5326">
        <v>5770</v>
      </c>
      <c r="I5326" s="25" t="s">
        <v>2023</v>
      </c>
      <c r="J5326" t="s">
        <v>2257</v>
      </c>
      <c r="M5326" s="49"/>
    </row>
    <row r="5327" spans="6:13" x14ac:dyDescent="0.25">
      <c r="F5327" t="s">
        <v>6022</v>
      </c>
      <c r="G5327">
        <v>32423</v>
      </c>
      <c r="H5327">
        <v>5770</v>
      </c>
      <c r="I5327" s="25" t="s">
        <v>2023</v>
      </c>
      <c r="J5327" t="s">
        <v>2257</v>
      </c>
      <c r="M5327" s="49"/>
    </row>
    <row r="5328" spans="6:13" x14ac:dyDescent="0.25">
      <c r="F5328" t="s">
        <v>6022</v>
      </c>
      <c r="G5328">
        <v>32425</v>
      </c>
      <c r="H5328">
        <v>5770</v>
      </c>
      <c r="I5328" s="25" t="s">
        <v>2023</v>
      </c>
      <c r="J5328" t="s">
        <v>2257</v>
      </c>
      <c r="M5328" s="49"/>
    </row>
    <row r="5329" spans="6:13" x14ac:dyDescent="0.25">
      <c r="F5329" t="s">
        <v>6022</v>
      </c>
      <c r="G5329">
        <v>32427</v>
      </c>
      <c r="H5329">
        <v>5770</v>
      </c>
      <c r="I5329" s="25" t="s">
        <v>2023</v>
      </c>
      <c r="J5329" t="s">
        <v>2257</v>
      </c>
      <c r="M5329" s="49"/>
    </row>
    <row r="5330" spans="6:13" x14ac:dyDescent="0.25">
      <c r="F5330" t="s">
        <v>6023</v>
      </c>
      <c r="G5330">
        <v>93098</v>
      </c>
      <c r="H5330">
        <v>9375</v>
      </c>
      <c r="I5330" s="25" t="s">
        <v>2050</v>
      </c>
      <c r="J5330" t="s">
        <v>2365</v>
      </c>
      <c r="M5330" s="49"/>
    </row>
    <row r="5331" spans="6:13" x14ac:dyDescent="0.25">
      <c r="F5331" t="s">
        <v>6024</v>
      </c>
      <c r="G5331">
        <v>17252</v>
      </c>
      <c r="H5331">
        <v>13071</v>
      </c>
      <c r="I5331" s="25" t="s">
        <v>2191</v>
      </c>
      <c r="J5331" t="s">
        <v>2091</v>
      </c>
      <c r="M5331" s="49"/>
    </row>
    <row r="5332" spans="6:13" x14ac:dyDescent="0.25">
      <c r="F5332" t="s">
        <v>6025</v>
      </c>
      <c r="G5332">
        <v>87547</v>
      </c>
      <c r="H5332">
        <v>9780</v>
      </c>
      <c r="I5332" s="25" t="s">
        <v>2050</v>
      </c>
      <c r="J5332" t="s">
        <v>2278</v>
      </c>
      <c r="M5332" s="49"/>
    </row>
    <row r="5333" spans="6:13" x14ac:dyDescent="0.25">
      <c r="F5333" t="s">
        <v>6026</v>
      </c>
      <c r="G5333">
        <v>95511</v>
      </c>
      <c r="H5333">
        <v>9472</v>
      </c>
      <c r="I5333" s="25" t="s">
        <v>2050</v>
      </c>
      <c r="J5333" t="s">
        <v>2180</v>
      </c>
      <c r="M5333" s="49"/>
    </row>
    <row r="5334" spans="6:13" x14ac:dyDescent="0.25">
      <c r="F5334" t="s">
        <v>6027</v>
      </c>
      <c r="G5334">
        <v>95490</v>
      </c>
      <c r="H5334">
        <v>9472</v>
      </c>
      <c r="I5334" s="25" t="s">
        <v>2050</v>
      </c>
      <c r="J5334" t="s">
        <v>2180</v>
      </c>
      <c r="M5334" s="49"/>
    </row>
    <row r="5335" spans="6:13" x14ac:dyDescent="0.25">
      <c r="F5335" t="s">
        <v>6028</v>
      </c>
      <c r="G5335">
        <v>24986</v>
      </c>
      <c r="H5335">
        <v>1059</v>
      </c>
      <c r="I5335" s="25" t="s">
        <v>2085</v>
      </c>
      <c r="J5335" t="s">
        <v>2354</v>
      </c>
      <c r="M5335" s="49"/>
    </row>
    <row r="5336" spans="6:13" x14ac:dyDescent="0.25">
      <c r="F5336" t="s">
        <v>6029</v>
      </c>
      <c r="G5336">
        <v>88441</v>
      </c>
      <c r="H5336">
        <v>8426</v>
      </c>
      <c r="I5336" s="25" t="s">
        <v>2018</v>
      </c>
      <c r="J5336" t="s">
        <v>2081</v>
      </c>
      <c r="M5336" s="49"/>
    </row>
    <row r="5337" spans="6:13" x14ac:dyDescent="0.25">
      <c r="F5337" t="s">
        <v>6030</v>
      </c>
      <c r="G5337">
        <v>66851</v>
      </c>
      <c r="H5337">
        <v>7335</v>
      </c>
      <c r="I5337" s="25" t="s">
        <v>2123</v>
      </c>
      <c r="J5337" t="s">
        <v>2843</v>
      </c>
      <c r="M5337" s="49"/>
    </row>
    <row r="5338" spans="6:13" x14ac:dyDescent="0.25">
      <c r="F5338" t="s">
        <v>6030</v>
      </c>
      <c r="G5338">
        <v>66851</v>
      </c>
      <c r="H5338">
        <v>7335</v>
      </c>
      <c r="I5338" s="25" t="s">
        <v>2123</v>
      </c>
      <c r="J5338" t="s">
        <v>2843</v>
      </c>
      <c r="M5338" s="49"/>
    </row>
    <row r="5339" spans="6:13" x14ac:dyDescent="0.25">
      <c r="F5339" t="s">
        <v>6030</v>
      </c>
      <c r="G5339">
        <v>66851</v>
      </c>
      <c r="H5339">
        <v>7340</v>
      </c>
      <c r="I5339" s="25" t="s">
        <v>2123</v>
      </c>
      <c r="J5339" t="s">
        <v>2826</v>
      </c>
      <c r="M5339" s="49"/>
    </row>
    <row r="5340" spans="6:13" x14ac:dyDescent="0.25">
      <c r="F5340" t="s">
        <v>6030</v>
      </c>
      <c r="G5340">
        <v>66851</v>
      </c>
      <c r="H5340">
        <v>7340</v>
      </c>
      <c r="I5340" s="25" t="s">
        <v>2123</v>
      </c>
      <c r="J5340" t="s">
        <v>2826</v>
      </c>
      <c r="M5340" s="49"/>
    </row>
    <row r="5341" spans="6:13" x14ac:dyDescent="0.25">
      <c r="F5341" t="s">
        <v>6031</v>
      </c>
      <c r="G5341">
        <v>91734</v>
      </c>
      <c r="H5341">
        <v>9571</v>
      </c>
      <c r="I5341" s="25" t="s">
        <v>2050</v>
      </c>
      <c r="J5341" t="s">
        <v>2113</v>
      </c>
      <c r="M5341" s="49"/>
    </row>
    <row r="5342" spans="6:13" x14ac:dyDescent="0.25">
      <c r="F5342" t="s">
        <v>6032</v>
      </c>
      <c r="G5342">
        <v>86868</v>
      </c>
      <c r="H5342">
        <v>9772</v>
      </c>
      <c r="I5342" s="25" t="s">
        <v>2050</v>
      </c>
      <c r="J5342" t="s">
        <v>2117</v>
      </c>
      <c r="M5342" s="49"/>
    </row>
    <row r="5343" spans="6:13" x14ac:dyDescent="0.25">
      <c r="F5343" t="s">
        <v>6033</v>
      </c>
      <c r="G5343">
        <v>97785</v>
      </c>
      <c r="H5343">
        <v>9677</v>
      </c>
      <c r="I5343" s="25" t="s">
        <v>2050</v>
      </c>
      <c r="J5343" t="s">
        <v>2527</v>
      </c>
      <c r="M5343" s="49"/>
    </row>
    <row r="5344" spans="6:13" x14ac:dyDescent="0.25">
      <c r="F5344" t="s">
        <v>6034</v>
      </c>
      <c r="G5344">
        <v>21770</v>
      </c>
      <c r="H5344">
        <v>3352</v>
      </c>
      <c r="I5344" s="25" t="s">
        <v>2074</v>
      </c>
      <c r="J5344" t="s">
        <v>2079</v>
      </c>
      <c r="M5344" s="49"/>
    </row>
    <row r="5345" spans="6:13" x14ac:dyDescent="0.25">
      <c r="F5345" t="s">
        <v>6035</v>
      </c>
      <c r="G5345">
        <v>82293</v>
      </c>
      <c r="H5345">
        <v>9179</v>
      </c>
      <c r="I5345" s="25" t="s">
        <v>2050</v>
      </c>
      <c r="J5345" t="s">
        <v>2111</v>
      </c>
      <c r="M5345" s="49"/>
    </row>
    <row r="5346" spans="6:13" x14ac:dyDescent="0.25">
      <c r="F5346" t="s">
        <v>6036</v>
      </c>
      <c r="G5346">
        <v>35756</v>
      </c>
      <c r="H5346">
        <v>6532</v>
      </c>
      <c r="I5346" s="25" t="s">
        <v>2046</v>
      </c>
      <c r="J5346" t="s">
        <v>2555</v>
      </c>
      <c r="M5346" s="49"/>
    </row>
    <row r="5347" spans="6:13" x14ac:dyDescent="0.25">
      <c r="F5347" t="s">
        <v>6037</v>
      </c>
      <c r="G5347">
        <v>82481</v>
      </c>
      <c r="H5347">
        <v>9180</v>
      </c>
      <c r="I5347" s="25" t="s">
        <v>2050</v>
      </c>
      <c r="J5347" t="s">
        <v>2147</v>
      </c>
      <c r="M5347" s="49"/>
    </row>
    <row r="5348" spans="6:13" x14ac:dyDescent="0.25">
      <c r="F5348" t="s">
        <v>6038</v>
      </c>
      <c r="G5348">
        <v>15749</v>
      </c>
      <c r="H5348">
        <v>12061</v>
      </c>
      <c r="I5348" s="25" t="s">
        <v>2356</v>
      </c>
      <c r="J5348" t="s">
        <v>3033</v>
      </c>
      <c r="M5348" s="49"/>
    </row>
    <row r="5349" spans="6:13" x14ac:dyDescent="0.25">
      <c r="F5349" t="s">
        <v>6039</v>
      </c>
      <c r="G5349">
        <v>94360</v>
      </c>
      <c r="H5349">
        <v>9278</v>
      </c>
      <c r="I5349" s="25" t="s">
        <v>2050</v>
      </c>
      <c r="J5349" t="s">
        <v>2170</v>
      </c>
      <c r="M5349" s="49"/>
    </row>
    <row r="5350" spans="6:13" x14ac:dyDescent="0.25">
      <c r="F5350" t="s">
        <v>6040</v>
      </c>
      <c r="G5350">
        <v>84335</v>
      </c>
      <c r="H5350">
        <v>9277</v>
      </c>
      <c r="I5350" s="25" t="s">
        <v>2050</v>
      </c>
      <c r="J5350" t="s">
        <v>2529</v>
      </c>
      <c r="M5350" s="49"/>
    </row>
    <row r="5351" spans="6:13" x14ac:dyDescent="0.25">
      <c r="F5351" t="s">
        <v>6041</v>
      </c>
      <c r="G5351">
        <v>95666</v>
      </c>
      <c r="H5351">
        <v>9377</v>
      </c>
      <c r="I5351" s="25" t="s">
        <v>2050</v>
      </c>
      <c r="J5351" t="s">
        <v>2393</v>
      </c>
      <c r="M5351" s="49"/>
    </row>
    <row r="5352" spans="6:13" x14ac:dyDescent="0.25">
      <c r="F5352" t="s">
        <v>6042</v>
      </c>
      <c r="G5352">
        <v>9648</v>
      </c>
      <c r="H5352">
        <v>14522</v>
      </c>
      <c r="I5352" s="25" t="s">
        <v>2135</v>
      </c>
      <c r="J5352" t="s">
        <v>2100</v>
      </c>
      <c r="M5352" s="49"/>
    </row>
    <row r="5353" spans="6:13" x14ac:dyDescent="0.25">
      <c r="F5353" t="s">
        <v>6043</v>
      </c>
      <c r="G5353">
        <v>96268</v>
      </c>
      <c r="H5353">
        <v>9476</v>
      </c>
      <c r="I5353" s="25" t="s">
        <v>2050</v>
      </c>
      <c r="J5353" t="s">
        <v>5435</v>
      </c>
      <c r="M5353" s="49"/>
    </row>
    <row r="5354" spans="6:13" x14ac:dyDescent="0.25">
      <c r="F5354" t="s">
        <v>6044</v>
      </c>
      <c r="G5354">
        <v>39291</v>
      </c>
      <c r="H5354">
        <v>15086</v>
      </c>
      <c r="I5354" s="25" t="s">
        <v>2241</v>
      </c>
      <c r="J5354" t="s">
        <v>3064</v>
      </c>
      <c r="M5354" s="49"/>
    </row>
    <row r="5355" spans="6:13" x14ac:dyDescent="0.25">
      <c r="F5355" t="s">
        <v>6045</v>
      </c>
      <c r="G5355">
        <v>74219</v>
      </c>
      <c r="H5355">
        <v>8125</v>
      </c>
      <c r="I5355" s="25" t="s">
        <v>2018</v>
      </c>
      <c r="J5355" t="s">
        <v>2060</v>
      </c>
      <c r="M5355" s="49"/>
    </row>
    <row r="5356" spans="6:13" x14ac:dyDescent="0.25">
      <c r="F5356" t="s">
        <v>6046</v>
      </c>
      <c r="G5356">
        <v>4862</v>
      </c>
      <c r="H5356">
        <v>14730</v>
      </c>
      <c r="I5356" s="25" t="s">
        <v>2135</v>
      </c>
      <c r="J5356" t="s">
        <v>2083</v>
      </c>
      <c r="M5356" s="49"/>
    </row>
    <row r="5357" spans="6:13" x14ac:dyDescent="0.25">
      <c r="F5357" t="s">
        <v>6047</v>
      </c>
      <c r="G5357">
        <v>64397</v>
      </c>
      <c r="H5357">
        <v>6432</v>
      </c>
      <c r="I5357" s="25" t="s">
        <v>2046</v>
      </c>
      <c r="J5357" t="s">
        <v>2338</v>
      </c>
      <c r="M5357" s="49"/>
    </row>
    <row r="5358" spans="6:13" x14ac:dyDescent="0.25">
      <c r="F5358" t="s">
        <v>6048</v>
      </c>
      <c r="G5358">
        <v>47441</v>
      </c>
      <c r="H5358">
        <v>5170</v>
      </c>
      <c r="I5358" s="25" t="s">
        <v>2023</v>
      </c>
      <c r="J5358" t="s">
        <v>2328</v>
      </c>
      <c r="M5358" s="49"/>
    </row>
    <row r="5359" spans="6:13" x14ac:dyDescent="0.25">
      <c r="F5359" t="s">
        <v>6048</v>
      </c>
      <c r="G5359">
        <v>47447</v>
      </c>
      <c r="H5359">
        <v>5170</v>
      </c>
      <c r="I5359" s="25" t="s">
        <v>2023</v>
      </c>
      <c r="J5359" t="s">
        <v>2328</v>
      </c>
      <c r="M5359" s="49"/>
    </row>
    <row r="5360" spans="6:13" x14ac:dyDescent="0.25">
      <c r="F5360" t="s">
        <v>6048</v>
      </c>
      <c r="G5360">
        <v>47445</v>
      </c>
      <c r="H5360">
        <v>5170</v>
      </c>
      <c r="I5360" s="25" t="s">
        <v>2023</v>
      </c>
      <c r="J5360" t="s">
        <v>2328</v>
      </c>
      <c r="M5360" s="49"/>
    </row>
    <row r="5361" spans="6:13" x14ac:dyDescent="0.25">
      <c r="F5361" t="s">
        <v>6048</v>
      </c>
      <c r="G5361">
        <v>47443</v>
      </c>
      <c r="H5361">
        <v>5170</v>
      </c>
      <c r="I5361" s="25" t="s">
        <v>2023</v>
      </c>
      <c r="J5361" t="s">
        <v>2328</v>
      </c>
      <c r="M5361" s="49"/>
    </row>
    <row r="5362" spans="6:13" x14ac:dyDescent="0.25">
      <c r="F5362" t="s">
        <v>6049</v>
      </c>
      <c r="G5362">
        <v>56424</v>
      </c>
      <c r="H5362">
        <v>7143</v>
      </c>
      <c r="I5362" s="25" t="s">
        <v>2123</v>
      </c>
      <c r="J5362" t="s">
        <v>2331</v>
      </c>
      <c r="M5362" s="49"/>
    </row>
    <row r="5363" spans="6:13" x14ac:dyDescent="0.25">
      <c r="F5363" t="s">
        <v>6049</v>
      </c>
      <c r="G5363">
        <v>56424</v>
      </c>
      <c r="H5363">
        <v>7143</v>
      </c>
      <c r="I5363" s="25" t="s">
        <v>2123</v>
      </c>
      <c r="J5363" t="s">
        <v>2331</v>
      </c>
      <c r="M5363" s="49"/>
    </row>
    <row r="5364" spans="6:13" x14ac:dyDescent="0.25">
      <c r="F5364" t="s">
        <v>6049</v>
      </c>
      <c r="G5364">
        <v>56424</v>
      </c>
      <c r="H5364">
        <v>7143</v>
      </c>
      <c r="I5364" s="25" t="s">
        <v>2123</v>
      </c>
      <c r="J5364" t="s">
        <v>2331</v>
      </c>
      <c r="M5364" s="49"/>
    </row>
    <row r="5365" spans="6:13" x14ac:dyDescent="0.25">
      <c r="F5365" t="s">
        <v>6050</v>
      </c>
      <c r="G5365">
        <v>73563</v>
      </c>
      <c r="H5365">
        <v>8136</v>
      </c>
      <c r="I5365" s="25" t="s">
        <v>2018</v>
      </c>
      <c r="J5365" t="s">
        <v>2039</v>
      </c>
      <c r="M5365" s="49"/>
    </row>
    <row r="5366" spans="6:13" x14ac:dyDescent="0.25">
      <c r="F5366" t="s">
        <v>6051</v>
      </c>
      <c r="G5366">
        <v>71696</v>
      </c>
      <c r="H5366">
        <v>8118</v>
      </c>
      <c r="I5366" s="25" t="s">
        <v>2018</v>
      </c>
      <c r="J5366" t="s">
        <v>2142</v>
      </c>
      <c r="M5366" s="49"/>
    </row>
    <row r="5367" spans="6:13" x14ac:dyDescent="0.25">
      <c r="F5367" t="s">
        <v>6052</v>
      </c>
      <c r="G5367">
        <v>7987</v>
      </c>
      <c r="H5367">
        <v>16076</v>
      </c>
      <c r="I5367" s="25" t="s">
        <v>2384</v>
      </c>
      <c r="J5367" t="s">
        <v>2583</v>
      </c>
      <c r="M5367" s="49"/>
    </row>
    <row r="5368" spans="6:13" x14ac:dyDescent="0.25">
      <c r="F5368" t="s">
        <v>6053</v>
      </c>
      <c r="G5368">
        <v>59519</v>
      </c>
      <c r="H5368">
        <v>5974</v>
      </c>
      <c r="I5368" s="25" t="s">
        <v>2023</v>
      </c>
      <c r="J5368" t="s">
        <v>2368</v>
      </c>
      <c r="M5368" s="49"/>
    </row>
    <row r="5369" spans="6:13" x14ac:dyDescent="0.25">
      <c r="F5369" t="s">
        <v>6054</v>
      </c>
      <c r="G5369">
        <v>91096</v>
      </c>
      <c r="H5369">
        <v>9572</v>
      </c>
      <c r="I5369" s="25" t="s">
        <v>2050</v>
      </c>
      <c r="J5369" t="s">
        <v>2105</v>
      </c>
      <c r="M5369" s="49"/>
    </row>
    <row r="5370" spans="6:13" x14ac:dyDescent="0.25">
      <c r="F5370" t="s">
        <v>6055</v>
      </c>
      <c r="G5370">
        <v>24405</v>
      </c>
      <c r="H5370">
        <v>1059</v>
      </c>
      <c r="I5370" s="25" t="s">
        <v>2085</v>
      </c>
      <c r="J5370" t="s">
        <v>2354</v>
      </c>
      <c r="M5370" s="49"/>
    </row>
    <row r="5371" spans="6:13" x14ac:dyDescent="0.25">
      <c r="F5371" t="s">
        <v>6056</v>
      </c>
      <c r="G5371">
        <v>21647</v>
      </c>
      <c r="H5371">
        <v>3353</v>
      </c>
      <c r="I5371" s="25" t="s">
        <v>2074</v>
      </c>
      <c r="J5371" t="s">
        <v>2176</v>
      </c>
      <c r="M5371" s="49"/>
    </row>
    <row r="5372" spans="6:13" x14ac:dyDescent="0.25">
      <c r="F5372" t="s">
        <v>6057</v>
      </c>
      <c r="G5372">
        <v>49696</v>
      </c>
      <c r="H5372">
        <v>3453</v>
      </c>
      <c r="I5372" s="25" t="s">
        <v>2074</v>
      </c>
      <c r="J5372" t="s">
        <v>2069</v>
      </c>
      <c r="M5372" s="49"/>
    </row>
    <row r="5373" spans="6:13" x14ac:dyDescent="0.25">
      <c r="F5373" t="s">
        <v>6058</v>
      </c>
      <c r="G5373">
        <v>17237</v>
      </c>
      <c r="H5373">
        <v>13071</v>
      </c>
      <c r="I5373" s="25" t="s">
        <v>2191</v>
      </c>
      <c r="J5373" t="s">
        <v>2091</v>
      </c>
      <c r="M5373" s="49"/>
    </row>
    <row r="5374" spans="6:13" x14ac:dyDescent="0.25">
      <c r="F5374" t="s">
        <v>6058</v>
      </c>
      <c r="G5374">
        <v>17237</v>
      </c>
      <c r="H5374">
        <v>13071</v>
      </c>
      <c r="I5374" s="25" t="s">
        <v>2191</v>
      </c>
      <c r="J5374" t="s">
        <v>2091</v>
      </c>
      <c r="M5374" s="49"/>
    </row>
    <row r="5375" spans="6:13" x14ac:dyDescent="0.25">
      <c r="F5375" t="s">
        <v>6059</v>
      </c>
      <c r="G5375">
        <v>17219</v>
      </c>
      <c r="H5375">
        <v>13071</v>
      </c>
      <c r="I5375" s="25" t="s">
        <v>2191</v>
      </c>
      <c r="J5375" t="s">
        <v>2091</v>
      </c>
      <c r="M5375" s="49"/>
    </row>
    <row r="5376" spans="6:13" x14ac:dyDescent="0.25">
      <c r="F5376" t="s">
        <v>6060</v>
      </c>
      <c r="G5376">
        <v>23879</v>
      </c>
      <c r="H5376">
        <v>1053</v>
      </c>
      <c r="I5376" s="25" t="s">
        <v>2085</v>
      </c>
      <c r="J5376" t="s">
        <v>2193</v>
      </c>
      <c r="M5376" s="49"/>
    </row>
    <row r="5377" spans="6:13" x14ac:dyDescent="0.25">
      <c r="F5377" t="s">
        <v>6061</v>
      </c>
      <c r="G5377">
        <v>63776</v>
      </c>
      <c r="H5377">
        <v>9671</v>
      </c>
      <c r="I5377" s="25" t="s">
        <v>2050</v>
      </c>
      <c r="J5377" t="s">
        <v>2453</v>
      </c>
      <c r="M5377" s="49"/>
    </row>
    <row r="5378" spans="6:13" x14ac:dyDescent="0.25">
      <c r="F5378" t="s">
        <v>6062</v>
      </c>
      <c r="G5378">
        <v>63853</v>
      </c>
      <c r="H5378">
        <v>9676</v>
      </c>
      <c r="I5378" s="25" t="s">
        <v>2050</v>
      </c>
      <c r="J5378" t="s">
        <v>2381</v>
      </c>
      <c r="M5378" s="49"/>
    </row>
    <row r="5379" spans="6:13" x14ac:dyDescent="0.25">
      <c r="F5379" t="s">
        <v>6063</v>
      </c>
      <c r="G5379">
        <v>55278</v>
      </c>
      <c r="H5379">
        <v>7339</v>
      </c>
      <c r="I5379" s="25" t="s">
        <v>2123</v>
      </c>
      <c r="J5379" t="s">
        <v>2238</v>
      </c>
      <c r="M5379" s="49"/>
    </row>
    <row r="5380" spans="6:13" x14ac:dyDescent="0.25">
      <c r="F5380" t="s">
        <v>6063</v>
      </c>
      <c r="G5380">
        <v>55278</v>
      </c>
      <c r="H5380">
        <v>7339</v>
      </c>
      <c r="I5380" s="25" t="s">
        <v>2123</v>
      </c>
      <c r="J5380" t="s">
        <v>2238</v>
      </c>
      <c r="M5380" s="49"/>
    </row>
    <row r="5381" spans="6:13" x14ac:dyDescent="0.25">
      <c r="F5381" t="s">
        <v>6064</v>
      </c>
      <c r="G5381">
        <v>63933</v>
      </c>
      <c r="H5381">
        <v>9676</v>
      </c>
      <c r="I5381" s="25" t="s">
        <v>2050</v>
      </c>
      <c r="J5381" t="s">
        <v>2381</v>
      </c>
      <c r="M5381" s="49"/>
    </row>
    <row r="5382" spans="6:13" x14ac:dyDescent="0.25">
      <c r="F5382" t="s">
        <v>6065</v>
      </c>
      <c r="G5382">
        <v>41238</v>
      </c>
      <c r="H5382">
        <v>5116</v>
      </c>
      <c r="I5382" s="25" t="s">
        <v>2023</v>
      </c>
      <c r="J5382" t="s">
        <v>2262</v>
      </c>
      <c r="M5382" s="49"/>
    </row>
    <row r="5383" spans="6:13" x14ac:dyDescent="0.25">
      <c r="F5383" t="s">
        <v>6065</v>
      </c>
      <c r="G5383">
        <v>41169</v>
      </c>
      <c r="H5383">
        <v>5116</v>
      </c>
      <c r="I5383" s="25" t="s">
        <v>2023</v>
      </c>
      <c r="J5383" t="s">
        <v>2262</v>
      </c>
      <c r="M5383" s="49"/>
    </row>
    <row r="5384" spans="6:13" x14ac:dyDescent="0.25">
      <c r="F5384" t="s">
        <v>6065</v>
      </c>
      <c r="G5384">
        <v>41236</v>
      </c>
      <c r="H5384">
        <v>5116</v>
      </c>
      <c r="I5384" s="25" t="s">
        <v>2023</v>
      </c>
      <c r="J5384" t="s">
        <v>2262</v>
      </c>
      <c r="M5384" s="49"/>
    </row>
    <row r="5385" spans="6:13" x14ac:dyDescent="0.25">
      <c r="F5385" t="s">
        <v>6065</v>
      </c>
      <c r="G5385">
        <v>41063</v>
      </c>
      <c r="H5385">
        <v>5116</v>
      </c>
      <c r="I5385" s="25" t="s">
        <v>2023</v>
      </c>
      <c r="J5385" t="s">
        <v>2262</v>
      </c>
      <c r="M5385" s="49"/>
    </row>
    <row r="5386" spans="6:13" x14ac:dyDescent="0.25">
      <c r="F5386" t="s">
        <v>6065</v>
      </c>
      <c r="G5386">
        <v>41189</v>
      </c>
      <c r="H5386">
        <v>5116</v>
      </c>
      <c r="I5386" s="25" t="s">
        <v>2023</v>
      </c>
      <c r="J5386" t="s">
        <v>2262</v>
      </c>
      <c r="M5386" s="49"/>
    </row>
    <row r="5387" spans="6:13" x14ac:dyDescent="0.25">
      <c r="F5387" t="s">
        <v>6065</v>
      </c>
      <c r="G5387">
        <v>41069</v>
      </c>
      <c r="H5387">
        <v>5116</v>
      </c>
      <c r="I5387" s="25" t="s">
        <v>2023</v>
      </c>
      <c r="J5387" t="s">
        <v>2262</v>
      </c>
      <c r="M5387" s="49"/>
    </row>
    <row r="5388" spans="6:13" x14ac:dyDescent="0.25">
      <c r="F5388" t="s">
        <v>6065</v>
      </c>
      <c r="G5388">
        <v>41061</v>
      </c>
      <c r="H5388">
        <v>5116</v>
      </c>
      <c r="I5388" s="25" t="s">
        <v>2023</v>
      </c>
      <c r="J5388" t="s">
        <v>2262</v>
      </c>
      <c r="M5388" s="49"/>
    </row>
    <row r="5389" spans="6:13" x14ac:dyDescent="0.25">
      <c r="F5389" t="s">
        <v>6065</v>
      </c>
      <c r="G5389">
        <v>41179</v>
      </c>
      <c r="H5389">
        <v>5116</v>
      </c>
      <c r="I5389" s="25" t="s">
        <v>2023</v>
      </c>
      <c r="J5389" t="s">
        <v>2262</v>
      </c>
      <c r="M5389" s="49"/>
    </row>
    <row r="5390" spans="6:13" x14ac:dyDescent="0.25">
      <c r="F5390" t="s">
        <v>6065</v>
      </c>
      <c r="G5390">
        <v>41069</v>
      </c>
      <c r="H5390">
        <v>5116</v>
      </c>
      <c r="I5390" s="25" t="s">
        <v>2023</v>
      </c>
      <c r="J5390" t="s">
        <v>2262</v>
      </c>
      <c r="M5390" s="49"/>
    </row>
    <row r="5391" spans="6:13" x14ac:dyDescent="0.25">
      <c r="F5391" t="s">
        <v>6065</v>
      </c>
      <c r="G5391">
        <v>41063</v>
      </c>
      <c r="H5391">
        <v>5116</v>
      </c>
      <c r="I5391" s="25" t="s">
        <v>2023</v>
      </c>
      <c r="J5391" t="s">
        <v>2262</v>
      </c>
      <c r="M5391" s="49"/>
    </row>
    <row r="5392" spans="6:13" x14ac:dyDescent="0.25">
      <c r="F5392" t="s">
        <v>6065</v>
      </c>
      <c r="G5392">
        <v>41199</v>
      </c>
      <c r="H5392">
        <v>5116</v>
      </c>
      <c r="I5392" s="25" t="s">
        <v>2023</v>
      </c>
      <c r="J5392" t="s">
        <v>2262</v>
      </c>
      <c r="M5392" s="49"/>
    </row>
    <row r="5393" spans="6:13" x14ac:dyDescent="0.25">
      <c r="F5393" t="s">
        <v>6065</v>
      </c>
      <c r="G5393">
        <v>41061</v>
      </c>
      <c r="H5393">
        <v>5116</v>
      </c>
      <c r="I5393" s="25" t="s">
        <v>2023</v>
      </c>
      <c r="J5393" t="s">
        <v>2262</v>
      </c>
      <c r="M5393" s="49"/>
    </row>
    <row r="5394" spans="6:13" x14ac:dyDescent="0.25">
      <c r="F5394" t="s">
        <v>6065</v>
      </c>
      <c r="G5394">
        <v>41068</v>
      </c>
      <c r="H5394">
        <v>5116</v>
      </c>
      <c r="I5394" s="25" t="s">
        <v>2023</v>
      </c>
      <c r="J5394" t="s">
        <v>2262</v>
      </c>
      <c r="M5394" s="49"/>
    </row>
    <row r="5395" spans="6:13" x14ac:dyDescent="0.25">
      <c r="F5395" t="s">
        <v>6065</v>
      </c>
      <c r="G5395">
        <v>41066</v>
      </c>
      <c r="H5395">
        <v>5116</v>
      </c>
      <c r="I5395" s="25" t="s">
        <v>2023</v>
      </c>
      <c r="J5395" t="s">
        <v>2262</v>
      </c>
      <c r="M5395" s="49"/>
    </row>
    <row r="5396" spans="6:13" x14ac:dyDescent="0.25">
      <c r="F5396" t="s">
        <v>6065</v>
      </c>
      <c r="G5396">
        <v>41065</v>
      </c>
      <c r="H5396">
        <v>5116</v>
      </c>
      <c r="I5396" s="25" t="s">
        <v>2023</v>
      </c>
      <c r="J5396" t="s">
        <v>2262</v>
      </c>
      <c r="M5396" s="49"/>
    </row>
    <row r="5397" spans="6:13" x14ac:dyDescent="0.25">
      <c r="F5397" t="s">
        <v>6065</v>
      </c>
      <c r="G5397">
        <v>41239</v>
      </c>
      <c r="H5397">
        <v>5116</v>
      </c>
      <c r="I5397" s="25" t="s">
        <v>2023</v>
      </c>
      <c r="J5397" t="s">
        <v>2262</v>
      </c>
      <c r="M5397" s="49"/>
    </row>
    <row r="5398" spans="6:13" x14ac:dyDescent="0.25">
      <c r="F5398" t="s">
        <v>6065</v>
      </c>
      <c r="G5398">
        <v>41061</v>
      </c>
      <c r="H5398">
        <v>5116</v>
      </c>
      <c r="I5398" s="25" t="s">
        <v>2023</v>
      </c>
      <c r="J5398" t="s">
        <v>2262</v>
      </c>
      <c r="M5398" s="49"/>
    </row>
    <row r="5399" spans="6:13" x14ac:dyDescent="0.25">
      <c r="F5399" t="s">
        <v>6066</v>
      </c>
      <c r="G5399">
        <v>86751</v>
      </c>
      <c r="H5399">
        <v>9779</v>
      </c>
      <c r="I5399" s="25" t="s">
        <v>2050</v>
      </c>
      <c r="J5399" t="s">
        <v>2280</v>
      </c>
      <c r="M5399" s="49"/>
    </row>
    <row r="5400" spans="6:13" x14ac:dyDescent="0.25">
      <c r="F5400" t="s">
        <v>6067</v>
      </c>
      <c r="G5400">
        <v>91614</v>
      </c>
      <c r="H5400">
        <v>9571</v>
      </c>
      <c r="I5400" s="25" t="s">
        <v>2050</v>
      </c>
      <c r="J5400" t="s">
        <v>2113</v>
      </c>
      <c r="M5400" s="49"/>
    </row>
    <row r="5401" spans="6:13" x14ac:dyDescent="0.25">
      <c r="F5401" t="s">
        <v>6068</v>
      </c>
      <c r="G5401">
        <v>78087</v>
      </c>
      <c r="H5401">
        <v>8326</v>
      </c>
      <c r="I5401" s="25" t="s">
        <v>2018</v>
      </c>
      <c r="J5401" t="s">
        <v>2638</v>
      </c>
      <c r="M5401" s="49"/>
    </row>
    <row r="5402" spans="6:13" x14ac:dyDescent="0.25">
      <c r="F5402" t="s">
        <v>6069</v>
      </c>
      <c r="G5402">
        <v>86653</v>
      </c>
      <c r="H5402">
        <v>9779</v>
      </c>
      <c r="I5402" s="25" t="s">
        <v>2050</v>
      </c>
      <c r="J5402" t="s">
        <v>2280</v>
      </c>
      <c r="M5402" s="49"/>
    </row>
    <row r="5403" spans="6:13" x14ac:dyDescent="0.25">
      <c r="F5403" t="s">
        <v>6070</v>
      </c>
      <c r="G5403">
        <v>40789</v>
      </c>
      <c r="H5403">
        <v>5158</v>
      </c>
      <c r="I5403" s="25" t="s">
        <v>2023</v>
      </c>
      <c r="J5403" t="s">
        <v>2252</v>
      </c>
      <c r="M5403" s="49"/>
    </row>
    <row r="5404" spans="6:13" x14ac:dyDescent="0.25">
      <c r="F5404" t="s">
        <v>6071</v>
      </c>
      <c r="G5404">
        <v>24248</v>
      </c>
      <c r="H5404">
        <v>1057</v>
      </c>
      <c r="I5404" s="25" t="s">
        <v>2085</v>
      </c>
      <c r="J5404" t="s">
        <v>2313</v>
      </c>
      <c r="M5404" s="49"/>
    </row>
    <row r="5405" spans="6:13" x14ac:dyDescent="0.25">
      <c r="F5405" t="s">
        <v>6072</v>
      </c>
      <c r="G5405">
        <v>52156</v>
      </c>
      <c r="H5405">
        <v>5334</v>
      </c>
      <c r="I5405" s="25" t="s">
        <v>2023</v>
      </c>
      <c r="J5405" t="s">
        <v>2341</v>
      </c>
      <c r="M5405" s="49"/>
    </row>
    <row r="5406" spans="6:13" x14ac:dyDescent="0.25">
      <c r="F5406" t="s">
        <v>6072</v>
      </c>
      <c r="G5406">
        <v>52156</v>
      </c>
      <c r="H5406">
        <v>5334</v>
      </c>
      <c r="I5406" s="25" t="s">
        <v>2023</v>
      </c>
      <c r="J5406" t="s">
        <v>2341</v>
      </c>
      <c r="M5406" s="49"/>
    </row>
    <row r="5407" spans="6:13" x14ac:dyDescent="0.25">
      <c r="F5407" t="s">
        <v>6072</v>
      </c>
      <c r="G5407">
        <v>52156</v>
      </c>
      <c r="H5407">
        <v>5334</v>
      </c>
      <c r="I5407" s="25" t="s">
        <v>2023</v>
      </c>
      <c r="J5407" t="s">
        <v>2341</v>
      </c>
      <c r="M5407" s="49"/>
    </row>
    <row r="5408" spans="6:13" x14ac:dyDescent="0.25">
      <c r="F5408" t="s">
        <v>6072</v>
      </c>
      <c r="G5408">
        <v>52156</v>
      </c>
      <c r="H5408">
        <v>5334</v>
      </c>
      <c r="I5408" s="25" t="s">
        <v>2023</v>
      </c>
      <c r="J5408" t="s">
        <v>2341</v>
      </c>
      <c r="M5408" s="49"/>
    </row>
    <row r="5409" spans="6:13" x14ac:dyDescent="0.25">
      <c r="F5409" t="s">
        <v>6073</v>
      </c>
      <c r="G5409">
        <v>67590</v>
      </c>
      <c r="H5409">
        <v>7331</v>
      </c>
      <c r="I5409" s="25" t="s">
        <v>2123</v>
      </c>
      <c r="J5409" t="s">
        <v>2029</v>
      </c>
      <c r="M5409" s="49"/>
    </row>
    <row r="5410" spans="6:13" x14ac:dyDescent="0.25">
      <c r="F5410" t="s">
        <v>6074</v>
      </c>
      <c r="G5410">
        <v>71297</v>
      </c>
      <c r="H5410">
        <v>8236</v>
      </c>
      <c r="I5410" s="25" t="s">
        <v>2018</v>
      </c>
      <c r="J5410" t="s">
        <v>3087</v>
      </c>
      <c r="M5410" s="49"/>
    </row>
    <row r="5411" spans="6:13" x14ac:dyDescent="0.25">
      <c r="F5411" t="s">
        <v>6075</v>
      </c>
      <c r="G5411">
        <v>56410</v>
      </c>
      <c r="H5411">
        <v>7143</v>
      </c>
      <c r="I5411" s="25" t="s">
        <v>2123</v>
      </c>
      <c r="J5411" t="s">
        <v>2331</v>
      </c>
      <c r="M5411" s="49"/>
    </row>
    <row r="5412" spans="6:13" x14ac:dyDescent="0.25">
      <c r="F5412" t="s">
        <v>6076</v>
      </c>
      <c r="G5412">
        <v>54472</v>
      </c>
      <c r="H5412">
        <v>7231</v>
      </c>
      <c r="I5412" s="25" t="s">
        <v>2123</v>
      </c>
      <c r="J5412" t="s">
        <v>2043</v>
      </c>
      <c r="M5412" s="49"/>
    </row>
    <row r="5413" spans="6:13" x14ac:dyDescent="0.25">
      <c r="F5413" t="s">
        <v>6076</v>
      </c>
      <c r="G5413">
        <v>54472</v>
      </c>
      <c r="H5413">
        <v>7231</v>
      </c>
      <c r="I5413" s="25" t="s">
        <v>2123</v>
      </c>
      <c r="J5413" t="s">
        <v>2043</v>
      </c>
      <c r="M5413" s="49"/>
    </row>
    <row r="5414" spans="6:13" x14ac:dyDescent="0.25">
      <c r="F5414" t="s">
        <v>6077</v>
      </c>
      <c r="G5414">
        <v>55569</v>
      </c>
      <c r="H5414">
        <v>7133</v>
      </c>
      <c r="I5414" s="25" t="s">
        <v>2123</v>
      </c>
      <c r="J5414" t="s">
        <v>2037</v>
      </c>
      <c r="M5414" s="49"/>
    </row>
    <row r="5415" spans="6:13" x14ac:dyDescent="0.25">
      <c r="F5415" t="s">
        <v>6078</v>
      </c>
      <c r="G5415">
        <v>82272</v>
      </c>
      <c r="H5415">
        <v>9179</v>
      </c>
      <c r="I5415" s="25" t="s">
        <v>2050</v>
      </c>
      <c r="J5415" t="s">
        <v>2111</v>
      </c>
      <c r="M5415" s="49"/>
    </row>
    <row r="5416" spans="6:13" x14ac:dyDescent="0.25">
      <c r="F5416" t="s">
        <v>6079</v>
      </c>
      <c r="G5416">
        <v>26802</v>
      </c>
      <c r="H5416">
        <v>3457</v>
      </c>
      <c r="I5416" s="25" t="s">
        <v>2074</v>
      </c>
      <c r="J5416" t="s">
        <v>2220</v>
      </c>
      <c r="M5416" s="49"/>
    </row>
    <row r="5417" spans="6:13" x14ac:dyDescent="0.25">
      <c r="F5417" t="s">
        <v>6080</v>
      </c>
      <c r="G5417">
        <v>78345</v>
      </c>
      <c r="H5417">
        <v>8335</v>
      </c>
      <c r="I5417" s="25" t="s">
        <v>2018</v>
      </c>
      <c r="J5417" t="s">
        <v>2019</v>
      </c>
      <c r="M5417" s="49"/>
    </row>
    <row r="5418" spans="6:13" x14ac:dyDescent="0.25">
      <c r="F5418" t="s">
        <v>6080</v>
      </c>
      <c r="G5418">
        <v>94554</v>
      </c>
      <c r="H5418">
        <v>9271</v>
      </c>
      <c r="I5418" s="25" t="s">
        <v>2050</v>
      </c>
      <c r="J5418" t="s">
        <v>2172</v>
      </c>
      <c r="M5418" s="49"/>
    </row>
    <row r="5419" spans="6:13" x14ac:dyDescent="0.25">
      <c r="F5419" t="s">
        <v>6081</v>
      </c>
      <c r="G5419">
        <v>85665</v>
      </c>
      <c r="H5419">
        <v>9175</v>
      </c>
      <c r="I5419" s="25" t="s">
        <v>2050</v>
      </c>
      <c r="J5419" t="s">
        <v>2500</v>
      </c>
      <c r="M5419" s="49"/>
    </row>
    <row r="5420" spans="6:13" x14ac:dyDescent="0.25">
      <c r="F5420" t="s">
        <v>6082</v>
      </c>
      <c r="G5420">
        <v>92709</v>
      </c>
      <c r="H5420">
        <v>9374</v>
      </c>
      <c r="I5420" s="25" t="s">
        <v>2050</v>
      </c>
      <c r="J5420" t="s">
        <v>2420</v>
      </c>
      <c r="M5420" s="49"/>
    </row>
    <row r="5421" spans="6:13" x14ac:dyDescent="0.25">
      <c r="F5421" t="s">
        <v>6083</v>
      </c>
      <c r="G5421">
        <v>85368</v>
      </c>
      <c r="H5421">
        <v>9178</v>
      </c>
      <c r="I5421" s="25" t="s">
        <v>2050</v>
      </c>
      <c r="J5421" t="s">
        <v>2315</v>
      </c>
      <c r="M5421" s="49"/>
    </row>
    <row r="5422" spans="6:13" x14ac:dyDescent="0.25">
      <c r="F5422" t="s">
        <v>6084</v>
      </c>
      <c r="G5422">
        <v>85452</v>
      </c>
      <c r="H5422">
        <v>9177</v>
      </c>
      <c r="I5422" s="25" t="s">
        <v>2050</v>
      </c>
      <c r="J5422" t="s">
        <v>2915</v>
      </c>
      <c r="M5422" s="49"/>
    </row>
    <row r="5423" spans="6:13" x14ac:dyDescent="0.25">
      <c r="F5423" t="s">
        <v>6085</v>
      </c>
      <c r="G5423">
        <v>84164</v>
      </c>
      <c r="H5423">
        <v>9279</v>
      </c>
      <c r="I5423" s="25" t="s">
        <v>2050</v>
      </c>
      <c r="J5423" t="s">
        <v>3574</v>
      </c>
      <c r="M5423" s="49"/>
    </row>
    <row r="5424" spans="6:13" x14ac:dyDescent="0.25">
      <c r="F5424" t="s">
        <v>6086</v>
      </c>
      <c r="G5424">
        <v>54497</v>
      </c>
      <c r="H5424">
        <v>7231</v>
      </c>
      <c r="I5424" s="25" t="s">
        <v>2123</v>
      </c>
      <c r="J5424" t="s">
        <v>2043</v>
      </c>
      <c r="M5424" s="49"/>
    </row>
    <row r="5425" spans="6:13" x14ac:dyDescent="0.25">
      <c r="F5425" t="s">
        <v>6087</v>
      </c>
      <c r="G5425">
        <v>64546</v>
      </c>
      <c r="H5425">
        <v>6433</v>
      </c>
      <c r="I5425" s="25" t="s">
        <v>2046</v>
      </c>
      <c r="J5425" t="s">
        <v>3061</v>
      </c>
      <c r="M5425" s="49"/>
    </row>
    <row r="5426" spans="6:13" x14ac:dyDescent="0.25">
      <c r="F5426" t="s">
        <v>6088</v>
      </c>
      <c r="G5426">
        <v>37186</v>
      </c>
      <c r="H5426">
        <v>3155</v>
      </c>
      <c r="I5426" s="25" t="s">
        <v>2074</v>
      </c>
      <c r="J5426" t="s">
        <v>2653</v>
      </c>
      <c r="M5426" s="49"/>
    </row>
    <row r="5427" spans="6:13" x14ac:dyDescent="0.25">
      <c r="F5427" t="s">
        <v>6089</v>
      </c>
      <c r="G5427">
        <v>1468</v>
      </c>
      <c r="H5427">
        <v>14627</v>
      </c>
      <c r="I5427" s="25" t="s">
        <v>2135</v>
      </c>
      <c r="J5427" t="s">
        <v>2251</v>
      </c>
      <c r="M5427" s="49"/>
    </row>
    <row r="5428" spans="6:13" x14ac:dyDescent="0.25">
      <c r="F5428" t="s">
        <v>6090</v>
      </c>
      <c r="G5428">
        <v>69509</v>
      </c>
      <c r="H5428">
        <v>6431</v>
      </c>
      <c r="I5428" s="25" t="s">
        <v>2046</v>
      </c>
      <c r="J5428" t="s">
        <v>2065</v>
      </c>
      <c r="M5428" s="49"/>
    </row>
    <row r="5429" spans="6:13" x14ac:dyDescent="0.25">
      <c r="F5429" t="s">
        <v>6091</v>
      </c>
      <c r="G5429">
        <v>91804</v>
      </c>
      <c r="H5429">
        <v>9176</v>
      </c>
      <c r="I5429" s="25" t="s">
        <v>2050</v>
      </c>
      <c r="J5429" t="s">
        <v>2102</v>
      </c>
      <c r="M5429" s="49"/>
    </row>
    <row r="5430" spans="6:13" x14ac:dyDescent="0.25">
      <c r="F5430" t="s">
        <v>6092</v>
      </c>
      <c r="G5430">
        <v>51597</v>
      </c>
      <c r="H5430">
        <v>5374</v>
      </c>
      <c r="I5430" s="25" t="s">
        <v>2023</v>
      </c>
      <c r="J5430" t="s">
        <v>2281</v>
      </c>
      <c r="M5430" s="49"/>
    </row>
    <row r="5431" spans="6:13" x14ac:dyDescent="0.25">
      <c r="F5431" t="s">
        <v>6093</v>
      </c>
      <c r="G5431">
        <v>34326</v>
      </c>
      <c r="H5431">
        <v>6634</v>
      </c>
      <c r="I5431" s="25" t="s">
        <v>2046</v>
      </c>
      <c r="J5431" t="s">
        <v>2360</v>
      </c>
      <c r="M5431" s="49"/>
    </row>
    <row r="5432" spans="6:13" x14ac:dyDescent="0.25">
      <c r="F5432" t="s">
        <v>6094</v>
      </c>
      <c r="G5432">
        <v>74821</v>
      </c>
      <c r="H5432">
        <v>8225</v>
      </c>
      <c r="I5432" s="25" t="s">
        <v>2018</v>
      </c>
      <c r="J5432" t="s">
        <v>2108</v>
      </c>
      <c r="M5432" s="49"/>
    </row>
    <row r="5433" spans="6:13" x14ac:dyDescent="0.25">
      <c r="F5433" t="s">
        <v>6095</v>
      </c>
      <c r="G5433">
        <v>64756</v>
      </c>
      <c r="H5433">
        <v>6437</v>
      </c>
      <c r="I5433" s="25" t="s">
        <v>2046</v>
      </c>
      <c r="J5433" t="s">
        <v>2674</v>
      </c>
      <c r="M5433" s="49"/>
    </row>
    <row r="5434" spans="6:13" x14ac:dyDescent="0.25">
      <c r="F5434" t="s">
        <v>6096</v>
      </c>
      <c r="G5434">
        <v>72116</v>
      </c>
      <c r="H5434">
        <v>8416</v>
      </c>
      <c r="I5434" s="25" t="s">
        <v>2018</v>
      </c>
      <c r="J5434" t="s">
        <v>2464</v>
      </c>
      <c r="M5434" s="49"/>
    </row>
    <row r="5435" spans="6:13" x14ac:dyDescent="0.25">
      <c r="F5435" t="s">
        <v>6097</v>
      </c>
      <c r="G5435">
        <v>97786</v>
      </c>
      <c r="H5435">
        <v>9672</v>
      </c>
      <c r="I5435" s="25" t="s">
        <v>2050</v>
      </c>
      <c r="J5435" t="s">
        <v>2620</v>
      </c>
      <c r="M5435" s="49"/>
    </row>
    <row r="5436" spans="6:13" x14ac:dyDescent="0.25">
      <c r="F5436" t="s">
        <v>6098</v>
      </c>
      <c r="G5436">
        <v>86753</v>
      </c>
      <c r="H5436">
        <v>9779</v>
      </c>
      <c r="I5436" s="25" t="s">
        <v>2050</v>
      </c>
      <c r="J5436" t="s">
        <v>2280</v>
      </c>
      <c r="M5436" s="49"/>
    </row>
    <row r="5437" spans="6:13" x14ac:dyDescent="0.25">
      <c r="F5437" t="s">
        <v>6099</v>
      </c>
      <c r="G5437">
        <v>93099</v>
      </c>
      <c r="H5437">
        <v>9375</v>
      </c>
      <c r="I5437" s="25" t="s">
        <v>2050</v>
      </c>
      <c r="J5437" t="s">
        <v>2365</v>
      </c>
      <c r="M5437" s="49"/>
    </row>
    <row r="5438" spans="6:13" x14ac:dyDescent="0.25">
      <c r="F5438" t="s">
        <v>6100</v>
      </c>
      <c r="G5438">
        <v>71159</v>
      </c>
      <c r="H5438">
        <v>8115</v>
      </c>
      <c r="I5438" s="25" t="s">
        <v>2018</v>
      </c>
      <c r="J5438" t="s">
        <v>2222</v>
      </c>
      <c r="M5438" s="49"/>
    </row>
    <row r="5439" spans="6:13" x14ac:dyDescent="0.25">
      <c r="F5439" t="s">
        <v>6101</v>
      </c>
      <c r="G5439">
        <v>53804</v>
      </c>
      <c r="H5439">
        <v>5382</v>
      </c>
      <c r="I5439" s="25" t="s">
        <v>2023</v>
      </c>
      <c r="J5439" t="s">
        <v>2298</v>
      </c>
      <c r="M5439" s="49"/>
    </row>
    <row r="5440" spans="6:13" x14ac:dyDescent="0.25">
      <c r="F5440" t="s">
        <v>6102</v>
      </c>
      <c r="G5440">
        <v>6255</v>
      </c>
      <c r="H5440">
        <v>15088</v>
      </c>
      <c r="I5440" s="25" t="s">
        <v>2241</v>
      </c>
      <c r="J5440" t="s">
        <v>2344</v>
      </c>
      <c r="M5440" s="49"/>
    </row>
    <row r="5441" spans="6:13" x14ac:dyDescent="0.25">
      <c r="F5441" t="s">
        <v>6103</v>
      </c>
      <c r="G5441">
        <v>6249</v>
      </c>
      <c r="H5441">
        <v>15088</v>
      </c>
      <c r="I5441" s="25" t="s">
        <v>2241</v>
      </c>
      <c r="J5441" t="s">
        <v>2344</v>
      </c>
      <c r="M5441" s="49"/>
    </row>
    <row r="5442" spans="6:13" x14ac:dyDescent="0.25">
      <c r="F5442" t="s">
        <v>6104</v>
      </c>
      <c r="G5442">
        <v>35325</v>
      </c>
      <c r="H5442">
        <v>6535</v>
      </c>
      <c r="I5442" s="25" t="s">
        <v>2046</v>
      </c>
      <c r="J5442" t="s">
        <v>2346</v>
      </c>
      <c r="M5442" s="49"/>
    </row>
    <row r="5443" spans="6:13" x14ac:dyDescent="0.25">
      <c r="F5443" t="s">
        <v>6105</v>
      </c>
      <c r="G5443">
        <v>69427</v>
      </c>
      <c r="H5443">
        <v>8225</v>
      </c>
      <c r="I5443" s="25" t="s">
        <v>2018</v>
      </c>
      <c r="J5443" t="s">
        <v>2108</v>
      </c>
      <c r="M5443" s="49"/>
    </row>
    <row r="5444" spans="6:13" x14ac:dyDescent="0.25">
      <c r="F5444" t="s">
        <v>6106</v>
      </c>
      <c r="G5444">
        <v>56254</v>
      </c>
      <c r="H5444">
        <v>7135</v>
      </c>
      <c r="I5444" s="25" t="s">
        <v>2123</v>
      </c>
      <c r="J5444" t="s">
        <v>2072</v>
      </c>
      <c r="M5444" s="49"/>
    </row>
    <row r="5445" spans="6:13" x14ac:dyDescent="0.25">
      <c r="F5445" t="s">
        <v>6107</v>
      </c>
      <c r="G5445">
        <v>38539</v>
      </c>
      <c r="H5445">
        <v>3151</v>
      </c>
      <c r="I5445" s="25" t="s">
        <v>2074</v>
      </c>
      <c r="J5445" t="s">
        <v>2126</v>
      </c>
      <c r="M5445" s="49"/>
    </row>
    <row r="5446" spans="6:13" x14ac:dyDescent="0.25">
      <c r="F5446" t="s">
        <v>6108</v>
      </c>
      <c r="G5446">
        <v>57555</v>
      </c>
      <c r="H5446">
        <v>7132</v>
      </c>
      <c r="I5446" s="25" t="s">
        <v>2123</v>
      </c>
      <c r="J5446" t="s">
        <v>2401</v>
      </c>
      <c r="M5446" s="49"/>
    </row>
    <row r="5447" spans="6:13" x14ac:dyDescent="0.25">
      <c r="F5447" t="s">
        <v>6109</v>
      </c>
      <c r="G5447">
        <v>4769</v>
      </c>
      <c r="H5447">
        <v>14730</v>
      </c>
      <c r="I5447" s="25" t="s">
        <v>2135</v>
      </c>
      <c r="J5447" t="s">
        <v>2083</v>
      </c>
      <c r="M5447" s="49"/>
    </row>
    <row r="5448" spans="6:13" x14ac:dyDescent="0.25">
      <c r="F5448" t="s">
        <v>6110</v>
      </c>
      <c r="G5448">
        <v>76461</v>
      </c>
      <c r="H5448">
        <v>8216</v>
      </c>
      <c r="I5448" s="25" t="s">
        <v>2018</v>
      </c>
      <c r="J5448" t="s">
        <v>2564</v>
      </c>
      <c r="M5448" s="49"/>
    </row>
    <row r="5449" spans="6:13" x14ac:dyDescent="0.25">
      <c r="F5449" t="s">
        <v>6111</v>
      </c>
      <c r="G5449">
        <v>75417</v>
      </c>
      <c r="H5449">
        <v>8236</v>
      </c>
      <c r="I5449" s="25" t="s">
        <v>2018</v>
      </c>
      <c r="J5449" t="s">
        <v>3087</v>
      </c>
      <c r="M5449" s="49"/>
    </row>
    <row r="5450" spans="6:13" x14ac:dyDescent="0.25">
      <c r="F5450" t="s">
        <v>6112</v>
      </c>
      <c r="G5450">
        <v>9241</v>
      </c>
      <c r="H5450">
        <v>14522</v>
      </c>
      <c r="I5450" s="25" t="s">
        <v>2135</v>
      </c>
      <c r="J5450" t="s">
        <v>2100</v>
      </c>
      <c r="M5450" s="49"/>
    </row>
    <row r="5451" spans="6:13" x14ac:dyDescent="0.25">
      <c r="F5451" t="s">
        <v>6113</v>
      </c>
      <c r="G5451">
        <v>4931</v>
      </c>
      <c r="H5451">
        <v>12062</v>
      </c>
      <c r="I5451" s="25" t="s">
        <v>2356</v>
      </c>
      <c r="J5451" t="s">
        <v>2689</v>
      </c>
      <c r="M5451" s="49"/>
    </row>
    <row r="5452" spans="6:13" x14ac:dyDescent="0.25">
      <c r="F5452" t="s">
        <v>2474</v>
      </c>
      <c r="G5452">
        <v>84453</v>
      </c>
      <c r="H5452">
        <v>9183</v>
      </c>
      <c r="I5452" s="25" t="s">
        <v>2050</v>
      </c>
      <c r="J5452" t="s">
        <v>2474</v>
      </c>
      <c r="M5452" s="49"/>
    </row>
    <row r="5453" spans="6:13" x14ac:dyDescent="0.25">
      <c r="F5453" t="s">
        <v>6114</v>
      </c>
      <c r="G5453">
        <v>77796</v>
      </c>
      <c r="H5453">
        <v>8317</v>
      </c>
      <c r="I5453" s="25" t="s">
        <v>2018</v>
      </c>
      <c r="J5453" t="s">
        <v>2071</v>
      </c>
      <c r="M5453" s="49"/>
    </row>
    <row r="5454" spans="6:13" x14ac:dyDescent="0.25">
      <c r="F5454" t="s">
        <v>6115</v>
      </c>
      <c r="G5454">
        <v>16567</v>
      </c>
      <c r="H5454">
        <v>12065</v>
      </c>
      <c r="I5454" s="25" t="s">
        <v>2356</v>
      </c>
      <c r="J5454" t="s">
        <v>2283</v>
      </c>
      <c r="M5454" s="49"/>
    </row>
    <row r="5455" spans="6:13" x14ac:dyDescent="0.25">
      <c r="F5455" t="s">
        <v>6116</v>
      </c>
      <c r="G5455">
        <v>69242</v>
      </c>
      <c r="H5455">
        <v>8226</v>
      </c>
      <c r="I5455" s="25" t="s">
        <v>2018</v>
      </c>
      <c r="J5455" t="s">
        <v>2442</v>
      </c>
      <c r="M5455" s="49"/>
    </row>
    <row r="5456" spans="6:13" x14ac:dyDescent="0.25">
      <c r="F5456" t="s">
        <v>6116</v>
      </c>
      <c r="G5456">
        <v>92360</v>
      </c>
      <c r="H5456">
        <v>9373</v>
      </c>
      <c r="I5456" s="25" t="s">
        <v>2050</v>
      </c>
      <c r="J5456" t="s">
        <v>2891</v>
      </c>
      <c r="M5456" s="49"/>
    </row>
    <row r="5457" spans="6:13" x14ac:dyDescent="0.25">
      <c r="F5457" t="s">
        <v>6116</v>
      </c>
      <c r="G5457">
        <v>96172</v>
      </c>
      <c r="H5457">
        <v>9572</v>
      </c>
      <c r="I5457" s="25" t="s">
        <v>2050</v>
      </c>
      <c r="J5457" t="s">
        <v>2105</v>
      </c>
      <c r="M5457" s="49"/>
    </row>
    <row r="5458" spans="6:13" x14ac:dyDescent="0.25">
      <c r="F5458" t="s">
        <v>6117</v>
      </c>
      <c r="G5458">
        <v>73347</v>
      </c>
      <c r="H5458">
        <v>8117</v>
      </c>
      <c r="I5458" s="25" t="s">
        <v>2018</v>
      </c>
      <c r="J5458" t="s">
        <v>2089</v>
      </c>
      <c r="M5458" s="49"/>
    </row>
    <row r="5459" spans="6:13" x14ac:dyDescent="0.25">
      <c r="F5459" t="s">
        <v>6118</v>
      </c>
      <c r="G5459">
        <v>99974</v>
      </c>
      <c r="H5459">
        <v>16064</v>
      </c>
      <c r="I5459" s="25" t="s">
        <v>2384</v>
      </c>
      <c r="J5459" t="s">
        <v>2405</v>
      </c>
      <c r="M5459" s="49"/>
    </row>
    <row r="5460" spans="6:13" x14ac:dyDescent="0.25">
      <c r="F5460" t="s">
        <v>6119</v>
      </c>
      <c r="G5460">
        <v>78259</v>
      </c>
      <c r="H5460">
        <v>8335</v>
      </c>
      <c r="I5460" s="25" t="s">
        <v>2018</v>
      </c>
      <c r="J5460" t="s">
        <v>2019</v>
      </c>
      <c r="M5460" s="49"/>
    </row>
    <row r="5461" spans="6:13" x14ac:dyDescent="0.25">
      <c r="F5461" t="s">
        <v>6120</v>
      </c>
      <c r="G5461">
        <v>63165</v>
      </c>
      <c r="H5461">
        <v>6438</v>
      </c>
      <c r="I5461" s="25" t="s">
        <v>2046</v>
      </c>
      <c r="J5461" t="s">
        <v>3567</v>
      </c>
      <c r="M5461" s="49"/>
    </row>
    <row r="5462" spans="6:13" x14ac:dyDescent="0.25">
      <c r="F5462" t="s">
        <v>6121</v>
      </c>
      <c r="G5462">
        <v>78570</v>
      </c>
      <c r="H5462">
        <v>8327</v>
      </c>
      <c r="I5462" s="25" t="s">
        <v>2018</v>
      </c>
      <c r="J5462" t="s">
        <v>2277</v>
      </c>
      <c r="M5462" s="49"/>
    </row>
    <row r="5463" spans="6:13" x14ac:dyDescent="0.25">
      <c r="F5463" t="s">
        <v>6122</v>
      </c>
      <c r="G5463">
        <v>78357</v>
      </c>
      <c r="H5463">
        <v>8335</v>
      </c>
      <c r="I5463" s="25" t="s">
        <v>2018</v>
      </c>
      <c r="J5463" t="s">
        <v>2019</v>
      </c>
      <c r="M5463" s="49"/>
    </row>
    <row r="5464" spans="6:13" x14ac:dyDescent="0.25">
      <c r="F5464" t="s">
        <v>6123</v>
      </c>
      <c r="G5464">
        <v>64367</v>
      </c>
      <c r="H5464">
        <v>6432</v>
      </c>
      <c r="I5464" s="25" t="s">
        <v>2046</v>
      </c>
      <c r="J5464" t="s">
        <v>2338</v>
      </c>
      <c r="M5464" s="49"/>
    </row>
    <row r="5465" spans="6:13" x14ac:dyDescent="0.25">
      <c r="F5465" t="s">
        <v>6124</v>
      </c>
      <c r="G5465">
        <v>91735</v>
      </c>
      <c r="H5465">
        <v>9577</v>
      </c>
      <c r="I5465" s="25" t="s">
        <v>2050</v>
      </c>
      <c r="J5465" t="s">
        <v>2057</v>
      </c>
      <c r="M5465" s="49"/>
    </row>
    <row r="5466" spans="6:13" x14ac:dyDescent="0.25">
      <c r="F5466" t="s">
        <v>6125</v>
      </c>
      <c r="G5466">
        <v>8262</v>
      </c>
      <c r="H5466">
        <v>14523</v>
      </c>
      <c r="I5466" s="25" t="s">
        <v>2135</v>
      </c>
      <c r="J5466" t="s">
        <v>2136</v>
      </c>
      <c r="M5466" s="49"/>
    </row>
    <row r="5467" spans="6:13" x14ac:dyDescent="0.25">
      <c r="F5467" t="s">
        <v>6126</v>
      </c>
      <c r="G5467">
        <v>6774</v>
      </c>
      <c r="H5467">
        <v>15082</v>
      </c>
      <c r="I5467" s="25" t="s">
        <v>2241</v>
      </c>
      <c r="J5467" t="s">
        <v>2242</v>
      </c>
      <c r="M5467" s="49"/>
    </row>
    <row r="5468" spans="6:13" x14ac:dyDescent="0.25">
      <c r="F5468" t="s">
        <v>6127</v>
      </c>
      <c r="G5468">
        <v>74673</v>
      </c>
      <c r="H5468">
        <v>8126</v>
      </c>
      <c r="I5468" s="25" t="s">
        <v>2018</v>
      </c>
      <c r="J5468" t="s">
        <v>3280</v>
      </c>
      <c r="M5468" s="49"/>
    </row>
    <row r="5469" spans="6:13" x14ac:dyDescent="0.25">
      <c r="F5469" t="s">
        <v>6128</v>
      </c>
      <c r="G5469">
        <v>54486</v>
      </c>
      <c r="H5469">
        <v>7231</v>
      </c>
      <c r="I5469" s="25" t="s">
        <v>2123</v>
      </c>
      <c r="J5469" t="s">
        <v>2043</v>
      </c>
      <c r="M5469" s="49"/>
    </row>
    <row r="5470" spans="6:13" x14ac:dyDescent="0.25">
      <c r="F5470" t="s">
        <v>6129</v>
      </c>
      <c r="G5470">
        <v>45475</v>
      </c>
      <c r="H5470">
        <v>5117</v>
      </c>
      <c r="I5470" s="25" t="s">
        <v>2023</v>
      </c>
      <c r="J5470" t="s">
        <v>6130</v>
      </c>
      <c r="M5470" s="49"/>
    </row>
    <row r="5471" spans="6:13" x14ac:dyDescent="0.25">
      <c r="F5471" t="s">
        <v>6129</v>
      </c>
      <c r="G5471">
        <v>45476</v>
      </c>
      <c r="H5471">
        <v>5117</v>
      </c>
      <c r="I5471" s="25" t="s">
        <v>2023</v>
      </c>
      <c r="J5471" t="s">
        <v>6130</v>
      </c>
      <c r="M5471" s="49"/>
    </row>
    <row r="5472" spans="6:13" x14ac:dyDescent="0.25">
      <c r="F5472" t="s">
        <v>6129</v>
      </c>
      <c r="G5472">
        <v>45472</v>
      </c>
      <c r="H5472">
        <v>5117</v>
      </c>
      <c r="I5472" s="25" t="s">
        <v>2023</v>
      </c>
      <c r="J5472" t="s">
        <v>6130</v>
      </c>
      <c r="M5472" s="49"/>
    </row>
    <row r="5473" spans="6:13" x14ac:dyDescent="0.25">
      <c r="F5473" t="s">
        <v>6129</v>
      </c>
      <c r="G5473">
        <v>45481</v>
      </c>
      <c r="H5473">
        <v>5117</v>
      </c>
      <c r="I5473" s="25" t="s">
        <v>2023</v>
      </c>
      <c r="J5473" t="s">
        <v>6130</v>
      </c>
      <c r="M5473" s="49"/>
    </row>
    <row r="5474" spans="6:13" x14ac:dyDescent="0.25">
      <c r="F5474" t="s">
        <v>6129</v>
      </c>
      <c r="G5474">
        <v>45478</v>
      </c>
      <c r="H5474">
        <v>5117</v>
      </c>
      <c r="I5474" s="25" t="s">
        <v>2023</v>
      </c>
      <c r="J5474" t="s">
        <v>6130</v>
      </c>
      <c r="M5474" s="49"/>
    </row>
    <row r="5475" spans="6:13" x14ac:dyDescent="0.25">
      <c r="F5475" t="s">
        <v>6129</v>
      </c>
      <c r="G5475">
        <v>45468</v>
      </c>
      <c r="H5475">
        <v>5117</v>
      </c>
      <c r="I5475" s="25" t="s">
        <v>2023</v>
      </c>
      <c r="J5475" t="s">
        <v>6130</v>
      </c>
      <c r="M5475" s="49"/>
    </row>
    <row r="5476" spans="6:13" x14ac:dyDescent="0.25">
      <c r="F5476" t="s">
        <v>6129</v>
      </c>
      <c r="G5476">
        <v>45479</v>
      </c>
      <c r="H5476">
        <v>5117</v>
      </c>
      <c r="I5476" s="25" t="s">
        <v>2023</v>
      </c>
      <c r="J5476" t="s">
        <v>6130</v>
      </c>
      <c r="M5476" s="49"/>
    </row>
    <row r="5477" spans="6:13" x14ac:dyDescent="0.25">
      <c r="F5477" t="s">
        <v>6129</v>
      </c>
      <c r="G5477">
        <v>45470</v>
      </c>
      <c r="H5477">
        <v>5117</v>
      </c>
      <c r="I5477" s="25" t="s">
        <v>2023</v>
      </c>
      <c r="J5477" t="s">
        <v>6130</v>
      </c>
      <c r="M5477" s="49"/>
    </row>
    <row r="5478" spans="6:13" x14ac:dyDescent="0.25">
      <c r="F5478" t="s">
        <v>6129</v>
      </c>
      <c r="G5478">
        <v>45473</v>
      </c>
      <c r="H5478">
        <v>5117</v>
      </c>
      <c r="I5478" s="25" t="s">
        <v>2023</v>
      </c>
      <c r="J5478" t="s">
        <v>6130</v>
      </c>
      <c r="M5478" s="49"/>
    </row>
    <row r="5479" spans="6:13" x14ac:dyDescent="0.25">
      <c r="F5479" t="s">
        <v>6131</v>
      </c>
      <c r="G5479">
        <v>56218</v>
      </c>
      <c r="H5479">
        <v>7137</v>
      </c>
      <c r="I5479" s="25" t="s">
        <v>2123</v>
      </c>
      <c r="J5479" t="s">
        <v>2246</v>
      </c>
      <c r="M5479" s="49"/>
    </row>
    <row r="5480" spans="6:13" x14ac:dyDescent="0.25">
      <c r="F5480" t="s">
        <v>6132</v>
      </c>
      <c r="G5480">
        <v>79379</v>
      </c>
      <c r="H5480">
        <v>8315</v>
      </c>
      <c r="I5480" s="25" t="s">
        <v>2018</v>
      </c>
      <c r="J5480" t="s">
        <v>2061</v>
      </c>
      <c r="M5480" s="49"/>
    </row>
    <row r="5481" spans="6:13" x14ac:dyDescent="0.25">
      <c r="F5481" t="s">
        <v>6133</v>
      </c>
      <c r="G5481">
        <v>15299</v>
      </c>
      <c r="H5481">
        <v>12067</v>
      </c>
      <c r="I5481" s="25" t="s">
        <v>2356</v>
      </c>
      <c r="J5481" t="s">
        <v>2711</v>
      </c>
      <c r="M5481" s="49"/>
    </row>
    <row r="5482" spans="6:13" x14ac:dyDescent="0.25">
      <c r="F5482" t="s">
        <v>6134</v>
      </c>
      <c r="G5482">
        <v>8132</v>
      </c>
      <c r="H5482">
        <v>14524</v>
      </c>
      <c r="I5482" s="25" t="s">
        <v>2135</v>
      </c>
      <c r="J5482" t="s">
        <v>3424</v>
      </c>
      <c r="M5482" s="49"/>
    </row>
    <row r="5483" spans="6:13" x14ac:dyDescent="0.25">
      <c r="F5483" t="s">
        <v>6135</v>
      </c>
      <c r="G5483">
        <v>95213</v>
      </c>
      <c r="H5483">
        <v>9475</v>
      </c>
      <c r="I5483" s="25" t="s">
        <v>2050</v>
      </c>
      <c r="J5483" t="s">
        <v>2201</v>
      </c>
      <c r="M5483" s="49"/>
    </row>
    <row r="5484" spans="6:13" x14ac:dyDescent="0.25">
      <c r="F5484" t="s">
        <v>6136</v>
      </c>
      <c r="G5484">
        <v>15374</v>
      </c>
      <c r="H5484">
        <v>12064</v>
      </c>
      <c r="I5484" s="25" t="s">
        <v>2356</v>
      </c>
      <c r="J5484" t="s">
        <v>2243</v>
      </c>
      <c r="M5484" s="49"/>
    </row>
    <row r="5485" spans="6:13" x14ac:dyDescent="0.25">
      <c r="F5485" t="s">
        <v>2547</v>
      </c>
      <c r="G5485">
        <v>80634</v>
      </c>
      <c r="H5485">
        <v>9162</v>
      </c>
      <c r="I5485" s="25" t="s">
        <v>2050</v>
      </c>
      <c r="J5485" t="s">
        <v>4550</v>
      </c>
      <c r="M5485" s="49"/>
    </row>
    <row r="5486" spans="6:13" x14ac:dyDescent="0.25">
      <c r="F5486" t="s">
        <v>2547</v>
      </c>
      <c r="G5486">
        <v>80538</v>
      </c>
      <c r="H5486">
        <v>9162</v>
      </c>
      <c r="I5486" s="25" t="s">
        <v>2050</v>
      </c>
      <c r="J5486" t="s">
        <v>4550</v>
      </c>
      <c r="M5486" s="49"/>
    </row>
    <row r="5487" spans="6:13" x14ac:dyDescent="0.25">
      <c r="F5487" t="s">
        <v>2547</v>
      </c>
      <c r="G5487">
        <v>80992</v>
      </c>
      <c r="H5487">
        <v>9162</v>
      </c>
      <c r="I5487" s="25" t="s">
        <v>2050</v>
      </c>
      <c r="J5487" t="s">
        <v>4550</v>
      </c>
      <c r="M5487" s="49"/>
    </row>
    <row r="5488" spans="6:13" x14ac:dyDescent="0.25">
      <c r="F5488" t="s">
        <v>2547</v>
      </c>
      <c r="G5488">
        <v>80689</v>
      </c>
      <c r="H5488">
        <v>9162</v>
      </c>
      <c r="I5488" s="25" t="s">
        <v>2050</v>
      </c>
      <c r="J5488" t="s">
        <v>4550</v>
      </c>
      <c r="M5488" s="49"/>
    </row>
    <row r="5489" spans="6:13" x14ac:dyDescent="0.25">
      <c r="F5489" t="s">
        <v>2547</v>
      </c>
      <c r="G5489">
        <v>80687</v>
      </c>
      <c r="H5489">
        <v>9162</v>
      </c>
      <c r="I5489" s="25" t="s">
        <v>2050</v>
      </c>
      <c r="J5489" t="s">
        <v>4550</v>
      </c>
      <c r="M5489" s="49"/>
    </row>
    <row r="5490" spans="6:13" x14ac:dyDescent="0.25">
      <c r="F5490" t="s">
        <v>2547</v>
      </c>
      <c r="G5490">
        <v>80802</v>
      </c>
      <c r="H5490">
        <v>9162</v>
      </c>
      <c r="I5490" s="25" t="s">
        <v>2050</v>
      </c>
      <c r="J5490" t="s">
        <v>4550</v>
      </c>
      <c r="M5490" s="49"/>
    </row>
    <row r="5491" spans="6:13" x14ac:dyDescent="0.25">
      <c r="F5491" t="s">
        <v>2547</v>
      </c>
      <c r="G5491">
        <v>81927</v>
      </c>
      <c r="H5491">
        <v>9162</v>
      </c>
      <c r="I5491" s="25" t="s">
        <v>2050</v>
      </c>
      <c r="J5491" t="s">
        <v>4550</v>
      </c>
      <c r="M5491" s="49"/>
    </row>
    <row r="5492" spans="6:13" x14ac:dyDescent="0.25">
      <c r="F5492" t="s">
        <v>2547</v>
      </c>
      <c r="G5492">
        <v>81479</v>
      </c>
      <c r="H5492">
        <v>9162</v>
      </c>
      <c r="I5492" s="25" t="s">
        <v>2050</v>
      </c>
      <c r="J5492" t="s">
        <v>4550</v>
      </c>
      <c r="M5492" s="49"/>
    </row>
    <row r="5493" spans="6:13" x14ac:dyDescent="0.25">
      <c r="F5493" t="s">
        <v>2547</v>
      </c>
      <c r="G5493">
        <v>80797</v>
      </c>
      <c r="H5493">
        <v>9162</v>
      </c>
      <c r="I5493" s="25" t="s">
        <v>2050</v>
      </c>
      <c r="J5493" t="s">
        <v>4550</v>
      </c>
      <c r="M5493" s="49"/>
    </row>
    <row r="5494" spans="6:13" x14ac:dyDescent="0.25">
      <c r="F5494" t="s">
        <v>2547</v>
      </c>
      <c r="G5494">
        <v>80469</v>
      </c>
      <c r="H5494">
        <v>9162</v>
      </c>
      <c r="I5494" s="25" t="s">
        <v>2050</v>
      </c>
      <c r="J5494" t="s">
        <v>4550</v>
      </c>
      <c r="M5494" s="49"/>
    </row>
    <row r="5495" spans="6:13" x14ac:dyDescent="0.25">
      <c r="F5495" t="s">
        <v>2547</v>
      </c>
      <c r="G5495">
        <v>80807</v>
      </c>
      <c r="H5495">
        <v>9162</v>
      </c>
      <c r="I5495" s="25" t="s">
        <v>2050</v>
      </c>
      <c r="J5495" t="s">
        <v>4550</v>
      </c>
      <c r="M5495" s="49"/>
    </row>
    <row r="5496" spans="6:13" x14ac:dyDescent="0.25">
      <c r="F5496" t="s">
        <v>2547</v>
      </c>
      <c r="G5496">
        <v>81669</v>
      </c>
      <c r="H5496">
        <v>9162</v>
      </c>
      <c r="I5496" s="25" t="s">
        <v>2050</v>
      </c>
      <c r="J5496" t="s">
        <v>4550</v>
      </c>
      <c r="M5496" s="49"/>
    </row>
    <row r="5497" spans="6:13" x14ac:dyDescent="0.25">
      <c r="F5497" t="s">
        <v>2547</v>
      </c>
      <c r="G5497">
        <v>81377</v>
      </c>
      <c r="H5497">
        <v>9162</v>
      </c>
      <c r="I5497" s="25" t="s">
        <v>2050</v>
      </c>
      <c r="J5497" t="s">
        <v>4550</v>
      </c>
      <c r="M5497" s="49"/>
    </row>
    <row r="5498" spans="6:13" x14ac:dyDescent="0.25">
      <c r="F5498" t="s">
        <v>2547</v>
      </c>
      <c r="G5498">
        <v>80335</v>
      </c>
      <c r="H5498">
        <v>9162</v>
      </c>
      <c r="I5498" s="25" t="s">
        <v>2050</v>
      </c>
      <c r="J5498" t="s">
        <v>4550</v>
      </c>
      <c r="M5498" s="49"/>
    </row>
    <row r="5499" spans="6:13" x14ac:dyDescent="0.25">
      <c r="F5499" t="s">
        <v>2547</v>
      </c>
      <c r="G5499">
        <v>81541</v>
      </c>
      <c r="H5499">
        <v>9162</v>
      </c>
      <c r="I5499" s="25" t="s">
        <v>2050</v>
      </c>
      <c r="J5499" t="s">
        <v>4550</v>
      </c>
      <c r="M5499" s="49"/>
    </row>
    <row r="5500" spans="6:13" x14ac:dyDescent="0.25">
      <c r="F5500" t="s">
        <v>2547</v>
      </c>
      <c r="G5500">
        <v>81249</v>
      </c>
      <c r="H5500">
        <v>9162</v>
      </c>
      <c r="I5500" s="25" t="s">
        <v>2050</v>
      </c>
      <c r="J5500" t="s">
        <v>4550</v>
      </c>
      <c r="M5500" s="49"/>
    </row>
    <row r="5501" spans="6:13" x14ac:dyDescent="0.25">
      <c r="F5501" t="s">
        <v>2547</v>
      </c>
      <c r="G5501">
        <v>81245</v>
      </c>
      <c r="H5501">
        <v>9162</v>
      </c>
      <c r="I5501" s="25" t="s">
        <v>2050</v>
      </c>
      <c r="J5501" t="s">
        <v>4550</v>
      </c>
      <c r="M5501" s="49"/>
    </row>
    <row r="5502" spans="6:13" x14ac:dyDescent="0.25">
      <c r="F5502" t="s">
        <v>2547</v>
      </c>
      <c r="G5502">
        <v>80337</v>
      </c>
      <c r="H5502">
        <v>9162</v>
      </c>
      <c r="I5502" s="25" t="s">
        <v>2050</v>
      </c>
      <c r="J5502" t="s">
        <v>4550</v>
      </c>
      <c r="M5502" s="49"/>
    </row>
    <row r="5503" spans="6:13" x14ac:dyDescent="0.25">
      <c r="F5503" t="s">
        <v>2547</v>
      </c>
      <c r="G5503">
        <v>81543</v>
      </c>
      <c r="H5503">
        <v>9162</v>
      </c>
      <c r="I5503" s="25" t="s">
        <v>2050</v>
      </c>
      <c r="J5503" t="s">
        <v>4550</v>
      </c>
      <c r="M5503" s="49"/>
    </row>
    <row r="5504" spans="6:13" x14ac:dyDescent="0.25">
      <c r="F5504" t="s">
        <v>2547</v>
      </c>
      <c r="G5504">
        <v>81667</v>
      </c>
      <c r="H5504">
        <v>9162</v>
      </c>
      <c r="I5504" s="25" t="s">
        <v>2050</v>
      </c>
      <c r="J5504" t="s">
        <v>4550</v>
      </c>
      <c r="M5504" s="49"/>
    </row>
    <row r="5505" spans="6:13" x14ac:dyDescent="0.25">
      <c r="F5505" t="s">
        <v>2547</v>
      </c>
      <c r="G5505">
        <v>80339</v>
      </c>
      <c r="H5505">
        <v>9162</v>
      </c>
      <c r="I5505" s="25" t="s">
        <v>2050</v>
      </c>
      <c r="J5505" t="s">
        <v>4550</v>
      </c>
      <c r="M5505" s="49"/>
    </row>
    <row r="5506" spans="6:13" x14ac:dyDescent="0.25">
      <c r="F5506" t="s">
        <v>2547</v>
      </c>
      <c r="G5506">
        <v>80331</v>
      </c>
      <c r="H5506">
        <v>9162</v>
      </c>
      <c r="I5506" s="25" t="s">
        <v>2050</v>
      </c>
      <c r="J5506" t="s">
        <v>4550</v>
      </c>
      <c r="M5506" s="49"/>
    </row>
    <row r="5507" spans="6:13" x14ac:dyDescent="0.25">
      <c r="F5507" t="s">
        <v>2547</v>
      </c>
      <c r="G5507">
        <v>81679</v>
      </c>
      <c r="H5507">
        <v>9162</v>
      </c>
      <c r="I5507" s="25" t="s">
        <v>2050</v>
      </c>
      <c r="J5507" t="s">
        <v>4550</v>
      </c>
      <c r="M5507" s="49"/>
    </row>
    <row r="5508" spans="6:13" x14ac:dyDescent="0.25">
      <c r="F5508" t="s">
        <v>2547</v>
      </c>
      <c r="G5508">
        <v>80636</v>
      </c>
      <c r="H5508">
        <v>9162</v>
      </c>
      <c r="I5508" s="25" t="s">
        <v>2050</v>
      </c>
      <c r="J5508" t="s">
        <v>4550</v>
      </c>
      <c r="M5508" s="49"/>
    </row>
    <row r="5509" spans="6:13" x14ac:dyDescent="0.25">
      <c r="F5509" t="s">
        <v>2547</v>
      </c>
      <c r="G5509">
        <v>80999</v>
      </c>
      <c r="H5509">
        <v>9162</v>
      </c>
      <c r="I5509" s="25" t="s">
        <v>2050</v>
      </c>
      <c r="J5509" t="s">
        <v>4550</v>
      </c>
      <c r="M5509" s="49"/>
    </row>
    <row r="5510" spans="6:13" x14ac:dyDescent="0.25">
      <c r="F5510" t="s">
        <v>2547</v>
      </c>
      <c r="G5510">
        <v>81373</v>
      </c>
      <c r="H5510">
        <v>9162</v>
      </c>
      <c r="I5510" s="25" t="s">
        <v>2050</v>
      </c>
      <c r="J5510" t="s">
        <v>4550</v>
      </c>
      <c r="M5510" s="49"/>
    </row>
    <row r="5511" spans="6:13" x14ac:dyDescent="0.25">
      <c r="F5511" t="s">
        <v>2547</v>
      </c>
      <c r="G5511">
        <v>81369</v>
      </c>
      <c r="H5511">
        <v>9162</v>
      </c>
      <c r="I5511" s="25" t="s">
        <v>2050</v>
      </c>
      <c r="J5511" t="s">
        <v>4550</v>
      </c>
      <c r="M5511" s="49"/>
    </row>
    <row r="5512" spans="6:13" x14ac:dyDescent="0.25">
      <c r="F5512" t="s">
        <v>2547</v>
      </c>
      <c r="G5512">
        <v>80805</v>
      </c>
      <c r="H5512">
        <v>9162</v>
      </c>
      <c r="I5512" s="25" t="s">
        <v>2050</v>
      </c>
      <c r="J5512" t="s">
        <v>4550</v>
      </c>
      <c r="M5512" s="49"/>
    </row>
    <row r="5513" spans="6:13" x14ac:dyDescent="0.25">
      <c r="F5513" t="s">
        <v>2547</v>
      </c>
      <c r="G5513">
        <v>80997</v>
      </c>
      <c r="H5513">
        <v>9162</v>
      </c>
      <c r="I5513" s="25" t="s">
        <v>2050</v>
      </c>
      <c r="J5513" t="s">
        <v>4550</v>
      </c>
      <c r="M5513" s="49"/>
    </row>
    <row r="5514" spans="6:13" x14ac:dyDescent="0.25">
      <c r="F5514" t="s">
        <v>2547</v>
      </c>
      <c r="G5514">
        <v>81476</v>
      </c>
      <c r="H5514">
        <v>9162</v>
      </c>
      <c r="I5514" s="25" t="s">
        <v>2050</v>
      </c>
      <c r="J5514" t="s">
        <v>4550</v>
      </c>
      <c r="M5514" s="49"/>
    </row>
    <row r="5515" spans="6:13" x14ac:dyDescent="0.25">
      <c r="F5515" t="s">
        <v>2547</v>
      </c>
      <c r="G5515">
        <v>80798</v>
      </c>
      <c r="H5515">
        <v>9162</v>
      </c>
      <c r="I5515" s="25" t="s">
        <v>2050</v>
      </c>
      <c r="J5515" t="s">
        <v>4550</v>
      </c>
      <c r="M5515" s="49"/>
    </row>
    <row r="5516" spans="6:13" x14ac:dyDescent="0.25">
      <c r="F5516" t="s">
        <v>2547</v>
      </c>
      <c r="G5516">
        <v>81475</v>
      </c>
      <c r="H5516">
        <v>9162</v>
      </c>
      <c r="I5516" s="25" t="s">
        <v>2050</v>
      </c>
      <c r="J5516" t="s">
        <v>4550</v>
      </c>
      <c r="M5516" s="49"/>
    </row>
    <row r="5517" spans="6:13" x14ac:dyDescent="0.25">
      <c r="F5517" t="s">
        <v>2547</v>
      </c>
      <c r="G5517">
        <v>80993</v>
      </c>
      <c r="H5517">
        <v>9162</v>
      </c>
      <c r="I5517" s="25" t="s">
        <v>2050</v>
      </c>
      <c r="J5517" t="s">
        <v>4550</v>
      </c>
      <c r="M5517" s="49"/>
    </row>
    <row r="5518" spans="6:13" x14ac:dyDescent="0.25">
      <c r="F5518" t="s">
        <v>2547</v>
      </c>
      <c r="G5518">
        <v>81545</v>
      </c>
      <c r="H5518">
        <v>9162</v>
      </c>
      <c r="I5518" s="25" t="s">
        <v>2050</v>
      </c>
      <c r="J5518" t="s">
        <v>4550</v>
      </c>
      <c r="M5518" s="49"/>
    </row>
    <row r="5519" spans="6:13" x14ac:dyDescent="0.25">
      <c r="F5519" t="s">
        <v>2547</v>
      </c>
      <c r="G5519">
        <v>80933</v>
      </c>
      <c r="H5519">
        <v>9162</v>
      </c>
      <c r="I5519" s="25" t="s">
        <v>2050</v>
      </c>
      <c r="J5519" t="s">
        <v>4550</v>
      </c>
      <c r="M5519" s="49"/>
    </row>
    <row r="5520" spans="6:13" x14ac:dyDescent="0.25">
      <c r="F5520" t="s">
        <v>2547</v>
      </c>
      <c r="G5520">
        <v>80796</v>
      </c>
      <c r="H5520">
        <v>9162</v>
      </c>
      <c r="I5520" s="25" t="s">
        <v>2050</v>
      </c>
      <c r="J5520" t="s">
        <v>4550</v>
      </c>
      <c r="M5520" s="49"/>
    </row>
    <row r="5521" spans="6:13" x14ac:dyDescent="0.25">
      <c r="F5521" t="s">
        <v>2547</v>
      </c>
      <c r="G5521">
        <v>81379</v>
      </c>
      <c r="H5521">
        <v>9162</v>
      </c>
      <c r="I5521" s="25" t="s">
        <v>2050</v>
      </c>
      <c r="J5521" t="s">
        <v>4550</v>
      </c>
      <c r="M5521" s="49"/>
    </row>
    <row r="5522" spans="6:13" x14ac:dyDescent="0.25">
      <c r="F5522" t="s">
        <v>2547</v>
      </c>
      <c r="G5522">
        <v>81539</v>
      </c>
      <c r="H5522">
        <v>9162</v>
      </c>
      <c r="I5522" s="25" t="s">
        <v>2050</v>
      </c>
      <c r="J5522" t="s">
        <v>4550</v>
      </c>
      <c r="M5522" s="49"/>
    </row>
    <row r="5523" spans="6:13" x14ac:dyDescent="0.25">
      <c r="F5523" t="s">
        <v>2547</v>
      </c>
      <c r="G5523">
        <v>80939</v>
      </c>
      <c r="H5523">
        <v>9162</v>
      </c>
      <c r="I5523" s="25" t="s">
        <v>2050</v>
      </c>
      <c r="J5523" t="s">
        <v>4550</v>
      </c>
      <c r="M5523" s="49"/>
    </row>
    <row r="5524" spans="6:13" x14ac:dyDescent="0.25">
      <c r="F5524" t="s">
        <v>2547</v>
      </c>
      <c r="G5524">
        <v>81247</v>
      </c>
      <c r="H5524">
        <v>9162</v>
      </c>
      <c r="I5524" s="25" t="s">
        <v>2050</v>
      </c>
      <c r="J5524" t="s">
        <v>4550</v>
      </c>
      <c r="M5524" s="49"/>
    </row>
    <row r="5525" spans="6:13" x14ac:dyDescent="0.25">
      <c r="F5525" t="s">
        <v>2547</v>
      </c>
      <c r="G5525">
        <v>80639</v>
      </c>
      <c r="H5525">
        <v>9162</v>
      </c>
      <c r="I5525" s="25" t="s">
        <v>2050</v>
      </c>
      <c r="J5525" t="s">
        <v>4550</v>
      </c>
      <c r="M5525" s="49"/>
    </row>
    <row r="5526" spans="6:13" x14ac:dyDescent="0.25">
      <c r="F5526" t="s">
        <v>2547</v>
      </c>
      <c r="G5526">
        <v>81371</v>
      </c>
      <c r="H5526">
        <v>9162</v>
      </c>
      <c r="I5526" s="25" t="s">
        <v>2050</v>
      </c>
      <c r="J5526" t="s">
        <v>4550</v>
      </c>
      <c r="M5526" s="49"/>
    </row>
    <row r="5527" spans="6:13" x14ac:dyDescent="0.25">
      <c r="F5527" t="s">
        <v>2547</v>
      </c>
      <c r="G5527">
        <v>80803</v>
      </c>
      <c r="H5527">
        <v>9162</v>
      </c>
      <c r="I5527" s="25" t="s">
        <v>2050</v>
      </c>
      <c r="J5527" t="s">
        <v>4550</v>
      </c>
      <c r="M5527" s="49"/>
    </row>
    <row r="5528" spans="6:13" x14ac:dyDescent="0.25">
      <c r="F5528" t="s">
        <v>2547</v>
      </c>
      <c r="G5528">
        <v>81925</v>
      </c>
      <c r="H5528">
        <v>9162</v>
      </c>
      <c r="I5528" s="25" t="s">
        <v>2050</v>
      </c>
      <c r="J5528" t="s">
        <v>4550</v>
      </c>
      <c r="M5528" s="49"/>
    </row>
    <row r="5529" spans="6:13" x14ac:dyDescent="0.25">
      <c r="F5529" t="s">
        <v>2547</v>
      </c>
      <c r="G5529">
        <v>80995</v>
      </c>
      <c r="H5529">
        <v>9162</v>
      </c>
      <c r="I5529" s="25" t="s">
        <v>2050</v>
      </c>
      <c r="J5529" t="s">
        <v>4550</v>
      </c>
      <c r="M5529" s="49"/>
    </row>
    <row r="5530" spans="6:13" x14ac:dyDescent="0.25">
      <c r="F5530" t="s">
        <v>2547</v>
      </c>
      <c r="G5530">
        <v>80935</v>
      </c>
      <c r="H5530">
        <v>9162</v>
      </c>
      <c r="I5530" s="25" t="s">
        <v>2050</v>
      </c>
      <c r="J5530" t="s">
        <v>4550</v>
      </c>
      <c r="M5530" s="49"/>
    </row>
    <row r="5531" spans="6:13" x14ac:dyDescent="0.25">
      <c r="F5531" t="s">
        <v>2547</v>
      </c>
      <c r="G5531">
        <v>81671</v>
      </c>
      <c r="H5531">
        <v>9162</v>
      </c>
      <c r="I5531" s="25" t="s">
        <v>2050</v>
      </c>
      <c r="J5531" t="s">
        <v>4550</v>
      </c>
      <c r="M5531" s="49"/>
    </row>
    <row r="5532" spans="6:13" x14ac:dyDescent="0.25">
      <c r="F5532" t="s">
        <v>2547</v>
      </c>
      <c r="G5532">
        <v>81829</v>
      </c>
      <c r="H5532">
        <v>9162</v>
      </c>
      <c r="I5532" s="25" t="s">
        <v>2050</v>
      </c>
      <c r="J5532" t="s">
        <v>4550</v>
      </c>
      <c r="M5532" s="49"/>
    </row>
    <row r="5533" spans="6:13" x14ac:dyDescent="0.25">
      <c r="F5533" t="s">
        <v>2547</v>
      </c>
      <c r="G5533">
        <v>81243</v>
      </c>
      <c r="H5533">
        <v>9162</v>
      </c>
      <c r="I5533" s="25" t="s">
        <v>2050</v>
      </c>
      <c r="J5533" t="s">
        <v>4550</v>
      </c>
      <c r="M5533" s="49"/>
    </row>
    <row r="5534" spans="6:13" x14ac:dyDescent="0.25">
      <c r="F5534" t="s">
        <v>2547</v>
      </c>
      <c r="G5534">
        <v>81477</v>
      </c>
      <c r="H5534">
        <v>9162</v>
      </c>
      <c r="I5534" s="25" t="s">
        <v>2050</v>
      </c>
      <c r="J5534" t="s">
        <v>4550</v>
      </c>
      <c r="M5534" s="49"/>
    </row>
    <row r="5535" spans="6:13" x14ac:dyDescent="0.25">
      <c r="F5535" t="s">
        <v>2547</v>
      </c>
      <c r="G5535">
        <v>80804</v>
      </c>
      <c r="H5535">
        <v>9162</v>
      </c>
      <c r="I5535" s="25" t="s">
        <v>2050</v>
      </c>
      <c r="J5535" t="s">
        <v>4550</v>
      </c>
      <c r="M5535" s="49"/>
    </row>
    <row r="5536" spans="6:13" x14ac:dyDescent="0.25">
      <c r="F5536" t="s">
        <v>2547</v>
      </c>
      <c r="G5536">
        <v>80809</v>
      </c>
      <c r="H5536">
        <v>9162</v>
      </c>
      <c r="I5536" s="25" t="s">
        <v>2050</v>
      </c>
      <c r="J5536" t="s">
        <v>4550</v>
      </c>
      <c r="M5536" s="49"/>
    </row>
    <row r="5537" spans="6:13" x14ac:dyDescent="0.25">
      <c r="F5537" t="s">
        <v>2547</v>
      </c>
      <c r="G5537">
        <v>80336</v>
      </c>
      <c r="H5537">
        <v>9162</v>
      </c>
      <c r="I5537" s="25" t="s">
        <v>2050</v>
      </c>
      <c r="J5537" t="s">
        <v>4550</v>
      </c>
      <c r="M5537" s="49"/>
    </row>
    <row r="5538" spans="6:13" x14ac:dyDescent="0.25">
      <c r="F5538" t="s">
        <v>2547</v>
      </c>
      <c r="G5538">
        <v>80333</v>
      </c>
      <c r="H5538">
        <v>9162</v>
      </c>
      <c r="I5538" s="25" t="s">
        <v>2050</v>
      </c>
      <c r="J5538" t="s">
        <v>4550</v>
      </c>
      <c r="M5538" s="49"/>
    </row>
    <row r="5539" spans="6:13" x14ac:dyDescent="0.25">
      <c r="F5539" t="s">
        <v>2547</v>
      </c>
      <c r="G5539">
        <v>80937</v>
      </c>
      <c r="H5539">
        <v>9162</v>
      </c>
      <c r="I5539" s="25" t="s">
        <v>2050</v>
      </c>
      <c r="J5539" t="s">
        <v>4550</v>
      </c>
      <c r="M5539" s="49"/>
    </row>
    <row r="5540" spans="6:13" x14ac:dyDescent="0.25">
      <c r="F5540" t="s">
        <v>2547</v>
      </c>
      <c r="G5540">
        <v>81737</v>
      </c>
      <c r="H5540">
        <v>9162</v>
      </c>
      <c r="I5540" s="25" t="s">
        <v>2050</v>
      </c>
      <c r="J5540" t="s">
        <v>4550</v>
      </c>
      <c r="M5540" s="49"/>
    </row>
    <row r="5541" spans="6:13" x14ac:dyDescent="0.25">
      <c r="F5541" t="s">
        <v>2547</v>
      </c>
      <c r="G5541">
        <v>81735</v>
      </c>
      <c r="H5541">
        <v>9162</v>
      </c>
      <c r="I5541" s="25" t="s">
        <v>2050</v>
      </c>
      <c r="J5541" t="s">
        <v>4550</v>
      </c>
      <c r="M5541" s="49"/>
    </row>
    <row r="5542" spans="6:13" x14ac:dyDescent="0.25">
      <c r="F5542" t="s">
        <v>2547</v>
      </c>
      <c r="G5542">
        <v>80686</v>
      </c>
      <c r="H5542">
        <v>9162</v>
      </c>
      <c r="I5542" s="25" t="s">
        <v>2050</v>
      </c>
      <c r="J5542" t="s">
        <v>4550</v>
      </c>
      <c r="M5542" s="49"/>
    </row>
    <row r="5543" spans="6:13" x14ac:dyDescent="0.25">
      <c r="F5543" t="s">
        <v>2547</v>
      </c>
      <c r="G5543">
        <v>80637</v>
      </c>
      <c r="H5543">
        <v>9162</v>
      </c>
      <c r="I5543" s="25" t="s">
        <v>2050</v>
      </c>
      <c r="J5543" t="s">
        <v>4550</v>
      </c>
      <c r="M5543" s="49"/>
    </row>
    <row r="5544" spans="6:13" x14ac:dyDescent="0.25">
      <c r="F5544" t="s">
        <v>2547</v>
      </c>
      <c r="G5544">
        <v>81677</v>
      </c>
      <c r="H5544">
        <v>9162</v>
      </c>
      <c r="I5544" s="25" t="s">
        <v>2050</v>
      </c>
      <c r="J5544" t="s">
        <v>4550</v>
      </c>
      <c r="M5544" s="49"/>
    </row>
    <row r="5545" spans="6:13" x14ac:dyDescent="0.25">
      <c r="F5545" t="s">
        <v>2547</v>
      </c>
      <c r="G5545">
        <v>81929</v>
      </c>
      <c r="H5545">
        <v>9162</v>
      </c>
      <c r="I5545" s="25" t="s">
        <v>2050</v>
      </c>
      <c r="J5545" t="s">
        <v>4550</v>
      </c>
      <c r="M5545" s="49"/>
    </row>
    <row r="5546" spans="6:13" x14ac:dyDescent="0.25">
      <c r="F5546" t="s">
        <v>2547</v>
      </c>
      <c r="G5546">
        <v>80638</v>
      </c>
      <c r="H5546">
        <v>9162</v>
      </c>
      <c r="I5546" s="25" t="s">
        <v>2050</v>
      </c>
      <c r="J5546" t="s">
        <v>4550</v>
      </c>
      <c r="M5546" s="49"/>
    </row>
    <row r="5547" spans="6:13" x14ac:dyDescent="0.25">
      <c r="F5547" t="s">
        <v>2547</v>
      </c>
      <c r="G5547">
        <v>81545</v>
      </c>
      <c r="H5547">
        <v>9162</v>
      </c>
      <c r="I5547" s="25" t="s">
        <v>2050</v>
      </c>
      <c r="J5547" t="s">
        <v>4550</v>
      </c>
      <c r="M5547" s="49"/>
    </row>
    <row r="5548" spans="6:13" x14ac:dyDescent="0.25">
      <c r="F5548" t="s">
        <v>2547</v>
      </c>
      <c r="G5548">
        <v>80799</v>
      </c>
      <c r="H5548">
        <v>9162</v>
      </c>
      <c r="I5548" s="25" t="s">
        <v>2050</v>
      </c>
      <c r="J5548" t="s">
        <v>4550</v>
      </c>
      <c r="M5548" s="49"/>
    </row>
    <row r="5549" spans="6:13" x14ac:dyDescent="0.25">
      <c r="F5549" t="s">
        <v>2547</v>
      </c>
      <c r="G5549">
        <v>80801</v>
      </c>
      <c r="H5549">
        <v>9162</v>
      </c>
      <c r="I5549" s="25" t="s">
        <v>2050</v>
      </c>
      <c r="J5549" t="s">
        <v>4550</v>
      </c>
      <c r="M5549" s="49"/>
    </row>
    <row r="5550" spans="6:13" x14ac:dyDescent="0.25">
      <c r="F5550" t="s">
        <v>2547</v>
      </c>
      <c r="G5550">
        <v>81375</v>
      </c>
      <c r="H5550">
        <v>9162</v>
      </c>
      <c r="I5550" s="25" t="s">
        <v>2050</v>
      </c>
      <c r="J5550" t="s">
        <v>4550</v>
      </c>
      <c r="M5550" s="49"/>
    </row>
    <row r="5551" spans="6:13" x14ac:dyDescent="0.25">
      <c r="F5551" t="s">
        <v>2547</v>
      </c>
      <c r="G5551">
        <v>81673</v>
      </c>
      <c r="H5551">
        <v>9162</v>
      </c>
      <c r="I5551" s="25" t="s">
        <v>2050</v>
      </c>
      <c r="J5551" t="s">
        <v>4550</v>
      </c>
      <c r="M5551" s="49"/>
    </row>
    <row r="5552" spans="6:13" x14ac:dyDescent="0.25">
      <c r="F5552" t="s">
        <v>2547</v>
      </c>
      <c r="G5552">
        <v>81241</v>
      </c>
      <c r="H5552">
        <v>9162</v>
      </c>
      <c r="I5552" s="25" t="s">
        <v>2050</v>
      </c>
      <c r="J5552" t="s">
        <v>4550</v>
      </c>
      <c r="M5552" s="49"/>
    </row>
    <row r="5553" spans="6:13" x14ac:dyDescent="0.25">
      <c r="F5553" t="s">
        <v>2547</v>
      </c>
      <c r="G5553">
        <v>81547</v>
      </c>
      <c r="H5553">
        <v>9162</v>
      </c>
      <c r="I5553" s="25" t="s">
        <v>2050</v>
      </c>
      <c r="J5553" t="s">
        <v>4550</v>
      </c>
      <c r="M5553" s="49"/>
    </row>
    <row r="5554" spans="6:13" x14ac:dyDescent="0.25">
      <c r="F5554" t="s">
        <v>2547</v>
      </c>
      <c r="G5554">
        <v>81549</v>
      </c>
      <c r="H5554">
        <v>9162</v>
      </c>
      <c r="I5554" s="25" t="s">
        <v>2050</v>
      </c>
      <c r="J5554" t="s">
        <v>4550</v>
      </c>
      <c r="M5554" s="49"/>
    </row>
    <row r="5555" spans="6:13" x14ac:dyDescent="0.25">
      <c r="F5555" t="s">
        <v>2547</v>
      </c>
      <c r="G5555">
        <v>81739</v>
      </c>
      <c r="H5555">
        <v>9162</v>
      </c>
      <c r="I5555" s="25" t="s">
        <v>2050</v>
      </c>
      <c r="J5555" t="s">
        <v>4550</v>
      </c>
      <c r="M5555" s="49"/>
    </row>
    <row r="5556" spans="6:13" x14ac:dyDescent="0.25">
      <c r="F5556" t="s">
        <v>2547</v>
      </c>
      <c r="G5556">
        <v>80539</v>
      </c>
      <c r="H5556">
        <v>9162</v>
      </c>
      <c r="I5556" s="25" t="s">
        <v>2050</v>
      </c>
      <c r="J5556" t="s">
        <v>4550</v>
      </c>
      <c r="M5556" s="49"/>
    </row>
    <row r="5557" spans="6:13" x14ac:dyDescent="0.25">
      <c r="F5557" t="s">
        <v>2547</v>
      </c>
      <c r="G5557">
        <v>81827</v>
      </c>
      <c r="H5557">
        <v>9162</v>
      </c>
      <c r="I5557" s="25" t="s">
        <v>2050</v>
      </c>
      <c r="J5557" t="s">
        <v>4550</v>
      </c>
      <c r="M5557" s="49"/>
    </row>
    <row r="5558" spans="6:13" x14ac:dyDescent="0.25">
      <c r="F5558" t="s">
        <v>2547</v>
      </c>
      <c r="G5558">
        <v>81675</v>
      </c>
      <c r="H5558">
        <v>9162</v>
      </c>
      <c r="I5558" s="25" t="s">
        <v>2050</v>
      </c>
      <c r="J5558" t="s">
        <v>4550</v>
      </c>
      <c r="M5558" s="49"/>
    </row>
    <row r="5559" spans="6:13" x14ac:dyDescent="0.25">
      <c r="F5559" t="s">
        <v>2547</v>
      </c>
      <c r="G5559">
        <v>81825</v>
      </c>
      <c r="H5559">
        <v>9162</v>
      </c>
      <c r="I5559" s="25" t="s">
        <v>2050</v>
      </c>
      <c r="J5559" t="s">
        <v>4550</v>
      </c>
      <c r="M5559" s="49"/>
    </row>
    <row r="5560" spans="6:13" x14ac:dyDescent="0.25">
      <c r="F5560" t="s">
        <v>6137</v>
      </c>
      <c r="G5560">
        <v>7589</v>
      </c>
      <c r="H5560">
        <v>16076</v>
      </c>
      <c r="I5560" s="25" t="s">
        <v>2384</v>
      </c>
      <c r="J5560" t="s">
        <v>2583</v>
      </c>
      <c r="M5560" s="49"/>
    </row>
    <row r="5561" spans="6:13" x14ac:dyDescent="0.25">
      <c r="F5561" t="s">
        <v>6138</v>
      </c>
      <c r="G5561">
        <v>35117</v>
      </c>
      <c r="H5561">
        <v>6534</v>
      </c>
      <c r="I5561" s="25" t="s">
        <v>2046</v>
      </c>
      <c r="J5561" t="s">
        <v>2471</v>
      </c>
      <c r="M5561" s="49"/>
    </row>
    <row r="5562" spans="6:13" x14ac:dyDescent="0.25">
      <c r="F5562" t="s">
        <v>6139</v>
      </c>
      <c r="G5562">
        <v>85126</v>
      </c>
      <c r="H5562">
        <v>9186</v>
      </c>
      <c r="I5562" s="25" t="s">
        <v>2050</v>
      </c>
      <c r="J5562" t="s">
        <v>2594</v>
      </c>
      <c r="M5562" s="49"/>
    </row>
    <row r="5563" spans="6:13" x14ac:dyDescent="0.25">
      <c r="F5563" t="s">
        <v>6140</v>
      </c>
      <c r="G5563">
        <v>91481</v>
      </c>
      <c r="H5563">
        <v>9575</v>
      </c>
      <c r="I5563" s="25" t="s">
        <v>2050</v>
      </c>
      <c r="J5563" t="s">
        <v>2749</v>
      </c>
      <c r="M5563" s="49"/>
    </row>
    <row r="5564" spans="6:13" x14ac:dyDescent="0.25">
      <c r="F5564" t="s">
        <v>6141</v>
      </c>
      <c r="G5564">
        <v>67728</v>
      </c>
      <c r="H5564">
        <v>7333</v>
      </c>
      <c r="I5564" s="25" t="s">
        <v>2123</v>
      </c>
      <c r="J5564" t="s">
        <v>2103</v>
      </c>
      <c r="M5564" s="49"/>
    </row>
    <row r="5565" spans="6:13" x14ac:dyDescent="0.25">
      <c r="F5565" t="s">
        <v>6142</v>
      </c>
      <c r="G5565">
        <v>66981</v>
      </c>
      <c r="H5565">
        <v>7340</v>
      </c>
      <c r="I5565" s="25" t="s">
        <v>2123</v>
      </c>
      <c r="J5565" t="s">
        <v>2826</v>
      </c>
      <c r="M5565" s="49"/>
    </row>
    <row r="5566" spans="6:13" x14ac:dyDescent="0.25">
      <c r="F5566" t="s">
        <v>6143</v>
      </c>
      <c r="G5566">
        <v>74395</v>
      </c>
      <c r="H5566">
        <v>8118</v>
      </c>
      <c r="I5566" s="25" t="s">
        <v>2018</v>
      </c>
      <c r="J5566" t="s">
        <v>2142</v>
      </c>
      <c r="M5566" s="49"/>
    </row>
    <row r="5567" spans="6:13" x14ac:dyDescent="0.25">
      <c r="F5567" t="s">
        <v>6144</v>
      </c>
      <c r="G5567">
        <v>89597</v>
      </c>
      <c r="H5567">
        <v>8425</v>
      </c>
      <c r="I5567" s="25" t="s">
        <v>2018</v>
      </c>
      <c r="J5567" t="s">
        <v>2027</v>
      </c>
      <c r="M5567" s="49"/>
    </row>
    <row r="5568" spans="6:13" x14ac:dyDescent="0.25">
      <c r="F5568" t="s">
        <v>6145</v>
      </c>
      <c r="G5568">
        <v>97702</v>
      </c>
      <c r="H5568">
        <v>9672</v>
      </c>
      <c r="I5568" s="25" t="s">
        <v>2050</v>
      </c>
      <c r="J5568" t="s">
        <v>2620</v>
      </c>
      <c r="M5568" s="49"/>
    </row>
    <row r="5569" spans="6:13" x14ac:dyDescent="0.25">
      <c r="F5569" t="s">
        <v>6146</v>
      </c>
      <c r="G5569">
        <v>86754</v>
      </c>
      <c r="H5569">
        <v>9779</v>
      </c>
      <c r="I5569" s="25" t="s">
        <v>2050</v>
      </c>
      <c r="J5569" t="s">
        <v>2280</v>
      </c>
      <c r="M5569" s="49"/>
    </row>
    <row r="5570" spans="6:13" x14ac:dyDescent="0.25">
      <c r="F5570" t="s">
        <v>6147</v>
      </c>
      <c r="G5570">
        <v>82541</v>
      </c>
      <c r="H5570">
        <v>9173</v>
      </c>
      <c r="I5570" s="25" t="s">
        <v>2050</v>
      </c>
      <c r="J5570" t="s">
        <v>2659</v>
      </c>
      <c r="M5570" s="49"/>
    </row>
    <row r="5571" spans="6:13" x14ac:dyDescent="0.25">
      <c r="F5571" t="s">
        <v>6148</v>
      </c>
      <c r="G5571">
        <v>72525</v>
      </c>
      <c r="H5571">
        <v>8415</v>
      </c>
      <c r="I5571" s="25" t="s">
        <v>2018</v>
      </c>
      <c r="J5571" t="s">
        <v>2325</v>
      </c>
      <c r="M5571" s="49"/>
    </row>
    <row r="5572" spans="6:13" x14ac:dyDescent="0.25">
      <c r="F5572" t="s">
        <v>6149</v>
      </c>
      <c r="G5572">
        <v>29633</v>
      </c>
      <c r="H5572">
        <v>3358</v>
      </c>
      <c r="I5572" s="25" t="s">
        <v>2074</v>
      </c>
      <c r="J5572" t="s">
        <v>2371</v>
      </c>
      <c r="M5572" s="49"/>
    </row>
    <row r="5573" spans="6:13" x14ac:dyDescent="0.25">
      <c r="F5573" t="s">
        <v>6150</v>
      </c>
      <c r="G5573">
        <v>48159</v>
      </c>
      <c r="H5573">
        <v>5515</v>
      </c>
      <c r="I5573" s="25" t="s">
        <v>2023</v>
      </c>
      <c r="J5573" t="s">
        <v>2264</v>
      </c>
      <c r="M5573" s="49"/>
    </row>
    <row r="5574" spans="6:13" x14ac:dyDescent="0.25">
      <c r="F5574" t="s">
        <v>6150</v>
      </c>
      <c r="G5574">
        <v>48151</v>
      </c>
      <c r="H5574">
        <v>5515</v>
      </c>
      <c r="I5574" s="25" t="s">
        <v>2023</v>
      </c>
      <c r="J5574" t="s">
        <v>2264</v>
      </c>
      <c r="M5574" s="49"/>
    </row>
    <row r="5575" spans="6:13" x14ac:dyDescent="0.25">
      <c r="F5575" t="s">
        <v>6150</v>
      </c>
      <c r="G5575">
        <v>48161</v>
      </c>
      <c r="H5575">
        <v>5515</v>
      </c>
      <c r="I5575" s="25" t="s">
        <v>2023</v>
      </c>
      <c r="J5575" t="s">
        <v>2264</v>
      </c>
      <c r="M5575" s="49"/>
    </row>
    <row r="5576" spans="6:13" x14ac:dyDescent="0.25">
      <c r="F5576" t="s">
        <v>6150</v>
      </c>
      <c r="G5576">
        <v>48147</v>
      </c>
      <c r="H5576">
        <v>5515</v>
      </c>
      <c r="I5576" s="25" t="s">
        <v>2023</v>
      </c>
      <c r="J5576" t="s">
        <v>2264</v>
      </c>
      <c r="M5576" s="49"/>
    </row>
    <row r="5577" spans="6:13" x14ac:dyDescent="0.25">
      <c r="F5577" t="s">
        <v>6150</v>
      </c>
      <c r="G5577">
        <v>48145</v>
      </c>
      <c r="H5577">
        <v>5515</v>
      </c>
      <c r="I5577" s="25" t="s">
        <v>2023</v>
      </c>
      <c r="J5577" t="s">
        <v>2264</v>
      </c>
      <c r="M5577" s="49"/>
    </row>
    <row r="5578" spans="6:13" x14ac:dyDescent="0.25">
      <c r="F5578" t="s">
        <v>6150</v>
      </c>
      <c r="G5578">
        <v>48149</v>
      </c>
      <c r="H5578">
        <v>5515</v>
      </c>
      <c r="I5578" s="25" t="s">
        <v>2023</v>
      </c>
      <c r="J5578" t="s">
        <v>2264</v>
      </c>
      <c r="M5578" s="49"/>
    </row>
    <row r="5579" spans="6:13" x14ac:dyDescent="0.25">
      <c r="F5579" t="s">
        <v>6150</v>
      </c>
      <c r="G5579">
        <v>48153</v>
      </c>
      <c r="H5579">
        <v>5515</v>
      </c>
      <c r="I5579" s="25" t="s">
        <v>2023</v>
      </c>
      <c r="J5579" t="s">
        <v>2264</v>
      </c>
      <c r="M5579" s="49"/>
    </row>
    <row r="5580" spans="6:13" x14ac:dyDescent="0.25">
      <c r="F5580" t="s">
        <v>6150</v>
      </c>
      <c r="G5580">
        <v>48157</v>
      </c>
      <c r="H5580">
        <v>5515</v>
      </c>
      <c r="I5580" s="25" t="s">
        <v>2023</v>
      </c>
      <c r="J5580" t="s">
        <v>2264</v>
      </c>
      <c r="M5580" s="49"/>
    </row>
    <row r="5581" spans="6:13" x14ac:dyDescent="0.25">
      <c r="F5581" t="s">
        <v>6150</v>
      </c>
      <c r="G5581">
        <v>48165</v>
      </c>
      <c r="H5581">
        <v>5515</v>
      </c>
      <c r="I5581" s="25" t="s">
        <v>2023</v>
      </c>
      <c r="J5581" t="s">
        <v>2264</v>
      </c>
      <c r="M5581" s="49"/>
    </row>
    <row r="5582" spans="6:13" x14ac:dyDescent="0.25">
      <c r="F5582" t="s">
        <v>6150</v>
      </c>
      <c r="G5582">
        <v>48167</v>
      </c>
      <c r="H5582">
        <v>5515</v>
      </c>
      <c r="I5582" s="25" t="s">
        <v>2023</v>
      </c>
      <c r="J5582" t="s">
        <v>2264</v>
      </c>
      <c r="M5582" s="49"/>
    </row>
    <row r="5583" spans="6:13" x14ac:dyDescent="0.25">
      <c r="F5583" t="s">
        <v>6150</v>
      </c>
      <c r="G5583">
        <v>48163</v>
      </c>
      <c r="H5583">
        <v>5515</v>
      </c>
      <c r="I5583" s="25" t="s">
        <v>2023</v>
      </c>
      <c r="J5583" t="s">
        <v>2264</v>
      </c>
      <c r="M5583" s="49"/>
    </row>
    <row r="5584" spans="6:13" x14ac:dyDescent="0.25">
      <c r="F5584" t="s">
        <v>6150</v>
      </c>
      <c r="G5584">
        <v>48155</v>
      </c>
      <c r="H5584">
        <v>5515</v>
      </c>
      <c r="I5584" s="25" t="s">
        <v>2023</v>
      </c>
      <c r="J5584" t="s">
        <v>2264</v>
      </c>
      <c r="M5584" s="49"/>
    </row>
    <row r="5585" spans="6:13" x14ac:dyDescent="0.25">
      <c r="F5585" t="s">
        <v>6150</v>
      </c>
      <c r="G5585">
        <v>48143</v>
      </c>
      <c r="H5585">
        <v>5515</v>
      </c>
      <c r="I5585" s="25" t="s">
        <v>2023</v>
      </c>
      <c r="J5585" t="s">
        <v>2264</v>
      </c>
      <c r="M5585" s="49"/>
    </row>
    <row r="5586" spans="6:13" x14ac:dyDescent="0.25">
      <c r="F5586" t="s">
        <v>6150</v>
      </c>
      <c r="G5586">
        <v>64839</v>
      </c>
      <c r="H5586">
        <v>6432</v>
      </c>
      <c r="I5586" s="25" t="s">
        <v>2046</v>
      </c>
      <c r="J5586" t="s">
        <v>2338</v>
      </c>
      <c r="M5586" s="49"/>
    </row>
    <row r="5587" spans="6:13" x14ac:dyDescent="0.25">
      <c r="F5587" t="s">
        <v>6150</v>
      </c>
      <c r="G5587">
        <v>86692</v>
      </c>
      <c r="H5587">
        <v>9779</v>
      </c>
      <c r="I5587" s="25" t="s">
        <v>2050</v>
      </c>
      <c r="J5587" t="s">
        <v>2280</v>
      </c>
      <c r="M5587" s="49"/>
    </row>
    <row r="5588" spans="6:13" x14ac:dyDescent="0.25">
      <c r="F5588" t="s">
        <v>6151</v>
      </c>
      <c r="G5588">
        <v>25587</v>
      </c>
      <c r="H5588">
        <v>1061</v>
      </c>
      <c r="I5588" s="25" t="s">
        <v>2085</v>
      </c>
      <c r="J5588" t="s">
        <v>2377</v>
      </c>
      <c r="M5588" s="49"/>
    </row>
    <row r="5589" spans="6:13" x14ac:dyDescent="0.25">
      <c r="F5589" t="s">
        <v>6152</v>
      </c>
      <c r="G5589">
        <v>86505</v>
      </c>
      <c r="H5589">
        <v>9774</v>
      </c>
      <c r="I5589" s="25" t="s">
        <v>2050</v>
      </c>
      <c r="J5589" t="s">
        <v>2205</v>
      </c>
      <c r="M5589" s="49"/>
    </row>
    <row r="5590" spans="6:13" x14ac:dyDescent="0.25">
      <c r="F5590" t="s">
        <v>6153</v>
      </c>
      <c r="G5590">
        <v>56294</v>
      </c>
      <c r="H5590">
        <v>7137</v>
      </c>
      <c r="I5590" s="25" t="s">
        <v>2123</v>
      </c>
      <c r="J5590" t="s">
        <v>2246</v>
      </c>
      <c r="M5590" s="49"/>
    </row>
    <row r="5591" spans="6:13" x14ac:dyDescent="0.25">
      <c r="F5591" t="s">
        <v>6154</v>
      </c>
      <c r="G5591">
        <v>55424</v>
      </c>
      <c r="H5591">
        <v>7339</v>
      </c>
      <c r="I5591" s="25" t="s">
        <v>2123</v>
      </c>
      <c r="J5591" t="s">
        <v>2238</v>
      </c>
      <c r="M5591" s="49"/>
    </row>
    <row r="5592" spans="6:13" x14ac:dyDescent="0.25">
      <c r="F5592" t="s">
        <v>6155</v>
      </c>
      <c r="G5592">
        <v>79244</v>
      </c>
      <c r="H5592">
        <v>8315</v>
      </c>
      <c r="I5592" s="25" t="s">
        <v>2018</v>
      </c>
      <c r="J5592" t="s">
        <v>2061</v>
      </c>
      <c r="M5592" s="49"/>
    </row>
    <row r="5593" spans="6:13" x14ac:dyDescent="0.25">
      <c r="F5593" t="s">
        <v>6156</v>
      </c>
      <c r="G5593">
        <v>35516</v>
      </c>
      <c r="H5593">
        <v>6440</v>
      </c>
      <c r="I5593" s="25" t="s">
        <v>2046</v>
      </c>
      <c r="J5593" t="s">
        <v>2415</v>
      </c>
      <c r="M5593" s="49"/>
    </row>
    <row r="5594" spans="6:13" x14ac:dyDescent="0.25">
      <c r="F5594" t="s">
        <v>6157</v>
      </c>
      <c r="G5594">
        <v>79730</v>
      </c>
      <c r="H5594">
        <v>8337</v>
      </c>
      <c r="I5594" s="25" t="s">
        <v>2018</v>
      </c>
      <c r="J5594" t="s">
        <v>2248</v>
      </c>
      <c r="M5594" s="49"/>
    </row>
    <row r="5595" spans="6:13" x14ac:dyDescent="0.25">
      <c r="F5595" t="s">
        <v>6158</v>
      </c>
      <c r="G5595">
        <v>82418</v>
      </c>
      <c r="H5595">
        <v>9180</v>
      </c>
      <c r="I5595" s="25" t="s">
        <v>2050</v>
      </c>
      <c r="J5595" t="s">
        <v>2147</v>
      </c>
      <c r="M5595" s="49"/>
    </row>
    <row r="5596" spans="6:13" x14ac:dyDescent="0.25">
      <c r="F5596" t="s">
        <v>6159</v>
      </c>
      <c r="G5596">
        <v>71540</v>
      </c>
      <c r="H5596">
        <v>8119</v>
      </c>
      <c r="I5596" s="25" t="s">
        <v>2018</v>
      </c>
      <c r="J5596" t="s">
        <v>2287</v>
      </c>
      <c r="M5596" s="49"/>
    </row>
    <row r="5597" spans="6:13" x14ac:dyDescent="0.25">
      <c r="F5597" t="s">
        <v>6160</v>
      </c>
      <c r="G5597">
        <v>73557</v>
      </c>
      <c r="H5597">
        <v>8136</v>
      </c>
      <c r="I5597" s="25" t="s">
        <v>2018</v>
      </c>
      <c r="J5597" t="s">
        <v>2039</v>
      </c>
      <c r="M5597" s="49"/>
    </row>
    <row r="5598" spans="6:13" x14ac:dyDescent="0.25">
      <c r="F5598" t="s">
        <v>6161</v>
      </c>
      <c r="G5598">
        <v>67112</v>
      </c>
      <c r="H5598">
        <v>7338</v>
      </c>
      <c r="I5598" s="25" t="s">
        <v>2123</v>
      </c>
      <c r="J5598" t="s">
        <v>2448</v>
      </c>
      <c r="M5598" s="49"/>
    </row>
    <row r="5599" spans="6:13" x14ac:dyDescent="0.25">
      <c r="F5599" t="s">
        <v>6162</v>
      </c>
      <c r="G5599">
        <v>8499</v>
      </c>
      <c r="H5599">
        <v>14523</v>
      </c>
      <c r="I5599" s="25" t="s">
        <v>2135</v>
      </c>
      <c r="J5599" t="s">
        <v>2136</v>
      </c>
      <c r="M5599" s="49"/>
    </row>
    <row r="5600" spans="6:13" x14ac:dyDescent="0.25">
      <c r="F5600" t="s">
        <v>6163</v>
      </c>
      <c r="G5600">
        <v>92507</v>
      </c>
      <c r="H5600">
        <v>9376</v>
      </c>
      <c r="I5600" s="25" t="s">
        <v>2050</v>
      </c>
      <c r="J5600" t="s">
        <v>2390</v>
      </c>
      <c r="M5600" s="49"/>
    </row>
    <row r="5601" spans="6:13" x14ac:dyDescent="0.25">
      <c r="F5601" t="s">
        <v>6164</v>
      </c>
      <c r="G5601">
        <v>58769</v>
      </c>
      <c r="H5601">
        <v>5962</v>
      </c>
      <c r="I5601" s="25" t="s">
        <v>2023</v>
      </c>
      <c r="J5601" t="s">
        <v>2239</v>
      </c>
      <c r="M5601" s="49"/>
    </row>
    <row r="5602" spans="6:13" x14ac:dyDescent="0.25">
      <c r="F5602" t="s">
        <v>6165</v>
      </c>
      <c r="G5602">
        <v>55299</v>
      </c>
      <c r="H5602">
        <v>7339</v>
      </c>
      <c r="I5602" s="25" t="s">
        <v>2123</v>
      </c>
      <c r="J5602" t="s">
        <v>2238</v>
      </c>
      <c r="M5602" s="49"/>
    </row>
    <row r="5603" spans="6:13" x14ac:dyDescent="0.25">
      <c r="F5603" t="s">
        <v>6166</v>
      </c>
      <c r="G5603">
        <v>95697</v>
      </c>
      <c r="H5603">
        <v>9479</v>
      </c>
      <c r="I5603" s="25" t="s">
        <v>2050</v>
      </c>
      <c r="J5603" t="s">
        <v>2436</v>
      </c>
      <c r="M5603" s="49"/>
    </row>
    <row r="5604" spans="6:13" x14ac:dyDescent="0.25">
      <c r="F5604" t="s">
        <v>6167</v>
      </c>
      <c r="G5604">
        <v>72202</v>
      </c>
      <c r="H5604">
        <v>8235</v>
      </c>
      <c r="I5604" s="25" t="s">
        <v>2018</v>
      </c>
      <c r="J5604" t="s">
        <v>2422</v>
      </c>
      <c r="M5604" s="49"/>
    </row>
    <row r="5605" spans="6:13" x14ac:dyDescent="0.25">
      <c r="F5605" t="s">
        <v>6168</v>
      </c>
      <c r="G5605">
        <v>23866</v>
      </c>
      <c r="H5605">
        <v>1060</v>
      </c>
      <c r="I5605" s="25" t="s">
        <v>2085</v>
      </c>
      <c r="J5605" t="s">
        <v>2363</v>
      </c>
      <c r="M5605" s="49"/>
    </row>
    <row r="5606" spans="6:13" x14ac:dyDescent="0.25">
      <c r="F5606" t="s">
        <v>6169</v>
      </c>
      <c r="G5606">
        <v>21369</v>
      </c>
      <c r="H5606">
        <v>3355</v>
      </c>
      <c r="I5606" s="25" t="s">
        <v>2074</v>
      </c>
      <c r="J5606" t="s">
        <v>2129</v>
      </c>
      <c r="M5606" s="49"/>
    </row>
    <row r="5607" spans="6:13" x14ac:dyDescent="0.25">
      <c r="F5607" t="s">
        <v>6170</v>
      </c>
      <c r="G5607">
        <v>95119</v>
      </c>
      <c r="H5607">
        <v>9475</v>
      </c>
      <c r="I5607" s="25" t="s">
        <v>2050</v>
      </c>
      <c r="J5607" t="s">
        <v>2201</v>
      </c>
      <c r="M5607" s="49"/>
    </row>
    <row r="5608" spans="6:13" x14ac:dyDescent="0.25">
      <c r="F5608" t="s">
        <v>6171</v>
      </c>
      <c r="G5608">
        <v>66809</v>
      </c>
      <c r="H5608">
        <v>10044</v>
      </c>
      <c r="I5608" s="25" t="s">
        <v>2849</v>
      </c>
      <c r="J5608" t="s">
        <v>3222</v>
      </c>
      <c r="M5608" s="49"/>
    </row>
    <row r="5609" spans="6:13" x14ac:dyDescent="0.25">
      <c r="F5609" t="s">
        <v>6172</v>
      </c>
      <c r="G5609">
        <v>66640</v>
      </c>
      <c r="H5609">
        <v>10046</v>
      </c>
      <c r="I5609" s="25" t="s">
        <v>2849</v>
      </c>
      <c r="J5609" t="s">
        <v>2375</v>
      </c>
      <c r="M5609" s="49"/>
    </row>
    <row r="5610" spans="6:13" x14ac:dyDescent="0.25">
      <c r="F5610" t="s">
        <v>6173</v>
      </c>
      <c r="G5610">
        <v>85405</v>
      </c>
      <c r="H5610">
        <v>9178</v>
      </c>
      <c r="I5610" s="25" t="s">
        <v>2050</v>
      </c>
      <c r="J5610" t="s">
        <v>2315</v>
      </c>
      <c r="M5610" s="49"/>
    </row>
    <row r="5611" spans="6:13" x14ac:dyDescent="0.25">
      <c r="F5611" t="s">
        <v>6174</v>
      </c>
      <c r="G5611">
        <v>56377</v>
      </c>
      <c r="H5611">
        <v>7141</v>
      </c>
      <c r="I5611" s="25" t="s">
        <v>2123</v>
      </c>
      <c r="J5611" t="s">
        <v>2388</v>
      </c>
      <c r="M5611" s="49"/>
    </row>
    <row r="5612" spans="6:13" x14ac:dyDescent="0.25">
      <c r="F5612" t="s">
        <v>6175</v>
      </c>
      <c r="G5612">
        <v>85128</v>
      </c>
      <c r="H5612">
        <v>9176</v>
      </c>
      <c r="I5612" s="25" t="s">
        <v>2050</v>
      </c>
      <c r="J5612" t="s">
        <v>2102</v>
      </c>
      <c r="M5612" s="49"/>
    </row>
    <row r="5613" spans="6:13" x14ac:dyDescent="0.25">
      <c r="F5613" t="s">
        <v>6176</v>
      </c>
      <c r="G5613">
        <v>56355</v>
      </c>
      <c r="H5613">
        <v>7141</v>
      </c>
      <c r="I5613" s="25" t="s">
        <v>2123</v>
      </c>
      <c r="J5613" t="s">
        <v>2388</v>
      </c>
      <c r="M5613" s="49"/>
    </row>
    <row r="5614" spans="6:13" x14ac:dyDescent="0.25">
      <c r="F5614" t="s">
        <v>6176</v>
      </c>
      <c r="G5614">
        <v>56355</v>
      </c>
      <c r="H5614">
        <v>7141</v>
      </c>
      <c r="I5614" s="25" t="s">
        <v>2123</v>
      </c>
      <c r="J5614" t="s">
        <v>2388</v>
      </c>
      <c r="M5614" s="49"/>
    </row>
    <row r="5615" spans="6:13" x14ac:dyDescent="0.25">
      <c r="F5615" t="s">
        <v>6176</v>
      </c>
      <c r="G5615">
        <v>56355</v>
      </c>
      <c r="H5615">
        <v>7141</v>
      </c>
      <c r="I5615" s="25" t="s">
        <v>2123</v>
      </c>
      <c r="J5615" t="s">
        <v>2388</v>
      </c>
      <c r="M5615" s="49"/>
    </row>
    <row r="5616" spans="6:13" x14ac:dyDescent="0.25">
      <c r="F5616" t="s">
        <v>6176</v>
      </c>
      <c r="G5616">
        <v>56355</v>
      </c>
      <c r="H5616">
        <v>7141</v>
      </c>
      <c r="I5616" s="25" t="s">
        <v>2123</v>
      </c>
      <c r="J5616" t="s">
        <v>2388</v>
      </c>
      <c r="M5616" s="49"/>
    </row>
    <row r="5617" spans="6:13" x14ac:dyDescent="0.25">
      <c r="F5617" t="s">
        <v>6176</v>
      </c>
      <c r="G5617">
        <v>56355</v>
      </c>
      <c r="H5617">
        <v>7141</v>
      </c>
      <c r="I5617" s="25" t="s">
        <v>2123</v>
      </c>
      <c r="J5617" t="s">
        <v>2388</v>
      </c>
      <c r="M5617" s="49"/>
    </row>
    <row r="5618" spans="6:13" x14ac:dyDescent="0.25">
      <c r="F5618" t="s">
        <v>6176</v>
      </c>
      <c r="G5618">
        <v>56355</v>
      </c>
      <c r="H5618">
        <v>7141</v>
      </c>
      <c r="I5618" s="25" t="s">
        <v>2123</v>
      </c>
      <c r="J5618" t="s">
        <v>2388</v>
      </c>
      <c r="M5618" s="49"/>
    </row>
    <row r="5619" spans="6:13" x14ac:dyDescent="0.25">
      <c r="F5619" t="s">
        <v>6177</v>
      </c>
      <c r="G5619">
        <v>29587</v>
      </c>
      <c r="H5619">
        <v>3360</v>
      </c>
      <c r="I5619" s="25" t="s">
        <v>2074</v>
      </c>
      <c r="J5619" t="s">
        <v>2400</v>
      </c>
      <c r="M5619" s="49"/>
    </row>
    <row r="5620" spans="6:13" x14ac:dyDescent="0.25">
      <c r="F5620" t="s">
        <v>6178</v>
      </c>
      <c r="G5620">
        <v>89564</v>
      </c>
      <c r="H5620">
        <v>8135</v>
      </c>
      <c r="I5620" s="25" t="s">
        <v>2018</v>
      </c>
      <c r="J5620" t="s">
        <v>2816</v>
      </c>
      <c r="M5620" s="49"/>
    </row>
    <row r="5621" spans="6:13" x14ac:dyDescent="0.25">
      <c r="F5621" t="s">
        <v>6179</v>
      </c>
      <c r="G5621">
        <v>14641</v>
      </c>
      <c r="H5621">
        <v>12063</v>
      </c>
      <c r="I5621" s="25" t="s">
        <v>2356</v>
      </c>
      <c r="J5621" t="s">
        <v>2181</v>
      </c>
      <c r="M5621" s="49"/>
    </row>
    <row r="5622" spans="6:13" x14ac:dyDescent="0.25">
      <c r="F5622" t="s">
        <v>6180</v>
      </c>
      <c r="G5622">
        <v>64569</v>
      </c>
      <c r="H5622">
        <v>6433</v>
      </c>
      <c r="I5622" s="25" t="s">
        <v>2046</v>
      </c>
      <c r="J5622" t="s">
        <v>3061</v>
      </c>
      <c r="M5622" s="49"/>
    </row>
    <row r="5623" spans="6:13" x14ac:dyDescent="0.25">
      <c r="F5623" t="s">
        <v>1487</v>
      </c>
      <c r="G5623">
        <v>34311</v>
      </c>
      <c r="H5623">
        <v>6633</v>
      </c>
      <c r="I5623" s="25" t="s">
        <v>2046</v>
      </c>
      <c r="J5623" t="s">
        <v>2162</v>
      </c>
      <c r="M5623" s="49"/>
    </row>
    <row r="5624" spans="6:13" x14ac:dyDescent="0.25">
      <c r="F5624" t="s">
        <v>1487</v>
      </c>
      <c r="G5624">
        <v>6618</v>
      </c>
      <c r="H5624">
        <v>15084</v>
      </c>
      <c r="I5624" s="25" t="s">
        <v>2241</v>
      </c>
      <c r="J5624" t="s">
        <v>2615</v>
      </c>
      <c r="M5624" s="49"/>
    </row>
    <row r="5625" spans="6:13" x14ac:dyDescent="0.25">
      <c r="F5625" t="s">
        <v>6181</v>
      </c>
      <c r="G5625">
        <v>4683</v>
      </c>
      <c r="H5625">
        <v>14729</v>
      </c>
      <c r="I5625" s="25" t="s">
        <v>2135</v>
      </c>
      <c r="J5625" t="s">
        <v>2684</v>
      </c>
      <c r="M5625" s="49"/>
    </row>
    <row r="5626" spans="6:13" x14ac:dyDescent="0.25">
      <c r="F5626" t="s">
        <v>6182</v>
      </c>
      <c r="G5626">
        <v>56237</v>
      </c>
      <c r="H5626">
        <v>7143</v>
      </c>
      <c r="I5626" s="25" t="s">
        <v>2123</v>
      </c>
      <c r="J5626" t="s">
        <v>2331</v>
      </c>
      <c r="M5626" s="49"/>
    </row>
    <row r="5627" spans="6:13" x14ac:dyDescent="0.25">
      <c r="F5627" t="s">
        <v>6183</v>
      </c>
      <c r="G5627">
        <v>57583</v>
      </c>
      <c r="H5627">
        <v>7132</v>
      </c>
      <c r="I5627" s="25" t="s">
        <v>2123</v>
      </c>
      <c r="J5627" t="s">
        <v>2401</v>
      </c>
      <c r="M5627" s="49"/>
    </row>
    <row r="5628" spans="6:13" x14ac:dyDescent="0.25">
      <c r="F5628" t="s">
        <v>6183</v>
      </c>
      <c r="G5628">
        <v>57583</v>
      </c>
      <c r="H5628">
        <v>7143</v>
      </c>
      <c r="I5628" s="25" t="s">
        <v>2123</v>
      </c>
      <c r="J5628" t="s">
        <v>2331</v>
      </c>
      <c r="M5628" s="49"/>
    </row>
    <row r="5629" spans="6:13" x14ac:dyDescent="0.25">
      <c r="F5629" t="s">
        <v>6184</v>
      </c>
      <c r="G5629">
        <v>6642</v>
      </c>
      <c r="H5629">
        <v>15084</v>
      </c>
      <c r="I5629" s="25" t="s">
        <v>2241</v>
      </c>
      <c r="J5629" t="s">
        <v>2615</v>
      </c>
      <c r="M5629" s="49"/>
    </row>
    <row r="5630" spans="6:13" x14ac:dyDescent="0.25">
      <c r="F5630" t="s">
        <v>6185</v>
      </c>
      <c r="G5630">
        <v>74924</v>
      </c>
      <c r="H5630">
        <v>8226</v>
      </c>
      <c r="I5630" s="25" t="s">
        <v>2018</v>
      </c>
      <c r="J5630" t="s">
        <v>2442</v>
      </c>
      <c r="M5630" s="49"/>
    </row>
    <row r="5631" spans="6:13" x14ac:dyDescent="0.25">
      <c r="F5631" t="s">
        <v>6186</v>
      </c>
      <c r="G5631">
        <v>69151</v>
      </c>
      <c r="H5631">
        <v>8226</v>
      </c>
      <c r="I5631" s="25" t="s">
        <v>2018</v>
      </c>
      <c r="J5631" t="s">
        <v>2442</v>
      </c>
      <c r="M5631" s="49"/>
    </row>
    <row r="5632" spans="6:13" x14ac:dyDescent="0.25">
      <c r="F5632" t="s">
        <v>6187</v>
      </c>
      <c r="G5632">
        <v>69437</v>
      </c>
      <c r="H5632">
        <v>8225</v>
      </c>
      <c r="I5632" s="25" t="s">
        <v>2018</v>
      </c>
      <c r="J5632" t="s">
        <v>2108</v>
      </c>
      <c r="M5632" s="49"/>
    </row>
    <row r="5633" spans="6:13" x14ac:dyDescent="0.25">
      <c r="F5633" t="s">
        <v>6188</v>
      </c>
      <c r="G5633">
        <v>69239</v>
      </c>
      <c r="H5633">
        <v>6431</v>
      </c>
      <c r="I5633" s="25" t="s">
        <v>2046</v>
      </c>
      <c r="J5633" t="s">
        <v>2065</v>
      </c>
      <c r="M5633" s="49"/>
    </row>
    <row r="5634" spans="6:13" x14ac:dyDescent="0.25">
      <c r="F5634" t="s">
        <v>6189</v>
      </c>
      <c r="G5634">
        <v>74172</v>
      </c>
      <c r="H5634">
        <v>8125</v>
      </c>
      <c r="I5634" s="25" t="s">
        <v>2018</v>
      </c>
      <c r="J5634" t="s">
        <v>2060</v>
      </c>
      <c r="M5634" s="49"/>
    </row>
    <row r="5635" spans="6:13" x14ac:dyDescent="0.25">
      <c r="F5635" t="s">
        <v>6190</v>
      </c>
      <c r="G5635">
        <v>72666</v>
      </c>
      <c r="H5635">
        <v>8116</v>
      </c>
      <c r="I5635" s="25" t="s">
        <v>2018</v>
      </c>
      <c r="J5635" t="s">
        <v>2213</v>
      </c>
      <c r="M5635" s="49"/>
    </row>
    <row r="5636" spans="6:13" x14ac:dyDescent="0.25">
      <c r="F5636" t="s">
        <v>6191</v>
      </c>
      <c r="G5636">
        <v>72654</v>
      </c>
      <c r="H5636">
        <v>8116</v>
      </c>
      <c r="I5636" s="25" t="s">
        <v>2018</v>
      </c>
      <c r="J5636" t="s">
        <v>2213</v>
      </c>
      <c r="M5636" s="49"/>
    </row>
    <row r="5637" spans="6:13" x14ac:dyDescent="0.25">
      <c r="F5637" t="s">
        <v>6192</v>
      </c>
      <c r="G5637">
        <v>74382</v>
      </c>
      <c r="H5637">
        <v>8125</v>
      </c>
      <c r="I5637" s="25" t="s">
        <v>2018</v>
      </c>
      <c r="J5637" t="s">
        <v>2060</v>
      </c>
      <c r="M5637" s="49"/>
    </row>
    <row r="5638" spans="6:13" x14ac:dyDescent="0.25">
      <c r="F5638" t="s">
        <v>6193</v>
      </c>
      <c r="G5638">
        <v>74865</v>
      </c>
      <c r="H5638">
        <v>8225</v>
      </c>
      <c r="I5638" s="25" t="s">
        <v>2018</v>
      </c>
      <c r="J5638" t="s">
        <v>2108</v>
      </c>
      <c r="M5638" s="49"/>
    </row>
    <row r="5639" spans="6:13" x14ac:dyDescent="0.25">
      <c r="F5639" t="s">
        <v>6194</v>
      </c>
      <c r="G5639">
        <v>89189</v>
      </c>
      <c r="H5639">
        <v>8425</v>
      </c>
      <c r="I5639" s="25" t="s">
        <v>2018</v>
      </c>
      <c r="J5639" t="s">
        <v>2027</v>
      </c>
      <c r="M5639" s="49"/>
    </row>
    <row r="5640" spans="6:13" x14ac:dyDescent="0.25">
      <c r="F5640" t="s">
        <v>6195</v>
      </c>
      <c r="G5640">
        <v>21398</v>
      </c>
      <c r="H5640">
        <v>3355</v>
      </c>
      <c r="I5640" s="25" t="s">
        <v>2074</v>
      </c>
      <c r="J5640" t="s">
        <v>2129</v>
      </c>
      <c r="M5640" s="49"/>
    </row>
    <row r="5641" spans="6:13" x14ac:dyDescent="0.25">
      <c r="F5641" t="s">
        <v>6196</v>
      </c>
      <c r="G5641">
        <v>37643</v>
      </c>
      <c r="H5641">
        <v>3255</v>
      </c>
      <c r="I5641" s="25" t="s">
        <v>2074</v>
      </c>
      <c r="J5641" t="s">
        <v>3044</v>
      </c>
      <c r="M5641" s="49"/>
    </row>
    <row r="5642" spans="6:13" x14ac:dyDescent="0.25">
      <c r="F5642" t="s">
        <v>6197</v>
      </c>
      <c r="G5642">
        <v>23813</v>
      </c>
      <c r="H5642">
        <v>1060</v>
      </c>
      <c r="I5642" s="25" t="s">
        <v>2085</v>
      </c>
      <c r="J5642" t="s">
        <v>2363</v>
      </c>
      <c r="M5642" s="49"/>
    </row>
    <row r="5643" spans="6:13" x14ac:dyDescent="0.25">
      <c r="F5643" t="s">
        <v>6198</v>
      </c>
      <c r="G5643">
        <v>72147</v>
      </c>
      <c r="H5643">
        <v>8416</v>
      </c>
      <c r="I5643" s="25" t="s">
        <v>2018</v>
      </c>
      <c r="J5643" t="s">
        <v>2464</v>
      </c>
      <c r="M5643" s="49"/>
    </row>
    <row r="5644" spans="6:13" x14ac:dyDescent="0.25">
      <c r="F5644" t="s">
        <v>6199</v>
      </c>
      <c r="G5644">
        <v>74933</v>
      </c>
      <c r="H5644">
        <v>8226</v>
      </c>
      <c r="I5644" s="25" t="s">
        <v>2018</v>
      </c>
      <c r="J5644" t="s">
        <v>2442</v>
      </c>
      <c r="M5644" s="49"/>
    </row>
    <row r="5645" spans="6:13" x14ac:dyDescent="0.25">
      <c r="F5645" t="s">
        <v>6200</v>
      </c>
      <c r="G5645">
        <v>73272</v>
      </c>
      <c r="H5645">
        <v>8116</v>
      </c>
      <c r="I5645" s="25" t="s">
        <v>2018</v>
      </c>
      <c r="J5645" t="s">
        <v>2213</v>
      </c>
      <c r="M5645" s="49"/>
    </row>
    <row r="5646" spans="6:13" x14ac:dyDescent="0.25">
      <c r="F5646" t="s">
        <v>6201</v>
      </c>
      <c r="G5646">
        <v>57638</v>
      </c>
      <c r="H5646">
        <v>7132</v>
      </c>
      <c r="I5646" s="25" t="s">
        <v>2123</v>
      </c>
      <c r="J5646" t="s">
        <v>2401</v>
      </c>
      <c r="M5646" s="49"/>
    </row>
    <row r="5647" spans="6:13" x14ac:dyDescent="0.25">
      <c r="F5647" t="s">
        <v>6202</v>
      </c>
      <c r="G5647">
        <v>89191</v>
      </c>
      <c r="H5647">
        <v>8425</v>
      </c>
      <c r="I5647" s="25" t="s">
        <v>2018</v>
      </c>
      <c r="J5647" t="s">
        <v>2027</v>
      </c>
      <c r="M5647" s="49"/>
    </row>
    <row r="5648" spans="6:13" x14ac:dyDescent="0.25">
      <c r="F5648" t="s">
        <v>6203</v>
      </c>
      <c r="G5648">
        <v>91790</v>
      </c>
      <c r="H5648">
        <v>9577</v>
      </c>
      <c r="I5648" s="25" t="s">
        <v>2050</v>
      </c>
      <c r="J5648" t="s">
        <v>2057</v>
      </c>
      <c r="M5648" s="49"/>
    </row>
    <row r="5649" spans="6:13" x14ac:dyDescent="0.25">
      <c r="F5649" t="s">
        <v>6204</v>
      </c>
      <c r="G5649">
        <v>36214</v>
      </c>
      <c r="H5649">
        <v>6632</v>
      </c>
      <c r="I5649" s="25" t="s">
        <v>2046</v>
      </c>
      <c r="J5649" t="s">
        <v>2303</v>
      </c>
      <c r="M5649" s="49"/>
    </row>
    <row r="5650" spans="6:13" x14ac:dyDescent="0.25">
      <c r="F5650" t="s">
        <v>6205</v>
      </c>
      <c r="G5650">
        <v>56412</v>
      </c>
      <c r="H5650">
        <v>7143</v>
      </c>
      <c r="I5650" s="25" t="s">
        <v>2123</v>
      </c>
      <c r="J5650" t="s">
        <v>2331</v>
      </c>
      <c r="M5650" s="49"/>
    </row>
    <row r="5651" spans="6:13" x14ac:dyDescent="0.25">
      <c r="F5651" t="s">
        <v>6205</v>
      </c>
      <c r="G5651">
        <v>56412</v>
      </c>
      <c r="H5651">
        <v>7143</v>
      </c>
      <c r="I5651" s="25" t="s">
        <v>2123</v>
      </c>
      <c r="J5651" t="s">
        <v>2331</v>
      </c>
      <c r="M5651" s="49"/>
    </row>
    <row r="5652" spans="6:13" x14ac:dyDescent="0.25">
      <c r="F5652" t="s">
        <v>6206</v>
      </c>
      <c r="G5652">
        <v>73450</v>
      </c>
      <c r="H5652">
        <v>8136</v>
      </c>
      <c r="I5652" s="25" t="s">
        <v>2018</v>
      </c>
      <c r="J5652" t="s">
        <v>2039</v>
      </c>
      <c r="M5652" s="49"/>
    </row>
    <row r="5653" spans="6:13" x14ac:dyDescent="0.25">
      <c r="F5653" t="s">
        <v>6207</v>
      </c>
      <c r="G5653">
        <v>89278</v>
      </c>
      <c r="H5653">
        <v>9775</v>
      </c>
      <c r="I5653" s="25" t="s">
        <v>2050</v>
      </c>
      <c r="J5653" t="s">
        <v>2418</v>
      </c>
      <c r="M5653" s="49"/>
    </row>
    <row r="5654" spans="6:13" x14ac:dyDescent="0.25">
      <c r="F5654" t="s">
        <v>6208</v>
      </c>
      <c r="G5654">
        <v>99192</v>
      </c>
      <c r="H5654">
        <v>16067</v>
      </c>
      <c r="I5654" s="25" t="s">
        <v>2384</v>
      </c>
      <c r="J5654" t="s">
        <v>2155</v>
      </c>
      <c r="M5654" s="49"/>
    </row>
    <row r="5655" spans="6:13" x14ac:dyDescent="0.25">
      <c r="F5655" t="s">
        <v>6209</v>
      </c>
      <c r="G5655">
        <v>87484</v>
      </c>
      <c r="H5655">
        <v>9777</v>
      </c>
      <c r="I5655" s="25" t="s">
        <v>2050</v>
      </c>
      <c r="J5655" t="s">
        <v>2237</v>
      </c>
      <c r="M5655" s="49"/>
    </row>
    <row r="5656" spans="6:13" x14ac:dyDescent="0.25">
      <c r="F5656" t="s">
        <v>6210</v>
      </c>
      <c r="G5656">
        <v>57250</v>
      </c>
      <c r="H5656">
        <v>5970</v>
      </c>
      <c r="I5656" s="25" t="s">
        <v>2023</v>
      </c>
      <c r="J5656" t="s">
        <v>2366</v>
      </c>
      <c r="M5656" s="49"/>
    </row>
    <row r="5657" spans="6:13" x14ac:dyDescent="0.25">
      <c r="F5657" t="s">
        <v>6211</v>
      </c>
      <c r="G5657">
        <v>24250</v>
      </c>
      <c r="H5657">
        <v>1057</v>
      </c>
      <c r="I5657" s="25" t="s">
        <v>2085</v>
      </c>
      <c r="J5657" t="s">
        <v>2313</v>
      </c>
      <c r="M5657" s="49"/>
    </row>
    <row r="5658" spans="6:13" x14ac:dyDescent="0.25">
      <c r="F5658" t="s">
        <v>6212</v>
      </c>
      <c r="G5658">
        <v>53947</v>
      </c>
      <c r="H5658">
        <v>5366</v>
      </c>
      <c r="I5658" s="25" t="s">
        <v>2023</v>
      </c>
      <c r="J5658" t="s">
        <v>2127</v>
      </c>
      <c r="M5658" s="49"/>
    </row>
    <row r="5659" spans="6:13" x14ac:dyDescent="0.25">
      <c r="F5659" t="s">
        <v>6213</v>
      </c>
      <c r="G5659">
        <v>41334</v>
      </c>
      <c r="H5659">
        <v>5166</v>
      </c>
      <c r="I5659" s="25" t="s">
        <v>2023</v>
      </c>
      <c r="J5659" t="s">
        <v>2412</v>
      </c>
      <c r="M5659" s="49"/>
    </row>
    <row r="5660" spans="6:13" x14ac:dyDescent="0.25">
      <c r="F5660" t="s">
        <v>6214</v>
      </c>
      <c r="G5660">
        <v>8491</v>
      </c>
      <c r="H5660">
        <v>14523</v>
      </c>
      <c r="I5660" s="25" t="s">
        <v>2135</v>
      </c>
      <c r="J5660" t="s">
        <v>2136</v>
      </c>
      <c r="M5660" s="49"/>
    </row>
    <row r="5661" spans="6:13" x14ac:dyDescent="0.25">
      <c r="F5661" t="s">
        <v>6215</v>
      </c>
      <c r="G5661">
        <v>29490</v>
      </c>
      <c r="H5661">
        <v>3354</v>
      </c>
      <c r="I5661" s="25" t="s">
        <v>2074</v>
      </c>
      <c r="J5661" t="s">
        <v>2232</v>
      </c>
      <c r="M5661" s="49"/>
    </row>
    <row r="5662" spans="6:13" x14ac:dyDescent="0.25">
      <c r="F5662" t="s">
        <v>6216</v>
      </c>
      <c r="G5662">
        <v>19294</v>
      </c>
      <c r="H5662">
        <v>13076</v>
      </c>
      <c r="I5662" s="25" t="s">
        <v>2191</v>
      </c>
      <c r="J5662" t="s">
        <v>2234</v>
      </c>
      <c r="M5662" s="49"/>
    </row>
    <row r="5663" spans="6:13" x14ac:dyDescent="0.25">
      <c r="F5663" t="s">
        <v>6217</v>
      </c>
      <c r="G5663">
        <v>21629</v>
      </c>
      <c r="H5663">
        <v>3353</v>
      </c>
      <c r="I5663" s="25" t="s">
        <v>2074</v>
      </c>
      <c r="J5663" t="s">
        <v>2176</v>
      </c>
      <c r="M5663" s="49"/>
    </row>
    <row r="5664" spans="6:13" x14ac:dyDescent="0.25">
      <c r="F5664" t="s">
        <v>6218</v>
      </c>
      <c r="G5664">
        <v>95698</v>
      </c>
      <c r="H5664">
        <v>9377</v>
      </c>
      <c r="I5664" s="25" t="s">
        <v>2050</v>
      </c>
      <c r="J5664" t="s">
        <v>2393</v>
      </c>
      <c r="M5664" s="49"/>
    </row>
    <row r="5665" spans="6:13" x14ac:dyDescent="0.25">
      <c r="F5665" t="s">
        <v>6219</v>
      </c>
      <c r="G5665">
        <v>61267</v>
      </c>
      <c r="H5665">
        <v>6434</v>
      </c>
      <c r="I5665" s="25" t="s">
        <v>2046</v>
      </c>
      <c r="J5665" t="s">
        <v>2664</v>
      </c>
      <c r="M5665" s="49"/>
    </row>
    <row r="5666" spans="6:13" x14ac:dyDescent="0.25">
      <c r="F5666" t="s">
        <v>6220</v>
      </c>
      <c r="G5666">
        <v>63543</v>
      </c>
      <c r="H5666">
        <v>6435</v>
      </c>
      <c r="I5666" s="25" t="s">
        <v>2046</v>
      </c>
      <c r="J5666" t="s">
        <v>2703</v>
      </c>
      <c r="M5666" s="49"/>
    </row>
    <row r="5667" spans="6:13" x14ac:dyDescent="0.25">
      <c r="F5667" t="s">
        <v>6221</v>
      </c>
      <c r="G5667">
        <v>83115</v>
      </c>
      <c r="H5667">
        <v>9187</v>
      </c>
      <c r="I5667" s="25" t="s">
        <v>2050</v>
      </c>
      <c r="J5667" t="s">
        <v>2245</v>
      </c>
      <c r="M5667" s="49"/>
    </row>
    <row r="5668" spans="6:13" x14ac:dyDescent="0.25">
      <c r="F5668" t="s">
        <v>6222</v>
      </c>
      <c r="G5668">
        <v>85579</v>
      </c>
      <c r="H5668">
        <v>9184</v>
      </c>
      <c r="I5668" s="25" t="s">
        <v>2050</v>
      </c>
      <c r="J5668" t="s">
        <v>2547</v>
      </c>
      <c r="M5668" s="49"/>
    </row>
    <row r="5669" spans="6:13" x14ac:dyDescent="0.25">
      <c r="F5669" t="s">
        <v>6223</v>
      </c>
      <c r="G5669">
        <v>26909</v>
      </c>
      <c r="H5669">
        <v>3454</v>
      </c>
      <c r="I5669" s="25" t="s">
        <v>2074</v>
      </c>
      <c r="J5669" t="s">
        <v>2118</v>
      </c>
      <c r="M5669" s="49"/>
    </row>
    <row r="5670" spans="6:13" x14ac:dyDescent="0.25">
      <c r="F5670" t="s">
        <v>6223</v>
      </c>
      <c r="G5670">
        <v>26909</v>
      </c>
      <c r="H5670">
        <v>3454</v>
      </c>
      <c r="I5670" s="25" t="s">
        <v>2074</v>
      </c>
      <c r="J5670" t="s">
        <v>2118</v>
      </c>
      <c r="M5670" s="49"/>
    </row>
    <row r="5671" spans="6:13" x14ac:dyDescent="0.25">
      <c r="F5671" t="s">
        <v>2267</v>
      </c>
      <c r="G5671">
        <v>17036</v>
      </c>
      <c r="H5671">
        <v>13071</v>
      </c>
      <c r="I5671" s="25" t="s">
        <v>2191</v>
      </c>
      <c r="J5671" t="s">
        <v>2091</v>
      </c>
      <c r="M5671" s="49"/>
    </row>
    <row r="5672" spans="6:13" x14ac:dyDescent="0.25">
      <c r="F5672" t="s">
        <v>2267</v>
      </c>
      <c r="G5672">
        <v>17033</v>
      </c>
      <c r="H5672">
        <v>13071</v>
      </c>
      <c r="I5672" s="25" t="s">
        <v>2191</v>
      </c>
      <c r="J5672" t="s">
        <v>2091</v>
      </c>
      <c r="M5672" s="49"/>
    </row>
    <row r="5673" spans="6:13" x14ac:dyDescent="0.25">
      <c r="F5673" t="s">
        <v>2267</v>
      </c>
      <c r="G5673">
        <v>17034</v>
      </c>
      <c r="H5673">
        <v>13071</v>
      </c>
      <c r="I5673" s="25" t="s">
        <v>2191</v>
      </c>
      <c r="J5673" t="s">
        <v>2091</v>
      </c>
      <c r="M5673" s="49"/>
    </row>
    <row r="5674" spans="6:13" x14ac:dyDescent="0.25">
      <c r="F5674" t="s">
        <v>6224</v>
      </c>
      <c r="G5674">
        <v>97277</v>
      </c>
      <c r="H5674">
        <v>9679</v>
      </c>
      <c r="I5674" s="25" t="s">
        <v>2050</v>
      </c>
      <c r="J5674" t="s">
        <v>2428</v>
      </c>
      <c r="M5674" s="49"/>
    </row>
    <row r="5675" spans="6:13" x14ac:dyDescent="0.25">
      <c r="F5675" t="s">
        <v>6225</v>
      </c>
      <c r="G5675">
        <v>18233</v>
      </c>
      <c r="H5675">
        <v>13072</v>
      </c>
      <c r="I5675" s="25" t="s">
        <v>2191</v>
      </c>
      <c r="J5675" t="s">
        <v>2036</v>
      </c>
      <c r="M5675" s="49"/>
    </row>
    <row r="5676" spans="6:13" x14ac:dyDescent="0.25">
      <c r="F5676" t="s">
        <v>6226</v>
      </c>
      <c r="G5676">
        <v>75387</v>
      </c>
      <c r="H5676">
        <v>8235</v>
      </c>
      <c r="I5676" s="25" t="s">
        <v>2018</v>
      </c>
      <c r="J5676" t="s">
        <v>2422</v>
      </c>
      <c r="M5676" s="49"/>
    </row>
    <row r="5677" spans="6:13" x14ac:dyDescent="0.25">
      <c r="F5677" t="s">
        <v>6227</v>
      </c>
      <c r="G5677">
        <v>94127</v>
      </c>
      <c r="H5677">
        <v>9275</v>
      </c>
      <c r="I5677" s="25" t="s">
        <v>2050</v>
      </c>
      <c r="J5677" t="s">
        <v>2198</v>
      </c>
      <c r="M5677" s="49"/>
    </row>
    <row r="5678" spans="6:13" x14ac:dyDescent="0.25">
      <c r="F5678" t="s">
        <v>6228</v>
      </c>
      <c r="G5678">
        <v>86476</v>
      </c>
      <c r="H5678">
        <v>9774</v>
      </c>
      <c r="I5678" s="25" t="s">
        <v>2050</v>
      </c>
      <c r="J5678" t="s">
        <v>2205</v>
      </c>
      <c r="M5678" s="49"/>
    </row>
    <row r="5679" spans="6:13" x14ac:dyDescent="0.25">
      <c r="F5679" t="s">
        <v>6229</v>
      </c>
      <c r="G5679">
        <v>76776</v>
      </c>
      <c r="H5679">
        <v>7334</v>
      </c>
      <c r="I5679" s="25" t="s">
        <v>2123</v>
      </c>
      <c r="J5679" t="s">
        <v>2873</v>
      </c>
      <c r="M5679" s="49"/>
    </row>
    <row r="5680" spans="6:13" x14ac:dyDescent="0.25">
      <c r="F5680" t="s">
        <v>6230</v>
      </c>
      <c r="G5680">
        <v>86633</v>
      </c>
      <c r="H5680">
        <v>9185</v>
      </c>
      <c r="I5680" s="25" t="s">
        <v>2050</v>
      </c>
      <c r="J5680" t="s">
        <v>2515</v>
      </c>
      <c r="M5680" s="49"/>
    </row>
    <row r="5681" spans="6:13" x14ac:dyDescent="0.25">
      <c r="F5681" t="s">
        <v>6231</v>
      </c>
      <c r="G5681">
        <v>23974</v>
      </c>
      <c r="H5681">
        <v>13074</v>
      </c>
      <c r="I5681" s="25" t="s">
        <v>2191</v>
      </c>
      <c r="J5681" t="s">
        <v>2275</v>
      </c>
      <c r="M5681" s="49"/>
    </row>
    <row r="5682" spans="6:13" x14ac:dyDescent="0.25">
      <c r="F5682" t="s">
        <v>6232</v>
      </c>
      <c r="G5682">
        <v>85467</v>
      </c>
      <c r="H5682">
        <v>9177</v>
      </c>
      <c r="I5682" s="25" t="s">
        <v>2050</v>
      </c>
      <c r="J5682" t="s">
        <v>2915</v>
      </c>
      <c r="M5682" s="49"/>
    </row>
    <row r="5683" spans="6:13" x14ac:dyDescent="0.25">
      <c r="F5683" t="s">
        <v>6233</v>
      </c>
      <c r="G5683">
        <v>74861</v>
      </c>
      <c r="H5683">
        <v>8125</v>
      </c>
      <c r="I5683" s="25" t="s">
        <v>2018</v>
      </c>
      <c r="J5683" t="s">
        <v>2060</v>
      </c>
      <c r="M5683" s="49"/>
    </row>
    <row r="5684" spans="6:13" x14ac:dyDescent="0.25">
      <c r="F5684" t="s">
        <v>6234</v>
      </c>
      <c r="G5684">
        <v>95512</v>
      </c>
      <c r="H5684">
        <v>9477</v>
      </c>
      <c r="I5684" s="25" t="s">
        <v>2050</v>
      </c>
      <c r="J5684" t="s">
        <v>4385</v>
      </c>
      <c r="M5684" s="49"/>
    </row>
    <row r="5685" spans="6:13" x14ac:dyDescent="0.25">
      <c r="F5685" t="s">
        <v>6235</v>
      </c>
      <c r="G5685">
        <v>37249</v>
      </c>
      <c r="H5685">
        <v>6636</v>
      </c>
      <c r="I5685" s="25" t="s">
        <v>2046</v>
      </c>
      <c r="J5685" t="s">
        <v>2733</v>
      </c>
      <c r="M5685" s="49"/>
    </row>
    <row r="5686" spans="6:13" x14ac:dyDescent="0.25">
      <c r="F5686" t="s">
        <v>6236</v>
      </c>
      <c r="G5686">
        <v>75305</v>
      </c>
      <c r="H5686">
        <v>8236</v>
      </c>
      <c r="I5686" s="25" t="s">
        <v>2018</v>
      </c>
      <c r="J5686" t="s">
        <v>3087</v>
      </c>
      <c r="M5686" s="49"/>
    </row>
    <row r="5687" spans="6:13" x14ac:dyDescent="0.25">
      <c r="F5687" t="s">
        <v>6237</v>
      </c>
      <c r="G5687">
        <v>79395</v>
      </c>
      <c r="H5687">
        <v>8315</v>
      </c>
      <c r="I5687" s="25" t="s">
        <v>2018</v>
      </c>
      <c r="J5687" t="s">
        <v>2061</v>
      </c>
      <c r="M5687" s="49"/>
    </row>
    <row r="5688" spans="6:13" x14ac:dyDescent="0.25">
      <c r="F5688" t="s">
        <v>6237</v>
      </c>
      <c r="G5688">
        <v>79395</v>
      </c>
      <c r="H5688">
        <v>8315</v>
      </c>
      <c r="I5688" s="25" t="s">
        <v>2018</v>
      </c>
      <c r="J5688" t="s">
        <v>2061</v>
      </c>
      <c r="M5688" s="49"/>
    </row>
    <row r="5689" spans="6:13" x14ac:dyDescent="0.25">
      <c r="F5689" t="s">
        <v>6238</v>
      </c>
      <c r="G5689">
        <v>91564</v>
      </c>
      <c r="H5689">
        <v>9571</v>
      </c>
      <c r="I5689" s="25" t="s">
        <v>2050</v>
      </c>
      <c r="J5689" t="s">
        <v>2113</v>
      </c>
      <c r="M5689" s="49"/>
    </row>
    <row r="5690" spans="6:13" x14ac:dyDescent="0.25">
      <c r="F5690" t="s">
        <v>6239</v>
      </c>
      <c r="G5690">
        <v>97788</v>
      </c>
      <c r="H5690">
        <v>9677</v>
      </c>
      <c r="I5690" s="25" t="s">
        <v>2050</v>
      </c>
      <c r="J5690" t="s">
        <v>2527</v>
      </c>
      <c r="M5690" s="49"/>
    </row>
    <row r="5691" spans="6:13" x14ac:dyDescent="0.25">
      <c r="F5691" t="s">
        <v>6240</v>
      </c>
      <c r="G5691">
        <v>7778</v>
      </c>
      <c r="H5691">
        <v>16074</v>
      </c>
      <c r="I5691" s="25" t="s">
        <v>2384</v>
      </c>
      <c r="J5691" t="s">
        <v>2671</v>
      </c>
      <c r="M5691" s="49"/>
    </row>
    <row r="5692" spans="6:13" x14ac:dyDescent="0.25">
      <c r="F5692" t="s">
        <v>6240</v>
      </c>
      <c r="G5692">
        <v>7778</v>
      </c>
      <c r="H5692">
        <v>16074</v>
      </c>
      <c r="I5692" s="25" t="s">
        <v>2384</v>
      </c>
      <c r="J5692" t="s">
        <v>2671</v>
      </c>
      <c r="M5692" s="49"/>
    </row>
    <row r="5693" spans="6:13" x14ac:dyDescent="0.25">
      <c r="F5693" t="s">
        <v>6241</v>
      </c>
      <c r="G5693">
        <v>23818</v>
      </c>
      <c r="H5693">
        <v>1060</v>
      </c>
      <c r="I5693" s="25" t="s">
        <v>2085</v>
      </c>
      <c r="J5693" t="s">
        <v>2363</v>
      </c>
      <c r="M5693" s="49"/>
    </row>
    <row r="5694" spans="6:13" x14ac:dyDescent="0.25">
      <c r="F5694" t="s">
        <v>6242</v>
      </c>
      <c r="G5694">
        <v>15366</v>
      </c>
      <c r="H5694">
        <v>12064</v>
      </c>
      <c r="I5694" s="25" t="s">
        <v>2356</v>
      </c>
      <c r="J5694" t="s">
        <v>2243</v>
      </c>
      <c r="M5694" s="49"/>
    </row>
    <row r="5695" spans="6:13" x14ac:dyDescent="0.25">
      <c r="F5695" t="s">
        <v>6243</v>
      </c>
      <c r="G5695">
        <v>25792</v>
      </c>
      <c r="H5695">
        <v>1051</v>
      </c>
      <c r="I5695" s="25" t="s">
        <v>2085</v>
      </c>
      <c r="J5695" t="s">
        <v>2097</v>
      </c>
      <c r="M5695" s="49"/>
    </row>
    <row r="5696" spans="6:13" x14ac:dyDescent="0.25">
      <c r="F5696" t="s">
        <v>6243</v>
      </c>
      <c r="G5696">
        <v>21763</v>
      </c>
      <c r="H5696">
        <v>3352</v>
      </c>
      <c r="I5696" s="25" t="s">
        <v>2074</v>
      </c>
      <c r="J5696" t="s">
        <v>2079</v>
      </c>
      <c r="M5696" s="49"/>
    </row>
    <row r="5697" spans="6:13" x14ac:dyDescent="0.25">
      <c r="F5697" t="s">
        <v>6243</v>
      </c>
      <c r="G5697">
        <v>29643</v>
      </c>
      <c r="H5697">
        <v>3358</v>
      </c>
      <c r="I5697" s="25" t="s">
        <v>2074</v>
      </c>
      <c r="J5697" t="s">
        <v>2371</v>
      </c>
      <c r="M5697" s="49"/>
    </row>
    <row r="5698" spans="6:13" x14ac:dyDescent="0.25">
      <c r="F5698" t="s">
        <v>6243</v>
      </c>
      <c r="G5698">
        <v>48485</v>
      </c>
      <c r="H5698">
        <v>5566</v>
      </c>
      <c r="I5698" s="25" t="s">
        <v>2023</v>
      </c>
      <c r="J5698" t="s">
        <v>2379</v>
      </c>
      <c r="M5698" s="49"/>
    </row>
    <row r="5699" spans="6:13" x14ac:dyDescent="0.25">
      <c r="F5699" t="s">
        <v>6243</v>
      </c>
      <c r="G5699">
        <v>17498</v>
      </c>
      <c r="H5699">
        <v>13075</v>
      </c>
      <c r="I5699" s="25" t="s">
        <v>2191</v>
      </c>
      <c r="J5699" t="s">
        <v>2160</v>
      </c>
      <c r="M5699" s="49"/>
    </row>
    <row r="5700" spans="6:13" x14ac:dyDescent="0.25">
      <c r="F5700" t="s">
        <v>6244</v>
      </c>
      <c r="G5700">
        <v>27251</v>
      </c>
      <c r="H5700">
        <v>3251</v>
      </c>
      <c r="I5700" s="25" t="s">
        <v>2074</v>
      </c>
      <c r="J5700" t="s">
        <v>2094</v>
      </c>
      <c r="M5700" s="49"/>
    </row>
    <row r="5701" spans="6:13" x14ac:dyDescent="0.25">
      <c r="F5701" t="s">
        <v>6245</v>
      </c>
      <c r="G5701">
        <v>49434</v>
      </c>
      <c r="H5701">
        <v>3460</v>
      </c>
      <c r="I5701" s="25" t="s">
        <v>2074</v>
      </c>
      <c r="J5701" t="s">
        <v>2408</v>
      </c>
      <c r="M5701" s="49"/>
    </row>
    <row r="5702" spans="6:13" x14ac:dyDescent="0.25">
      <c r="F5702" t="s">
        <v>6246</v>
      </c>
      <c r="G5702">
        <v>95339</v>
      </c>
      <c r="H5702">
        <v>9477</v>
      </c>
      <c r="I5702" s="25" t="s">
        <v>2050</v>
      </c>
      <c r="J5702" t="s">
        <v>4385</v>
      </c>
      <c r="M5702" s="49"/>
    </row>
    <row r="5703" spans="6:13" x14ac:dyDescent="0.25">
      <c r="F5703" t="s">
        <v>6247</v>
      </c>
      <c r="G5703">
        <v>58809</v>
      </c>
      <c r="H5703">
        <v>5962</v>
      </c>
      <c r="I5703" s="25" t="s">
        <v>2023</v>
      </c>
      <c r="J5703" t="s">
        <v>2239</v>
      </c>
      <c r="M5703" s="49"/>
    </row>
    <row r="5704" spans="6:13" x14ac:dyDescent="0.25">
      <c r="F5704" t="s">
        <v>6248</v>
      </c>
      <c r="G5704">
        <v>8541</v>
      </c>
      <c r="H5704">
        <v>14523</v>
      </c>
      <c r="I5704" s="25" t="s">
        <v>2135</v>
      </c>
      <c r="J5704" t="s">
        <v>2136</v>
      </c>
      <c r="M5704" s="49"/>
    </row>
    <row r="5705" spans="6:13" x14ac:dyDescent="0.25">
      <c r="F5705" t="s">
        <v>6249</v>
      </c>
      <c r="G5705">
        <v>74196</v>
      </c>
      <c r="H5705">
        <v>8125</v>
      </c>
      <c r="I5705" s="25" t="s">
        <v>2018</v>
      </c>
      <c r="J5705" t="s">
        <v>2060</v>
      </c>
      <c r="M5705" s="49"/>
    </row>
    <row r="5706" spans="6:13" x14ac:dyDescent="0.25">
      <c r="F5706" t="s">
        <v>6250</v>
      </c>
      <c r="G5706">
        <v>74632</v>
      </c>
      <c r="H5706">
        <v>8126</v>
      </c>
      <c r="I5706" s="25" t="s">
        <v>2018</v>
      </c>
      <c r="J5706" t="s">
        <v>3280</v>
      </c>
      <c r="M5706" s="49"/>
    </row>
    <row r="5707" spans="6:13" x14ac:dyDescent="0.25">
      <c r="F5707" t="s">
        <v>6251</v>
      </c>
      <c r="G5707">
        <v>36286</v>
      </c>
      <c r="H5707">
        <v>6632</v>
      </c>
      <c r="I5707" s="25" t="s">
        <v>2046</v>
      </c>
      <c r="J5707" t="s">
        <v>2303</v>
      </c>
      <c r="M5707" s="49"/>
    </row>
    <row r="5708" spans="6:13" x14ac:dyDescent="0.25">
      <c r="F5708" t="s">
        <v>6252</v>
      </c>
      <c r="G5708">
        <v>34599</v>
      </c>
      <c r="H5708">
        <v>6634</v>
      </c>
      <c r="I5708" s="25" t="s">
        <v>2046</v>
      </c>
      <c r="J5708" t="s">
        <v>2360</v>
      </c>
      <c r="M5708" s="49"/>
    </row>
    <row r="5709" spans="6:13" x14ac:dyDescent="0.25">
      <c r="F5709" t="s">
        <v>6253</v>
      </c>
      <c r="G5709">
        <v>54673</v>
      </c>
      <c r="H5709">
        <v>7232</v>
      </c>
      <c r="I5709" s="25" t="s">
        <v>2123</v>
      </c>
      <c r="J5709" t="s">
        <v>2112</v>
      </c>
      <c r="M5709" s="49"/>
    </row>
    <row r="5710" spans="6:13" x14ac:dyDescent="0.25">
      <c r="F5710" t="s">
        <v>6254</v>
      </c>
      <c r="G5710">
        <v>85375</v>
      </c>
      <c r="H5710">
        <v>9178</v>
      </c>
      <c r="I5710" s="25" t="s">
        <v>2050</v>
      </c>
      <c r="J5710" t="s">
        <v>2315</v>
      </c>
      <c r="M5710" s="49"/>
    </row>
    <row r="5711" spans="6:13" x14ac:dyDescent="0.25">
      <c r="F5711" t="s">
        <v>6254</v>
      </c>
      <c r="G5711">
        <v>85376</v>
      </c>
      <c r="H5711">
        <v>9178</v>
      </c>
      <c r="I5711" s="25" t="s">
        <v>2050</v>
      </c>
      <c r="J5711" t="s">
        <v>2315</v>
      </c>
      <c r="M5711" s="49"/>
    </row>
    <row r="5712" spans="6:13" x14ac:dyDescent="0.25">
      <c r="F5712" t="s">
        <v>6255</v>
      </c>
      <c r="G5712">
        <v>84088</v>
      </c>
      <c r="H5712">
        <v>9274</v>
      </c>
      <c r="I5712" s="25" t="s">
        <v>2050</v>
      </c>
      <c r="J5712" t="s">
        <v>2132</v>
      </c>
      <c r="M5712" s="49"/>
    </row>
    <row r="5713" spans="6:13" x14ac:dyDescent="0.25">
      <c r="F5713" t="s">
        <v>6256</v>
      </c>
      <c r="G5713">
        <v>25724</v>
      </c>
      <c r="H5713">
        <v>1051</v>
      </c>
      <c r="I5713" s="25" t="s">
        <v>2085</v>
      </c>
      <c r="J5713" t="s">
        <v>2097</v>
      </c>
      <c r="M5713" s="49"/>
    </row>
    <row r="5714" spans="6:13" x14ac:dyDescent="0.25">
      <c r="F5714" t="s">
        <v>6257</v>
      </c>
      <c r="G5714">
        <v>72639</v>
      </c>
      <c r="H5714">
        <v>8116</v>
      </c>
      <c r="I5714" s="25" t="s">
        <v>2018</v>
      </c>
      <c r="J5714" t="s">
        <v>2213</v>
      </c>
      <c r="M5714" s="49"/>
    </row>
    <row r="5715" spans="6:13" x14ac:dyDescent="0.25">
      <c r="F5715" t="s">
        <v>6258</v>
      </c>
      <c r="G5715">
        <v>72419</v>
      </c>
      <c r="H5715">
        <v>8437</v>
      </c>
      <c r="I5715" s="25" t="s">
        <v>2018</v>
      </c>
      <c r="J5715" t="s">
        <v>2720</v>
      </c>
      <c r="M5715" s="49"/>
    </row>
    <row r="5716" spans="6:13" x14ac:dyDescent="0.25">
      <c r="F5716" t="s">
        <v>6259</v>
      </c>
      <c r="G5716">
        <v>84181</v>
      </c>
      <c r="H5716">
        <v>9274</v>
      </c>
      <c r="I5716" s="25" t="s">
        <v>2050</v>
      </c>
      <c r="J5716" t="s">
        <v>2132</v>
      </c>
      <c r="M5716" s="49"/>
    </row>
    <row r="5717" spans="6:13" x14ac:dyDescent="0.25">
      <c r="F5717" t="s">
        <v>6260</v>
      </c>
      <c r="G5717">
        <v>21785</v>
      </c>
      <c r="H5717">
        <v>3352</v>
      </c>
      <c r="I5717" s="25" t="s">
        <v>2074</v>
      </c>
      <c r="J5717" t="s">
        <v>2079</v>
      </c>
      <c r="M5717" s="49"/>
    </row>
    <row r="5718" spans="6:13" x14ac:dyDescent="0.25">
      <c r="F5718" t="s">
        <v>6261</v>
      </c>
      <c r="G5718">
        <v>94152</v>
      </c>
      <c r="H5718">
        <v>9275</v>
      </c>
      <c r="I5718" s="25" t="s">
        <v>2050</v>
      </c>
      <c r="J5718" t="s">
        <v>2198</v>
      </c>
      <c r="M5718" s="49"/>
    </row>
    <row r="5719" spans="6:13" x14ac:dyDescent="0.25">
      <c r="F5719" t="s">
        <v>6262</v>
      </c>
      <c r="G5719">
        <v>91284</v>
      </c>
      <c r="H5719">
        <v>9574</v>
      </c>
      <c r="I5719" s="25" t="s">
        <v>2050</v>
      </c>
      <c r="J5719" t="s">
        <v>2291</v>
      </c>
      <c r="M5719" s="49"/>
    </row>
    <row r="5720" spans="6:13" x14ac:dyDescent="0.25">
      <c r="F5720" t="s">
        <v>6263</v>
      </c>
      <c r="G5720">
        <v>98724</v>
      </c>
      <c r="H5720">
        <v>16072</v>
      </c>
      <c r="I5720" s="25" t="s">
        <v>2384</v>
      </c>
      <c r="J5720" t="s">
        <v>2373</v>
      </c>
      <c r="M5720" s="49"/>
    </row>
    <row r="5721" spans="6:13" x14ac:dyDescent="0.25">
      <c r="F5721" t="s">
        <v>6264</v>
      </c>
      <c r="G5721">
        <v>56335</v>
      </c>
      <c r="H5721">
        <v>7143</v>
      </c>
      <c r="I5721" s="25" t="s">
        <v>2123</v>
      </c>
      <c r="J5721" t="s">
        <v>2331</v>
      </c>
      <c r="M5721" s="49"/>
    </row>
    <row r="5722" spans="6:13" x14ac:dyDescent="0.25">
      <c r="F5722" t="s">
        <v>6265</v>
      </c>
      <c r="G5722">
        <v>75242</v>
      </c>
      <c r="H5722">
        <v>8236</v>
      </c>
      <c r="I5722" s="25" t="s">
        <v>2018</v>
      </c>
      <c r="J5722" t="s">
        <v>3087</v>
      </c>
      <c r="M5722" s="49"/>
    </row>
    <row r="5723" spans="6:13" x14ac:dyDescent="0.25">
      <c r="F5723" t="s">
        <v>6266</v>
      </c>
      <c r="G5723">
        <v>73765</v>
      </c>
      <c r="H5723">
        <v>8116</v>
      </c>
      <c r="I5723" s="25" t="s">
        <v>2018</v>
      </c>
      <c r="J5723" t="s">
        <v>2213</v>
      </c>
      <c r="M5723" s="49"/>
    </row>
    <row r="5724" spans="6:13" x14ac:dyDescent="0.25">
      <c r="F5724" t="s">
        <v>6267</v>
      </c>
      <c r="G5724">
        <v>78579</v>
      </c>
      <c r="H5724">
        <v>8327</v>
      </c>
      <c r="I5724" s="25" t="s">
        <v>2018</v>
      </c>
      <c r="J5724" t="s">
        <v>2277</v>
      </c>
      <c r="M5724" s="49"/>
    </row>
    <row r="5725" spans="6:13" x14ac:dyDescent="0.25">
      <c r="F5725" t="s">
        <v>6268</v>
      </c>
      <c r="G5725">
        <v>9544</v>
      </c>
      <c r="H5725">
        <v>14522</v>
      </c>
      <c r="I5725" s="25" t="s">
        <v>2135</v>
      </c>
      <c r="J5725" t="s">
        <v>2100</v>
      </c>
      <c r="M5725" s="49"/>
    </row>
    <row r="5726" spans="6:13" x14ac:dyDescent="0.25">
      <c r="F5726" t="s">
        <v>6269</v>
      </c>
      <c r="G5726">
        <v>3058</v>
      </c>
      <c r="H5726">
        <v>12071</v>
      </c>
      <c r="I5726" s="25" t="s">
        <v>2356</v>
      </c>
      <c r="J5726" t="s">
        <v>3364</v>
      </c>
      <c r="M5726" s="49"/>
    </row>
    <row r="5727" spans="6:13" x14ac:dyDescent="0.25">
      <c r="F5727" t="s">
        <v>6270</v>
      </c>
      <c r="G5727">
        <v>96524</v>
      </c>
      <c r="H5727">
        <v>16072</v>
      </c>
      <c r="I5727" s="25" t="s">
        <v>2384</v>
      </c>
      <c r="J5727" t="s">
        <v>2373</v>
      </c>
      <c r="M5727" s="49"/>
    </row>
    <row r="5728" spans="6:13" x14ac:dyDescent="0.25">
      <c r="F5728" t="s">
        <v>6271</v>
      </c>
      <c r="G5728">
        <v>67680</v>
      </c>
      <c r="H5728">
        <v>7335</v>
      </c>
      <c r="I5728" s="25" t="s">
        <v>2123</v>
      </c>
      <c r="J5728" t="s">
        <v>2843</v>
      </c>
      <c r="M5728" s="49"/>
    </row>
    <row r="5729" spans="6:13" x14ac:dyDescent="0.25">
      <c r="F5729" t="s">
        <v>6272</v>
      </c>
      <c r="G5729">
        <v>36119</v>
      </c>
      <c r="H5729">
        <v>6631</v>
      </c>
      <c r="I5729" s="25" t="s">
        <v>2046</v>
      </c>
      <c r="J5729" t="s">
        <v>2145</v>
      </c>
      <c r="M5729" s="49"/>
    </row>
    <row r="5730" spans="6:13" x14ac:dyDescent="0.25">
      <c r="F5730" t="s">
        <v>6273</v>
      </c>
      <c r="G5730">
        <v>90616</v>
      </c>
      <c r="H5730">
        <v>9575</v>
      </c>
      <c r="I5730" s="25" t="s">
        <v>2050</v>
      </c>
      <c r="J5730" t="s">
        <v>2749</v>
      </c>
      <c r="M5730" s="49"/>
    </row>
    <row r="5731" spans="6:13" x14ac:dyDescent="0.25">
      <c r="F5731" t="s">
        <v>6274</v>
      </c>
      <c r="G5731">
        <v>67141</v>
      </c>
      <c r="H5731">
        <v>7338</v>
      </c>
      <c r="I5731" s="25" t="s">
        <v>2123</v>
      </c>
      <c r="J5731" t="s">
        <v>2448</v>
      </c>
      <c r="M5731" s="49"/>
    </row>
    <row r="5732" spans="6:13" x14ac:dyDescent="0.25">
      <c r="F5732" t="s">
        <v>6275</v>
      </c>
      <c r="G5732">
        <v>54422</v>
      </c>
      <c r="H5732">
        <v>7134</v>
      </c>
      <c r="I5732" s="25" t="s">
        <v>2123</v>
      </c>
      <c r="J5732" t="s">
        <v>2048</v>
      </c>
      <c r="M5732" s="49"/>
    </row>
    <row r="5733" spans="6:13" x14ac:dyDescent="0.25">
      <c r="F5733" t="s">
        <v>6275</v>
      </c>
      <c r="G5733">
        <v>54422</v>
      </c>
      <c r="H5733">
        <v>7235</v>
      </c>
      <c r="I5733" s="25" t="s">
        <v>2123</v>
      </c>
      <c r="J5733" t="s">
        <v>2395</v>
      </c>
      <c r="M5733" s="49"/>
    </row>
    <row r="5734" spans="6:13" x14ac:dyDescent="0.25">
      <c r="F5734" t="s">
        <v>6275</v>
      </c>
      <c r="G5734">
        <v>97843</v>
      </c>
      <c r="H5734">
        <v>9677</v>
      </c>
      <c r="I5734" s="25" t="s">
        <v>2050</v>
      </c>
      <c r="J5734" t="s">
        <v>2527</v>
      </c>
      <c r="M5734" s="49"/>
    </row>
    <row r="5735" spans="6:13" x14ac:dyDescent="0.25">
      <c r="F5735" t="s">
        <v>6276</v>
      </c>
      <c r="G5735">
        <v>63263</v>
      </c>
      <c r="H5735">
        <v>6438</v>
      </c>
      <c r="I5735" s="25" t="s">
        <v>2046</v>
      </c>
      <c r="J5735" t="s">
        <v>3567</v>
      </c>
      <c r="M5735" s="49"/>
    </row>
    <row r="5736" spans="6:13" x14ac:dyDescent="0.25">
      <c r="F5736" t="s">
        <v>6277</v>
      </c>
      <c r="G5736">
        <v>17154</v>
      </c>
      <c r="H5736">
        <v>13071</v>
      </c>
      <c r="I5736" s="25" t="s">
        <v>2191</v>
      </c>
      <c r="J5736" t="s">
        <v>2091</v>
      </c>
      <c r="M5736" s="49"/>
    </row>
    <row r="5737" spans="6:13" x14ac:dyDescent="0.25">
      <c r="F5737" t="s">
        <v>6278</v>
      </c>
      <c r="G5737">
        <v>4575</v>
      </c>
      <c r="H5737">
        <v>14729</v>
      </c>
      <c r="I5737" s="25" t="s">
        <v>2135</v>
      </c>
      <c r="J5737" t="s">
        <v>2684</v>
      </c>
      <c r="M5737" s="49"/>
    </row>
    <row r="5738" spans="6:13" x14ac:dyDescent="0.25">
      <c r="F5738" t="s">
        <v>6279</v>
      </c>
      <c r="G5738">
        <v>88099</v>
      </c>
      <c r="H5738">
        <v>8435</v>
      </c>
      <c r="I5738" s="25" t="s">
        <v>2018</v>
      </c>
      <c r="J5738" t="s">
        <v>3011</v>
      </c>
      <c r="M5738" s="49"/>
    </row>
    <row r="5739" spans="6:13" x14ac:dyDescent="0.25">
      <c r="F5739" t="s">
        <v>6280</v>
      </c>
      <c r="G5739">
        <v>1904</v>
      </c>
      <c r="H5739">
        <v>14625</v>
      </c>
      <c r="I5739" s="25" t="s">
        <v>2135</v>
      </c>
      <c r="J5739" t="s">
        <v>2041</v>
      </c>
      <c r="M5739" s="49"/>
    </row>
    <row r="5740" spans="6:13" x14ac:dyDescent="0.25">
      <c r="F5740" t="s">
        <v>6281</v>
      </c>
      <c r="G5740">
        <v>23779</v>
      </c>
      <c r="H5740">
        <v>1055</v>
      </c>
      <c r="I5740" s="25" t="s">
        <v>2085</v>
      </c>
      <c r="J5740" t="s">
        <v>2185</v>
      </c>
      <c r="M5740" s="49"/>
    </row>
    <row r="5741" spans="6:13" x14ac:dyDescent="0.25">
      <c r="F5741" t="s">
        <v>6281</v>
      </c>
      <c r="G5741">
        <v>94362</v>
      </c>
      <c r="H5741">
        <v>9278</v>
      </c>
      <c r="I5741" s="25" t="s">
        <v>2050</v>
      </c>
      <c r="J5741" t="s">
        <v>2170</v>
      </c>
      <c r="M5741" s="49"/>
    </row>
    <row r="5742" spans="6:13" x14ac:dyDescent="0.25">
      <c r="F5742" t="s">
        <v>6282</v>
      </c>
      <c r="G5742">
        <v>34626</v>
      </c>
      <c r="H5742">
        <v>6634</v>
      </c>
      <c r="I5742" s="25" t="s">
        <v>2046</v>
      </c>
      <c r="J5742" t="s">
        <v>2360</v>
      </c>
      <c r="M5742" s="49"/>
    </row>
    <row r="5743" spans="6:13" x14ac:dyDescent="0.25">
      <c r="F5743" t="s">
        <v>6283</v>
      </c>
      <c r="G5743">
        <v>83364</v>
      </c>
      <c r="H5743">
        <v>9172</v>
      </c>
      <c r="I5743" s="25" t="s">
        <v>2050</v>
      </c>
      <c r="J5743" t="s">
        <v>2042</v>
      </c>
      <c r="M5743" s="49"/>
    </row>
    <row r="5744" spans="6:13" x14ac:dyDescent="0.25">
      <c r="F5744" t="s">
        <v>6284</v>
      </c>
      <c r="G5744">
        <v>93453</v>
      </c>
      <c r="H5744">
        <v>9372</v>
      </c>
      <c r="I5744" s="25" t="s">
        <v>2050</v>
      </c>
      <c r="J5744" t="s">
        <v>2523</v>
      </c>
      <c r="M5744" s="49"/>
    </row>
    <row r="5745" spans="6:13" x14ac:dyDescent="0.25">
      <c r="F5745" t="s">
        <v>6285</v>
      </c>
      <c r="G5745">
        <v>92259</v>
      </c>
      <c r="H5745">
        <v>9371</v>
      </c>
      <c r="I5745" s="25" t="s">
        <v>2050</v>
      </c>
      <c r="J5745" t="s">
        <v>2469</v>
      </c>
      <c r="M5745" s="49"/>
    </row>
    <row r="5746" spans="6:13" x14ac:dyDescent="0.25">
      <c r="F5746" t="s">
        <v>6286</v>
      </c>
      <c r="G5746">
        <v>94154</v>
      </c>
      <c r="H5746">
        <v>9275</v>
      </c>
      <c r="I5746" s="25" t="s">
        <v>2050</v>
      </c>
      <c r="J5746" t="s">
        <v>2198</v>
      </c>
      <c r="M5746" s="49"/>
    </row>
    <row r="5747" spans="6:13" x14ac:dyDescent="0.25">
      <c r="F5747" t="s">
        <v>6287</v>
      </c>
      <c r="G5747">
        <v>25927</v>
      </c>
      <c r="H5747">
        <v>1054</v>
      </c>
      <c r="I5747" s="25" t="s">
        <v>2085</v>
      </c>
      <c r="J5747" t="s">
        <v>2195</v>
      </c>
      <c r="M5747" s="49"/>
    </row>
    <row r="5748" spans="6:13" x14ac:dyDescent="0.25">
      <c r="F5748" t="s">
        <v>6288</v>
      </c>
      <c r="G5748">
        <v>9221</v>
      </c>
      <c r="H5748">
        <v>14521</v>
      </c>
      <c r="I5748" s="25" t="s">
        <v>2135</v>
      </c>
      <c r="J5748" t="s">
        <v>2032</v>
      </c>
      <c r="M5748" s="49"/>
    </row>
    <row r="5749" spans="6:13" x14ac:dyDescent="0.25">
      <c r="F5749" t="s">
        <v>6289</v>
      </c>
      <c r="G5749">
        <v>8459</v>
      </c>
      <c r="H5749">
        <v>14524</v>
      </c>
      <c r="I5749" s="25" t="s">
        <v>2135</v>
      </c>
      <c r="J5749" t="s">
        <v>3424</v>
      </c>
      <c r="M5749" s="49"/>
    </row>
    <row r="5750" spans="6:13" x14ac:dyDescent="0.25">
      <c r="F5750" t="s">
        <v>6290</v>
      </c>
      <c r="G5750">
        <v>92445</v>
      </c>
      <c r="H5750">
        <v>9376</v>
      </c>
      <c r="I5750" s="25" t="s">
        <v>2050</v>
      </c>
      <c r="J5750" t="s">
        <v>2390</v>
      </c>
      <c r="M5750" s="49"/>
    </row>
    <row r="5751" spans="6:13" x14ac:dyDescent="0.25">
      <c r="F5751" t="s">
        <v>6291</v>
      </c>
      <c r="G5751">
        <v>47506</v>
      </c>
      <c r="H5751">
        <v>5170</v>
      </c>
      <c r="I5751" s="25" t="s">
        <v>2023</v>
      </c>
      <c r="J5751" t="s">
        <v>2328</v>
      </c>
      <c r="M5751" s="49"/>
    </row>
    <row r="5752" spans="6:13" x14ac:dyDescent="0.25">
      <c r="F5752" t="s">
        <v>6292</v>
      </c>
      <c r="G5752">
        <v>23992</v>
      </c>
      <c r="H5752">
        <v>13074</v>
      </c>
      <c r="I5752" s="25" t="s">
        <v>2191</v>
      </c>
      <c r="J5752" t="s">
        <v>2275</v>
      </c>
      <c r="M5752" s="49"/>
    </row>
    <row r="5753" spans="6:13" x14ac:dyDescent="0.25">
      <c r="F5753" t="s">
        <v>6293</v>
      </c>
      <c r="G5753">
        <v>73491</v>
      </c>
      <c r="H5753">
        <v>8136</v>
      </c>
      <c r="I5753" s="25" t="s">
        <v>2018</v>
      </c>
      <c r="J5753" t="s">
        <v>2039</v>
      </c>
      <c r="M5753" s="49"/>
    </row>
    <row r="5754" spans="6:13" x14ac:dyDescent="0.25">
      <c r="F5754" t="s">
        <v>6294</v>
      </c>
      <c r="G5754">
        <v>75245</v>
      </c>
      <c r="H5754">
        <v>8236</v>
      </c>
      <c r="I5754" s="25" t="s">
        <v>2018</v>
      </c>
      <c r="J5754" t="s">
        <v>3087</v>
      </c>
      <c r="M5754" s="49"/>
    </row>
    <row r="5755" spans="6:13" x14ac:dyDescent="0.25">
      <c r="F5755" t="s">
        <v>6295</v>
      </c>
      <c r="G5755">
        <v>68809</v>
      </c>
      <c r="H5755">
        <v>8226</v>
      </c>
      <c r="I5755" s="25" t="s">
        <v>2018</v>
      </c>
      <c r="J5755" t="s">
        <v>2442</v>
      </c>
      <c r="M5755" s="49"/>
    </row>
    <row r="5756" spans="6:13" x14ac:dyDescent="0.25">
      <c r="F5756" t="s">
        <v>6296</v>
      </c>
      <c r="G5756">
        <v>54347</v>
      </c>
      <c r="H5756">
        <v>7231</v>
      </c>
      <c r="I5756" s="25" t="s">
        <v>2123</v>
      </c>
      <c r="J5756" t="s">
        <v>2043</v>
      </c>
      <c r="M5756" s="49"/>
    </row>
    <row r="5757" spans="6:13" x14ac:dyDescent="0.25">
      <c r="F5757" t="s">
        <v>6297</v>
      </c>
      <c r="G5757">
        <v>8496</v>
      </c>
      <c r="H5757">
        <v>14523</v>
      </c>
      <c r="I5757" s="25" t="s">
        <v>2135</v>
      </c>
      <c r="J5757" t="s">
        <v>2136</v>
      </c>
      <c r="M5757" s="49"/>
    </row>
    <row r="5758" spans="6:13" x14ac:dyDescent="0.25">
      <c r="F5758" t="s">
        <v>2891</v>
      </c>
      <c r="G5758">
        <v>92318</v>
      </c>
      <c r="H5758">
        <v>9373</v>
      </c>
      <c r="I5758" s="25" t="s">
        <v>2050</v>
      </c>
      <c r="J5758" t="s">
        <v>2891</v>
      </c>
      <c r="M5758" s="49"/>
    </row>
    <row r="5759" spans="6:13" x14ac:dyDescent="0.25">
      <c r="F5759" t="s">
        <v>6298</v>
      </c>
      <c r="G5759">
        <v>84494</v>
      </c>
      <c r="H5759">
        <v>9183</v>
      </c>
      <c r="I5759" s="25" t="s">
        <v>2050</v>
      </c>
      <c r="J5759" t="s">
        <v>2474</v>
      </c>
      <c r="M5759" s="49"/>
    </row>
    <row r="5760" spans="6:13" x14ac:dyDescent="0.25">
      <c r="F5760" t="s">
        <v>6299</v>
      </c>
      <c r="G5760">
        <v>24539</v>
      </c>
      <c r="H5760">
        <v>1004</v>
      </c>
      <c r="I5760" s="25" t="s">
        <v>2085</v>
      </c>
      <c r="J5760" t="s">
        <v>2270</v>
      </c>
      <c r="M5760" s="49"/>
    </row>
    <row r="5761" spans="6:13" x14ac:dyDescent="0.25">
      <c r="F5761" t="s">
        <v>6299</v>
      </c>
      <c r="G5761">
        <v>24534</v>
      </c>
      <c r="H5761">
        <v>1004</v>
      </c>
      <c r="I5761" s="25" t="s">
        <v>2085</v>
      </c>
      <c r="J5761" t="s">
        <v>2270</v>
      </c>
      <c r="M5761" s="49"/>
    </row>
    <row r="5762" spans="6:13" x14ac:dyDescent="0.25">
      <c r="F5762" t="s">
        <v>6299</v>
      </c>
      <c r="G5762">
        <v>24537</v>
      </c>
      <c r="H5762">
        <v>1004</v>
      </c>
      <c r="I5762" s="25" t="s">
        <v>2085</v>
      </c>
      <c r="J5762" t="s">
        <v>2270</v>
      </c>
      <c r="M5762" s="49"/>
    </row>
    <row r="5763" spans="6:13" x14ac:dyDescent="0.25">
      <c r="F5763" t="s">
        <v>6299</v>
      </c>
      <c r="G5763">
        <v>24536</v>
      </c>
      <c r="H5763">
        <v>1004</v>
      </c>
      <c r="I5763" s="25" t="s">
        <v>2085</v>
      </c>
      <c r="J5763" t="s">
        <v>2270</v>
      </c>
      <c r="M5763" s="49"/>
    </row>
    <row r="5764" spans="6:13" x14ac:dyDescent="0.25">
      <c r="F5764" t="s">
        <v>6299</v>
      </c>
      <c r="G5764">
        <v>24536</v>
      </c>
      <c r="H5764">
        <v>1057</v>
      </c>
      <c r="I5764" s="25" t="s">
        <v>2085</v>
      </c>
      <c r="J5764" t="s">
        <v>2313</v>
      </c>
      <c r="M5764" s="49"/>
    </row>
    <row r="5765" spans="6:13" x14ac:dyDescent="0.25">
      <c r="F5765" t="s">
        <v>6300</v>
      </c>
      <c r="G5765">
        <v>92431</v>
      </c>
      <c r="H5765">
        <v>9376</v>
      </c>
      <c r="I5765" s="25" t="s">
        <v>2050</v>
      </c>
      <c r="J5765" t="s">
        <v>2390</v>
      </c>
      <c r="M5765" s="49"/>
    </row>
    <row r="5766" spans="6:13" x14ac:dyDescent="0.25">
      <c r="F5766" t="s">
        <v>3883</v>
      </c>
      <c r="G5766">
        <v>57290</v>
      </c>
      <c r="H5766">
        <v>5970</v>
      </c>
      <c r="I5766" s="25" t="s">
        <v>2023</v>
      </c>
      <c r="J5766" t="s">
        <v>2366</v>
      </c>
      <c r="M5766" s="49"/>
    </row>
    <row r="5767" spans="6:13" x14ac:dyDescent="0.25">
      <c r="F5767" t="s">
        <v>3883</v>
      </c>
      <c r="G5767">
        <v>74867</v>
      </c>
      <c r="H5767">
        <v>8225</v>
      </c>
      <c r="I5767" s="25" t="s">
        <v>2018</v>
      </c>
      <c r="J5767" t="s">
        <v>2108</v>
      </c>
      <c r="M5767" s="49"/>
    </row>
    <row r="5768" spans="6:13" x14ac:dyDescent="0.25">
      <c r="F5768" t="s">
        <v>3883</v>
      </c>
      <c r="G5768">
        <v>63930</v>
      </c>
      <c r="H5768">
        <v>9676</v>
      </c>
      <c r="I5768" s="25" t="s">
        <v>2050</v>
      </c>
      <c r="J5768" t="s">
        <v>2381</v>
      </c>
      <c r="M5768" s="49"/>
    </row>
    <row r="5769" spans="6:13" x14ac:dyDescent="0.25">
      <c r="F5769" t="s">
        <v>3883</v>
      </c>
      <c r="G5769">
        <v>66539</v>
      </c>
      <c r="H5769">
        <v>10043</v>
      </c>
      <c r="I5769" s="25" t="s">
        <v>2849</v>
      </c>
      <c r="J5769" t="s">
        <v>3883</v>
      </c>
      <c r="M5769" s="49"/>
    </row>
    <row r="5770" spans="6:13" x14ac:dyDescent="0.25">
      <c r="F5770" t="s">
        <v>3883</v>
      </c>
      <c r="G5770">
        <v>66538</v>
      </c>
      <c r="H5770">
        <v>10043</v>
      </c>
      <c r="I5770" s="25" t="s">
        <v>2849</v>
      </c>
      <c r="J5770" t="s">
        <v>3883</v>
      </c>
      <c r="M5770" s="49"/>
    </row>
    <row r="5771" spans="6:13" x14ac:dyDescent="0.25">
      <c r="F5771" t="s">
        <v>3883</v>
      </c>
      <c r="G5771">
        <v>66540</v>
      </c>
      <c r="H5771">
        <v>10043</v>
      </c>
      <c r="I5771" s="25" t="s">
        <v>2849</v>
      </c>
      <c r="J5771" t="s">
        <v>3883</v>
      </c>
      <c r="M5771" s="49"/>
    </row>
    <row r="5772" spans="6:13" x14ac:dyDescent="0.25">
      <c r="F5772" t="s">
        <v>6301</v>
      </c>
      <c r="G5772">
        <v>91077</v>
      </c>
      <c r="H5772">
        <v>9474</v>
      </c>
      <c r="I5772" s="25" t="s">
        <v>2050</v>
      </c>
      <c r="J5772" t="s">
        <v>3692</v>
      </c>
      <c r="M5772" s="49"/>
    </row>
    <row r="5773" spans="6:13" x14ac:dyDescent="0.25">
      <c r="F5773" t="s">
        <v>6302</v>
      </c>
      <c r="G5773">
        <v>91233</v>
      </c>
      <c r="H5773">
        <v>9574</v>
      </c>
      <c r="I5773" s="25" t="s">
        <v>2050</v>
      </c>
      <c r="J5773" t="s">
        <v>2291</v>
      </c>
      <c r="M5773" s="49"/>
    </row>
    <row r="5774" spans="6:13" x14ac:dyDescent="0.25">
      <c r="F5774" t="s">
        <v>6303</v>
      </c>
      <c r="G5774">
        <v>53819</v>
      </c>
      <c r="H5774">
        <v>5382</v>
      </c>
      <c r="I5774" s="25" t="s">
        <v>2023</v>
      </c>
      <c r="J5774" t="s">
        <v>2298</v>
      </c>
      <c r="M5774" s="49"/>
    </row>
    <row r="5775" spans="6:13" x14ac:dyDescent="0.25">
      <c r="F5775" t="s">
        <v>6304</v>
      </c>
      <c r="G5775">
        <v>84524</v>
      </c>
      <c r="H5775">
        <v>9171</v>
      </c>
      <c r="I5775" s="25" t="s">
        <v>2050</v>
      </c>
      <c r="J5775" t="s">
        <v>2446</v>
      </c>
      <c r="M5775" s="49"/>
    </row>
    <row r="5776" spans="6:13" x14ac:dyDescent="0.25">
      <c r="F5776" t="s">
        <v>6305</v>
      </c>
      <c r="G5776">
        <v>76777</v>
      </c>
      <c r="H5776">
        <v>7334</v>
      </c>
      <c r="I5776" s="25" t="s">
        <v>2123</v>
      </c>
      <c r="J5776" t="s">
        <v>2873</v>
      </c>
      <c r="M5776" s="49"/>
    </row>
    <row r="5777" spans="6:13" x14ac:dyDescent="0.25">
      <c r="F5777" t="s">
        <v>6306</v>
      </c>
      <c r="G5777">
        <v>94089</v>
      </c>
      <c r="H5777">
        <v>9272</v>
      </c>
      <c r="I5777" s="25" t="s">
        <v>2050</v>
      </c>
      <c r="J5777" t="s">
        <v>2140</v>
      </c>
      <c r="M5777" s="49"/>
    </row>
    <row r="5778" spans="6:13" x14ac:dyDescent="0.25">
      <c r="F5778" t="s">
        <v>6307</v>
      </c>
      <c r="G5778">
        <v>77743</v>
      </c>
      <c r="H5778">
        <v>8317</v>
      </c>
      <c r="I5778" s="25" t="s">
        <v>2018</v>
      </c>
      <c r="J5778" t="s">
        <v>2071</v>
      </c>
      <c r="M5778" s="49"/>
    </row>
    <row r="5779" spans="6:13" x14ac:dyDescent="0.25">
      <c r="F5779" t="s">
        <v>6307</v>
      </c>
      <c r="G5779">
        <v>82061</v>
      </c>
      <c r="H5779">
        <v>9184</v>
      </c>
      <c r="I5779" s="25" t="s">
        <v>2050</v>
      </c>
      <c r="J5779" t="s">
        <v>2547</v>
      </c>
      <c r="M5779" s="49"/>
    </row>
    <row r="5780" spans="6:13" x14ac:dyDescent="0.25">
      <c r="F5780" t="s">
        <v>6308</v>
      </c>
      <c r="G5780">
        <v>16827</v>
      </c>
      <c r="H5780">
        <v>12068</v>
      </c>
      <c r="I5780" s="25" t="s">
        <v>2356</v>
      </c>
      <c r="J5780" t="s">
        <v>2299</v>
      </c>
      <c r="M5780" s="49"/>
    </row>
    <row r="5781" spans="6:13" x14ac:dyDescent="0.25">
      <c r="F5781" t="s">
        <v>6308</v>
      </c>
      <c r="G5781">
        <v>16816</v>
      </c>
      <c r="H5781">
        <v>12068</v>
      </c>
      <c r="I5781" s="25" t="s">
        <v>2356</v>
      </c>
      <c r="J5781" t="s">
        <v>2299</v>
      </c>
      <c r="M5781" s="49"/>
    </row>
    <row r="5782" spans="6:13" x14ac:dyDescent="0.25">
      <c r="F5782" t="s">
        <v>6309</v>
      </c>
      <c r="G5782">
        <v>2742</v>
      </c>
      <c r="H5782">
        <v>14626</v>
      </c>
      <c r="I5782" s="25" t="s">
        <v>2135</v>
      </c>
      <c r="J5782" t="s">
        <v>2150</v>
      </c>
      <c r="M5782" s="49"/>
    </row>
    <row r="5783" spans="6:13" x14ac:dyDescent="0.25">
      <c r="F5783" t="s">
        <v>6310</v>
      </c>
      <c r="G5783">
        <v>86356</v>
      </c>
      <c r="H5783">
        <v>9772</v>
      </c>
      <c r="I5783" s="25" t="s">
        <v>2050</v>
      </c>
      <c r="J5783" t="s">
        <v>2117</v>
      </c>
      <c r="M5783" s="49"/>
    </row>
    <row r="5784" spans="6:13" x14ac:dyDescent="0.25">
      <c r="F5784" t="s">
        <v>6311</v>
      </c>
      <c r="G5784">
        <v>94556</v>
      </c>
      <c r="H5784">
        <v>9272</v>
      </c>
      <c r="I5784" s="25" t="s">
        <v>2050</v>
      </c>
      <c r="J5784" t="s">
        <v>2140</v>
      </c>
      <c r="M5784" s="49"/>
    </row>
    <row r="5785" spans="6:13" x14ac:dyDescent="0.25">
      <c r="F5785" t="s">
        <v>6312</v>
      </c>
      <c r="G5785">
        <v>3103</v>
      </c>
      <c r="H5785">
        <v>12066</v>
      </c>
      <c r="I5785" s="25" t="s">
        <v>2356</v>
      </c>
      <c r="J5785" t="s">
        <v>2357</v>
      </c>
      <c r="M5785" s="49"/>
    </row>
    <row r="5786" spans="6:13" x14ac:dyDescent="0.25">
      <c r="F5786" t="s">
        <v>6313</v>
      </c>
      <c r="G5786">
        <v>91616</v>
      </c>
      <c r="H5786">
        <v>9571</v>
      </c>
      <c r="I5786" s="25" t="s">
        <v>2050</v>
      </c>
      <c r="J5786" t="s">
        <v>2113</v>
      </c>
      <c r="M5786" s="49"/>
    </row>
    <row r="5787" spans="6:13" x14ac:dyDescent="0.25">
      <c r="F5787" t="s">
        <v>6314</v>
      </c>
      <c r="G5787">
        <v>95700</v>
      </c>
      <c r="H5787">
        <v>9377</v>
      </c>
      <c r="I5787" s="25" t="s">
        <v>2050</v>
      </c>
      <c r="J5787" t="s">
        <v>2393</v>
      </c>
      <c r="M5787" s="49"/>
    </row>
    <row r="5788" spans="6:13" x14ac:dyDescent="0.25">
      <c r="F5788" t="s">
        <v>6315</v>
      </c>
      <c r="G5788">
        <v>41472</v>
      </c>
      <c r="H5788">
        <v>5162</v>
      </c>
      <c r="I5788" s="25" t="s">
        <v>2023</v>
      </c>
      <c r="J5788" t="s">
        <v>2333</v>
      </c>
      <c r="M5788" s="49"/>
    </row>
    <row r="5789" spans="6:13" x14ac:dyDescent="0.25">
      <c r="F5789" t="s">
        <v>6315</v>
      </c>
      <c r="G5789">
        <v>41464</v>
      </c>
      <c r="H5789">
        <v>5162</v>
      </c>
      <c r="I5789" s="25" t="s">
        <v>2023</v>
      </c>
      <c r="J5789" t="s">
        <v>2333</v>
      </c>
      <c r="M5789" s="49"/>
    </row>
    <row r="5790" spans="6:13" x14ac:dyDescent="0.25">
      <c r="F5790" t="s">
        <v>6315</v>
      </c>
      <c r="G5790">
        <v>41460</v>
      </c>
      <c r="H5790">
        <v>5162</v>
      </c>
      <c r="I5790" s="25" t="s">
        <v>2023</v>
      </c>
      <c r="J5790" t="s">
        <v>2333</v>
      </c>
      <c r="M5790" s="49"/>
    </row>
    <row r="5791" spans="6:13" x14ac:dyDescent="0.25">
      <c r="F5791" t="s">
        <v>6315</v>
      </c>
      <c r="G5791">
        <v>41470</v>
      </c>
      <c r="H5791">
        <v>5162</v>
      </c>
      <c r="I5791" s="25" t="s">
        <v>2023</v>
      </c>
      <c r="J5791" t="s">
        <v>2333</v>
      </c>
      <c r="M5791" s="49"/>
    </row>
    <row r="5792" spans="6:13" x14ac:dyDescent="0.25">
      <c r="F5792" t="s">
        <v>6315</v>
      </c>
      <c r="G5792">
        <v>41469</v>
      </c>
      <c r="H5792">
        <v>5162</v>
      </c>
      <c r="I5792" s="25" t="s">
        <v>2023</v>
      </c>
      <c r="J5792" t="s">
        <v>2333</v>
      </c>
      <c r="M5792" s="49"/>
    </row>
    <row r="5793" spans="6:13" x14ac:dyDescent="0.25">
      <c r="F5793" t="s">
        <v>6315</v>
      </c>
      <c r="G5793">
        <v>41462</v>
      </c>
      <c r="H5793">
        <v>5162</v>
      </c>
      <c r="I5793" s="25" t="s">
        <v>2023</v>
      </c>
      <c r="J5793" t="s">
        <v>2333</v>
      </c>
      <c r="M5793" s="49"/>
    </row>
    <row r="5794" spans="6:13" x14ac:dyDescent="0.25">
      <c r="F5794" t="s">
        <v>6315</v>
      </c>
      <c r="G5794">
        <v>41468</v>
      </c>
      <c r="H5794">
        <v>5162</v>
      </c>
      <c r="I5794" s="25" t="s">
        <v>2023</v>
      </c>
      <c r="J5794" t="s">
        <v>2333</v>
      </c>
      <c r="M5794" s="49"/>
    </row>
    <row r="5795" spans="6:13" x14ac:dyDescent="0.25">
      <c r="F5795" t="s">
        <v>6315</v>
      </c>
      <c r="G5795">
        <v>41466</v>
      </c>
      <c r="H5795">
        <v>5162</v>
      </c>
      <c r="I5795" s="25" t="s">
        <v>2023</v>
      </c>
      <c r="J5795" t="s">
        <v>2333</v>
      </c>
      <c r="M5795" s="49"/>
    </row>
    <row r="5796" spans="6:13" x14ac:dyDescent="0.25">
      <c r="F5796" t="s">
        <v>6316</v>
      </c>
      <c r="G5796">
        <v>23730</v>
      </c>
      <c r="H5796">
        <v>1055</v>
      </c>
      <c r="I5796" s="25" t="s">
        <v>2085</v>
      </c>
      <c r="J5796" t="s">
        <v>2185</v>
      </c>
      <c r="M5796" s="49"/>
    </row>
    <row r="5797" spans="6:13" x14ac:dyDescent="0.25">
      <c r="F5797" t="s">
        <v>6316</v>
      </c>
      <c r="G5797">
        <v>35279</v>
      </c>
      <c r="H5797">
        <v>6534</v>
      </c>
      <c r="I5797" s="25" t="s">
        <v>2046</v>
      </c>
      <c r="J5797" t="s">
        <v>2471</v>
      </c>
      <c r="M5797" s="49"/>
    </row>
    <row r="5798" spans="6:13" x14ac:dyDescent="0.25">
      <c r="F5798" t="s">
        <v>6317</v>
      </c>
      <c r="G5798">
        <v>16845</v>
      </c>
      <c r="H5798">
        <v>12063</v>
      </c>
      <c r="I5798" s="25" t="s">
        <v>2356</v>
      </c>
      <c r="J5798" t="s">
        <v>2181</v>
      </c>
      <c r="M5798" s="49"/>
    </row>
    <row r="5799" spans="6:13" x14ac:dyDescent="0.25">
      <c r="F5799" t="s">
        <v>6317</v>
      </c>
      <c r="G5799">
        <v>16845</v>
      </c>
      <c r="H5799">
        <v>12063</v>
      </c>
      <c r="I5799" s="25" t="s">
        <v>2356</v>
      </c>
      <c r="J5799" t="s">
        <v>2181</v>
      </c>
      <c r="M5799" s="49"/>
    </row>
    <row r="5800" spans="6:13" x14ac:dyDescent="0.25">
      <c r="F5800" t="s">
        <v>6317</v>
      </c>
      <c r="G5800">
        <v>16845</v>
      </c>
      <c r="H5800">
        <v>12068</v>
      </c>
      <c r="I5800" s="25" t="s">
        <v>2356</v>
      </c>
      <c r="J5800" t="s">
        <v>2299</v>
      </c>
      <c r="M5800" s="49"/>
    </row>
    <row r="5801" spans="6:13" x14ac:dyDescent="0.25">
      <c r="F5801" t="s">
        <v>6317</v>
      </c>
      <c r="G5801">
        <v>16845</v>
      </c>
      <c r="H5801">
        <v>12068</v>
      </c>
      <c r="I5801" s="25" t="s">
        <v>2356</v>
      </c>
      <c r="J5801" t="s">
        <v>2299</v>
      </c>
      <c r="M5801" s="49"/>
    </row>
    <row r="5802" spans="6:13" x14ac:dyDescent="0.25">
      <c r="F5802" t="s">
        <v>6318</v>
      </c>
      <c r="G5802">
        <v>53577</v>
      </c>
      <c r="H5802">
        <v>7138</v>
      </c>
      <c r="I5802" s="25" t="s">
        <v>2123</v>
      </c>
      <c r="J5802" t="s">
        <v>2489</v>
      </c>
      <c r="M5802" s="49"/>
    </row>
    <row r="5803" spans="6:13" x14ac:dyDescent="0.25">
      <c r="F5803" t="s">
        <v>6319</v>
      </c>
      <c r="G5803">
        <v>95514</v>
      </c>
      <c r="H5803">
        <v>9374</v>
      </c>
      <c r="I5803" s="25" t="s">
        <v>2050</v>
      </c>
      <c r="J5803" t="s">
        <v>2420</v>
      </c>
      <c r="M5803" s="49"/>
    </row>
    <row r="5804" spans="6:13" x14ac:dyDescent="0.25">
      <c r="F5804" t="s">
        <v>6320</v>
      </c>
      <c r="G5804">
        <v>97845</v>
      </c>
      <c r="H5804">
        <v>9677</v>
      </c>
      <c r="I5804" s="25" t="s">
        <v>2050</v>
      </c>
      <c r="J5804" t="s">
        <v>2527</v>
      </c>
      <c r="M5804" s="49"/>
    </row>
    <row r="5805" spans="6:13" x14ac:dyDescent="0.25">
      <c r="F5805" t="s">
        <v>6321</v>
      </c>
      <c r="G5805">
        <v>93333</v>
      </c>
      <c r="H5805">
        <v>9273</v>
      </c>
      <c r="I5805" s="25" t="s">
        <v>2050</v>
      </c>
      <c r="J5805" t="s">
        <v>2054</v>
      </c>
      <c r="M5805" s="49"/>
    </row>
    <row r="5806" spans="6:13" x14ac:dyDescent="0.25">
      <c r="F5806" t="s">
        <v>2420</v>
      </c>
      <c r="G5806">
        <v>92660</v>
      </c>
      <c r="H5806">
        <v>9374</v>
      </c>
      <c r="I5806" s="25" t="s">
        <v>2050</v>
      </c>
      <c r="J5806" t="s">
        <v>2420</v>
      </c>
      <c r="M5806" s="49"/>
    </row>
    <row r="5807" spans="6:13" x14ac:dyDescent="0.25">
      <c r="F5807" t="s">
        <v>6322</v>
      </c>
      <c r="G5807">
        <v>91413</v>
      </c>
      <c r="H5807">
        <v>9575</v>
      </c>
      <c r="I5807" s="25" t="s">
        <v>2050</v>
      </c>
      <c r="J5807" t="s">
        <v>2749</v>
      </c>
      <c r="M5807" s="49"/>
    </row>
    <row r="5808" spans="6:13" x14ac:dyDescent="0.25">
      <c r="F5808" t="s">
        <v>6323</v>
      </c>
      <c r="G5808">
        <v>31535</v>
      </c>
      <c r="H5808">
        <v>3241</v>
      </c>
      <c r="I5808" s="25" t="s">
        <v>2074</v>
      </c>
      <c r="J5808" t="s">
        <v>2321</v>
      </c>
      <c r="M5808" s="49"/>
    </row>
    <row r="5809" spans="6:13" x14ac:dyDescent="0.25">
      <c r="F5809" t="s">
        <v>6324</v>
      </c>
      <c r="G5809">
        <v>67433</v>
      </c>
      <c r="H5809">
        <v>7316</v>
      </c>
      <c r="I5809" s="25" t="s">
        <v>2123</v>
      </c>
      <c r="J5809" t="s">
        <v>6325</v>
      </c>
      <c r="M5809" s="49"/>
    </row>
    <row r="5810" spans="6:13" x14ac:dyDescent="0.25">
      <c r="F5810" t="s">
        <v>6324</v>
      </c>
      <c r="G5810">
        <v>67435</v>
      </c>
      <c r="H5810">
        <v>7316</v>
      </c>
      <c r="I5810" s="25" t="s">
        <v>2123</v>
      </c>
      <c r="J5810" t="s">
        <v>6325</v>
      </c>
      <c r="M5810" s="49"/>
    </row>
    <row r="5811" spans="6:13" x14ac:dyDescent="0.25">
      <c r="F5811" t="s">
        <v>6324</v>
      </c>
      <c r="G5811">
        <v>67434</v>
      </c>
      <c r="H5811">
        <v>7316</v>
      </c>
      <c r="I5811" s="25" t="s">
        <v>2123</v>
      </c>
      <c r="J5811" t="s">
        <v>6325</v>
      </c>
      <c r="M5811" s="49"/>
    </row>
    <row r="5812" spans="6:13" x14ac:dyDescent="0.25">
      <c r="F5812" t="s">
        <v>6324</v>
      </c>
      <c r="G5812">
        <v>67435</v>
      </c>
      <c r="H5812">
        <v>7332</v>
      </c>
      <c r="I5812" s="25" t="s">
        <v>2123</v>
      </c>
      <c r="J5812" t="s">
        <v>2440</v>
      </c>
      <c r="M5812" s="49"/>
    </row>
    <row r="5813" spans="6:13" x14ac:dyDescent="0.25">
      <c r="F5813" t="s">
        <v>6326</v>
      </c>
      <c r="G5813">
        <v>96465</v>
      </c>
      <c r="H5813">
        <v>9473</v>
      </c>
      <c r="I5813" s="25" t="s">
        <v>2050</v>
      </c>
      <c r="J5813" t="s">
        <v>2177</v>
      </c>
      <c r="M5813" s="49"/>
    </row>
    <row r="5814" spans="6:13" x14ac:dyDescent="0.25">
      <c r="F5814" t="s">
        <v>6327</v>
      </c>
      <c r="G5814">
        <v>1844</v>
      </c>
      <c r="H5814">
        <v>14628</v>
      </c>
      <c r="I5814" s="25" t="s">
        <v>2135</v>
      </c>
      <c r="J5814" t="s">
        <v>2347</v>
      </c>
      <c r="M5814" s="49"/>
    </row>
    <row r="5815" spans="6:13" x14ac:dyDescent="0.25">
      <c r="F5815" t="s">
        <v>6328</v>
      </c>
      <c r="G5815">
        <v>7806</v>
      </c>
      <c r="H5815">
        <v>16075</v>
      </c>
      <c r="I5815" s="25" t="s">
        <v>2384</v>
      </c>
      <c r="J5815" t="s">
        <v>4221</v>
      </c>
      <c r="M5815" s="49"/>
    </row>
    <row r="5816" spans="6:13" x14ac:dyDescent="0.25">
      <c r="F5816" t="s">
        <v>6329</v>
      </c>
      <c r="G5816">
        <v>19306</v>
      </c>
      <c r="H5816">
        <v>13076</v>
      </c>
      <c r="I5816" s="25" t="s">
        <v>2191</v>
      </c>
      <c r="J5816" t="s">
        <v>2234</v>
      </c>
      <c r="M5816" s="49"/>
    </row>
    <row r="5817" spans="6:13" x14ac:dyDescent="0.25">
      <c r="F5817" t="s">
        <v>6330</v>
      </c>
      <c r="G5817">
        <v>72149</v>
      </c>
      <c r="H5817">
        <v>8416</v>
      </c>
      <c r="I5817" s="25" t="s">
        <v>2018</v>
      </c>
      <c r="J5817" t="s">
        <v>2464</v>
      </c>
      <c r="M5817" s="49"/>
    </row>
    <row r="5818" spans="6:13" x14ac:dyDescent="0.25">
      <c r="F5818" t="s">
        <v>6331</v>
      </c>
      <c r="G5818">
        <v>17235</v>
      </c>
      <c r="H5818">
        <v>13071</v>
      </c>
      <c r="I5818" s="25" t="s">
        <v>2191</v>
      </c>
      <c r="J5818" t="s">
        <v>2091</v>
      </c>
      <c r="M5818" s="49"/>
    </row>
    <row r="5819" spans="6:13" x14ac:dyDescent="0.25">
      <c r="F5819" t="s">
        <v>6332</v>
      </c>
      <c r="G5819">
        <v>93073</v>
      </c>
      <c r="H5819">
        <v>9375</v>
      </c>
      <c r="I5819" s="25" t="s">
        <v>2050</v>
      </c>
      <c r="J5819" t="s">
        <v>2365</v>
      </c>
      <c r="M5819" s="49"/>
    </row>
    <row r="5820" spans="6:13" x14ac:dyDescent="0.25">
      <c r="F5820" t="s">
        <v>6333</v>
      </c>
      <c r="G5820">
        <v>15320</v>
      </c>
      <c r="H5820">
        <v>12064</v>
      </c>
      <c r="I5820" s="25" t="s">
        <v>2356</v>
      </c>
      <c r="J5820" t="s">
        <v>2243</v>
      </c>
      <c r="M5820" s="49"/>
    </row>
    <row r="5821" spans="6:13" x14ac:dyDescent="0.25">
      <c r="F5821" t="s">
        <v>2418</v>
      </c>
      <c r="G5821">
        <v>89233</v>
      </c>
      <c r="H5821">
        <v>9775</v>
      </c>
      <c r="I5821" s="25" t="s">
        <v>2050</v>
      </c>
      <c r="J5821" t="s">
        <v>2418</v>
      </c>
      <c r="M5821" s="49"/>
    </row>
    <row r="5822" spans="6:13" x14ac:dyDescent="0.25">
      <c r="F5822" t="s">
        <v>2418</v>
      </c>
      <c r="G5822">
        <v>89231</v>
      </c>
      <c r="H5822">
        <v>9775</v>
      </c>
      <c r="I5822" s="25" t="s">
        <v>2050</v>
      </c>
      <c r="J5822" t="s">
        <v>2418</v>
      </c>
      <c r="M5822" s="49"/>
    </row>
    <row r="5823" spans="6:13" x14ac:dyDescent="0.25">
      <c r="F5823" t="s">
        <v>6334</v>
      </c>
      <c r="G5823">
        <v>75389</v>
      </c>
      <c r="H5823">
        <v>8235</v>
      </c>
      <c r="I5823" s="25" t="s">
        <v>2018</v>
      </c>
      <c r="J5823" t="s">
        <v>2422</v>
      </c>
      <c r="M5823" s="49"/>
    </row>
    <row r="5824" spans="6:13" x14ac:dyDescent="0.25">
      <c r="F5824" t="s">
        <v>6335</v>
      </c>
      <c r="G5824">
        <v>27499</v>
      </c>
      <c r="H5824">
        <v>2000</v>
      </c>
      <c r="I5824" s="25" t="s">
        <v>4611</v>
      </c>
      <c r="J5824" t="s">
        <v>2168</v>
      </c>
      <c r="M5824" s="49"/>
    </row>
    <row r="5825" spans="6:13" x14ac:dyDescent="0.25">
      <c r="F5825" t="s">
        <v>6335</v>
      </c>
      <c r="G5825">
        <v>27499</v>
      </c>
      <c r="H5825">
        <v>2000</v>
      </c>
      <c r="I5825" s="25" t="s">
        <v>4611</v>
      </c>
      <c r="J5825" t="s">
        <v>2168</v>
      </c>
      <c r="M5825" s="49"/>
    </row>
    <row r="5826" spans="6:13" x14ac:dyDescent="0.25">
      <c r="F5826" t="s">
        <v>2489</v>
      </c>
      <c r="G5826">
        <v>56564</v>
      </c>
      <c r="H5826">
        <v>7138</v>
      </c>
      <c r="I5826" s="25" t="s">
        <v>2123</v>
      </c>
      <c r="J5826" t="s">
        <v>2489</v>
      </c>
      <c r="M5826" s="49"/>
    </row>
    <row r="5827" spans="6:13" x14ac:dyDescent="0.25">
      <c r="F5827" t="s">
        <v>2489</v>
      </c>
      <c r="G5827">
        <v>56566</v>
      </c>
      <c r="H5827">
        <v>7138</v>
      </c>
      <c r="I5827" s="25" t="s">
        <v>2123</v>
      </c>
      <c r="J5827" t="s">
        <v>2489</v>
      </c>
      <c r="M5827" s="49"/>
    </row>
    <row r="5828" spans="6:13" x14ac:dyDescent="0.25">
      <c r="F5828" t="s">
        <v>2489</v>
      </c>
      <c r="G5828">
        <v>56567</v>
      </c>
      <c r="H5828">
        <v>7138</v>
      </c>
      <c r="I5828" s="25" t="s">
        <v>2123</v>
      </c>
      <c r="J5828" t="s">
        <v>2489</v>
      </c>
      <c r="M5828" s="49"/>
    </row>
    <row r="5829" spans="6:13" x14ac:dyDescent="0.25">
      <c r="F5829" t="s">
        <v>6336</v>
      </c>
      <c r="G5829">
        <v>15898</v>
      </c>
      <c r="H5829">
        <v>12067</v>
      </c>
      <c r="I5829" s="25" t="s">
        <v>2356</v>
      </c>
      <c r="J5829" t="s">
        <v>2711</v>
      </c>
      <c r="M5829" s="49"/>
    </row>
    <row r="5830" spans="6:13" x14ac:dyDescent="0.25">
      <c r="F5830" t="s">
        <v>6337</v>
      </c>
      <c r="G5830">
        <v>54309</v>
      </c>
      <c r="H5830">
        <v>7235</v>
      </c>
      <c r="I5830" s="25" t="s">
        <v>2123</v>
      </c>
      <c r="J5830" t="s">
        <v>2395</v>
      </c>
      <c r="M5830" s="49"/>
    </row>
    <row r="5831" spans="6:13" x14ac:dyDescent="0.25">
      <c r="F5831" t="s">
        <v>6338</v>
      </c>
      <c r="G5831">
        <v>56645</v>
      </c>
      <c r="H5831">
        <v>7137</v>
      </c>
      <c r="I5831" s="25" t="s">
        <v>2123</v>
      </c>
      <c r="J5831" t="s">
        <v>2246</v>
      </c>
      <c r="M5831" s="49"/>
    </row>
    <row r="5832" spans="6:13" x14ac:dyDescent="0.25">
      <c r="F5832" t="s">
        <v>6339</v>
      </c>
      <c r="G5832">
        <v>63667</v>
      </c>
      <c r="H5832">
        <v>6440</v>
      </c>
      <c r="I5832" s="25" t="s">
        <v>2046</v>
      </c>
      <c r="J5832" t="s">
        <v>2415</v>
      </c>
      <c r="M5832" s="49"/>
    </row>
    <row r="5833" spans="6:13" x14ac:dyDescent="0.25">
      <c r="F5833" t="s">
        <v>6340</v>
      </c>
      <c r="G5833">
        <v>61194</v>
      </c>
      <c r="H5833">
        <v>6440</v>
      </c>
      <c r="I5833" s="25" t="s">
        <v>2046</v>
      </c>
      <c r="J5833" t="s">
        <v>2415</v>
      </c>
      <c r="M5833" s="49"/>
    </row>
    <row r="5834" spans="6:13" x14ac:dyDescent="0.25">
      <c r="F5834" t="s">
        <v>6341</v>
      </c>
      <c r="G5834">
        <v>61130</v>
      </c>
      <c r="H5834">
        <v>6435</v>
      </c>
      <c r="I5834" s="25" t="s">
        <v>2046</v>
      </c>
      <c r="J5834" t="s">
        <v>2703</v>
      </c>
      <c r="M5834" s="49"/>
    </row>
    <row r="5835" spans="6:13" x14ac:dyDescent="0.25">
      <c r="F5835" t="s">
        <v>6342</v>
      </c>
      <c r="G5835">
        <v>52385</v>
      </c>
      <c r="H5835">
        <v>5358</v>
      </c>
      <c r="I5835" s="25" t="s">
        <v>2023</v>
      </c>
      <c r="J5835" t="s">
        <v>2106</v>
      </c>
      <c r="M5835" s="49"/>
    </row>
    <row r="5836" spans="6:13" x14ac:dyDescent="0.25">
      <c r="F5836" t="s">
        <v>6343</v>
      </c>
      <c r="G5836">
        <v>25899</v>
      </c>
      <c r="H5836">
        <v>1054</v>
      </c>
      <c r="I5836" s="25" t="s">
        <v>2085</v>
      </c>
      <c r="J5836" t="s">
        <v>2195</v>
      </c>
      <c r="M5836" s="49"/>
    </row>
    <row r="5837" spans="6:13" x14ac:dyDescent="0.25">
      <c r="F5837" t="s">
        <v>6344</v>
      </c>
      <c r="G5837">
        <v>34305</v>
      </c>
      <c r="H5837">
        <v>6634</v>
      </c>
      <c r="I5837" s="25" t="s">
        <v>2046</v>
      </c>
      <c r="J5837" t="s">
        <v>2360</v>
      </c>
      <c r="M5837" s="49"/>
    </row>
    <row r="5838" spans="6:13" x14ac:dyDescent="0.25">
      <c r="F5838" t="s">
        <v>6345</v>
      </c>
      <c r="G5838">
        <v>84100</v>
      </c>
      <c r="H5838">
        <v>9274</v>
      </c>
      <c r="I5838" s="25" t="s">
        <v>2050</v>
      </c>
      <c r="J5838" t="s">
        <v>2132</v>
      </c>
      <c r="M5838" s="49"/>
    </row>
    <row r="5839" spans="6:13" x14ac:dyDescent="0.25">
      <c r="F5839" t="s">
        <v>6346</v>
      </c>
      <c r="G5839">
        <v>94557</v>
      </c>
      <c r="H5839">
        <v>9271</v>
      </c>
      <c r="I5839" s="25" t="s">
        <v>2050</v>
      </c>
      <c r="J5839" t="s">
        <v>2172</v>
      </c>
      <c r="M5839" s="49"/>
    </row>
    <row r="5840" spans="6:13" x14ac:dyDescent="0.25">
      <c r="F5840" t="s">
        <v>6347</v>
      </c>
      <c r="G5840">
        <v>36272</v>
      </c>
      <c r="H5840">
        <v>6632</v>
      </c>
      <c r="I5840" s="25" t="s">
        <v>2046</v>
      </c>
      <c r="J5840" t="s">
        <v>2303</v>
      </c>
      <c r="M5840" s="49"/>
    </row>
    <row r="5841" spans="6:13" x14ac:dyDescent="0.25">
      <c r="F5841" t="s">
        <v>6348</v>
      </c>
      <c r="G5841">
        <v>56589</v>
      </c>
      <c r="H5841">
        <v>7138</v>
      </c>
      <c r="I5841" s="25" t="s">
        <v>2123</v>
      </c>
      <c r="J5841" t="s">
        <v>2489</v>
      </c>
      <c r="M5841" s="49"/>
    </row>
    <row r="5842" spans="6:13" x14ac:dyDescent="0.25">
      <c r="F5842" t="s">
        <v>6349</v>
      </c>
      <c r="G5842">
        <v>55432</v>
      </c>
      <c r="H5842">
        <v>7140</v>
      </c>
      <c r="I5842" s="25" t="s">
        <v>2123</v>
      </c>
      <c r="J5842" t="s">
        <v>2329</v>
      </c>
      <c r="M5842" s="49"/>
    </row>
    <row r="5843" spans="6:13" x14ac:dyDescent="0.25">
      <c r="F5843" t="s">
        <v>6350</v>
      </c>
      <c r="G5843">
        <v>61138</v>
      </c>
      <c r="H5843">
        <v>6435</v>
      </c>
      <c r="I5843" s="25" t="s">
        <v>2046</v>
      </c>
      <c r="J5843" t="s">
        <v>2703</v>
      </c>
      <c r="M5843" s="49"/>
    </row>
    <row r="5844" spans="6:13" x14ac:dyDescent="0.25">
      <c r="F5844" t="s">
        <v>6351</v>
      </c>
      <c r="G5844">
        <v>78078</v>
      </c>
      <c r="H5844">
        <v>8326</v>
      </c>
      <c r="I5844" s="25" t="s">
        <v>2018</v>
      </c>
      <c r="J5844" t="s">
        <v>2638</v>
      </c>
      <c r="M5844" s="49"/>
    </row>
    <row r="5845" spans="6:13" x14ac:dyDescent="0.25">
      <c r="F5845" t="s">
        <v>6352</v>
      </c>
      <c r="G5845">
        <v>57572</v>
      </c>
      <c r="H5845">
        <v>7132</v>
      </c>
      <c r="I5845" s="25" t="s">
        <v>2123</v>
      </c>
      <c r="J5845" t="s">
        <v>2401</v>
      </c>
      <c r="M5845" s="49"/>
    </row>
    <row r="5846" spans="6:13" x14ac:dyDescent="0.25">
      <c r="F5846" t="s">
        <v>6353</v>
      </c>
      <c r="G5846">
        <v>9243</v>
      </c>
      <c r="H5846">
        <v>14524</v>
      </c>
      <c r="I5846" s="25" t="s">
        <v>2135</v>
      </c>
      <c r="J5846" t="s">
        <v>3424</v>
      </c>
      <c r="M5846" s="49"/>
    </row>
    <row r="5847" spans="6:13" x14ac:dyDescent="0.25">
      <c r="F5847" t="s">
        <v>6354</v>
      </c>
      <c r="G5847">
        <v>96489</v>
      </c>
      <c r="H5847">
        <v>9473</v>
      </c>
      <c r="I5847" s="25" t="s">
        <v>2050</v>
      </c>
      <c r="J5847" t="s">
        <v>2177</v>
      </c>
      <c r="M5847" s="49"/>
    </row>
    <row r="5848" spans="6:13" x14ac:dyDescent="0.25">
      <c r="F5848" t="s">
        <v>6355</v>
      </c>
      <c r="G5848">
        <v>53859</v>
      </c>
      <c r="H5848">
        <v>5382</v>
      </c>
      <c r="I5848" s="25" t="s">
        <v>2023</v>
      </c>
      <c r="J5848" t="s">
        <v>2298</v>
      </c>
      <c r="M5848" s="49"/>
    </row>
    <row r="5849" spans="6:13" x14ac:dyDescent="0.25">
      <c r="F5849" t="s">
        <v>6356</v>
      </c>
      <c r="G5849">
        <v>67700</v>
      </c>
      <c r="H5849">
        <v>7335</v>
      </c>
      <c r="I5849" s="25" t="s">
        <v>2123</v>
      </c>
      <c r="J5849" t="s">
        <v>2843</v>
      </c>
      <c r="M5849" s="49"/>
    </row>
    <row r="5850" spans="6:13" x14ac:dyDescent="0.25">
      <c r="F5850" t="s">
        <v>6357</v>
      </c>
      <c r="G5850">
        <v>67150</v>
      </c>
      <c r="H5850">
        <v>7332</v>
      </c>
      <c r="I5850" s="25" t="s">
        <v>2123</v>
      </c>
      <c r="J5850" t="s">
        <v>2440</v>
      </c>
      <c r="M5850" s="49"/>
    </row>
    <row r="5851" spans="6:13" x14ac:dyDescent="0.25">
      <c r="F5851" t="s">
        <v>6358</v>
      </c>
      <c r="G5851">
        <v>41372</v>
      </c>
      <c r="H5851">
        <v>5166</v>
      </c>
      <c r="I5851" s="25" t="s">
        <v>2023</v>
      </c>
      <c r="J5851" t="s">
        <v>2412</v>
      </c>
      <c r="M5851" s="49"/>
    </row>
    <row r="5852" spans="6:13" x14ac:dyDescent="0.25">
      <c r="F5852" t="s">
        <v>6359</v>
      </c>
      <c r="G5852">
        <v>92545</v>
      </c>
      <c r="H5852">
        <v>9376</v>
      </c>
      <c r="I5852" s="25" t="s">
        <v>2050</v>
      </c>
      <c r="J5852" t="s">
        <v>2390</v>
      </c>
      <c r="M5852" s="49"/>
    </row>
    <row r="5853" spans="6:13" x14ac:dyDescent="0.25">
      <c r="F5853" t="s">
        <v>6360</v>
      </c>
      <c r="G5853">
        <v>63843</v>
      </c>
      <c r="H5853">
        <v>9676</v>
      </c>
      <c r="I5853" s="25" t="s">
        <v>2050</v>
      </c>
      <c r="J5853" t="s">
        <v>2381</v>
      </c>
      <c r="M5853" s="49"/>
    </row>
    <row r="5854" spans="6:13" x14ac:dyDescent="0.25">
      <c r="F5854" t="s">
        <v>6361</v>
      </c>
      <c r="G5854">
        <v>65629</v>
      </c>
      <c r="H5854">
        <v>7141</v>
      </c>
      <c r="I5854" s="25" t="s">
        <v>2123</v>
      </c>
      <c r="J5854" t="s">
        <v>2388</v>
      </c>
      <c r="M5854" s="49"/>
    </row>
    <row r="5855" spans="6:13" x14ac:dyDescent="0.25">
      <c r="F5855" t="s">
        <v>6362</v>
      </c>
      <c r="G5855">
        <v>74676</v>
      </c>
      <c r="H5855">
        <v>8126</v>
      </c>
      <c r="I5855" s="25" t="s">
        <v>2018</v>
      </c>
      <c r="J5855" t="s">
        <v>3280</v>
      </c>
      <c r="M5855" s="49"/>
    </row>
    <row r="5856" spans="6:13" x14ac:dyDescent="0.25">
      <c r="F5856" t="s">
        <v>6363</v>
      </c>
      <c r="G5856">
        <v>65527</v>
      </c>
      <c r="H5856">
        <v>6439</v>
      </c>
      <c r="I5856" s="25" t="s">
        <v>2046</v>
      </c>
      <c r="J5856" t="s">
        <v>2047</v>
      </c>
      <c r="M5856" s="49"/>
    </row>
    <row r="5857" spans="6:13" x14ac:dyDescent="0.25">
      <c r="F5857" t="s">
        <v>6364</v>
      </c>
      <c r="G5857">
        <v>55268</v>
      </c>
      <c r="H5857">
        <v>7339</v>
      </c>
      <c r="I5857" s="25" t="s">
        <v>2123</v>
      </c>
      <c r="J5857" t="s">
        <v>2238</v>
      </c>
      <c r="M5857" s="49"/>
    </row>
    <row r="5858" spans="6:13" x14ac:dyDescent="0.25">
      <c r="F5858" t="s">
        <v>6365</v>
      </c>
      <c r="G5858">
        <v>37355</v>
      </c>
      <c r="H5858">
        <v>16061</v>
      </c>
      <c r="I5858" s="25" t="s">
        <v>2384</v>
      </c>
      <c r="J5858" t="s">
        <v>2109</v>
      </c>
      <c r="M5858" s="49"/>
    </row>
    <row r="5859" spans="6:13" x14ac:dyDescent="0.25">
      <c r="F5859" t="s">
        <v>6366</v>
      </c>
      <c r="G5859">
        <v>87767</v>
      </c>
      <c r="H5859">
        <v>9778</v>
      </c>
      <c r="I5859" s="25" t="s">
        <v>2050</v>
      </c>
      <c r="J5859" t="s">
        <v>2460</v>
      </c>
      <c r="M5859" s="49"/>
    </row>
    <row r="5860" spans="6:13" x14ac:dyDescent="0.25">
      <c r="F5860" t="s">
        <v>6367</v>
      </c>
      <c r="G5860">
        <v>86694</v>
      </c>
      <c r="H5860">
        <v>9779</v>
      </c>
      <c r="I5860" s="25" t="s">
        <v>2050</v>
      </c>
      <c r="J5860" t="s">
        <v>2280</v>
      </c>
      <c r="M5860" s="49"/>
    </row>
    <row r="5861" spans="6:13" x14ac:dyDescent="0.25">
      <c r="F5861" t="s">
        <v>6368</v>
      </c>
      <c r="G5861">
        <v>97996</v>
      </c>
      <c r="H5861">
        <v>8128</v>
      </c>
      <c r="I5861" s="25" t="s">
        <v>2018</v>
      </c>
      <c r="J5861" t="s">
        <v>2175</v>
      </c>
      <c r="M5861" s="49"/>
    </row>
    <row r="5862" spans="6:13" x14ac:dyDescent="0.25">
      <c r="F5862" t="s">
        <v>6369</v>
      </c>
      <c r="G5862">
        <v>89168</v>
      </c>
      <c r="H5862">
        <v>8135</v>
      </c>
      <c r="I5862" s="25" t="s">
        <v>2018</v>
      </c>
      <c r="J5862" t="s">
        <v>2816</v>
      </c>
      <c r="M5862" s="49"/>
    </row>
    <row r="5863" spans="6:13" x14ac:dyDescent="0.25">
      <c r="F5863" t="s">
        <v>6369</v>
      </c>
      <c r="G5863">
        <v>89168</v>
      </c>
      <c r="H5863">
        <v>8135</v>
      </c>
      <c r="I5863" s="25" t="s">
        <v>2018</v>
      </c>
      <c r="J5863" t="s">
        <v>2816</v>
      </c>
      <c r="M5863" s="49"/>
    </row>
    <row r="5864" spans="6:13" x14ac:dyDescent="0.25">
      <c r="F5864" t="s">
        <v>6370</v>
      </c>
      <c r="G5864">
        <v>84183</v>
      </c>
      <c r="H5864">
        <v>9279</v>
      </c>
      <c r="I5864" s="25" t="s">
        <v>2050</v>
      </c>
      <c r="J5864" t="s">
        <v>3574</v>
      </c>
      <c r="M5864" s="49"/>
    </row>
    <row r="5865" spans="6:13" x14ac:dyDescent="0.25">
      <c r="F5865" t="s">
        <v>6371</v>
      </c>
      <c r="G5865">
        <v>97464</v>
      </c>
      <c r="H5865">
        <v>9678</v>
      </c>
      <c r="I5865" s="25" t="s">
        <v>2050</v>
      </c>
      <c r="J5865" t="s">
        <v>2918</v>
      </c>
      <c r="M5865" s="49"/>
    </row>
    <row r="5866" spans="6:13" x14ac:dyDescent="0.25">
      <c r="F5866" t="s">
        <v>6372</v>
      </c>
      <c r="G5866">
        <v>9577</v>
      </c>
      <c r="H5866">
        <v>14522</v>
      </c>
      <c r="I5866" s="25" t="s">
        <v>2135</v>
      </c>
      <c r="J5866" t="s">
        <v>2100</v>
      </c>
      <c r="M5866" s="49"/>
    </row>
    <row r="5867" spans="6:13" x14ac:dyDescent="0.25">
      <c r="F5867" t="s">
        <v>6373</v>
      </c>
      <c r="G5867">
        <v>94559</v>
      </c>
      <c r="H5867">
        <v>9278</v>
      </c>
      <c r="I5867" s="25" t="s">
        <v>2050</v>
      </c>
      <c r="J5867" t="s">
        <v>2170</v>
      </c>
      <c r="M5867" s="49"/>
    </row>
    <row r="5868" spans="6:13" x14ac:dyDescent="0.25">
      <c r="F5868" t="s">
        <v>6374</v>
      </c>
      <c r="G5868">
        <v>31712</v>
      </c>
      <c r="H5868">
        <v>3257</v>
      </c>
      <c r="I5868" s="25" t="s">
        <v>2074</v>
      </c>
      <c r="J5868" t="s">
        <v>2167</v>
      </c>
      <c r="M5868" s="49"/>
    </row>
    <row r="5869" spans="6:13" x14ac:dyDescent="0.25">
      <c r="F5869" t="s">
        <v>6375</v>
      </c>
      <c r="G5869">
        <v>55758</v>
      </c>
      <c r="H5869">
        <v>7133</v>
      </c>
      <c r="I5869" s="25" t="s">
        <v>2123</v>
      </c>
      <c r="J5869" t="s">
        <v>2037</v>
      </c>
      <c r="M5869" s="49"/>
    </row>
    <row r="5870" spans="6:13" x14ac:dyDescent="0.25">
      <c r="F5870" t="s">
        <v>6375</v>
      </c>
      <c r="G5870">
        <v>55758</v>
      </c>
      <c r="H5870">
        <v>7133</v>
      </c>
      <c r="I5870" s="25" t="s">
        <v>2123</v>
      </c>
      <c r="J5870" t="s">
        <v>2037</v>
      </c>
      <c r="M5870" s="49"/>
    </row>
    <row r="5871" spans="6:13" x14ac:dyDescent="0.25">
      <c r="F5871" t="s">
        <v>6375</v>
      </c>
      <c r="G5871">
        <v>55758</v>
      </c>
      <c r="H5871">
        <v>7134</v>
      </c>
      <c r="I5871" s="25" t="s">
        <v>2123</v>
      </c>
      <c r="J5871" t="s">
        <v>2048</v>
      </c>
      <c r="M5871" s="49"/>
    </row>
    <row r="5872" spans="6:13" x14ac:dyDescent="0.25">
      <c r="F5872" t="s">
        <v>6375</v>
      </c>
      <c r="G5872">
        <v>55758</v>
      </c>
      <c r="H5872">
        <v>7134</v>
      </c>
      <c r="I5872" s="25" t="s">
        <v>2123</v>
      </c>
      <c r="J5872" t="s">
        <v>2048</v>
      </c>
      <c r="M5872" s="49"/>
    </row>
    <row r="5873" spans="6:13" x14ac:dyDescent="0.25">
      <c r="F5873" t="s">
        <v>6376</v>
      </c>
      <c r="G5873">
        <v>9399</v>
      </c>
      <c r="H5873">
        <v>14521</v>
      </c>
      <c r="I5873" s="25" t="s">
        <v>2135</v>
      </c>
      <c r="J5873" t="s">
        <v>2032</v>
      </c>
      <c r="M5873" s="49"/>
    </row>
    <row r="5874" spans="6:13" x14ac:dyDescent="0.25">
      <c r="F5874" t="s">
        <v>6377</v>
      </c>
      <c r="G5874">
        <v>52382</v>
      </c>
      <c r="H5874">
        <v>5358</v>
      </c>
      <c r="I5874" s="25" t="s">
        <v>2023</v>
      </c>
      <c r="J5874" t="s">
        <v>2106</v>
      </c>
      <c r="M5874" s="49"/>
    </row>
    <row r="5875" spans="6:13" x14ac:dyDescent="0.25">
      <c r="F5875" t="s">
        <v>6378</v>
      </c>
      <c r="G5875">
        <v>56651</v>
      </c>
      <c r="H5875">
        <v>7131</v>
      </c>
      <c r="I5875" s="25" t="s">
        <v>2123</v>
      </c>
      <c r="J5875" t="s">
        <v>2022</v>
      </c>
      <c r="M5875" s="49"/>
    </row>
    <row r="5876" spans="6:13" x14ac:dyDescent="0.25">
      <c r="F5876" t="s">
        <v>6379</v>
      </c>
      <c r="G5876">
        <v>75223</v>
      </c>
      <c r="H5876">
        <v>8236</v>
      </c>
      <c r="I5876" s="25" t="s">
        <v>2018</v>
      </c>
      <c r="J5876" t="s">
        <v>3087</v>
      </c>
      <c r="M5876" s="49"/>
    </row>
    <row r="5877" spans="6:13" x14ac:dyDescent="0.25">
      <c r="F5877" t="s">
        <v>6380</v>
      </c>
      <c r="G5877">
        <v>33039</v>
      </c>
      <c r="H5877">
        <v>5762</v>
      </c>
      <c r="I5877" s="25" t="s">
        <v>2023</v>
      </c>
      <c r="J5877" t="s">
        <v>2203</v>
      </c>
      <c r="M5877" s="49"/>
    </row>
    <row r="5878" spans="6:13" x14ac:dyDescent="0.25">
      <c r="F5878" t="s">
        <v>6381</v>
      </c>
      <c r="G5878">
        <v>14823</v>
      </c>
      <c r="H5878">
        <v>12069</v>
      </c>
      <c r="I5878" s="25" t="s">
        <v>2356</v>
      </c>
      <c r="J5878" t="s">
        <v>2857</v>
      </c>
      <c r="M5878" s="49"/>
    </row>
    <row r="5879" spans="6:13" x14ac:dyDescent="0.25">
      <c r="F5879" t="s">
        <v>6382</v>
      </c>
      <c r="G5879">
        <v>6429</v>
      </c>
      <c r="H5879">
        <v>15089</v>
      </c>
      <c r="I5879" s="25" t="s">
        <v>2241</v>
      </c>
      <c r="J5879" t="s">
        <v>2351</v>
      </c>
      <c r="M5879" s="49"/>
    </row>
    <row r="5880" spans="6:13" x14ac:dyDescent="0.25">
      <c r="F5880" t="s">
        <v>6382</v>
      </c>
      <c r="G5880">
        <v>6429</v>
      </c>
      <c r="H5880">
        <v>15089</v>
      </c>
      <c r="I5880" s="25" t="s">
        <v>2241</v>
      </c>
      <c r="J5880" t="s">
        <v>2351</v>
      </c>
      <c r="M5880" s="49"/>
    </row>
    <row r="5881" spans="6:13" x14ac:dyDescent="0.25">
      <c r="F5881" t="s">
        <v>6383</v>
      </c>
      <c r="G5881">
        <v>31582</v>
      </c>
      <c r="H5881">
        <v>3256</v>
      </c>
      <c r="I5881" s="25" t="s">
        <v>2074</v>
      </c>
      <c r="J5881" t="s">
        <v>2271</v>
      </c>
      <c r="M5881" s="49"/>
    </row>
    <row r="5882" spans="6:13" x14ac:dyDescent="0.25">
      <c r="F5882" t="s">
        <v>6384</v>
      </c>
      <c r="G5882">
        <v>29336</v>
      </c>
      <c r="H5882">
        <v>3351</v>
      </c>
      <c r="I5882" s="25" t="s">
        <v>2074</v>
      </c>
      <c r="J5882" t="s">
        <v>2096</v>
      </c>
      <c r="M5882" s="49"/>
    </row>
    <row r="5883" spans="6:13" x14ac:dyDescent="0.25">
      <c r="F5883" t="s">
        <v>6385</v>
      </c>
      <c r="G5883">
        <v>31688</v>
      </c>
      <c r="H5883">
        <v>3257</v>
      </c>
      <c r="I5883" s="25" t="s">
        <v>2074</v>
      </c>
      <c r="J5883" t="s">
        <v>2167</v>
      </c>
      <c r="M5883" s="49"/>
    </row>
    <row r="5884" spans="6:13" x14ac:dyDescent="0.25">
      <c r="F5884" t="s">
        <v>6386</v>
      </c>
      <c r="G5884">
        <v>18442</v>
      </c>
      <c r="H5884">
        <v>13073</v>
      </c>
      <c r="I5884" s="25" t="s">
        <v>2191</v>
      </c>
      <c r="J5884" t="s">
        <v>2192</v>
      </c>
      <c r="M5884" s="49"/>
    </row>
    <row r="5885" spans="6:13" x14ac:dyDescent="0.25">
      <c r="F5885" t="s">
        <v>6387</v>
      </c>
      <c r="G5885">
        <v>54518</v>
      </c>
      <c r="H5885">
        <v>7231</v>
      </c>
      <c r="I5885" s="25" t="s">
        <v>2123</v>
      </c>
      <c r="J5885" t="s">
        <v>2043</v>
      </c>
      <c r="M5885" s="49"/>
    </row>
    <row r="5886" spans="6:13" x14ac:dyDescent="0.25">
      <c r="F5886" t="s">
        <v>6388</v>
      </c>
      <c r="G5886">
        <v>55283</v>
      </c>
      <c r="H5886">
        <v>7339</v>
      </c>
      <c r="I5886" s="25" t="s">
        <v>2123</v>
      </c>
      <c r="J5886" t="s">
        <v>2238</v>
      </c>
      <c r="M5886" s="49"/>
    </row>
    <row r="5887" spans="6:13" x14ac:dyDescent="0.25">
      <c r="F5887" t="s">
        <v>6389</v>
      </c>
      <c r="G5887">
        <v>2906</v>
      </c>
      <c r="H5887">
        <v>14626</v>
      </c>
      <c r="I5887" s="25" t="s">
        <v>2135</v>
      </c>
      <c r="J5887" t="s">
        <v>2150</v>
      </c>
      <c r="M5887" s="49"/>
    </row>
    <row r="5888" spans="6:13" x14ac:dyDescent="0.25">
      <c r="F5888" t="s">
        <v>6390</v>
      </c>
      <c r="G5888">
        <v>34329</v>
      </c>
      <c r="H5888">
        <v>6633</v>
      </c>
      <c r="I5888" s="25" t="s">
        <v>2046</v>
      </c>
      <c r="J5888" t="s">
        <v>2162</v>
      </c>
      <c r="M5888" s="49"/>
    </row>
    <row r="5889" spans="6:13" x14ac:dyDescent="0.25">
      <c r="F5889" t="s">
        <v>6391</v>
      </c>
      <c r="G5889">
        <v>34266</v>
      </c>
      <c r="H5889">
        <v>6633</v>
      </c>
      <c r="I5889" s="25" t="s">
        <v>2046</v>
      </c>
      <c r="J5889" t="s">
        <v>2162</v>
      </c>
      <c r="M5889" s="49"/>
    </row>
    <row r="5890" spans="6:13" x14ac:dyDescent="0.25">
      <c r="F5890" t="s">
        <v>6392</v>
      </c>
      <c r="G5890">
        <v>57645</v>
      </c>
      <c r="H5890">
        <v>7143</v>
      </c>
      <c r="I5890" s="25" t="s">
        <v>2123</v>
      </c>
      <c r="J5890" t="s">
        <v>2331</v>
      </c>
      <c r="M5890" s="49"/>
    </row>
    <row r="5891" spans="6:13" x14ac:dyDescent="0.25">
      <c r="F5891" t="s">
        <v>6393</v>
      </c>
      <c r="G5891">
        <v>56472</v>
      </c>
      <c r="H5891">
        <v>7132</v>
      </c>
      <c r="I5891" s="25" t="s">
        <v>2123</v>
      </c>
      <c r="J5891" t="s">
        <v>2401</v>
      </c>
      <c r="M5891" s="49"/>
    </row>
    <row r="5892" spans="6:13" x14ac:dyDescent="0.25">
      <c r="F5892" t="s">
        <v>6393</v>
      </c>
      <c r="G5892">
        <v>56472</v>
      </c>
      <c r="H5892">
        <v>7132</v>
      </c>
      <c r="I5892" s="25" t="s">
        <v>2123</v>
      </c>
      <c r="J5892" t="s">
        <v>2401</v>
      </c>
      <c r="M5892" s="49"/>
    </row>
    <row r="5893" spans="6:13" x14ac:dyDescent="0.25">
      <c r="F5893" t="s">
        <v>6393</v>
      </c>
      <c r="G5893">
        <v>56472</v>
      </c>
      <c r="H5893">
        <v>7143</v>
      </c>
      <c r="I5893" s="25" t="s">
        <v>2123</v>
      </c>
      <c r="J5893" t="s">
        <v>2331</v>
      </c>
      <c r="M5893" s="49"/>
    </row>
    <row r="5894" spans="6:13" x14ac:dyDescent="0.25">
      <c r="F5894" t="s">
        <v>6393</v>
      </c>
      <c r="G5894">
        <v>56472</v>
      </c>
      <c r="H5894">
        <v>7143</v>
      </c>
      <c r="I5894" s="25" t="s">
        <v>2123</v>
      </c>
      <c r="J5894" t="s">
        <v>2331</v>
      </c>
      <c r="M5894" s="49"/>
    </row>
    <row r="5895" spans="6:13" x14ac:dyDescent="0.25">
      <c r="F5895" t="s">
        <v>6394</v>
      </c>
      <c r="G5895">
        <v>57647</v>
      </c>
      <c r="H5895">
        <v>7143</v>
      </c>
      <c r="I5895" s="25" t="s">
        <v>2123</v>
      </c>
      <c r="J5895" t="s">
        <v>2331</v>
      </c>
      <c r="M5895" s="49"/>
    </row>
    <row r="5896" spans="6:13" x14ac:dyDescent="0.25">
      <c r="F5896" t="s">
        <v>6395</v>
      </c>
      <c r="G5896">
        <v>54453</v>
      </c>
      <c r="H5896">
        <v>7235</v>
      </c>
      <c r="I5896" s="25" t="s">
        <v>2123</v>
      </c>
      <c r="J5896" t="s">
        <v>2395</v>
      </c>
      <c r="M5896" s="49"/>
    </row>
    <row r="5897" spans="6:13" x14ac:dyDescent="0.25">
      <c r="F5897" t="s">
        <v>6396</v>
      </c>
      <c r="G5897">
        <v>93149</v>
      </c>
      <c r="H5897">
        <v>9376</v>
      </c>
      <c r="I5897" s="25" t="s">
        <v>2050</v>
      </c>
      <c r="J5897" t="s">
        <v>2390</v>
      </c>
      <c r="M5897" s="49"/>
    </row>
    <row r="5898" spans="6:13" x14ac:dyDescent="0.25">
      <c r="F5898" t="s">
        <v>6397</v>
      </c>
      <c r="G5898">
        <v>93152</v>
      </c>
      <c r="H5898">
        <v>9375</v>
      </c>
      <c r="I5898" s="25" t="s">
        <v>2050</v>
      </c>
      <c r="J5898" t="s">
        <v>2365</v>
      </c>
      <c r="M5898" s="49"/>
    </row>
    <row r="5899" spans="6:13" x14ac:dyDescent="0.25">
      <c r="F5899" t="s">
        <v>6398</v>
      </c>
      <c r="G5899">
        <v>4603</v>
      </c>
      <c r="H5899">
        <v>16077</v>
      </c>
      <c r="I5899" s="25" t="s">
        <v>2384</v>
      </c>
      <c r="J5899" t="s">
        <v>2385</v>
      </c>
      <c r="M5899" s="49"/>
    </row>
    <row r="5900" spans="6:13" x14ac:dyDescent="0.25">
      <c r="F5900" t="s">
        <v>6398</v>
      </c>
      <c r="G5900">
        <v>4603</v>
      </c>
      <c r="H5900">
        <v>16077</v>
      </c>
      <c r="I5900" s="25" t="s">
        <v>2384</v>
      </c>
      <c r="J5900" t="s">
        <v>2385</v>
      </c>
      <c r="M5900" s="49"/>
    </row>
    <row r="5901" spans="6:13" x14ac:dyDescent="0.25">
      <c r="F5901" t="s">
        <v>6399</v>
      </c>
      <c r="G5901">
        <v>66625</v>
      </c>
      <c r="H5901">
        <v>10046</v>
      </c>
      <c r="I5901" s="25" t="s">
        <v>2849</v>
      </c>
      <c r="J5901" t="s">
        <v>2375</v>
      </c>
      <c r="M5901" s="49"/>
    </row>
    <row r="5902" spans="6:13" x14ac:dyDescent="0.25">
      <c r="F5902" t="s">
        <v>6400</v>
      </c>
      <c r="G5902">
        <v>88149</v>
      </c>
      <c r="H5902">
        <v>9776</v>
      </c>
      <c r="I5902" s="25" t="s">
        <v>2050</v>
      </c>
      <c r="J5902" t="s">
        <v>4735</v>
      </c>
      <c r="M5902" s="49"/>
    </row>
    <row r="5903" spans="6:13" x14ac:dyDescent="0.25">
      <c r="F5903" t="s">
        <v>6401</v>
      </c>
      <c r="G5903">
        <v>66620</v>
      </c>
      <c r="H5903">
        <v>10046</v>
      </c>
      <c r="I5903" s="25" t="s">
        <v>2849</v>
      </c>
      <c r="J5903" t="s">
        <v>2375</v>
      </c>
      <c r="M5903" s="49"/>
    </row>
    <row r="5904" spans="6:13" x14ac:dyDescent="0.25">
      <c r="F5904" t="s">
        <v>6402</v>
      </c>
      <c r="G5904">
        <v>26506</v>
      </c>
      <c r="H5904">
        <v>3452</v>
      </c>
      <c r="I5904" s="25" t="s">
        <v>2074</v>
      </c>
      <c r="J5904" t="s">
        <v>2034</v>
      </c>
      <c r="M5904" s="49"/>
    </row>
    <row r="5905" spans="6:13" x14ac:dyDescent="0.25">
      <c r="F5905" t="s">
        <v>6403</v>
      </c>
      <c r="G5905">
        <v>86695</v>
      </c>
      <c r="H5905">
        <v>9772</v>
      </c>
      <c r="I5905" s="25" t="s">
        <v>2050</v>
      </c>
      <c r="J5905" t="s">
        <v>2117</v>
      </c>
      <c r="M5905" s="49"/>
    </row>
    <row r="5906" spans="6:13" x14ac:dyDescent="0.25">
      <c r="F5906" t="s">
        <v>6404</v>
      </c>
      <c r="G5906">
        <v>26954</v>
      </c>
      <c r="H5906">
        <v>3461</v>
      </c>
      <c r="I5906" s="25" t="s">
        <v>2074</v>
      </c>
      <c r="J5906" t="s">
        <v>2426</v>
      </c>
      <c r="M5906" s="49"/>
    </row>
    <row r="5907" spans="6:13" x14ac:dyDescent="0.25">
      <c r="F5907" t="s">
        <v>6404</v>
      </c>
      <c r="G5907">
        <v>26954</v>
      </c>
      <c r="H5907">
        <v>3461</v>
      </c>
      <c r="I5907" s="25" t="s">
        <v>2074</v>
      </c>
      <c r="J5907" t="s">
        <v>2426</v>
      </c>
      <c r="M5907" s="49"/>
    </row>
    <row r="5908" spans="6:13" x14ac:dyDescent="0.25">
      <c r="F5908" t="s">
        <v>6404</v>
      </c>
      <c r="G5908">
        <v>26954</v>
      </c>
      <c r="H5908">
        <v>3461</v>
      </c>
      <c r="I5908" s="25" t="s">
        <v>2074</v>
      </c>
      <c r="J5908" t="s">
        <v>2426</v>
      </c>
      <c r="M5908" s="49"/>
    </row>
    <row r="5909" spans="6:13" x14ac:dyDescent="0.25">
      <c r="F5909" t="s">
        <v>6405</v>
      </c>
      <c r="G5909">
        <v>26548</v>
      </c>
      <c r="H5909">
        <v>3452</v>
      </c>
      <c r="I5909" s="25" t="s">
        <v>2074</v>
      </c>
      <c r="J5909" t="s">
        <v>2034</v>
      </c>
      <c r="M5909" s="49"/>
    </row>
    <row r="5910" spans="6:13" x14ac:dyDescent="0.25">
      <c r="F5910" t="s">
        <v>6406</v>
      </c>
      <c r="G5910">
        <v>22851</v>
      </c>
      <c r="H5910">
        <v>1060</v>
      </c>
      <c r="I5910" s="25" t="s">
        <v>2085</v>
      </c>
      <c r="J5910" t="s">
        <v>2363</v>
      </c>
      <c r="M5910" s="49"/>
    </row>
    <row r="5911" spans="6:13" x14ac:dyDescent="0.25">
      <c r="F5911" t="s">
        <v>6406</v>
      </c>
      <c r="G5911">
        <v>22846</v>
      </c>
      <c r="H5911">
        <v>1060</v>
      </c>
      <c r="I5911" s="25" t="s">
        <v>2085</v>
      </c>
      <c r="J5911" t="s">
        <v>2363</v>
      </c>
      <c r="M5911" s="49"/>
    </row>
    <row r="5912" spans="6:13" x14ac:dyDescent="0.25">
      <c r="F5912" t="s">
        <v>6406</v>
      </c>
      <c r="G5912">
        <v>22844</v>
      </c>
      <c r="H5912">
        <v>1060</v>
      </c>
      <c r="I5912" s="25" t="s">
        <v>2085</v>
      </c>
      <c r="J5912" t="s">
        <v>2363</v>
      </c>
      <c r="M5912" s="49"/>
    </row>
    <row r="5913" spans="6:13" x14ac:dyDescent="0.25">
      <c r="F5913" t="s">
        <v>6406</v>
      </c>
      <c r="G5913">
        <v>22848</v>
      </c>
      <c r="H5913">
        <v>1060</v>
      </c>
      <c r="I5913" s="25" t="s">
        <v>2085</v>
      </c>
      <c r="J5913" t="s">
        <v>2363</v>
      </c>
      <c r="M5913" s="49"/>
    </row>
    <row r="5914" spans="6:13" x14ac:dyDescent="0.25">
      <c r="F5914" t="s">
        <v>6406</v>
      </c>
      <c r="G5914">
        <v>22850</v>
      </c>
      <c r="H5914">
        <v>1060</v>
      </c>
      <c r="I5914" s="25" t="s">
        <v>2085</v>
      </c>
      <c r="J5914" t="s">
        <v>2363</v>
      </c>
      <c r="M5914" s="49"/>
    </row>
    <row r="5915" spans="6:13" x14ac:dyDescent="0.25">
      <c r="F5915" t="s">
        <v>6406</v>
      </c>
      <c r="G5915">
        <v>22844</v>
      </c>
      <c r="H5915">
        <v>1060</v>
      </c>
      <c r="I5915" s="25" t="s">
        <v>2085</v>
      </c>
      <c r="J5915" t="s">
        <v>2363</v>
      </c>
      <c r="M5915" s="49"/>
    </row>
    <row r="5916" spans="6:13" x14ac:dyDescent="0.25">
      <c r="F5916" t="s">
        <v>6407</v>
      </c>
      <c r="G5916">
        <v>96365</v>
      </c>
      <c r="H5916">
        <v>9476</v>
      </c>
      <c r="I5916" s="25" t="s">
        <v>2050</v>
      </c>
      <c r="J5916" t="s">
        <v>5435</v>
      </c>
      <c r="M5916" s="49"/>
    </row>
    <row r="5917" spans="6:13" x14ac:dyDescent="0.25">
      <c r="F5917" t="s">
        <v>6408</v>
      </c>
      <c r="G5917">
        <v>25785</v>
      </c>
      <c r="H5917">
        <v>1051</v>
      </c>
      <c r="I5917" s="25" t="s">
        <v>2085</v>
      </c>
      <c r="J5917" t="s">
        <v>2097</v>
      </c>
      <c r="M5917" s="49"/>
    </row>
    <row r="5918" spans="6:13" x14ac:dyDescent="0.25">
      <c r="F5918" t="s">
        <v>1489</v>
      </c>
      <c r="G5918">
        <v>99734</v>
      </c>
      <c r="H5918">
        <v>16062</v>
      </c>
      <c r="I5918" s="25" t="s">
        <v>2384</v>
      </c>
      <c r="J5918" t="s">
        <v>1489</v>
      </c>
      <c r="M5918" s="49"/>
    </row>
    <row r="5919" spans="6:13" x14ac:dyDescent="0.25">
      <c r="F5919" t="s">
        <v>6409</v>
      </c>
      <c r="G5919">
        <v>74226</v>
      </c>
      <c r="H5919">
        <v>8125</v>
      </c>
      <c r="I5919" s="25" t="s">
        <v>2018</v>
      </c>
      <c r="J5919" t="s">
        <v>2060</v>
      </c>
      <c r="M5919" s="49"/>
    </row>
    <row r="5920" spans="6:13" x14ac:dyDescent="0.25">
      <c r="F5920" t="s">
        <v>6410</v>
      </c>
      <c r="G5920">
        <v>97647</v>
      </c>
      <c r="H5920">
        <v>9673</v>
      </c>
      <c r="I5920" s="25" t="s">
        <v>2050</v>
      </c>
      <c r="J5920" t="s">
        <v>2676</v>
      </c>
      <c r="M5920" s="49"/>
    </row>
    <row r="5921" spans="6:13" x14ac:dyDescent="0.25">
      <c r="F5921" t="s">
        <v>6411</v>
      </c>
      <c r="G5921">
        <v>48529</v>
      </c>
      <c r="H5921">
        <v>3456</v>
      </c>
      <c r="I5921" s="25" t="s">
        <v>2074</v>
      </c>
      <c r="J5921" t="s">
        <v>2156</v>
      </c>
      <c r="M5921" s="49"/>
    </row>
    <row r="5922" spans="6:13" x14ac:dyDescent="0.25">
      <c r="F5922" t="s">
        <v>6411</v>
      </c>
      <c r="G5922">
        <v>48527</v>
      </c>
      <c r="H5922">
        <v>3456</v>
      </c>
      <c r="I5922" s="25" t="s">
        <v>2074</v>
      </c>
      <c r="J5922" t="s">
        <v>2156</v>
      </c>
      <c r="M5922" s="49"/>
    </row>
    <row r="5923" spans="6:13" x14ac:dyDescent="0.25">
      <c r="F5923" t="s">
        <v>6411</v>
      </c>
      <c r="G5923">
        <v>48531</v>
      </c>
      <c r="H5923">
        <v>3456</v>
      </c>
      <c r="I5923" s="25" t="s">
        <v>2074</v>
      </c>
      <c r="J5923" t="s">
        <v>2156</v>
      </c>
      <c r="M5923" s="49"/>
    </row>
    <row r="5924" spans="6:13" x14ac:dyDescent="0.25">
      <c r="F5924" t="s">
        <v>6412</v>
      </c>
      <c r="G5924">
        <v>59394</v>
      </c>
      <c r="H5924">
        <v>5558</v>
      </c>
      <c r="I5924" s="25" t="s">
        <v>2023</v>
      </c>
      <c r="J5924" t="s">
        <v>2076</v>
      </c>
      <c r="M5924" s="49"/>
    </row>
    <row r="5925" spans="6:13" x14ac:dyDescent="0.25">
      <c r="F5925" t="s">
        <v>6413</v>
      </c>
      <c r="G5925">
        <v>21765</v>
      </c>
      <c r="H5925">
        <v>3352</v>
      </c>
      <c r="I5925" s="25" t="s">
        <v>2074</v>
      </c>
      <c r="J5925" t="s">
        <v>2079</v>
      </c>
      <c r="M5925" s="49"/>
    </row>
    <row r="5926" spans="6:13" x14ac:dyDescent="0.25">
      <c r="F5926" t="s">
        <v>6414</v>
      </c>
      <c r="G5926">
        <v>86720</v>
      </c>
      <c r="H5926">
        <v>9779</v>
      </c>
      <c r="I5926" s="25" t="s">
        <v>2050</v>
      </c>
      <c r="J5926" t="s">
        <v>2280</v>
      </c>
      <c r="M5926" s="49"/>
    </row>
    <row r="5927" spans="6:13" x14ac:dyDescent="0.25">
      <c r="F5927" t="s">
        <v>6415</v>
      </c>
      <c r="G5927">
        <v>77787</v>
      </c>
      <c r="H5927">
        <v>8317</v>
      </c>
      <c r="I5927" s="25" t="s">
        <v>2018</v>
      </c>
      <c r="J5927" t="s">
        <v>2071</v>
      </c>
      <c r="M5927" s="49"/>
    </row>
    <row r="5928" spans="6:13" x14ac:dyDescent="0.25">
      <c r="F5928" t="s">
        <v>6416</v>
      </c>
      <c r="G5928">
        <v>31717</v>
      </c>
      <c r="H5928">
        <v>3257</v>
      </c>
      <c r="I5928" s="25" t="s">
        <v>2074</v>
      </c>
      <c r="J5928" t="s">
        <v>2167</v>
      </c>
      <c r="M5928" s="49"/>
    </row>
    <row r="5929" spans="6:13" x14ac:dyDescent="0.25">
      <c r="F5929" t="s">
        <v>6417</v>
      </c>
      <c r="G5929">
        <v>31171</v>
      </c>
      <c r="H5929">
        <v>3254</v>
      </c>
      <c r="I5929" s="25" t="s">
        <v>2074</v>
      </c>
      <c r="J5929" t="s">
        <v>2196</v>
      </c>
      <c r="M5929" s="49"/>
    </row>
    <row r="5930" spans="6:13" x14ac:dyDescent="0.25">
      <c r="F5930" t="s">
        <v>6418</v>
      </c>
      <c r="G5930">
        <v>25845</v>
      </c>
      <c r="H5930">
        <v>1054</v>
      </c>
      <c r="I5930" s="25" t="s">
        <v>2085</v>
      </c>
      <c r="J5930" t="s">
        <v>2195</v>
      </c>
      <c r="M5930" s="49"/>
    </row>
    <row r="5931" spans="6:13" x14ac:dyDescent="0.25">
      <c r="F5931" t="s">
        <v>6418</v>
      </c>
      <c r="G5931">
        <v>25845</v>
      </c>
      <c r="H5931">
        <v>1054</v>
      </c>
      <c r="I5931" s="25" t="s">
        <v>2085</v>
      </c>
      <c r="J5931" t="s">
        <v>2195</v>
      </c>
      <c r="M5931" s="49"/>
    </row>
    <row r="5932" spans="6:13" x14ac:dyDescent="0.25">
      <c r="F5932" t="s">
        <v>6418</v>
      </c>
      <c r="G5932">
        <v>25845</v>
      </c>
      <c r="H5932">
        <v>1054</v>
      </c>
      <c r="I5932" s="25" t="s">
        <v>2085</v>
      </c>
      <c r="J5932" t="s">
        <v>2195</v>
      </c>
      <c r="M5932" s="49"/>
    </row>
    <row r="5933" spans="6:13" x14ac:dyDescent="0.25">
      <c r="F5933" t="s">
        <v>6419</v>
      </c>
      <c r="G5933">
        <v>48356</v>
      </c>
      <c r="H5933">
        <v>5566</v>
      </c>
      <c r="I5933" s="25" t="s">
        <v>2023</v>
      </c>
      <c r="J5933" t="s">
        <v>2379</v>
      </c>
      <c r="M5933" s="49"/>
    </row>
    <row r="5934" spans="6:13" x14ac:dyDescent="0.25">
      <c r="F5934" t="s">
        <v>6420</v>
      </c>
      <c r="G5934">
        <v>55585</v>
      </c>
      <c r="H5934">
        <v>7133</v>
      </c>
      <c r="I5934" s="25" t="s">
        <v>2123</v>
      </c>
      <c r="J5934" t="s">
        <v>2037</v>
      </c>
      <c r="M5934" s="49"/>
    </row>
    <row r="5935" spans="6:13" x14ac:dyDescent="0.25">
      <c r="F5935" t="s">
        <v>6420</v>
      </c>
      <c r="G5935">
        <v>55585</v>
      </c>
      <c r="H5935">
        <v>7133</v>
      </c>
      <c r="I5935" s="25" t="s">
        <v>2123</v>
      </c>
      <c r="J5935" t="s">
        <v>2037</v>
      </c>
      <c r="M5935" s="49"/>
    </row>
    <row r="5936" spans="6:13" x14ac:dyDescent="0.25">
      <c r="F5936" t="s">
        <v>6421</v>
      </c>
      <c r="G5936">
        <v>37176</v>
      </c>
      <c r="H5936">
        <v>3155</v>
      </c>
      <c r="I5936" s="25" t="s">
        <v>2074</v>
      </c>
      <c r="J5936" t="s">
        <v>2653</v>
      </c>
      <c r="M5936" s="49"/>
    </row>
    <row r="5937" spans="6:13" x14ac:dyDescent="0.25">
      <c r="F5937" t="s">
        <v>2653</v>
      </c>
      <c r="G5937">
        <v>37154</v>
      </c>
      <c r="H5937">
        <v>3155</v>
      </c>
      <c r="I5937" s="25" t="s">
        <v>2074</v>
      </c>
      <c r="J5937" t="s">
        <v>2653</v>
      </c>
      <c r="M5937" s="49"/>
    </row>
    <row r="5938" spans="6:13" x14ac:dyDescent="0.25">
      <c r="F5938" t="s">
        <v>6422</v>
      </c>
      <c r="G5938">
        <v>26845</v>
      </c>
      <c r="H5938">
        <v>3457</v>
      </c>
      <c r="I5938" s="25" t="s">
        <v>2074</v>
      </c>
      <c r="J5938" t="s">
        <v>2220</v>
      </c>
      <c r="M5938" s="49"/>
    </row>
    <row r="5939" spans="6:13" x14ac:dyDescent="0.25">
      <c r="F5939" t="s">
        <v>6423</v>
      </c>
      <c r="G5939">
        <v>24589</v>
      </c>
      <c r="H5939">
        <v>1058</v>
      </c>
      <c r="I5939" s="25" t="s">
        <v>2085</v>
      </c>
      <c r="J5939" t="s">
        <v>2086</v>
      </c>
      <c r="M5939" s="49"/>
    </row>
    <row r="5940" spans="6:13" x14ac:dyDescent="0.25">
      <c r="F5940" t="s">
        <v>6424</v>
      </c>
      <c r="G5940">
        <v>49638</v>
      </c>
      <c r="H5940">
        <v>3459</v>
      </c>
      <c r="I5940" s="25" t="s">
        <v>2074</v>
      </c>
      <c r="J5940" t="s">
        <v>2292</v>
      </c>
      <c r="M5940" s="49"/>
    </row>
    <row r="5941" spans="6:13" x14ac:dyDescent="0.25">
      <c r="F5941" t="s">
        <v>6425</v>
      </c>
      <c r="G5941">
        <v>52388</v>
      </c>
      <c r="H5941">
        <v>5358</v>
      </c>
      <c r="I5941" s="25" t="s">
        <v>2023</v>
      </c>
      <c r="J5941" t="s">
        <v>2106</v>
      </c>
      <c r="M5941" s="49"/>
    </row>
    <row r="5942" spans="6:13" x14ac:dyDescent="0.25">
      <c r="F5942" t="s">
        <v>6426</v>
      </c>
      <c r="G5942">
        <v>1683</v>
      </c>
      <c r="H5942">
        <v>14627</v>
      </c>
      <c r="I5942" s="25" t="s">
        <v>2135</v>
      </c>
      <c r="J5942" t="s">
        <v>2251</v>
      </c>
      <c r="M5942" s="49"/>
    </row>
    <row r="5943" spans="6:13" x14ac:dyDescent="0.25">
      <c r="F5943" t="s">
        <v>6427</v>
      </c>
      <c r="G5943">
        <v>17214</v>
      </c>
      <c r="H5943">
        <v>13071</v>
      </c>
      <c r="I5943" s="25" t="s">
        <v>2191</v>
      </c>
      <c r="J5943" t="s">
        <v>2091</v>
      </c>
      <c r="M5943" s="49"/>
    </row>
    <row r="5944" spans="6:13" x14ac:dyDescent="0.25">
      <c r="F5944" t="s">
        <v>6428</v>
      </c>
      <c r="G5944">
        <v>48301</v>
      </c>
      <c r="H5944">
        <v>5558</v>
      </c>
      <c r="I5944" s="25" t="s">
        <v>2023</v>
      </c>
      <c r="J5944" t="s">
        <v>2076</v>
      </c>
      <c r="M5944" s="49"/>
    </row>
    <row r="5945" spans="6:13" x14ac:dyDescent="0.25">
      <c r="F5945" t="s">
        <v>6429</v>
      </c>
      <c r="G5945">
        <v>73274</v>
      </c>
      <c r="H5945">
        <v>8116</v>
      </c>
      <c r="I5945" s="25" t="s">
        <v>2018</v>
      </c>
      <c r="J5945" t="s">
        <v>2213</v>
      </c>
      <c r="M5945" s="49"/>
    </row>
    <row r="5946" spans="6:13" x14ac:dyDescent="0.25">
      <c r="F5946" t="s">
        <v>6430</v>
      </c>
      <c r="G5946">
        <v>24809</v>
      </c>
      <c r="H5946">
        <v>1058</v>
      </c>
      <c r="I5946" s="25" t="s">
        <v>2085</v>
      </c>
      <c r="J5946" t="s">
        <v>2086</v>
      </c>
      <c r="M5946" s="49"/>
    </row>
    <row r="5947" spans="6:13" x14ac:dyDescent="0.25">
      <c r="F5947" t="s">
        <v>6431</v>
      </c>
      <c r="G5947">
        <v>24881</v>
      </c>
      <c r="H5947">
        <v>1059</v>
      </c>
      <c r="I5947" s="25" t="s">
        <v>2085</v>
      </c>
      <c r="J5947" t="s">
        <v>2354</v>
      </c>
      <c r="M5947" s="49"/>
    </row>
    <row r="5948" spans="6:13" x14ac:dyDescent="0.25">
      <c r="F5948" t="s">
        <v>6432</v>
      </c>
      <c r="G5948">
        <v>97720</v>
      </c>
      <c r="H5948">
        <v>9672</v>
      </c>
      <c r="I5948" s="25" t="s">
        <v>2050</v>
      </c>
      <c r="J5948" t="s">
        <v>2620</v>
      </c>
      <c r="M5948" s="49"/>
    </row>
    <row r="5949" spans="6:13" x14ac:dyDescent="0.25">
      <c r="F5949" t="s">
        <v>6433</v>
      </c>
      <c r="G5949">
        <v>71154</v>
      </c>
      <c r="H5949">
        <v>8115</v>
      </c>
      <c r="I5949" s="25" t="s">
        <v>2018</v>
      </c>
      <c r="J5949" t="s">
        <v>2222</v>
      </c>
      <c r="M5949" s="49"/>
    </row>
    <row r="5950" spans="6:13" x14ac:dyDescent="0.25">
      <c r="F5950" t="s">
        <v>6434</v>
      </c>
      <c r="G5950">
        <v>51588</v>
      </c>
      <c r="H5950">
        <v>5374</v>
      </c>
      <c r="I5950" s="25" t="s">
        <v>2023</v>
      </c>
      <c r="J5950" t="s">
        <v>2281</v>
      </c>
      <c r="M5950" s="49"/>
    </row>
    <row r="5951" spans="6:13" x14ac:dyDescent="0.25">
      <c r="F5951" t="s">
        <v>6435</v>
      </c>
      <c r="G5951">
        <v>1612</v>
      </c>
      <c r="H5951">
        <v>14627</v>
      </c>
      <c r="I5951" s="25" t="s">
        <v>2135</v>
      </c>
      <c r="J5951" t="s">
        <v>2251</v>
      </c>
      <c r="M5951" s="49"/>
    </row>
    <row r="5952" spans="6:13" x14ac:dyDescent="0.25">
      <c r="F5952" t="s">
        <v>6436</v>
      </c>
      <c r="G5952">
        <v>90441</v>
      </c>
      <c r="H5952">
        <v>9564</v>
      </c>
      <c r="I5952" s="25" t="s">
        <v>2050</v>
      </c>
      <c r="J5952" t="s">
        <v>6437</v>
      </c>
      <c r="M5952" s="49"/>
    </row>
    <row r="5953" spans="6:13" x14ac:dyDescent="0.25">
      <c r="F5953" t="s">
        <v>6436</v>
      </c>
      <c r="G5953">
        <v>90461</v>
      </c>
      <c r="H5953">
        <v>9564</v>
      </c>
      <c r="I5953" s="25" t="s">
        <v>2050</v>
      </c>
      <c r="J5953" t="s">
        <v>6437</v>
      </c>
      <c r="M5953" s="49"/>
    </row>
    <row r="5954" spans="6:13" x14ac:dyDescent="0.25">
      <c r="F5954" t="s">
        <v>6436</v>
      </c>
      <c r="G5954">
        <v>90489</v>
      </c>
      <c r="H5954">
        <v>9564</v>
      </c>
      <c r="I5954" s="25" t="s">
        <v>2050</v>
      </c>
      <c r="J5954" t="s">
        <v>6437</v>
      </c>
      <c r="M5954" s="49"/>
    </row>
    <row r="5955" spans="6:13" x14ac:dyDescent="0.25">
      <c r="F5955" t="s">
        <v>6436</v>
      </c>
      <c r="G5955">
        <v>90409</v>
      </c>
      <c r="H5955">
        <v>9564</v>
      </c>
      <c r="I5955" s="25" t="s">
        <v>2050</v>
      </c>
      <c r="J5955" t="s">
        <v>6437</v>
      </c>
      <c r="M5955" s="49"/>
    </row>
    <row r="5956" spans="6:13" x14ac:dyDescent="0.25">
      <c r="F5956" t="s">
        <v>6436</v>
      </c>
      <c r="G5956">
        <v>90478</v>
      </c>
      <c r="H5956">
        <v>9564</v>
      </c>
      <c r="I5956" s="25" t="s">
        <v>2050</v>
      </c>
      <c r="J5956" t="s">
        <v>6437</v>
      </c>
      <c r="M5956" s="49"/>
    </row>
    <row r="5957" spans="6:13" x14ac:dyDescent="0.25">
      <c r="F5957" t="s">
        <v>6436</v>
      </c>
      <c r="G5957">
        <v>90443</v>
      </c>
      <c r="H5957">
        <v>9564</v>
      </c>
      <c r="I5957" s="25" t="s">
        <v>2050</v>
      </c>
      <c r="J5957" t="s">
        <v>6437</v>
      </c>
      <c r="M5957" s="49"/>
    </row>
    <row r="5958" spans="6:13" x14ac:dyDescent="0.25">
      <c r="F5958" t="s">
        <v>6436</v>
      </c>
      <c r="G5958">
        <v>90455</v>
      </c>
      <c r="H5958">
        <v>9564</v>
      </c>
      <c r="I5958" s="25" t="s">
        <v>2050</v>
      </c>
      <c r="J5958" t="s">
        <v>6437</v>
      </c>
      <c r="M5958" s="49"/>
    </row>
    <row r="5959" spans="6:13" x14ac:dyDescent="0.25">
      <c r="F5959" t="s">
        <v>6436</v>
      </c>
      <c r="G5959">
        <v>90431</v>
      </c>
      <c r="H5959">
        <v>9564</v>
      </c>
      <c r="I5959" s="25" t="s">
        <v>2050</v>
      </c>
      <c r="J5959" t="s">
        <v>6437</v>
      </c>
      <c r="M5959" s="49"/>
    </row>
    <row r="5960" spans="6:13" x14ac:dyDescent="0.25">
      <c r="F5960" t="s">
        <v>6436</v>
      </c>
      <c r="G5960">
        <v>90419</v>
      </c>
      <c r="H5960">
        <v>9564</v>
      </c>
      <c r="I5960" s="25" t="s">
        <v>2050</v>
      </c>
      <c r="J5960" t="s">
        <v>6437</v>
      </c>
      <c r="M5960" s="49"/>
    </row>
    <row r="5961" spans="6:13" x14ac:dyDescent="0.25">
      <c r="F5961" t="s">
        <v>6436</v>
      </c>
      <c r="G5961">
        <v>90408</v>
      </c>
      <c r="H5961">
        <v>9564</v>
      </c>
      <c r="I5961" s="25" t="s">
        <v>2050</v>
      </c>
      <c r="J5961" t="s">
        <v>6437</v>
      </c>
      <c r="M5961" s="49"/>
    </row>
    <row r="5962" spans="6:13" x14ac:dyDescent="0.25">
      <c r="F5962" t="s">
        <v>6436</v>
      </c>
      <c r="G5962">
        <v>90471</v>
      </c>
      <c r="H5962">
        <v>9564</v>
      </c>
      <c r="I5962" s="25" t="s">
        <v>2050</v>
      </c>
      <c r="J5962" t="s">
        <v>6437</v>
      </c>
      <c r="M5962" s="49"/>
    </row>
    <row r="5963" spans="6:13" x14ac:dyDescent="0.25">
      <c r="F5963" t="s">
        <v>6436</v>
      </c>
      <c r="G5963">
        <v>90411</v>
      </c>
      <c r="H5963">
        <v>9564</v>
      </c>
      <c r="I5963" s="25" t="s">
        <v>2050</v>
      </c>
      <c r="J5963" t="s">
        <v>6437</v>
      </c>
      <c r="M5963" s="49"/>
    </row>
    <row r="5964" spans="6:13" x14ac:dyDescent="0.25">
      <c r="F5964" t="s">
        <v>6436</v>
      </c>
      <c r="G5964">
        <v>90439</v>
      </c>
      <c r="H5964">
        <v>9564</v>
      </c>
      <c r="I5964" s="25" t="s">
        <v>2050</v>
      </c>
      <c r="J5964" t="s">
        <v>6437</v>
      </c>
      <c r="M5964" s="49"/>
    </row>
    <row r="5965" spans="6:13" x14ac:dyDescent="0.25">
      <c r="F5965" t="s">
        <v>6436</v>
      </c>
      <c r="G5965">
        <v>90403</v>
      </c>
      <c r="H5965">
        <v>9564</v>
      </c>
      <c r="I5965" s="25" t="s">
        <v>2050</v>
      </c>
      <c r="J5965" t="s">
        <v>6437</v>
      </c>
      <c r="M5965" s="49"/>
    </row>
    <row r="5966" spans="6:13" x14ac:dyDescent="0.25">
      <c r="F5966" t="s">
        <v>6436</v>
      </c>
      <c r="G5966">
        <v>90482</v>
      </c>
      <c r="H5966">
        <v>9564</v>
      </c>
      <c r="I5966" s="25" t="s">
        <v>2050</v>
      </c>
      <c r="J5966" t="s">
        <v>6437</v>
      </c>
      <c r="M5966" s="49"/>
    </row>
    <row r="5967" spans="6:13" x14ac:dyDescent="0.25">
      <c r="F5967" t="s">
        <v>6436</v>
      </c>
      <c r="G5967">
        <v>90473</v>
      </c>
      <c r="H5967">
        <v>9564</v>
      </c>
      <c r="I5967" s="25" t="s">
        <v>2050</v>
      </c>
      <c r="J5967" t="s">
        <v>6437</v>
      </c>
      <c r="M5967" s="49"/>
    </row>
    <row r="5968" spans="6:13" x14ac:dyDescent="0.25">
      <c r="F5968" t="s">
        <v>6436</v>
      </c>
      <c r="G5968">
        <v>90411</v>
      </c>
      <c r="H5968">
        <v>9564</v>
      </c>
      <c r="I5968" s="25" t="s">
        <v>2050</v>
      </c>
      <c r="J5968" t="s">
        <v>6437</v>
      </c>
      <c r="M5968" s="49"/>
    </row>
    <row r="5969" spans="6:13" x14ac:dyDescent="0.25">
      <c r="F5969" t="s">
        <v>6436</v>
      </c>
      <c r="G5969">
        <v>90429</v>
      </c>
      <c r="H5969">
        <v>9564</v>
      </c>
      <c r="I5969" s="25" t="s">
        <v>2050</v>
      </c>
      <c r="J5969" t="s">
        <v>6437</v>
      </c>
      <c r="M5969" s="49"/>
    </row>
    <row r="5970" spans="6:13" x14ac:dyDescent="0.25">
      <c r="F5970" t="s">
        <v>6436</v>
      </c>
      <c r="G5970">
        <v>90475</v>
      </c>
      <c r="H5970">
        <v>9564</v>
      </c>
      <c r="I5970" s="25" t="s">
        <v>2050</v>
      </c>
      <c r="J5970" t="s">
        <v>6437</v>
      </c>
      <c r="M5970" s="49"/>
    </row>
    <row r="5971" spans="6:13" x14ac:dyDescent="0.25">
      <c r="F5971" t="s">
        <v>6436</v>
      </c>
      <c r="G5971">
        <v>90427</v>
      </c>
      <c r="H5971">
        <v>9564</v>
      </c>
      <c r="I5971" s="25" t="s">
        <v>2050</v>
      </c>
      <c r="J5971" t="s">
        <v>6437</v>
      </c>
      <c r="M5971" s="49"/>
    </row>
    <row r="5972" spans="6:13" x14ac:dyDescent="0.25">
      <c r="F5972" t="s">
        <v>6436</v>
      </c>
      <c r="G5972">
        <v>90451</v>
      </c>
      <c r="H5972">
        <v>9564</v>
      </c>
      <c r="I5972" s="25" t="s">
        <v>2050</v>
      </c>
      <c r="J5972" t="s">
        <v>6437</v>
      </c>
      <c r="M5972" s="49"/>
    </row>
    <row r="5973" spans="6:13" x14ac:dyDescent="0.25">
      <c r="F5973" t="s">
        <v>6436</v>
      </c>
      <c r="G5973">
        <v>90469</v>
      </c>
      <c r="H5973">
        <v>9564</v>
      </c>
      <c r="I5973" s="25" t="s">
        <v>2050</v>
      </c>
      <c r="J5973" t="s">
        <v>6437</v>
      </c>
      <c r="M5973" s="49"/>
    </row>
    <row r="5974" spans="6:13" x14ac:dyDescent="0.25">
      <c r="F5974" t="s">
        <v>6436</v>
      </c>
      <c r="G5974">
        <v>90491</v>
      </c>
      <c r="H5974">
        <v>9564</v>
      </c>
      <c r="I5974" s="25" t="s">
        <v>2050</v>
      </c>
      <c r="J5974" t="s">
        <v>6437</v>
      </c>
      <c r="M5974" s="49"/>
    </row>
    <row r="5975" spans="6:13" x14ac:dyDescent="0.25">
      <c r="F5975" t="s">
        <v>6436</v>
      </c>
      <c r="G5975">
        <v>90471</v>
      </c>
      <c r="H5975">
        <v>9564</v>
      </c>
      <c r="I5975" s="25" t="s">
        <v>2050</v>
      </c>
      <c r="J5975" t="s">
        <v>6437</v>
      </c>
      <c r="M5975" s="49"/>
    </row>
    <row r="5976" spans="6:13" x14ac:dyDescent="0.25">
      <c r="F5976" t="s">
        <v>6436</v>
      </c>
      <c r="G5976">
        <v>90425</v>
      </c>
      <c r="H5976">
        <v>9564</v>
      </c>
      <c r="I5976" s="25" t="s">
        <v>2050</v>
      </c>
      <c r="J5976" t="s">
        <v>6437</v>
      </c>
      <c r="M5976" s="49"/>
    </row>
    <row r="5977" spans="6:13" x14ac:dyDescent="0.25">
      <c r="F5977" t="s">
        <v>6436</v>
      </c>
      <c r="G5977">
        <v>90459</v>
      </c>
      <c r="H5977">
        <v>9564</v>
      </c>
      <c r="I5977" s="25" t="s">
        <v>2050</v>
      </c>
      <c r="J5977" t="s">
        <v>6437</v>
      </c>
      <c r="M5977" s="49"/>
    </row>
    <row r="5978" spans="6:13" x14ac:dyDescent="0.25">
      <c r="F5978" t="s">
        <v>6436</v>
      </c>
      <c r="G5978">
        <v>90449</v>
      </c>
      <c r="H5978">
        <v>9564</v>
      </c>
      <c r="I5978" s="25" t="s">
        <v>2050</v>
      </c>
      <c r="J5978" t="s">
        <v>6437</v>
      </c>
      <c r="M5978" s="49"/>
    </row>
    <row r="5979" spans="6:13" x14ac:dyDescent="0.25">
      <c r="F5979" t="s">
        <v>6436</v>
      </c>
      <c r="G5979">
        <v>90480</v>
      </c>
      <c r="H5979">
        <v>9564</v>
      </c>
      <c r="I5979" s="25" t="s">
        <v>2050</v>
      </c>
      <c r="J5979" t="s">
        <v>6437</v>
      </c>
      <c r="M5979" s="49"/>
    </row>
    <row r="5980" spans="6:13" x14ac:dyDescent="0.25">
      <c r="F5980" t="s">
        <v>6436</v>
      </c>
      <c r="G5980">
        <v>90455</v>
      </c>
      <c r="H5980">
        <v>9564</v>
      </c>
      <c r="I5980" s="25" t="s">
        <v>2050</v>
      </c>
      <c r="J5980" t="s">
        <v>6437</v>
      </c>
      <c r="M5980" s="49"/>
    </row>
    <row r="5981" spans="6:13" x14ac:dyDescent="0.25">
      <c r="F5981" t="s">
        <v>6436</v>
      </c>
      <c r="G5981">
        <v>90453</v>
      </c>
      <c r="H5981">
        <v>9564</v>
      </c>
      <c r="I5981" s="25" t="s">
        <v>2050</v>
      </c>
      <c r="J5981" t="s">
        <v>6437</v>
      </c>
      <c r="M5981" s="49"/>
    </row>
    <row r="5982" spans="6:13" x14ac:dyDescent="0.25">
      <c r="F5982" t="s">
        <v>6436</v>
      </c>
      <c r="G5982">
        <v>90402</v>
      </c>
      <c r="H5982">
        <v>9564</v>
      </c>
      <c r="I5982" s="25" t="s">
        <v>2050</v>
      </c>
      <c r="J5982" t="s">
        <v>6437</v>
      </c>
      <c r="M5982" s="49"/>
    </row>
    <row r="5983" spans="6:13" x14ac:dyDescent="0.25">
      <c r="F5983" t="s">
        <v>6438</v>
      </c>
      <c r="G5983">
        <v>90537</v>
      </c>
      <c r="H5983">
        <v>9574</v>
      </c>
      <c r="I5983" s="25" t="s">
        <v>2050</v>
      </c>
      <c r="J5983" t="s">
        <v>2291</v>
      </c>
      <c r="M5983" s="49"/>
    </row>
    <row r="5984" spans="6:13" x14ac:dyDescent="0.25">
      <c r="F5984" t="s">
        <v>6439</v>
      </c>
      <c r="G5984">
        <v>72622</v>
      </c>
      <c r="H5984">
        <v>8116</v>
      </c>
      <c r="I5984" s="25" t="s">
        <v>2018</v>
      </c>
      <c r="J5984" t="s">
        <v>2213</v>
      </c>
      <c r="M5984" s="49"/>
    </row>
    <row r="5985" spans="6:13" x14ac:dyDescent="0.25">
      <c r="F5985" t="s">
        <v>6440</v>
      </c>
      <c r="G5985">
        <v>72362</v>
      </c>
      <c r="H5985">
        <v>8417</v>
      </c>
      <c r="I5985" s="25" t="s">
        <v>2018</v>
      </c>
      <c r="J5985" t="s">
        <v>2269</v>
      </c>
      <c r="M5985" s="49"/>
    </row>
    <row r="5986" spans="6:13" x14ac:dyDescent="0.25">
      <c r="F5986" t="s">
        <v>6441</v>
      </c>
      <c r="G5986">
        <v>67759</v>
      </c>
      <c r="H5986">
        <v>7333</v>
      </c>
      <c r="I5986" s="25" t="s">
        <v>2123</v>
      </c>
      <c r="J5986" t="s">
        <v>2103</v>
      </c>
      <c r="M5986" s="49"/>
    </row>
    <row r="5987" spans="6:13" x14ac:dyDescent="0.25">
      <c r="F5987" t="s">
        <v>6441</v>
      </c>
      <c r="G5987">
        <v>67759</v>
      </c>
      <c r="H5987">
        <v>7333</v>
      </c>
      <c r="I5987" s="25" t="s">
        <v>2123</v>
      </c>
      <c r="J5987" t="s">
        <v>2103</v>
      </c>
      <c r="M5987" s="49"/>
    </row>
    <row r="5988" spans="6:13" x14ac:dyDescent="0.25">
      <c r="F5988" t="s">
        <v>6441</v>
      </c>
      <c r="G5988">
        <v>67759</v>
      </c>
      <c r="H5988">
        <v>7336</v>
      </c>
      <c r="I5988" s="25" t="s">
        <v>2123</v>
      </c>
      <c r="J5988" t="s">
        <v>2216</v>
      </c>
      <c r="M5988" s="49"/>
    </row>
    <row r="5989" spans="6:13" x14ac:dyDescent="0.25">
      <c r="F5989" t="s">
        <v>6441</v>
      </c>
      <c r="G5989">
        <v>67759</v>
      </c>
      <c r="H5989">
        <v>7336</v>
      </c>
      <c r="I5989" s="25" t="s">
        <v>2123</v>
      </c>
      <c r="J5989" t="s">
        <v>2216</v>
      </c>
      <c r="M5989" s="49"/>
    </row>
    <row r="5990" spans="6:13" x14ac:dyDescent="0.25">
      <c r="F5990" t="s">
        <v>6442</v>
      </c>
      <c r="G5990">
        <v>83365</v>
      </c>
      <c r="H5990">
        <v>9189</v>
      </c>
      <c r="I5990" s="25" t="s">
        <v>2050</v>
      </c>
      <c r="J5990" t="s">
        <v>2407</v>
      </c>
      <c r="M5990" s="49"/>
    </row>
    <row r="5991" spans="6:13" x14ac:dyDescent="0.25">
      <c r="F5991" t="s">
        <v>6443</v>
      </c>
      <c r="G5991">
        <v>83131</v>
      </c>
      <c r="H5991">
        <v>9187</v>
      </c>
      <c r="I5991" s="25" t="s">
        <v>2050</v>
      </c>
      <c r="J5991" t="s">
        <v>2245</v>
      </c>
      <c r="M5991" s="49"/>
    </row>
    <row r="5992" spans="6:13" x14ac:dyDescent="0.25">
      <c r="F5992" t="s">
        <v>6444</v>
      </c>
      <c r="G5992">
        <v>23896</v>
      </c>
      <c r="H5992">
        <v>1053</v>
      </c>
      <c r="I5992" s="25" t="s">
        <v>2085</v>
      </c>
      <c r="J5992" t="s">
        <v>2193</v>
      </c>
      <c r="M5992" s="49"/>
    </row>
    <row r="5993" spans="6:13" x14ac:dyDescent="0.25">
      <c r="F5993" t="s">
        <v>6445</v>
      </c>
      <c r="G5993">
        <v>69226</v>
      </c>
      <c r="H5993">
        <v>8226</v>
      </c>
      <c r="I5993" s="25" t="s">
        <v>2018</v>
      </c>
      <c r="J5993" t="s">
        <v>2442</v>
      </c>
      <c r="M5993" s="49"/>
    </row>
    <row r="5994" spans="6:13" x14ac:dyDescent="0.25">
      <c r="F5994" t="s">
        <v>6446</v>
      </c>
      <c r="G5994">
        <v>36167</v>
      </c>
      <c r="H5994">
        <v>6631</v>
      </c>
      <c r="I5994" s="25" t="s">
        <v>2046</v>
      </c>
      <c r="J5994" t="s">
        <v>2145</v>
      </c>
      <c r="M5994" s="49"/>
    </row>
    <row r="5995" spans="6:13" x14ac:dyDescent="0.25">
      <c r="F5995" t="s">
        <v>6447</v>
      </c>
      <c r="G5995">
        <v>14558</v>
      </c>
      <c r="H5995">
        <v>12069</v>
      </c>
      <c r="I5995" s="25" t="s">
        <v>2356</v>
      </c>
      <c r="J5995" t="s">
        <v>2857</v>
      </c>
      <c r="M5995" s="49"/>
    </row>
    <row r="5996" spans="6:13" x14ac:dyDescent="0.25">
      <c r="F5996" t="s">
        <v>6447</v>
      </c>
      <c r="G5996">
        <v>14558</v>
      </c>
      <c r="H5996">
        <v>12069</v>
      </c>
      <c r="I5996" s="25" t="s">
        <v>2356</v>
      </c>
      <c r="J5996" t="s">
        <v>2857</v>
      </c>
      <c r="M5996" s="49"/>
    </row>
    <row r="5997" spans="6:13" x14ac:dyDescent="0.25">
      <c r="F5997" t="s">
        <v>6448</v>
      </c>
      <c r="G5997">
        <v>14947</v>
      </c>
      <c r="H5997">
        <v>12072</v>
      </c>
      <c r="I5997" s="25" t="s">
        <v>2356</v>
      </c>
      <c r="J5997" t="s">
        <v>2456</v>
      </c>
      <c r="M5997" s="49"/>
    </row>
    <row r="5998" spans="6:13" x14ac:dyDescent="0.25">
      <c r="F5998" t="s">
        <v>6449</v>
      </c>
      <c r="G5998">
        <v>82487</v>
      </c>
      <c r="H5998">
        <v>9180</v>
      </c>
      <c r="I5998" s="25" t="s">
        <v>2050</v>
      </c>
      <c r="J5998" t="s">
        <v>2147</v>
      </c>
      <c r="M5998" s="49"/>
    </row>
    <row r="5999" spans="6:13" x14ac:dyDescent="0.25">
      <c r="F5999" t="s">
        <v>6450</v>
      </c>
      <c r="G5999">
        <v>90522</v>
      </c>
      <c r="H5999">
        <v>9573</v>
      </c>
      <c r="I5999" s="25" t="s">
        <v>2050</v>
      </c>
      <c r="J5999" t="s">
        <v>2466</v>
      </c>
      <c r="M5999" s="49"/>
    </row>
    <row r="6000" spans="6:13" x14ac:dyDescent="0.25">
      <c r="F6000" t="s">
        <v>6451</v>
      </c>
      <c r="G6000">
        <v>82496</v>
      </c>
      <c r="H6000">
        <v>9180</v>
      </c>
      <c r="I6000" s="25" t="s">
        <v>2050</v>
      </c>
      <c r="J6000" t="s">
        <v>2147</v>
      </c>
      <c r="M6000" s="49"/>
    </row>
    <row r="6001" spans="6:13" x14ac:dyDescent="0.25">
      <c r="F6001" t="s">
        <v>6452</v>
      </c>
      <c r="G6001">
        <v>83080</v>
      </c>
      <c r="H6001">
        <v>9187</v>
      </c>
      <c r="I6001" s="25" t="s">
        <v>2050</v>
      </c>
      <c r="J6001" t="s">
        <v>2245</v>
      </c>
      <c r="M6001" s="49"/>
    </row>
    <row r="6002" spans="6:13" x14ac:dyDescent="0.25">
      <c r="F6002" t="s">
        <v>6453</v>
      </c>
      <c r="G6002">
        <v>36280</v>
      </c>
      <c r="H6002">
        <v>6634</v>
      </c>
      <c r="I6002" s="25" t="s">
        <v>2046</v>
      </c>
      <c r="J6002" t="s">
        <v>2360</v>
      </c>
      <c r="M6002" s="49"/>
    </row>
    <row r="6003" spans="6:13" x14ac:dyDescent="0.25">
      <c r="F6003" t="s">
        <v>6454</v>
      </c>
      <c r="G6003">
        <v>97514</v>
      </c>
      <c r="H6003">
        <v>9674</v>
      </c>
      <c r="I6003" s="25" t="s">
        <v>2050</v>
      </c>
      <c r="J6003" t="s">
        <v>2218</v>
      </c>
      <c r="M6003" s="49"/>
    </row>
    <row r="6004" spans="6:13" x14ac:dyDescent="0.25">
      <c r="F6004" t="s">
        <v>6455</v>
      </c>
      <c r="G6004">
        <v>15377</v>
      </c>
      <c r="H6004">
        <v>12064</v>
      </c>
      <c r="I6004" s="25" t="s">
        <v>2356</v>
      </c>
      <c r="J6004" t="s">
        <v>2243</v>
      </c>
      <c r="M6004" s="49"/>
    </row>
    <row r="6005" spans="6:13" x14ac:dyDescent="0.25">
      <c r="F6005" t="s">
        <v>6456</v>
      </c>
      <c r="G6005">
        <v>84564</v>
      </c>
      <c r="H6005">
        <v>9183</v>
      </c>
      <c r="I6005" s="25" t="s">
        <v>2050</v>
      </c>
      <c r="J6005" t="s">
        <v>2474</v>
      </c>
      <c r="M6005" s="49"/>
    </row>
    <row r="6006" spans="6:13" x14ac:dyDescent="0.25">
      <c r="F6006" t="s">
        <v>6457</v>
      </c>
      <c r="G6006">
        <v>72644</v>
      </c>
      <c r="H6006">
        <v>8116</v>
      </c>
      <c r="I6006" s="25" t="s">
        <v>2018</v>
      </c>
      <c r="J6006" t="s">
        <v>2213</v>
      </c>
      <c r="M6006" s="49"/>
    </row>
    <row r="6007" spans="6:13" x14ac:dyDescent="0.25">
      <c r="F6007" t="s">
        <v>6458</v>
      </c>
      <c r="G6007">
        <v>91617</v>
      </c>
      <c r="H6007">
        <v>9571</v>
      </c>
      <c r="I6007" s="25" t="s">
        <v>2050</v>
      </c>
      <c r="J6007" t="s">
        <v>2113</v>
      </c>
      <c r="M6007" s="49"/>
    </row>
    <row r="6008" spans="6:13" x14ac:dyDescent="0.25">
      <c r="F6008" t="s">
        <v>6459</v>
      </c>
      <c r="G6008">
        <v>75038</v>
      </c>
      <c r="H6008">
        <v>8215</v>
      </c>
      <c r="I6008" s="25" t="s">
        <v>2018</v>
      </c>
      <c r="J6008" t="s">
        <v>2724</v>
      </c>
      <c r="M6008" s="49"/>
    </row>
    <row r="6009" spans="6:13" x14ac:dyDescent="0.25">
      <c r="F6009" t="s">
        <v>6460</v>
      </c>
      <c r="G6009">
        <v>85445</v>
      </c>
      <c r="H6009">
        <v>9177</v>
      </c>
      <c r="I6009" s="25" t="s">
        <v>2050</v>
      </c>
      <c r="J6009" t="s">
        <v>2915</v>
      </c>
      <c r="M6009" s="49"/>
    </row>
    <row r="6010" spans="6:13" x14ac:dyDescent="0.25">
      <c r="F6010" t="s">
        <v>6461</v>
      </c>
      <c r="G6010">
        <v>89610</v>
      </c>
      <c r="H6010">
        <v>8425</v>
      </c>
      <c r="I6010" s="25" t="s">
        <v>2018</v>
      </c>
      <c r="J6010" t="s">
        <v>2027</v>
      </c>
      <c r="M6010" s="49"/>
    </row>
    <row r="6011" spans="6:13" x14ac:dyDescent="0.25">
      <c r="F6011" t="s">
        <v>6462</v>
      </c>
      <c r="G6011">
        <v>85129</v>
      </c>
      <c r="H6011">
        <v>9176</v>
      </c>
      <c r="I6011" s="25" t="s">
        <v>2050</v>
      </c>
      <c r="J6011" t="s">
        <v>2102</v>
      </c>
      <c r="M6011" s="49"/>
    </row>
    <row r="6012" spans="6:13" x14ac:dyDescent="0.25">
      <c r="F6012" t="s">
        <v>6463</v>
      </c>
      <c r="G6012">
        <v>57639</v>
      </c>
      <c r="H6012">
        <v>7138</v>
      </c>
      <c r="I6012" s="25" t="s">
        <v>2123</v>
      </c>
      <c r="J6012" t="s">
        <v>2489</v>
      </c>
      <c r="M6012" s="49"/>
    </row>
    <row r="6013" spans="6:13" x14ac:dyDescent="0.25">
      <c r="F6013" t="s">
        <v>6464</v>
      </c>
      <c r="G6013">
        <v>97656</v>
      </c>
      <c r="H6013">
        <v>9673</v>
      </c>
      <c r="I6013" s="25" t="s">
        <v>2050</v>
      </c>
      <c r="J6013" t="s">
        <v>2676</v>
      </c>
      <c r="M6013" s="49"/>
    </row>
    <row r="6014" spans="6:13" x14ac:dyDescent="0.25">
      <c r="F6014" t="s">
        <v>6465</v>
      </c>
      <c r="G6014">
        <v>86573</v>
      </c>
      <c r="H6014">
        <v>9771</v>
      </c>
      <c r="I6014" s="25" t="s">
        <v>2050</v>
      </c>
      <c r="J6014" t="s">
        <v>2120</v>
      </c>
      <c r="M6014" s="49"/>
    </row>
    <row r="6015" spans="6:13" x14ac:dyDescent="0.25">
      <c r="F6015" t="s">
        <v>6466</v>
      </c>
      <c r="G6015">
        <v>87634</v>
      </c>
      <c r="H6015">
        <v>9777</v>
      </c>
      <c r="I6015" s="25" t="s">
        <v>2050</v>
      </c>
      <c r="J6015" t="s">
        <v>2237</v>
      </c>
      <c r="M6015" s="49"/>
    </row>
    <row r="6016" spans="6:13" x14ac:dyDescent="0.25">
      <c r="F6016" t="s">
        <v>6467</v>
      </c>
      <c r="G6016">
        <v>82041</v>
      </c>
      <c r="H6016">
        <v>9184</v>
      </c>
      <c r="I6016" s="25" t="s">
        <v>2050</v>
      </c>
      <c r="J6016" t="s">
        <v>2547</v>
      </c>
      <c r="M6016" s="49"/>
    </row>
    <row r="6017" spans="6:13" x14ac:dyDescent="0.25">
      <c r="F6017" t="s">
        <v>6468</v>
      </c>
      <c r="G6017">
        <v>96173</v>
      </c>
      <c r="H6017">
        <v>9471</v>
      </c>
      <c r="I6017" s="25" t="s">
        <v>2050</v>
      </c>
      <c r="J6017" t="s">
        <v>2392</v>
      </c>
      <c r="M6017" s="49"/>
    </row>
    <row r="6018" spans="6:13" x14ac:dyDescent="0.25">
      <c r="F6018" t="s">
        <v>6469</v>
      </c>
      <c r="G6018">
        <v>77784</v>
      </c>
      <c r="H6018">
        <v>8317</v>
      </c>
      <c r="I6018" s="25" t="s">
        <v>2018</v>
      </c>
      <c r="J6018" t="s">
        <v>2071</v>
      </c>
      <c r="M6018" s="49"/>
    </row>
    <row r="6019" spans="6:13" x14ac:dyDescent="0.25">
      <c r="F6019" t="s">
        <v>6470</v>
      </c>
      <c r="G6019">
        <v>38899</v>
      </c>
      <c r="H6019">
        <v>15085</v>
      </c>
      <c r="I6019" s="25" t="s">
        <v>2241</v>
      </c>
      <c r="J6019" t="s">
        <v>2178</v>
      </c>
      <c r="M6019" s="49"/>
    </row>
    <row r="6020" spans="6:13" x14ac:dyDescent="0.25">
      <c r="F6020" t="s">
        <v>6470</v>
      </c>
      <c r="G6020">
        <v>38877</v>
      </c>
      <c r="H6020">
        <v>15085</v>
      </c>
      <c r="I6020" s="25" t="s">
        <v>2241</v>
      </c>
      <c r="J6020" t="s">
        <v>2178</v>
      </c>
      <c r="M6020" s="49"/>
    </row>
    <row r="6021" spans="6:13" x14ac:dyDescent="0.25">
      <c r="F6021" t="s">
        <v>6470</v>
      </c>
      <c r="G6021">
        <v>38875</v>
      </c>
      <c r="H6021">
        <v>15085</v>
      </c>
      <c r="I6021" s="25" t="s">
        <v>2241</v>
      </c>
      <c r="J6021" t="s">
        <v>2178</v>
      </c>
      <c r="M6021" s="49"/>
    </row>
    <row r="6022" spans="6:13" x14ac:dyDescent="0.25">
      <c r="F6022" t="s">
        <v>6471</v>
      </c>
      <c r="G6022">
        <v>46147</v>
      </c>
      <c r="H6022">
        <v>5119</v>
      </c>
      <c r="I6022" s="25" t="s">
        <v>2023</v>
      </c>
      <c r="J6022" t="s">
        <v>6472</v>
      </c>
      <c r="M6022" s="49"/>
    </row>
    <row r="6023" spans="6:13" x14ac:dyDescent="0.25">
      <c r="F6023" t="s">
        <v>6471</v>
      </c>
      <c r="G6023">
        <v>46145</v>
      </c>
      <c r="H6023">
        <v>5119</v>
      </c>
      <c r="I6023" s="25" t="s">
        <v>2023</v>
      </c>
      <c r="J6023" t="s">
        <v>6472</v>
      </c>
      <c r="M6023" s="49"/>
    </row>
    <row r="6024" spans="6:13" x14ac:dyDescent="0.25">
      <c r="F6024" t="s">
        <v>6471</v>
      </c>
      <c r="G6024">
        <v>46045</v>
      </c>
      <c r="H6024">
        <v>5119</v>
      </c>
      <c r="I6024" s="25" t="s">
        <v>2023</v>
      </c>
      <c r="J6024" t="s">
        <v>6472</v>
      </c>
      <c r="M6024" s="49"/>
    </row>
    <row r="6025" spans="6:13" x14ac:dyDescent="0.25">
      <c r="F6025" t="s">
        <v>6471</v>
      </c>
      <c r="G6025">
        <v>46117</v>
      </c>
      <c r="H6025">
        <v>5119</v>
      </c>
      <c r="I6025" s="25" t="s">
        <v>2023</v>
      </c>
      <c r="J6025" t="s">
        <v>6472</v>
      </c>
      <c r="M6025" s="49"/>
    </row>
    <row r="6026" spans="6:13" x14ac:dyDescent="0.25">
      <c r="F6026" t="s">
        <v>6471</v>
      </c>
      <c r="G6026">
        <v>46119</v>
      </c>
      <c r="H6026">
        <v>5119</v>
      </c>
      <c r="I6026" s="25" t="s">
        <v>2023</v>
      </c>
      <c r="J6026" t="s">
        <v>6472</v>
      </c>
      <c r="M6026" s="49"/>
    </row>
    <row r="6027" spans="6:13" x14ac:dyDescent="0.25">
      <c r="F6027" t="s">
        <v>6471</v>
      </c>
      <c r="G6027">
        <v>46149</v>
      </c>
      <c r="H6027">
        <v>5119</v>
      </c>
      <c r="I6027" s="25" t="s">
        <v>2023</v>
      </c>
      <c r="J6027" t="s">
        <v>6472</v>
      </c>
      <c r="M6027" s="49"/>
    </row>
    <row r="6028" spans="6:13" x14ac:dyDescent="0.25">
      <c r="F6028" t="s">
        <v>6471</v>
      </c>
      <c r="G6028">
        <v>46047</v>
      </c>
      <c r="H6028">
        <v>5119</v>
      </c>
      <c r="I6028" s="25" t="s">
        <v>2023</v>
      </c>
      <c r="J6028" t="s">
        <v>6472</v>
      </c>
      <c r="M6028" s="49"/>
    </row>
    <row r="6029" spans="6:13" x14ac:dyDescent="0.25">
      <c r="F6029" t="s">
        <v>6471</v>
      </c>
      <c r="G6029">
        <v>46049</v>
      </c>
      <c r="H6029">
        <v>5119</v>
      </c>
      <c r="I6029" s="25" t="s">
        <v>2023</v>
      </c>
      <c r="J6029" t="s">
        <v>6472</v>
      </c>
      <c r="M6029" s="49"/>
    </row>
    <row r="6030" spans="6:13" x14ac:dyDescent="0.25">
      <c r="F6030" t="s">
        <v>6471</v>
      </c>
      <c r="G6030">
        <v>86697</v>
      </c>
      <c r="H6030">
        <v>9185</v>
      </c>
      <c r="I6030" s="25" t="s">
        <v>2050</v>
      </c>
      <c r="J6030" t="s">
        <v>2515</v>
      </c>
      <c r="M6030" s="49"/>
    </row>
    <row r="6031" spans="6:13" x14ac:dyDescent="0.25">
      <c r="F6031" t="s">
        <v>6473</v>
      </c>
      <c r="G6031">
        <v>68794</v>
      </c>
      <c r="H6031">
        <v>8215</v>
      </c>
      <c r="I6031" s="25" t="s">
        <v>2018</v>
      </c>
      <c r="J6031" t="s">
        <v>2724</v>
      </c>
      <c r="M6031" s="49"/>
    </row>
    <row r="6032" spans="6:13" x14ac:dyDescent="0.25">
      <c r="F6032" t="s">
        <v>6474</v>
      </c>
      <c r="G6032">
        <v>98559</v>
      </c>
      <c r="H6032">
        <v>16054</v>
      </c>
      <c r="I6032" s="25" t="s">
        <v>2384</v>
      </c>
      <c r="J6032" t="s">
        <v>6475</v>
      </c>
      <c r="M6032" s="49"/>
    </row>
    <row r="6033" spans="6:13" x14ac:dyDescent="0.25">
      <c r="F6033" t="s">
        <v>6474</v>
      </c>
      <c r="G6033">
        <v>98559</v>
      </c>
      <c r="H6033">
        <v>16054</v>
      </c>
      <c r="I6033" s="25" t="s">
        <v>2384</v>
      </c>
      <c r="J6033" t="s">
        <v>6475</v>
      </c>
      <c r="M6033" s="49"/>
    </row>
    <row r="6034" spans="6:13" x14ac:dyDescent="0.25">
      <c r="F6034" t="s">
        <v>6474</v>
      </c>
      <c r="G6034">
        <v>98559</v>
      </c>
      <c r="H6034">
        <v>16066</v>
      </c>
      <c r="I6034" s="25" t="s">
        <v>2384</v>
      </c>
      <c r="J6034" t="s">
        <v>2358</v>
      </c>
      <c r="M6034" s="49"/>
    </row>
    <row r="6035" spans="6:13" x14ac:dyDescent="0.25">
      <c r="F6035" t="s">
        <v>6474</v>
      </c>
      <c r="G6035">
        <v>98559</v>
      </c>
      <c r="H6035">
        <v>16066</v>
      </c>
      <c r="I6035" s="25" t="s">
        <v>2384</v>
      </c>
      <c r="J6035" t="s">
        <v>2358</v>
      </c>
      <c r="M6035" s="49"/>
    </row>
    <row r="6036" spans="6:13" x14ac:dyDescent="0.25">
      <c r="F6036" t="s">
        <v>6476</v>
      </c>
      <c r="G6036">
        <v>77704</v>
      </c>
      <c r="H6036">
        <v>8317</v>
      </c>
      <c r="I6036" s="25" t="s">
        <v>2018</v>
      </c>
      <c r="J6036" t="s">
        <v>2071</v>
      </c>
      <c r="M6036" s="49"/>
    </row>
    <row r="6037" spans="6:13" x14ac:dyDescent="0.25">
      <c r="F6037" t="s">
        <v>6477</v>
      </c>
      <c r="G6037">
        <v>73447</v>
      </c>
      <c r="H6037">
        <v>8136</v>
      </c>
      <c r="I6037" s="25" t="s">
        <v>2018</v>
      </c>
      <c r="J6037" t="s">
        <v>2039</v>
      </c>
      <c r="M6037" s="49"/>
    </row>
    <row r="6038" spans="6:13" x14ac:dyDescent="0.25">
      <c r="F6038" t="s">
        <v>6478</v>
      </c>
      <c r="G6038">
        <v>95145</v>
      </c>
      <c r="H6038">
        <v>9475</v>
      </c>
      <c r="I6038" s="25" t="s">
        <v>2050</v>
      </c>
      <c r="J6038" t="s">
        <v>2201</v>
      </c>
      <c r="M6038" s="49"/>
    </row>
    <row r="6039" spans="6:13" x14ac:dyDescent="0.25">
      <c r="F6039" t="s">
        <v>6479</v>
      </c>
      <c r="G6039">
        <v>57641</v>
      </c>
      <c r="H6039">
        <v>7132</v>
      </c>
      <c r="I6039" s="25" t="s">
        <v>2123</v>
      </c>
      <c r="J6039" t="s">
        <v>2401</v>
      </c>
      <c r="M6039" s="49"/>
    </row>
    <row r="6040" spans="6:13" x14ac:dyDescent="0.25">
      <c r="F6040" t="s">
        <v>6480</v>
      </c>
      <c r="G6040">
        <v>49779</v>
      </c>
      <c r="H6040">
        <v>3454</v>
      </c>
      <c r="I6040" s="25" t="s">
        <v>2074</v>
      </c>
      <c r="J6040" t="s">
        <v>2118</v>
      </c>
      <c r="M6040" s="49"/>
    </row>
    <row r="6041" spans="6:13" x14ac:dyDescent="0.25">
      <c r="F6041" t="s">
        <v>6481</v>
      </c>
      <c r="G6041">
        <v>97789</v>
      </c>
      <c r="H6041">
        <v>9672</v>
      </c>
      <c r="I6041" s="25" t="s">
        <v>2050</v>
      </c>
      <c r="J6041" t="s">
        <v>2620</v>
      </c>
      <c r="M6041" s="49"/>
    </row>
    <row r="6042" spans="6:13" x14ac:dyDescent="0.25">
      <c r="F6042" t="s">
        <v>6482</v>
      </c>
      <c r="G6042">
        <v>9353</v>
      </c>
      <c r="H6042">
        <v>14524</v>
      </c>
      <c r="I6042" s="25" t="s">
        <v>2135</v>
      </c>
      <c r="J6042" t="s">
        <v>3424</v>
      </c>
      <c r="M6042" s="49"/>
    </row>
    <row r="6043" spans="6:13" x14ac:dyDescent="0.25">
      <c r="F6043" t="s">
        <v>6483</v>
      </c>
      <c r="G6043">
        <v>89611</v>
      </c>
      <c r="H6043">
        <v>8425</v>
      </c>
      <c r="I6043" s="25" t="s">
        <v>2018</v>
      </c>
      <c r="J6043" t="s">
        <v>2027</v>
      </c>
      <c r="M6043" s="49"/>
    </row>
    <row r="6044" spans="6:13" x14ac:dyDescent="0.25">
      <c r="F6044" t="s">
        <v>6484</v>
      </c>
      <c r="G6044">
        <v>61239</v>
      </c>
      <c r="H6044">
        <v>6440</v>
      </c>
      <c r="I6044" s="25" t="s">
        <v>2046</v>
      </c>
      <c r="J6044" t="s">
        <v>2415</v>
      </c>
      <c r="M6044" s="49"/>
    </row>
    <row r="6045" spans="6:13" x14ac:dyDescent="0.25">
      <c r="F6045" t="s">
        <v>6485</v>
      </c>
      <c r="G6045">
        <v>67823</v>
      </c>
      <c r="H6045">
        <v>7133</v>
      </c>
      <c r="I6045" s="25" t="s">
        <v>2123</v>
      </c>
      <c r="J6045" t="s">
        <v>2037</v>
      </c>
      <c r="M6045" s="49"/>
    </row>
    <row r="6046" spans="6:13" x14ac:dyDescent="0.25">
      <c r="F6046" t="s">
        <v>6485</v>
      </c>
      <c r="G6046">
        <v>67823</v>
      </c>
      <c r="H6046">
        <v>7333</v>
      </c>
      <c r="I6046" s="25" t="s">
        <v>2123</v>
      </c>
      <c r="J6046" t="s">
        <v>2103</v>
      </c>
      <c r="M6046" s="49"/>
    </row>
    <row r="6047" spans="6:13" x14ac:dyDescent="0.25">
      <c r="F6047" t="s">
        <v>6486</v>
      </c>
      <c r="G6047">
        <v>97342</v>
      </c>
      <c r="H6047">
        <v>9675</v>
      </c>
      <c r="I6047" s="25" t="s">
        <v>2050</v>
      </c>
      <c r="J6047" t="s">
        <v>2259</v>
      </c>
      <c r="M6047" s="49"/>
    </row>
    <row r="6048" spans="6:13" x14ac:dyDescent="0.25">
      <c r="F6048" t="s">
        <v>6487</v>
      </c>
      <c r="G6048">
        <v>63785</v>
      </c>
      <c r="H6048">
        <v>9676</v>
      </c>
      <c r="I6048" s="25" t="s">
        <v>2050</v>
      </c>
      <c r="J6048" t="s">
        <v>2381</v>
      </c>
      <c r="M6048" s="49"/>
    </row>
    <row r="6049" spans="6:13" x14ac:dyDescent="0.25">
      <c r="F6049" t="s">
        <v>6488</v>
      </c>
      <c r="G6049">
        <v>21787</v>
      </c>
      <c r="H6049">
        <v>3352</v>
      </c>
      <c r="I6049" s="25" t="s">
        <v>2074</v>
      </c>
      <c r="J6049" t="s">
        <v>2079</v>
      </c>
      <c r="M6049" s="49"/>
    </row>
    <row r="6050" spans="6:13" x14ac:dyDescent="0.25">
      <c r="F6050" t="s">
        <v>6489</v>
      </c>
      <c r="G6050">
        <v>86698</v>
      </c>
      <c r="H6050">
        <v>9779</v>
      </c>
      <c r="I6050" s="25" t="s">
        <v>2050</v>
      </c>
      <c r="J6050" t="s">
        <v>2280</v>
      </c>
      <c r="M6050" s="49"/>
    </row>
    <row r="6051" spans="6:13" x14ac:dyDescent="0.25">
      <c r="F6051" t="s">
        <v>6490</v>
      </c>
      <c r="G6051">
        <v>78727</v>
      </c>
      <c r="H6051">
        <v>8325</v>
      </c>
      <c r="I6051" s="25" t="s">
        <v>2018</v>
      </c>
      <c r="J6051" t="s">
        <v>2208</v>
      </c>
      <c r="M6051" s="49"/>
    </row>
    <row r="6052" spans="6:13" x14ac:dyDescent="0.25">
      <c r="F6052" t="s">
        <v>6491</v>
      </c>
      <c r="G6052">
        <v>84565</v>
      </c>
      <c r="H6052">
        <v>9183</v>
      </c>
      <c r="I6052" s="25" t="s">
        <v>2050</v>
      </c>
      <c r="J6052" t="s">
        <v>2474</v>
      </c>
      <c r="M6052" s="49"/>
    </row>
    <row r="6053" spans="6:13" x14ac:dyDescent="0.25">
      <c r="F6053" t="s">
        <v>6492</v>
      </c>
      <c r="G6053">
        <v>72364</v>
      </c>
      <c r="H6053">
        <v>8417</v>
      </c>
      <c r="I6053" s="25" t="s">
        <v>2018</v>
      </c>
      <c r="J6053" t="s">
        <v>2269</v>
      </c>
      <c r="M6053" s="49"/>
    </row>
    <row r="6054" spans="6:13" x14ac:dyDescent="0.25">
      <c r="F6054" t="s">
        <v>6493</v>
      </c>
      <c r="G6054">
        <v>66919</v>
      </c>
      <c r="H6054">
        <v>7340</v>
      </c>
      <c r="I6054" s="25" t="s">
        <v>2123</v>
      </c>
      <c r="J6054" t="s">
        <v>2826</v>
      </c>
      <c r="M6054" s="49"/>
    </row>
    <row r="6055" spans="6:13" x14ac:dyDescent="0.25">
      <c r="F6055" t="s">
        <v>6494</v>
      </c>
      <c r="G6055">
        <v>31683</v>
      </c>
      <c r="H6055">
        <v>3257</v>
      </c>
      <c r="I6055" s="25" t="s">
        <v>2074</v>
      </c>
      <c r="J6055" t="s">
        <v>2167</v>
      </c>
      <c r="M6055" s="49"/>
    </row>
    <row r="6056" spans="6:13" x14ac:dyDescent="0.25">
      <c r="F6056" t="s">
        <v>6495</v>
      </c>
      <c r="G6056">
        <v>94130</v>
      </c>
      <c r="H6056">
        <v>9275</v>
      </c>
      <c r="I6056" s="25" t="s">
        <v>2050</v>
      </c>
      <c r="J6056" t="s">
        <v>2198</v>
      </c>
      <c r="M6056" s="49"/>
    </row>
    <row r="6057" spans="6:13" x14ac:dyDescent="0.25">
      <c r="F6057" t="s">
        <v>6496</v>
      </c>
      <c r="G6057">
        <v>91619</v>
      </c>
      <c r="H6057">
        <v>9575</v>
      </c>
      <c r="I6057" s="25" t="s">
        <v>2050</v>
      </c>
      <c r="J6057" t="s">
        <v>2749</v>
      </c>
      <c r="M6057" s="49"/>
    </row>
    <row r="6058" spans="6:13" x14ac:dyDescent="0.25">
      <c r="F6058" t="s">
        <v>6497</v>
      </c>
      <c r="G6058">
        <v>55270</v>
      </c>
      <c r="H6058">
        <v>7339</v>
      </c>
      <c r="I6058" s="25" t="s">
        <v>2123</v>
      </c>
      <c r="J6058" t="s">
        <v>2238</v>
      </c>
      <c r="M6058" s="49"/>
    </row>
    <row r="6059" spans="6:13" x14ac:dyDescent="0.25">
      <c r="F6059" t="s">
        <v>6497</v>
      </c>
      <c r="G6059">
        <v>55270</v>
      </c>
      <c r="H6059">
        <v>7339</v>
      </c>
      <c r="I6059" s="25" t="s">
        <v>2123</v>
      </c>
      <c r="J6059" t="s">
        <v>2238</v>
      </c>
      <c r="M6059" s="49"/>
    </row>
    <row r="6060" spans="6:13" x14ac:dyDescent="0.25">
      <c r="F6060" t="s">
        <v>6498</v>
      </c>
      <c r="G6060">
        <v>86869</v>
      </c>
      <c r="H6060">
        <v>9777</v>
      </c>
      <c r="I6060" s="25" t="s">
        <v>2050</v>
      </c>
      <c r="J6060" t="s">
        <v>2237</v>
      </c>
      <c r="M6060" s="49"/>
    </row>
    <row r="6061" spans="6:13" x14ac:dyDescent="0.25">
      <c r="F6061" t="s">
        <v>6499</v>
      </c>
      <c r="G6061">
        <v>86507</v>
      </c>
      <c r="H6061">
        <v>9772</v>
      </c>
      <c r="I6061" s="25" t="s">
        <v>2050</v>
      </c>
      <c r="J6061" t="s">
        <v>2117</v>
      </c>
      <c r="M6061" s="49"/>
    </row>
    <row r="6062" spans="6:13" x14ac:dyDescent="0.25">
      <c r="F6062" t="s">
        <v>6500</v>
      </c>
      <c r="G6062">
        <v>85667</v>
      </c>
      <c r="H6062">
        <v>9175</v>
      </c>
      <c r="I6062" s="25" t="s">
        <v>2050</v>
      </c>
      <c r="J6062" t="s">
        <v>2500</v>
      </c>
      <c r="M6062" s="49"/>
    </row>
    <row r="6063" spans="6:13" x14ac:dyDescent="0.25">
      <c r="F6063" t="s">
        <v>6501</v>
      </c>
      <c r="G6063">
        <v>94562</v>
      </c>
      <c r="H6063">
        <v>9271</v>
      </c>
      <c r="I6063" s="25" t="s">
        <v>2050</v>
      </c>
      <c r="J6063" t="s">
        <v>2172</v>
      </c>
      <c r="M6063" s="49"/>
    </row>
    <row r="6064" spans="6:13" x14ac:dyDescent="0.25">
      <c r="F6064" t="s">
        <v>6502</v>
      </c>
      <c r="G6064">
        <v>64372</v>
      </c>
      <c r="H6064">
        <v>6432</v>
      </c>
      <c r="I6064" s="25" t="s">
        <v>2046</v>
      </c>
      <c r="J6064" t="s">
        <v>2338</v>
      </c>
      <c r="M6064" s="49"/>
    </row>
    <row r="6065" spans="6:13" x14ac:dyDescent="0.25">
      <c r="F6065" t="s">
        <v>6503</v>
      </c>
      <c r="G6065">
        <v>75394</v>
      </c>
      <c r="H6065">
        <v>8235</v>
      </c>
      <c r="I6065" s="25" t="s">
        <v>2018</v>
      </c>
      <c r="J6065" t="s">
        <v>2422</v>
      </c>
      <c r="M6065" s="49"/>
    </row>
    <row r="6066" spans="6:13" x14ac:dyDescent="0.25">
      <c r="F6066" t="s">
        <v>6503</v>
      </c>
      <c r="G6066">
        <v>91097</v>
      </c>
      <c r="H6066">
        <v>9572</v>
      </c>
      <c r="I6066" s="25" t="s">
        <v>2050</v>
      </c>
      <c r="J6066" t="s">
        <v>2105</v>
      </c>
      <c r="M6066" s="49"/>
    </row>
    <row r="6067" spans="6:13" x14ac:dyDescent="0.25">
      <c r="F6067" t="s">
        <v>6504</v>
      </c>
      <c r="G6067">
        <v>88179</v>
      </c>
      <c r="H6067">
        <v>9776</v>
      </c>
      <c r="I6067" s="25" t="s">
        <v>2050</v>
      </c>
      <c r="J6067" t="s">
        <v>4735</v>
      </c>
      <c r="M6067" s="49"/>
    </row>
    <row r="6068" spans="6:13" x14ac:dyDescent="0.25">
      <c r="F6068" t="s">
        <v>6505</v>
      </c>
      <c r="G6068">
        <v>79254</v>
      </c>
      <c r="H6068">
        <v>8315</v>
      </c>
      <c r="I6068" s="25" t="s">
        <v>2018</v>
      </c>
      <c r="J6068" t="s">
        <v>2061</v>
      </c>
      <c r="M6068" s="49"/>
    </row>
    <row r="6069" spans="6:13" x14ac:dyDescent="0.25">
      <c r="F6069" t="s">
        <v>6506</v>
      </c>
      <c r="G6069">
        <v>87769</v>
      </c>
      <c r="H6069">
        <v>9778</v>
      </c>
      <c r="I6069" s="25" t="s">
        <v>2050</v>
      </c>
      <c r="J6069" t="s">
        <v>2460</v>
      </c>
      <c r="M6069" s="49"/>
    </row>
    <row r="6070" spans="6:13" x14ac:dyDescent="0.25">
      <c r="F6070" t="s">
        <v>6507</v>
      </c>
      <c r="G6070">
        <v>71739</v>
      </c>
      <c r="H6070">
        <v>8118</v>
      </c>
      <c r="I6070" s="25" t="s">
        <v>2018</v>
      </c>
      <c r="J6070" t="s">
        <v>2142</v>
      </c>
      <c r="M6070" s="49"/>
    </row>
    <row r="6071" spans="6:13" x14ac:dyDescent="0.25">
      <c r="F6071" t="s">
        <v>6508</v>
      </c>
      <c r="G6071">
        <v>56479</v>
      </c>
      <c r="H6071">
        <v>7143</v>
      </c>
      <c r="I6071" s="25" t="s">
        <v>2123</v>
      </c>
      <c r="J6071" t="s">
        <v>2331</v>
      </c>
      <c r="M6071" s="49"/>
    </row>
    <row r="6072" spans="6:13" x14ac:dyDescent="0.25">
      <c r="F6072" t="s">
        <v>6509</v>
      </c>
      <c r="G6072">
        <v>74420</v>
      </c>
      <c r="H6072">
        <v>8127</v>
      </c>
      <c r="I6072" s="25" t="s">
        <v>2018</v>
      </c>
      <c r="J6072" t="s">
        <v>3126</v>
      </c>
      <c r="M6072" s="49"/>
    </row>
    <row r="6073" spans="6:13" x14ac:dyDescent="0.25">
      <c r="F6073" t="s">
        <v>6510</v>
      </c>
      <c r="G6073">
        <v>89294</v>
      </c>
      <c r="H6073">
        <v>9775</v>
      </c>
      <c r="I6073" s="25" t="s">
        <v>2050</v>
      </c>
      <c r="J6073" t="s">
        <v>2418</v>
      </c>
      <c r="M6073" s="49"/>
    </row>
    <row r="6074" spans="6:13" x14ac:dyDescent="0.25">
      <c r="F6074" t="s">
        <v>6511</v>
      </c>
      <c r="G6074">
        <v>91483</v>
      </c>
      <c r="H6074">
        <v>9575</v>
      </c>
      <c r="I6074" s="25" t="s">
        <v>2050</v>
      </c>
      <c r="J6074" t="s">
        <v>2749</v>
      </c>
      <c r="M6074" s="49"/>
    </row>
    <row r="6075" spans="6:13" x14ac:dyDescent="0.25">
      <c r="F6075" t="s">
        <v>6512</v>
      </c>
      <c r="G6075">
        <v>85764</v>
      </c>
      <c r="H6075">
        <v>9174</v>
      </c>
      <c r="I6075" s="25" t="s">
        <v>2050</v>
      </c>
      <c r="J6075" t="s">
        <v>2445</v>
      </c>
      <c r="M6075" s="49"/>
    </row>
    <row r="6076" spans="6:13" x14ac:dyDescent="0.25">
      <c r="F6076" t="s">
        <v>6512</v>
      </c>
      <c r="G6076">
        <v>85764</v>
      </c>
      <c r="H6076">
        <v>9184</v>
      </c>
      <c r="I6076" s="25" t="s">
        <v>2050</v>
      </c>
      <c r="J6076" t="s">
        <v>2547</v>
      </c>
      <c r="M6076" s="49"/>
    </row>
    <row r="6077" spans="6:13" x14ac:dyDescent="0.25">
      <c r="F6077" t="s">
        <v>6513</v>
      </c>
      <c r="G6077">
        <v>94363</v>
      </c>
      <c r="H6077">
        <v>9278</v>
      </c>
      <c r="I6077" s="25" t="s">
        <v>2050</v>
      </c>
      <c r="J6077" t="s">
        <v>2170</v>
      </c>
      <c r="M6077" s="49"/>
    </row>
    <row r="6078" spans="6:13" x14ac:dyDescent="0.25">
      <c r="F6078" t="s">
        <v>6514</v>
      </c>
      <c r="G6078">
        <v>87770</v>
      </c>
      <c r="H6078">
        <v>9778</v>
      </c>
      <c r="I6078" s="25" t="s">
        <v>2050</v>
      </c>
      <c r="J6078" t="s">
        <v>2460</v>
      </c>
      <c r="M6078" s="49"/>
    </row>
    <row r="6079" spans="6:13" x14ac:dyDescent="0.25">
      <c r="F6079" t="s">
        <v>6515</v>
      </c>
      <c r="G6079">
        <v>97516</v>
      </c>
      <c r="H6079">
        <v>9678</v>
      </c>
      <c r="I6079" s="25" t="s">
        <v>2050</v>
      </c>
      <c r="J6079" t="s">
        <v>2918</v>
      </c>
      <c r="M6079" s="49"/>
    </row>
    <row r="6080" spans="6:13" x14ac:dyDescent="0.25">
      <c r="F6080" t="s">
        <v>6516</v>
      </c>
      <c r="G6080">
        <v>82294</v>
      </c>
      <c r="H6080">
        <v>9179</v>
      </c>
      <c r="I6080" s="25" t="s">
        <v>2050</v>
      </c>
      <c r="J6080" t="s">
        <v>2111</v>
      </c>
      <c r="M6080" s="49"/>
    </row>
    <row r="6081" spans="6:13" x14ac:dyDescent="0.25">
      <c r="F6081" t="s">
        <v>6517</v>
      </c>
      <c r="G6081">
        <v>97791</v>
      </c>
      <c r="H6081">
        <v>9677</v>
      </c>
      <c r="I6081" s="25" t="s">
        <v>2050</v>
      </c>
      <c r="J6081" t="s">
        <v>2527</v>
      </c>
      <c r="M6081" s="49"/>
    </row>
    <row r="6082" spans="6:13" x14ac:dyDescent="0.25">
      <c r="F6082" t="s">
        <v>6518</v>
      </c>
      <c r="G6082">
        <v>82395</v>
      </c>
      <c r="H6082">
        <v>9190</v>
      </c>
      <c r="I6082" s="25" t="s">
        <v>2050</v>
      </c>
      <c r="J6082" t="s">
        <v>2417</v>
      </c>
      <c r="M6082" s="49"/>
    </row>
    <row r="6083" spans="6:13" x14ac:dyDescent="0.25">
      <c r="F6083" t="s">
        <v>6519</v>
      </c>
      <c r="G6083">
        <v>74423</v>
      </c>
      <c r="H6083">
        <v>8127</v>
      </c>
      <c r="I6083" s="25" t="s">
        <v>2018</v>
      </c>
      <c r="J6083" t="s">
        <v>3126</v>
      </c>
      <c r="M6083" s="49"/>
    </row>
    <row r="6084" spans="6:13" x14ac:dyDescent="0.25">
      <c r="F6084" t="s">
        <v>6520</v>
      </c>
      <c r="G6084">
        <v>89613</v>
      </c>
      <c r="H6084">
        <v>8425</v>
      </c>
      <c r="I6084" s="25" t="s">
        <v>2018</v>
      </c>
      <c r="J6084" t="s">
        <v>2027</v>
      </c>
      <c r="M6084" s="49"/>
    </row>
    <row r="6085" spans="6:13" x14ac:dyDescent="0.25">
      <c r="F6085" t="s">
        <v>6521</v>
      </c>
      <c r="G6085">
        <v>87534</v>
      </c>
      <c r="H6085">
        <v>9780</v>
      </c>
      <c r="I6085" s="25" t="s">
        <v>2050</v>
      </c>
      <c r="J6085" t="s">
        <v>2278</v>
      </c>
      <c r="M6085" s="49"/>
    </row>
    <row r="6086" spans="6:13" x14ac:dyDescent="0.25">
      <c r="F6086" t="s">
        <v>6522</v>
      </c>
      <c r="G6086">
        <v>87561</v>
      </c>
      <c r="H6086">
        <v>9780</v>
      </c>
      <c r="I6086" s="25" t="s">
        <v>2050</v>
      </c>
      <c r="J6086" t="s">
        <v>2278</v>
      </c>
      <c r="M6086" s="49"/>
    </row>
    <row r="6087" spans="6:13" x14ac:dyDescent="0.25">
      <c r="F6087" t="s">
        <v>6523</v>
      </c>
      <c r="G6087">
        <v>71720</v>
      </c>
      <c r="H6087">
        <v>8118</v>
      </c>
      <c r="I6087" s="25" t="s">
        <v>2018</v>
      </c>
      <c r="J6087" t="s">
        <v>2142</v>
      </c>
      <c r="M6087" s="49"/>
    </row>
    <row r="6088" spans="6:13" x14ac:dyDescent="0.25">
      <c r="F6088" t="s">
        <v>6524</v>
      </c>
      <c r="G6088">
        <v>97640</v>
      </c>
      <c r="H6088">
        <v>9673</v>
      </c>
      <c r="I6088" s="25" t="s">
        <v>2050</v>
      </c>
      <c r="J6088" t="s">
        <v>2676</v>
      </c>
      <c r="M6088" s="49"/>
    </row>
    <row r="6089" spans="6:13" x14ac:dyDescent="0.25">
      <c r="F6089" t="s">
        <v>6524</v>
      </c>
      <c r="G6089">
        <v>97640</v>
      </c>
      <c r="H6089">
        <v>9673</v>
      </c>
      <c r="I6089" s="25" t="s">
        <v>2050</v>
      </c>
      <c r="J6089" t="s">
        <v>2676</v>
      </c>
      <c r="M6089" s="49"/>
    </row>
    <row r="6090" spans="6:13" x14ac:dyDescent="0.25">
      <c r="F6090" t="s">
        <v>6525</v>
      </c>
      <c r="G6090">
        <v>74182</v>
      </c>
      <c r="H6090">
        <v>8125</v>
      </c>
      <c r="I6090" s="25" t="s">
        <v>2018</v>
      </c>
      <c r="J6090" t="s">
        <v>2060</v>
      </c>
      <c r="M6090" s="49"/>
    </row>
    <row r="6091" spans="6:13" x14ac:dyDescent="0.25">
      <c r="F6091" t="s">
        <v>6526</v>
      </c>
      <c r="G6091">
        <v>84101</v>
      </c>
      <c r="H6091">
        <v>9274</v>
      </c>
      <c r="I6091" s="25" t="s">
        <v>2050</v>
      </c>
      <c r="J6091" t="s">
        <v>2132</v>
      </c>
      <c r="M6091" s="49"/>
    </row>
    <row r="6092" spans="6:13" x14ac:dyDescent="0.25">
      <c r="F6092" t="s">
        <v>6527</v>
      </c>
      <c r="G6092">
        <v>88094</v>
      </c>
      <c r="H6092">
        <v>8435</v>
      </c>
      <c r="I6092" s="25" t="s">
        <v>2018</v>
      </c>
      <c r="J6092" t="s">
        <v>3011</v>
      </c>
      <c r="M6092" s="49"/>
    </row>
    <row r="6093" spans="6:13" x14ac:dyDescent="0.25">
      <c r="F6093" t="s">
        <v>6528</v>
      </c>
      <c r="G6093">
        <v>66649</v>
      </c>
      <c r="H6093">
        <v>10046</v>
      </c>
      <c r="I6093" s="25" t="s">
        <v>2849</v>
      </c>
      <c r="J6093" t="s">
        <v>2375</v>
      </c>
      <c r="M6093" s="49"/>
    </row>
    <row r="6094" spans="6:13" x14ac:dyDescent="0.25">
      <c r="F6094" t="s">
        <v>6529</v>
      </c>
      <c r="G6094">
        <v>97723</v>
      </c>
      <c r="H6094">
        <v>9672</v>
      </c>
      <c r="I6094" s="25" t="s">
        <v>2050</v>
      </c>
      <c r="J6094" t="s">
        <v>2620</v>
      </c>
      <c r="M6094" s="49"/>
    </row>
    <row r="6095" spans="6:13" x14ac:dyDescent="0.25">
      <c r="F6095" t="s">
        <v>6530</v>
      </c>
      <c r="G6095">
        <v>93083</v>
      </c>
      <c r="H6095">
        <v>9375</v>
      </c>
      <c r="I6095" s="25" t="s">
        <v>2050</v>
      </c>
      <c r="J6095" t="s">
        <v>2365</v>
      </c>
      <c r="M6095" s="49"/>
    </row>
    <row r="6096" spans="6:13" x14ac:dyDescent="0.25">
      <c r="F6096" t="s">
        <v>6531</v>
      </c>
      <c r="G6096">
        <v>91286</v>
      </c>
      <c r="H6096">
        <v>9474</v>
      </c>
      <c r="I6096" s="25" t="s">
        <v>2050</v>
      </c>
      <c r="J6096" t="s">
        <v>3692</v>
      </c>
      <c r="M6096" s="49"/>
    </row>
    <row r="6097" spans="6:13" x14ac:dyDescent="0.25">
      <c r="F6097" t="s">
        <v>6532</v>
      </c>
      <c r="G6097">
        <v>63179</v>
      </c>
      <c r="H6097">
        <v>6438</v>
      </c>
      <c r="I6097" s="25" t="s">
        <v>2046</v>
      </c>
      <c r="J6097" t="s">
        <v>3567</v>
      </c>
      <c r="M6097" s="49"/>
    </row>
    <row r="6098" spans="6:13" x14ac:dyDescent="0.25">
      <c r="F6098" t="s">
        <v>6533</v>
      </c>
      <c r="G6098">
        <v>61440</v>
      </c>
      <c r="H6098">
        <v>6434</v>
      </c>
      <c r="I6098" s="25" t="s">
        <v>2046</v>
      </c>
      <c r="J6098" t="s">
        <v>2664</v>
      </c>
      <c r="M6098" s="49"/>
    </row>
    <row r="6099" spans="6:13" x14ac:dyDescent="0.25">
      <c r="F6099" t="s">
        <v>6534</v>
      </c>
      <c r="G6099">
        <v>92526</v>
      </c>
      <c r="H6099">
        <v>9376</v>
      </c>
      <c r="I6099" s="25" t="s">
        <v>2050</v>
      </c>
      <c r="J6099" t="s">
        <v>2390</v>
      </c>
      <c r="M6099" s="49"/>
    </row>
    <row r="6100" spans="6:13" x14ac:dyDescent="0.25">
      <c r="F6100" t="s">
        <v>6535</v>
      </c>
      <c r="G6100">
        <v>98744</v>
      </c>
      <c r="H6100">
        <v>16073</v>
      </c>
      <c r="I6100" s="25" t="s">
        <v>2384</v>
      </c>
      <c r="J6100" t="s">
        <v>2618</v>
      </c>
      <c r="M6100" s="49"/>
    </row>
    <row r="6101" spans="6:13" x14ac:dyDescent="0.25">
      <c r="F6101" t="s">
        <v>6536</v>
      </c>
      <c r="G6101">
        <v>55430</v>
      </c>
      <c r="H6101">
        <v>7140</v>
      </c>
      <c r="I6101" s="25" t="s">
        <v>2123</v>
      </c>
      <c r="J6101" t="s">
        <v>2329</v>
      </c>
      <c r="M6101" s="49"/>
    </row>
    <row r="6102" spans="6:13" x14ac:dyDescent="0.25">
      <c r="F6102" t="s">
        <v>6537</v>
      </c>
      <c r="G6102">
        <v>34399</v>
      </c>
      <c r="H6102">
        <v>6633</v>
      </c>
      <c r="I6102" s="25" t="s">
        <v>2046</v>
      </c>
      <c r="J6102" t="s">
        <v>2162</v>
      </c>
      <c r="M6102" s="49"/>
    </row>
    <row r="6103" spans="6:13" x14ac:dyDescent="0.25">
      <c r="F6103" t="s">
        <v>6537</v>
      </c>
      <c r="G6103">
        <v>34399</v>
      </c>
      <c r="H6103">
        <v>6633</v>
      </c>
      <c r="I6103" s="25" t="s">
        <v>2046</v>
      </c>
      <c r="J6103" t="s">
        <v>2162</v>
      </c>
      <c r="M6103" s="49"/>
    </row>
    <row r="6104" spans="6:13" x14ac:dyDescent="0.25">
      <c r="F6104" t="s">
        <v>6537</v>
      </c>
      <c r="G6104">
        <v>34399</v>
      </c>
      <c r="H6104">
        <v>6633</v>
      </c>
      <c r="I6104" s="25" t="s">
        <v>2046</v>
      </c>
      <c r="J6104" t="s">
        <v>2162</v>
      </c>
      <c r="M6104" s="49"/>
    </row>
    <row r="6105" spans="6:13" x14ac:dyDescent="0.25">
      <c r="F6105" t="s">
        <v>6538</v>
      </c>
      <c r="G6105">
        <v>9484</v>
      </c>
      <c r="H6105">
        <v>14521</v>
      </c>
      <c r="I6105" s="25" t="s">
        <v>2135</v>
      </c>
      <c r="J6105" t="s">
        <v>2032</v>
      </c>
      <c r="M6105" s="49"/>
    </row>
    <row r="6106" spans="6:13" x14ac:dyDescent="0.25">
      <c r="F6106" t="s">
        <v>6539</v>
      </c>
      <c r="G6106">
        <v>64760</v>
      </c>
      <c r="H6106">
        <v>6437</v>
      </c>
      <c r="I6106" s="25" t="s">
        <v>2046</v>
      </c>
      <c r="J6106" t="s">
        <v>2674</v>
      </c>
      <c r="M6106" s="49"/>
    </row>
    <row r="6107" spans="6:13" x14ac:dyDescent="0.25">
      <c r="F6107" t="s">
        <v>6540</v>
      </c>
      <c r="G6107">
        <v>83119</v>
      </c>
      <c r="H6107">
        <v>9189</v>
      </c>
      <c r="I6107" s="25" t="s">
        <v>2050</v>
      </c>
      <c r="J6107" t="s">
        <v>2407</v>
      </c>
      <c r="M6107" s="49"/>
    </row>
    <row r="6108" spans="6:13" x14ac:dyDescent="0.25">
      <c r="F6108" t="s">
        <v>6541</v>
      </c>
      <c r="G6108">
        <v>74847</v>
      </c>
      <c r="H6108">
        <v>8225</v>
      </c>
      <c r="I6108" s="25" t="s">
        <v>2018</v>
      </c>
      <c r="J6108" t="s">
        <v>2108</v>
      </c>
      <c r="M6108" s="49"/>
    </row>
    <row r="6109" spans="6:13" x14ac:dyDescent="0.25">
      <c r="F6109" t="s">
        <v>6542</v>
      </c>
      <c r="G6109">
        <v>67283</v>
      </c>
      <c r="H6109">
        <v>7332</v>
      </c>
      <c r="I6109" s="25" t="s">
        <v>2123</v>
      </c>
      <c r="J6109" t="s">
        <v>2440</v>
      </c>
      <c r="M6109" s="49"/>
    </row>
    <row r="6110" spans="6:13" x14ac:dyDescent="0.25">
      <c r="F6110" t="s">
        <v>6543</v>
      </c>
      <c r="G6110">
        <v>97199</v>
      </c>
      <c r="H6110">
        <v>9679</v>
      </c>
      <c r="I6110" s="25" t="s">
        <v>2050</v>
      </c>
      <c r="J6110" t="s">
        <v>2428</v>
      </c>
      <c r="M6110" s="49"/>
    </row>
    <row r="6111" spans="6:13" x14ac:dyDescent="0.25">
      <c r="F6111" t="s">
        <v>6544</v>
      </c>
      <c r="G6111">
        <v>88416</v>
      </c>
      <c r="H6111">
        <v>8426</v>
      </c>
      <c r="I6111" s="25" t="s">
        <v>2018</v>
      </c>
      <c r="J6111" t="s">
        <v>2081</v>
      </c>
      <c r="M6111" s="49"/>
    </row>
    <row r="6112" spans="6:13" x14ac:dyDescent="0.25">
      <c r="F6112" t="s">
        <v>6545</v>
      </c>
      <c r="G6112">
        <v>56299</v>
      </c>
      <c r="H6112">
        <v>7137</v>
      </c>
      <c r="I6112" s="25" t="s">
        <v>2123</v>
      </c>
      <c r="J6112" t="s">
        <v>2246</v>
      </c>
      <c r="M6112" s="49"/>
    </row>
    <row r="6113" spans="6:13" x14ac:dyDescent="0.25">
      <c r="F6113" t="s">
        <v>6546</v>
      </c>
      <c r="G6113">
        <v>26489</v>
      </c>
      <c r="H6113">
        <v>3462</v>
      </c>
      <c r="I6113" s="25" t="s">
        <v>2074</v>
      </c>
      <c r="J6113" t="s">
        <v>2433</v>
      </c>
      <c r="M6113" s="49"/>
    </row>
    <row r="6114" spans="6:13" x14ac:dyDescent="0.25">
      <c r="F6114" t="s">
        <v>6547</v>
      </c>
      <c r="G6114">
        <v>48607</v>
      </c>
      <c r="H6114">
        <v>5566</v>
      </c>
      <c r="I6114" s="25" t="s">
        <v>2023</v>
      </c>
      <c r="J6114" t="s">
        <v>2379</v>
      </c>
      <c r="M6114" s="49"/>
    </row>
    <row r="6115" spans="6:13" x14ac:dyDescent="0.25">
      <c r="F6115" t="s">
        <v>6548</v>
      </c>
      <c r="G6115">
        <v>55437</v>
      </c>
      <c r="H6115">
        <v>7339</v>
      </c>
      <c r="I6115" s="25" t="s">
        <v>2123</v>
      </c>
      <c r="J6115" t="s">
        <v>2238</v>
      </c>
      <c r="M6115" s="49"/>
    </row>
    <row r="6116" spans="6:13" x14ac:dyDescent="0.25">
      <c r="F6116" t="s">
        <v>6548</v>
      </c>
      <c r="G6116">
        <v>55437</v>
      </c>
      <c r="H6116">
        <v>7339</v>
      </c>
      <c r="I6116" s="25" t="s">
        <v>2123</v>
      </c>
      <c r="J6116" t="s">
        <v>2238</v>
      </c>
      <c r="M6116" s="49"/>
    </row>
    <row r="6117" spans="6:13" x14ac:dyDescent="0.25">
      <c r="F6117" t="s">
        <v>6549</v>
      </c>
      <c r="G6117">
        <v>85235</v>
      </c>
      <c r="H6117">
        <v>9174</v>
      </c>
      <c r="I6117" s="25" t="s">
        <v>2050</v>
      </c>
      <c r="J6117" t="s">
        <v>2445</v>
      </c>
      <c r="M6117" s="49"/>
    </row>
    <row r="6118" spans="6:13" x14ac:dyDescent="0.25">
      <c r="F6118" t="s">
        <v>6550</v>
      </c>
      <c r="G6118">
        <v>67748</v>
      </c>
      <c r="H6118">
        <v>7336</v>
      </c>
      <c r="I6118" s="25" t="s">
        <v>2123</v>
      </c>
      <c r="J6118" t="s">
        <v>2216</v>
      </c>
      <c r="M6118" s="49"/>
    </row>
    <row r="6119" spans="6:13" x14ac:dyDescent="0.25">
      <c r="F6119" t="s">
        <v>6551</v>
      </c>
      <c r="G6119">
        <v>51519</v>
      </c>
      <c r="H6119">
        <v>5378</v>
      </c>
      <c r="I6119" s="25" t="s">
        <v>2023</v>
      </c>
      <c r="J6119" t="s">
        <v>2909</v>
      </c>
      <c r="M6119" s="49"/>
    </row>
    <row r="6120" spans="6:13" x14ac:dyDescent="0.25">
      <c r="F6120" t="s">
        <v>6552</v>
      </c>
      <c r="G6120">
        <v>16248</v>
      </c>
      <c r="H6120">
        <v>12060</v>
      </c>
      <c r="I6120" s="25" t="s">
        <v>2356</v>
      </c>
      <c r="J6120" t="s">
        <v>2040</v>
      </c>
      <c r="M6120" s="49"/>
    </row>
    <row r="6121" spans="6:13" x14ac:dyDescent="0.25">
      <c r="F6121" t="s">
        <v>6553</v>
      </c>
      <c r="G6121">
        <v>55571</v>
      </c>
      <c r="H6121">
        <v>7133</v>
      </c>
      <c r="I6121" s="25" t="s">
        <v>2123</v>
      </c>
      <c r="J6121" t="s">
        <v>2037</v>
      </c>
      <c r="M6121" s="49"/>
    </row>
    <row r="6122" spans="6:13" x14ac:dyDescent="0.25">
      <c r="F6122" t="s">
        <v>6554</v>
      </c>
      <c r="G6122">
        <v>2791</v>
      </c>
      <c r="H6122">
        <v>14626</v>
      </c>
      <c r="I6122" s="25" t="s">
        <v>2135</v>
      </c>
      <c r="J6122" t="s">
        <v>2150</v>
      </c>
      <c r="M6122" s="49"/>
    </row>
    <row r="6123" spans="6:13" x14ac:dyDescent="0.25">
      <c r="F6123" t="s">
        <v>6555</v>
      </c>
      <c r="G6123">
        <v>39646</v>
      </c>
      <c r="H6123">
        <v>15081</v>
      </c>
      <c r="I6123" s="25" t="s">
        <v>2241</v>
      </c>
      <c r="J6123" t="s">
        <v>2028</v>
      </c>
      <c r="M6123" s="49"/>
    </row>
    <row r="6124" spans="6:13" x14ac:dyDescent="0.25">
      <c r="F6124" t="s">
        <v>6555</v>
      </c>
      <c r="G6124">
        <v>39646</v>
      </c>
      <c r="H6124">
        <v>15083</v>
      </c>
      <c r="I6124" s="25" t="s">
        <v>2241</v>
      </c>
      <c r="J6124" t="s">
        <v>2052</v>
      </c>
      <c r="M6124" s="49"/>
    </row>
    <row r="6125" spans="6:13" x14ac:dyDescent="0.25">
      <c r="F6125" t="s">
        <v>6556</v>
      </c>
      <c r="G6125">
        <v>9569</v>
      </c>
      <c r="H6125">
        <v>14522</v>
      </c>
      <c r="I6125" s="25" t="s">
        <v>2135</v>
      </c>
      <c r="J6125" t="s">
        <v>2100</v>
      </c>
      <c r="M6125" s="49"/>
    </row>
    <row r="6126" spans="6:13" x14ac:dyDescent="0.25">
      <c r="F6126" t="s">
        <v>6557</v>
      </c>
      <c r="G6126">
        <v>21734</v>
      </c>
      <c r="H6126">
        <v>3359</v>
      </c>
      <c r="I6126" s="25" t="s">
        <v>2074</v>
      </c>
      <c r="J6126" t="s">
        <v>2158</v>
      </c>
      <c r="M6126" s="49"/>
    </row>
    <row r="6127" spans="6:13" x14ac:dyDescent="0.25">
      <c r="F6127" t="s">
        <v>6558</v>
      </c>
      <c r="G6127">
        <v>74229</v>
      </c>
      <c r="H6127">
        <v>8125</v>
      </c>
      <c r="I6127" s="25" t="s">
        <v>2018</v>
      </c>
      <c r="J6127" t="s">
        <v>2060</v>
      </c>
      <c r="M6127" s="49"/>
    </row>
    <row r="6128" spans="6:13" x14ac:dyDescent="0.25">
      <c r="F6128" t="s">
        <v>6559</v>
      </c>
      <c r="G6128">
        <v>59302</v>
      </c>
      <c r="H6128">
        <v>5570</v>
      </c>
      <c r="I6128" s="25" t="s">
        <v>2023</v>
      </c>
      <c r="J6128" t="s">
        <v>2154</v>
      </c>
      <c r="M6128" s="49"/>
    </row>
    <row r="6129" spans="6:13" x14ac:dyDescent="0.25">
      <c r="F6129" t="s">
        <v>6560</v>
      </c>
      <c r="G6129">
        <v>8606</v>
      </c>
      <c r="H6129">
        <v>14523</v>
      </c>
      <c r="I6129" s="25" t="s">
        <v>2135</v>
      </c>
      <c r="J6129" t="s">
        <v>2136</v>
      </c>
      <c r="M6129" s="49"/>
    </row>
    <row r="6130" spans="6:13" x14ac:dyDescent="0.25">
      <c r="F6130" t="s">
        <v>6561</v>
      </c>
      <c r="G6130">
        <v>9376</v>
      </c>
      <c r="H6130">
        <v>14521</v>
      </c>
      <c r="I6130" s="25" t="s">
        <v>2135</v>
      </c>
      <c r="J6130" t="s">
        <v>2032</v>
      </c>
      <c r="M6130" s="49"/>
    </row>
    <row r="6131" spans="6:13" x14ac:dyDescent="0.25">
      <c r="F6131" t="s">
        <v>6562</v>
      </c>
      <c r="G6131">
        <v>45739</v>
      </c>
      <c r="H6131">
        <v>5562</v>
      </c>
      <c r="I6131" s="25" t="s">
        <v>2023</v>
      </c>
      <c r="J6131" t="s">
        <v>2318</v>
      </c>
      <c r="M6131" s="49"/>
    </row>
    <row r="6132" spans="6:13" x14ac:dyDescent="0.25">
      <c r="F6132" t="s">
        <v>6563</v>
      </c>
      <c r="G6132">
        <v>97714</v>
      </c>
      <c r="H6132">
        <v>9672</v>
      </c>
      <c r="I6132" s="25" t="s">
        <v>2050</v>
      </c>
      <c r="J6132" t="s">
        <v>2620</v>
      </c>
      <c r="M6132" s="49"/>
    </row>
    <row r="6133" spans="6:13" x14ac:dyDescent="0.25">
      <c r="F6133" t="s">
        <v>6564</v>
      </c>
      <c r="G6133">
        <v>33813</v>
      </c>
      <c r="H6133">
        <v>5766</v>
      </c>
      <c r="I6133" s="25" t="s">
        <v>2023</v>
      </c>
      <c r="J6133" t="s">
        <v>2223</v>
      </c>
      <c r="M6133" s="49"/>
    </row>
    <row r="6134" spans="6:13" x14ac:dyDescent="0.25">
      <c r="F6134" t="s">
        <v>6565</v>
      </c>
      <c r="G6134">
        <v>65375</v>
      </c>
      <c r="H6134">
        <v>6439</v>
      </c>
      <c r="I6134" s="25" t="s">
        <v>2046</v>
      </c>
      <c r="J6134" t="s">
        <v>2047</v>
      </c>
      <c r="M6134" s="49"/>
    </row>
    <row r="6135" spans="6:13" x14ac:dyDescent="0.25">
      <c r="F6135" t="s">
        <v>6566</v>
      </c>
      <c r="G6135">
        <v>86732</v>
      </c>
      <c r="H6135">
        <v>9779</v>
      </c>
      <c r="I6135" s="25" t="s">
        <v>2050</v>
      </c>
      <c r="J6135" t="s">
        <v>2280</v>
      </c>
      <c r="M6135" s="49"/>
    </row>
    <row r="6136" spans="6:13" x14ac:dyDescent="0.25">
      <c r="F6136" t="s">
        <v>6567</v>
      </c>
      <c r="G6136">
        <v>29588</v>
      </c>
      <c r="H6136">
        <v>3360</v>
      </c>
      <c r="I6136" s="25" t="s">
        <v>2074</v>
      </c>
      <c r="J6136" t="s">
        <v>2400</v>
      </c>
      <c r="M6136" s="49"/>
    </row>
    <row r="6137" spans="6:13" x14ac:dyDescent="0.25">
      <c r="F6137" t="s">
        <v>6568</v>
      </c>
      <c r="G6137">
        <v>24988</v>
      </c>
      <c r="H6137">
        <v>1059</v>
      </c>
      <c r="I6137" s="25" t="s">
        <v>2085</v>
      </c>
      <c r="J6137" t="s">
        <v>2354</v>
      </c>
      <c r="M6137" s="49"/>
    </row>
    <row r="6138" spans="6:13" x14ac:dyDescent="0.25">
      <c r="F6138" t="s">
        <v>6569</v>
      </c>
      <c r="G6138">
        <v>74254</v>
      </c>
      <c r="H6138">
        <v>8125</v>
      </c>
      <c r="I6138" s="25" t="s">
        <v>2018</v>
      </c>
      <c r="J6138" t="s">
        <v>2060</v>
      </c>
      <c r="M6138" s="49"/>
    </row>
    <row r="6139" spans="6:13" x14ac:dyDescent="0.25">
      <c r="F6139" t="s">
        <v>6570</v>
      </c>
      <c r="G6139">
        <v>63071</v>
      </c>
      <c r="H6139">
        <v>6413</v>
      </c>
      <c r="I6139" s="25" t="s">
        <v>2046</v>
      </c>
      <c r="J6139" t="s">
        <v>6571</v>
      </c>
      <c r="M6139" s="49"/>
    </row>
    <row r="6140" spans="6:13" x14ac:dyDescent="0.25">
      <c r="F6140" t="s">
        <v>6570</v>
      </c>
      <c r="G6140">
        <v>63071</v>
      </c>
      <c r="H6140">
        <v>6413</v>
      </c>
      <c r="I6140" s="25" t="s">
        <v>2046</v>
      </c>
      <c r="J6140" t="s">
        <v>6571</v>
      </c>
      <c r="M6140" s="49"/>
    </row>
    <row r="6141" spans="6:13" x14ac:dyDescent="0.25">
      <c r="F6141" t="s">
        <v>6570</v>
      </c>
      <c r="G6141">
        <v>63071</v>
      </c>
      <c r="H6141">
        <v>6413</v>
      </c>
      <c r="I6141" s="25" t="s">
        <v>2046</v>
      </c>
      <c r="J6141" t="s">
        <v>6571</v>
      </c>
      <c r="M6141" s="49"/>
    </row>
    <row r="6142" spans="6:13" x14ac:dyDescent="0.25">
      <c r="F6142" t="s">
        <v>6570</v>
      </c>
      <c r="G6142">
        <v>63067</v>
      </c>
      <c r="H6142">
        <v>6413</v>
      </c>
      <c r="I6142" s="25" t="s">
        <v>2046</v>
      </c>
      <c r="J6142" t="s">
        <v>6571</v>
      </c>
      <c r="M6142" s="49"/>
    </row>
    <row r="6143" spans="6:13" x14ac:dyDescent="0.25">
      <c r="F6143" t="s">
        <v>6570</v>
      </c>
      <c r="G6143">
        <v>63065</v>
      </c>
      <c r="H6143">
        <v>6413</v>
      </c>
      <c r="I6143" s="25" t="s">
        <v>2046</v>
      </c>
      <c r="J6143" t="s">
        <v>6571</v>
      </c>
      <c r="M6143" s="49"/>
    </row>
    <row r="6144" spans="6:13" x14ac:dyDescent="0.25">
      <c r="F6144" t="s">
        <v>6570</v>
      </c>
      <c r="G6144">
        <v>63075</v>
      </c>
      <c r="H6144">
        <v>6413</v>
      </c>
      <c r="I6144" s="25" t="s">
        <v>2046</v>
      </c>
      <c r="J6144" t="s">
        <v>6571</v>
      </c>
      <c r="M6144" s="49"/>
    </row>
    <row r="6145" spans="6:13" x14ac:dyDescent="0.25">
      <c r="F6145" t="s">
        <v>6570</v>
      </c>
      <c r="G6145">
        <v>63073</v>
      </c>
      <c r="H6145">
        <v>6413</v>
      </c>
      <c r="I6145" s="25" t="s">
        <v>2046</v>
      </c>
      <c r="J6145" t="s">
        <v>6571</v>
      </c>
      <c r="M6145" s="49"/>
    </row>
    <row r="6146" spans="6:13" x14ac:dyDescent="0.25">
      <c r="F6146" t="s">
        <v>6570</v>
      </c>
      <c r="G6146">
        <v>63069</v>
      </c>
      <c r="H6146">
        <v>6413</v>
      </c>
      <c r="I6146" s="25" t="s">
        <v>2046</v>
      </c>
      <c r="J6146" t="s">
        <v>6571</v>
      </c>
      <c r="M6146" s="49"/>
    </row>
    <row r="6147" spans="6:13" x14ac:dyDescent="0.25">
      <c r="F6147" t="s">
        <v>6572</v>
      </c>
      <c r="G6147">
        <v>76877</v>
      </c>
      <c r="H6147">
        <v>7337</v>
      </c>
      <c r="I6147" s="25" t="s">
        <v>2123</v>
      </c>
      <c r="J6147" t="s">
        <v>2256</v>
      </c>
      <c r="M6147" s="49"/>
    </row>
    <row r="6148" spans="6:13" x14ac:dyDescent="0.25">
      <c r="F6148" t="s">
        <v>6573</v>
      </c>
      <c r="G6148">
        <v>67749</v>
      </c>
      <c r="H6148">
        <v>7336</v>
      </c>
      <c r="I6148" s="25" t="s">
        <v>2123</v>
      </c>
      <c r="J6148" t="s">
        <v>2216</v>
      </c>
      <c r="M6148" s="49"/>
    </row>
    <row r="6149" spans="6:13" x14ac:dyDescent="0.25">
      <c r="F6149" t="s">
        <v>6574</v>
      </c>
      <c r="G6149">
        <v>94560</v>
      </c>
      <c r="H6149">
        <v>9271</v>
      </c>
      <c r="I6149" s="25" t="s">
        <v>2050</v>
      </c>
      <c r="J6149" t="s">
        <v>2172</v>
      </c>
      <c r="M6149" s="49"/>
    </row>
    <row r="6150" spans="6:13" x14ac:dyDescent="0.25">
      <c r="F6150" t="s">
        <v>1495</v>
      </c>
      <c r="G6150">
        <v>77652</v>
      </c>
      <c r="H6150">
        <v>8317</v>
      </c>
      <c r="I6150" s="25" t="s">
        <v>2018</v>
      </c>
      <c r="J6150" t="s">
        <v>2071</v>
      </c>
      <c r="M6150" s="49"/>
    </row>
    <row r="6151" spans="6:13" x14ac:dyDescent="0.25">
      <c r="F6151" t="s">
        <v>1495</v>
      </c>
      <c r="G6151">
        <v>77656</v>
      </c>
      <c r="H6151">
        <v>8317</v>
      </c>
      <c r="I6151" s="25" t="s">
        <v>2018</v>
      </c>
      <c r="J6151" t="s">
        <v>2071</v>
      </c>
      <c r="M6151" s="49"/>
    </row>
    <row r="6152" spans="6:13" x14ac:dyDescent="0.25">
      <c r="F6152" t="s">
        <v>1495</v>
      </c>
      <c r="G6152">
        <v>77654</v>
      </c>
      <c r="H6152">
        <v>8317</v>
      </c>
      <c r="I6152" s="25" t="s">
        <v>2018</v>
      </c>
      <c r="J6152" t="s">
        <v>2071</v>
      </c>
      <c r="M6152" s="49"/>
    </row>
    <row r="6153" spans="6:13" x14ac:dyDescent="0.25">
      <c r="F6153" t="s">
        <v>6575</v>
      </c>
      <c r="G6153">
        <v>89362</v>
      </c>
      <c r="H6153">
        <v>9774</v>
      </c>
      <c r="I6153" s="25" t="s">
        <v>2050</v>
      </c>
      <c r="J6153" t="s">
        <v>2205</v>
      </c>
      <c r="M6153" s="49"/>
    </row>
    <row r="6154" spans="6:13" x14ac:dyDescent="0.25">
      <c r="F6154" t="s">
        <v>6576</v>
      </c>
      <c r="G6154">
        <v>67591</v>
      </c>
      <c r="H6154">
        <v>7331</v>
      </c>
      <c r="I6154" s="25" t="s">
        <v>2123</v>
      </c>
      <c r="J6154" t="s">
        <v>2029</v>
      </c>
      <c r="M6154" s="49"/>
    </row>
    <row r="6155" spans="6:13" x14ac:dyDescent="0.25">
      <c r="F6155" t="s">
        <v>6576</v>
      </c>
      <c r="G6155">
        <v>67591</v>
      </c>
      <c r="H6155">
        <v>7331</v>
      </c>
      <c r="I6155" s="25" t="s">
        <v>2123</v>
      </c>
      <c r="J6155" t="s">
        <v>2029</v>
      </c>
      <c r="M6155" s="49"/>
    </row>
    <row r="6156" spans="6:13" x14ac:dyDescent="0.25">
      <c r="F6156" t="s">
        <v>6576</v>
      </c>
      <c r="G6156">
        <v>67591</v>
      </c>
      <c r="H6156">
        <v>7331</v>
      </c>
      <c r="I6156" s="25" t="s">
        <v>2123</v>
      </c>
      <c r="J6156" t="s">
        <v>2029</v>
      </c>
      <c r="M6156" s="49"/>
    </row>
    <row r="6157" spans="6:13" x14ac:dyDescent="0.25">
      <c r="F6157" t="s">
        <v>6577</v>
      </c>
      <c r="G6157">
        <v>72131</v>
      </c>
      <c r="H6157">
        <v>8416</v>
      </c>
      <c r="I6157" s="25" t="s">
        <v>2018</v>
      </c>
      <c r="J6157" t="s">
        <v>2464</v>
      </c>
      <c r="M6157" s="49"/>
    </row>
    <row r="6158" spans="6:13" x14ac:dyDescent="0.25">
      <c r="F6158" t="s">
        <v>6578</v>
      </c>
      <c r="G6158">
        <v>77797</v>
      </c>
      <c r="H6158">
        <v>8317</v>
      </c>
      <c r="I6158" s="25" t="s">
        <v>2018</v>
      </c>
      <c r="J6158" t="s">
        <v>2071</v>
      </c>
      <c r="M6158" s="49"/>
    </row>
    <row r="6159" spans="6:13" x14ac:dyDescent="0.25">
      <c r="F6159" t="s">
        <v>6579</v>
      </c>
      <c r="G6159">
        <v>82441</v>
      </c>
      <c r="H6159">
        <v>9180</v>
      </c>
      <c r="I6159" s="25" t="s">
        <v>2050</v>
      </c>
      <c r="J6159" t="s">
        <v>2147</v>
      </c>
      <c r="M6159" s="49"/>
    </row>
    <row r="6160" spans="6:13" x14ac:dyDescent="0.25">
      <c r="F6160" t="s">
        <v>6580</v>
      </c>
      <c r="G6160">
        <v>73275</v>
      </c>
      <c r="H6160">
        <v>8116</v>
      </c>
      <c r="I6160" s="25" t="s">
        <v>2018</v>
      </c>
      <c r="J6160" t="s">
        <v>2213</v>
      </c>
      <c r="M6160" s="49"/>
    </row>
    <row r="6161" spans="6:13" x14ac:dyDescent="0.25">
      <c r="F6161" t="s">
        <v>6581</v>
      </c>
      <c r="G6161">
        <v>78337</v>
      </c>
      <c r="H6161">
        <v>8335</v>
      </c>
      <c r="I6161" s="25" t="s">
        <v>2018</v>
      </c>
      <c r="J6161" t="s">
        <v>2019</v>
      </c>
      <c r="M6161" s="49"/>
    </row>
    <row r="6162" spans="6:13" x14ac:dyDescent="0.25">
      <c r="F6162" t="s">
        <v>6582</v>
      </c>
      <c r="G6162">
        <v>91620</v>
      </c>
      <c r="H6162">
        <v>9571</v>
      </c>
      <c r="I6162" s="25" t="s">
        <v>2050</v>
      </c>
      <c r="J6162" t="s">
        <v>2113</v>
      </c>
      <c r="M6162" s="49"/>
    </row>
    <row r="6163" spans="6:13" x14ac:dyDescent="0.25">
      <c r="F6163" t="s">
        <v>6583</v>
      </c>
      <c r="G6163">
        <v>74613</v>
      </c>
      <c r="H6163">
        <v>8126</v>
      </c>
      <c r="I6163" s="25" t="s">
        <v>2018</v>
      </c>
      <c r="J6163" t="s">
        <v>3280</v>
      </c>
      <c r="M6163" s="49"/>
    </row>
    <row r="6164" spans="6:13" x14ac:dyDescent="0.25">
      <c r="F6164" t="s">
        <v>6584</v>
      </c>
      <c r="G6164">
        <v>25867</v>
      </c>
      <c r="H6164">
        <v>1054</v>
      </c>
      <c r="I6164" s="25" t="s">
        <v>2085</v>
      </c>
      <c r="J6164" t="s">
        <v>2195</v>
      </c>
      <c r="M6164" s="49"/>
    </row>
    <row r="6165" spans="6:13" x14ac:dyDescent="0.25">
      <c r="F6165" t="s">
        <v>6585</v>
      </c>
      <c r="G6165">
        <v>9526</v>
      </c>
      <c r="H6165">
        <v>14521</v>
      </c>
      <c r="I6165" s="25" t="s">
        <v>2135</v>
      </c>
      <c r="J6165" t="s">
        <v>2032</v>
      </c>
      <c r="M6165" s="49"/>
    </row>
    <row r="6166" spans="6:13" x14ac:dyDescent="0.25">
      <c r="F6166" t="s">
        <v>6586</v>
      </c>
      <c r="G6166">
        <v>2785</v>
      </c>
      <c r="H6166">
        <v>14626</v>
      </c>
      <c r="I6166" s="25" t="s">
        <v>2135</v>
      </c>
      <c r="J6166" t="s">
        <v>2150</v>
      </c>
      <c r="M6166" s="49"/>
    </row>
    <row r="6167" spans="6:13" x14ac:dyDescent="0.25">
      <c r="F6167" t="s">
        <v>6587</v>
      </c>
      <c r="G6167">
        <v>75248</v>
      </c>
      <c r="H6167">
        <v>8236</v>
      </c>
      <c r="I6167" s="25" t="s">
        <v>2018</v>
      </c>
      <c r="J6167" t="s">
        <v>3087</v>
      </c>
      <c r="M6167" s="49"/>
    </row>
    <row r="6168" spans="6:13" x14ac:dyDescent="0.25">
      <c r="F6168" t="s">
        <v>6588</v>
      </c>
      <c r="G6168">
        <v>82140</v>
      </c>
      <c r="H6168">
        <v>9179</v>
      </c>
      <c r="I6168" s="25" t="s">
        <v>2050</v>
      </c>
      <c r="J6168" t="s">
        <v>2111</v>
      </c>
      <c r="M6168" s="49"/>
    </row>
    <row r="6169" spans="6:13" x14ac:dyDescent="0.25">
      <c r="F6169" t="s">
        <v>2285</v>
      </c>
      <c r="G6169">
        <v>26122</v>
      </c>
      <c r="H6169">
        <v>3403</v>
      </c>
      <c r="I6169" s="25" t="s">
        <v>2074</v>
      </c>
      <c r="J6169" t="s">
        <v>2288</v>
      </c>
      <c r="M6169" s="49"/>
    </row>
    <row r="6170" spans="6:13" x14ac:dyDescent="0.25">
      <c r="F6170" t="s">
        <v>6589</v>
      </c>
      <c r="G6170">
        <v>26123</v>
      </c>
      <c r="H6170">
        <v>3403</v>
      </c>
      <c r="I6170" s="25" t="s">
        <v>2074</v>
      </c>
      <c r="J6170" t="s">
        <v>2288</v>
      </c>
      <c r="M6170" s="49"/>
    </row>
    <row r="6171" spans="6:13" x14ac:dyDescent="0.25">
      <c r="F6171" t="s">
        <v>6589</v>
      </c>
      <c r="G6171">
        <v>26127</v>
      </c>
      <c r="H6171">
        <v>3403</v>
      </c>
      <c r="I6171" s="25" t="s">
        <v>2074</v>
      </c>
      <c r="J6171" t="s">
        <v>2288</v>
      </c>
      <c r="M6171" s="49"/>
    </row>
    <row r="6172" spans="6:13" x14ac:dyDescent="0.25">
      <c r="F6172" t="s">
        <v>6589</v>
      </c>
      <c r="G6172">
        <v>26135</v>
      </c>
      <c r="H6172">
        <v>3403</v>
      </c>
      <c r="I6172" s="25" t="s">
        <v>2074</v>
      </c>
      <c r="J6172" t="s">
        <v>2288</v>
      </c>
      <c r="M6172" s="49"/>
    </row>
    <row r="6173" spans="6:13" x14ac:dyDescent="0.25">
      <c r="F6173" t="s">
        <v>6589</v>
      </c>
      <c r="G6173">
        <v>26121</v>
      </c>
      <c r="H6173">
        <v>3403</v>
      </c>
      <c r="I6173" s="25" t="s">
        <v>2074</v>
      </c>
      <c r="J6173" t="s">
        <v>2288</v>
      </c>
      <c r="M6173" s="49"/>
    </row>
    <row r="6174" spans="6:13" x14ac:dyDescent="0.25">
      <c r="F6174" t="s">
        <v>6589</v>
      </c>
      <c r="G6174">
        <v>26125</v>
      </c>
      <c r="H6174">
        <v>3403</v>
      </c>
      <c r="I6174" s="25" t="s">
        <v>2074</v>
      </c>
      <c r="J6174" t="s">
        <v>2288</v>
      </c>
      <c r="M6174" s="49"/>
    </row>
    <row r="6175" spans="6:13" x14ac:dyDescent="0.25">
      <c r="F6175" t="s">
        <v>6589</v>
      </c>
      <c r="G6175">
        <v>26133</v>
      </c>
      <c r="H6175">
        <v>3403</v>
      </c>
      <c r="I6175" s="25" t="s">
        <v>2074</v>
      </c>
      <c r="J6175" t="s">
        <v>2288</v>
      </c>
      <c r="M6175" s="49"/>
    </row>
    <row r="6176" spans="6:13" x14ac:dyDescent="0.25">
      <c r="F6176" t="s">
        <v>6589</v>
      </c>
      <c r="G6176">
        <v>26131</v>
      </c>
      <c r="H6176">
        <v>3403</v>
      </c>
      <c r="I6176" s="25" t="s">
        <v>2074</v>
      </c>
      <c r="J6176" t="s">
        <v>2288</v>
      </c>
      <c r="M6176" s="49"/>
    </row>
    <row r="6177" spans="6:13" x14ac:dyDescent="0.25">
      <c r="F6177" t="s">
        <v>6589</v>
      </c>
      <c r="G6177">
        <v>26129</v>
      </c>
      <c r="H6177">
        <v>3403</v>
      </c>
      <c r="I6177" s="25" t="s">
        <v>2074</v>
      </c>
      <c r="J6177" t="s">
        <v>2288</v>
      </c>
      <c r="M6177" s="49"/>
    </row>
    <row r="6178" spans="6:13" x14ac:dyDescent="0.25">
      <c r="F6178" t="s">
        <v>6590</v>
      </c>
      <c r="G6178">
        <v>23758</v>
      </c>
      <c r="H6178">
        <v>1055</v>
      </c>
      <c r="I6178" s="25" t="s">
        <v>2085</v>
      </c>
      <c r="J6178" t="s">
        <v>2185</v>
      </c>
      <c r="M6178" s="49"/>
    </row>
    <row r="6179" spans="6:13" x14ac:dyDescent="0.25">
      <c r="F6179" t="s">
        <v>6591</v>
      </c>
      <c r="G6179">
        <v>25588</v>
      </c>
      <c r="H6179">
        <v>1061</v>
      </c>
      <c r="I6179" s="25" t="s">
        <v>2085</v>
      </c>
      <c r="J6179" t="s">
        <v>2377</v>
      </c>
      <c r="M6179" s="49"/>
    </row>
    <row r="6180" spans="6:13" x14ac:dyDescent="0.25">
      <c r="F6180" t="s">
        <v>6591</v>
      </c>
      <c r="G6180">
        <v>21726</v>
      </c>
      <c r="H6180">
        <v>3359</v>
      </c>
      <c r="I6180" s="25" t="s">
        <v>2074</v>
      </c>
      <c r="J6180" t="s">
        <v>2158</v>
      </c>
      <c r="M6180" s="49"/>
    </row>
    <row r="6181" spans="6:13" x14ac:dyDescent="0.25">
      <c r="F6181" t="s">
        <v>6592</v>
      </c>
      <c r="G6181">
        <v>21385</v>
      </c>
      <c r="H6181">
        <v>3355</v>
      </c>
      <c r="I6181" s="25" t="s">
        <v>2074</v>
      </c>
      <c r="J6181" t="s">
        <v>2129</v>
      </c>
      <c r="M6181" s="49"/>
    </row>
    <row r="6182" spans="6:13" x14ac:dyDescent="0.25">
      <c r="F6182" t="s">
        <v>6593</v>
      </c>
      <c r="G6182">
        <v>25870</v>
      </c>
      <c r="H6182">
        <v>1054</v>
      </c>
      <c r="I6182" s="25" t="s">
        <v>2085</v>
      </c>
      <c r="J6182" t="s">
        <v>2195</v>
      </c>
      <c r="M6182" s="49"/>
    </row>
    <row r="6183" spans="6:13" x14ac:dyDescent="0.25">
      <c r="F6183" t="s">
        <v>6594</v>
      </c>
      <c r="G6183">
        <v>59399</v>
      </c>
      <c r="H6183">
        <v>5558</v>
      </c>
      <c r="I6183" s="25" t="s">
        <v>2023</v>
      </c>
      <c r="J6183" t="s">
        <v>2076</v>
      </c>
      <c r="M6183" s="49"/>
    </row>
    <row r="6184" spans="6:13" x14ac:dyDescent="0.25">
      <c r="F6184" t="s">
        <v>2289</v>
      </c>
      <c r="G6184">
        <v>57462</v>
      </c>
      <c r="H6184">
        <v>5966</v>
      </c>
      <c r="I6184" s="25" t="s">
        <v>2023</v>
      </c>
      <c r="J6184" t="s">
        <v>2289</v>
      </c>
      <c r="M6184" s="49"/>
    </row>
    <row r="6185" spans="6:13" x14ac:dyDescent="0.25">
      <c r="F6185" t="s">
        <v>6595</v>
      </c>
      <c r="G6185">
        <v>59939</v>
      </c>
      <c r="H6185">
        <v>5958</v>
      </c>
      <c r="I6185" s="25" t="s">
        <v>2023</v>
      </c>
      <c r="J6185" t="s">
        <v>2199</v>
      </c>
      <c r="M6185" s="49"/>
    </row>
    <row r="6186" spans="6:13" x14ac:dyDescent="0.25">
      <c r="F6186" t="s">
        <v>6596</v>
      </c>
      <c r="G6186">
        <v>67737</v>
      </c>
      <c r="H6186">
        <v>7335</v>
      </c>
      <c r="I6186" s="25" t="s">
        <v>2123</v>
      </c>
      <c r="J6186" t="s">
        <v>2843</v>
      </c>
      <c r="M6186" s="49"/>
    </row>
    <row r="6187" spans="6:13" x14ac:dyDescent="0.25">
      <c r="F6187" t="s">
        <v>6597</v>
      </c>
      <c r="G6187">
        <v>89614</v>
      </c>
      <c r="H6187">
        <v>8425</v>
      </c>
      <c r="I6187" s="25" t="s">
        <v>2018</v>
      </c>
      <c r="J6187" t="s">
        <v>2027</v>
      </c>
      <c r="M6187" s="49"/>
    </row>
    <row r="6188" spans="6:13" x14ac:dyDescent="0.25">
      <c r="F6188" t="s">
        <v>6598</v>
      </c>
      <c r="G6188">
        <v>77728</v>
      </c>
      <c r="H6188">
        <v>8317</v>
      </c>
      <c r="I6188" s="25" t="s">
        <v>2018</v>
      </c>
      <c r="J6188" t="s">
        <v>2071</v>
      </c>
      <c r="M6188" s="49"/>
    </row>
    <row r="6189" spans="6:13" x14ac:dyDescent="0.25">
      <c r="F6189" t="s">
        <v>6599</v>
      </c>
      <c r="G6189">
        <v>55276</v>
      </c>
      <c r="H6189">
        <v>7339</v>
      </c>
      <c r="I6189" s="25" t="s">
        <v>2123</v>
      </c>
      <c r="J6189" t="s">
        <v>2238</v>
      </c>
      <c r="M6189" s="49"/>
    </row>
    <row r="6190" spans="6:13" x14ac:dyDescent="0.25">
      <c r="F6190" t="s">
        <v>6600</v>
      </c>
      <c r="G6190">
        <v>71570</v>
      </c>
      <c r="H6190">
        <v>8119</v>
      </c>
      <c r="I6190" s="25" t="s">
        <v>2018</v>
      </c>
      <c r="J6190" t="s">
        <v>2287</v>
      </c>
      <c r="M6190" s="49"/>
    </row>
    <row r="6191" spans="6:13" x14ac:dyDescent="0.25">
      <c r="F6191" t="s">
        <v>6601</v>
      </c>
      <c r="G6191">
        <v>6785</v>
      </c>
      <c r="H6191">
        <v>15091</v>
      </c>
      <c r="I6191" s="25" t="s">
        <v>2241</v>
      </c>
      <c r="J6191" t="s">
        <v>1509</v>
      </c>
      <c r="M6191" s="49"/>
    </row>
    <row r="6192" spans="6:13" x14ac:dyDescent="0.25">
      <c r="F6192" t="s">
        <v>6602</v>
      </c>
      <c r="G6192">
        <v>16515</v>
      </c>
      <c r="H6192">
        <v>12065</v>
      </c>
      <c r="I6192" s="25" t="s">
        <v>2356</v>
      </c>
      <c r="J6192" t="s">
        <v>2283</v>
      </c>
      <c r="M6192" s="49"/>
    </row>
    <row r="6193" spans="6:13" x14ac:dyDescent="0.25">
      <c r="F6193" t="s">
        <v>6603</v>
      </c>
      <c r="G6193">
        <v>91737</v>
      </c>
      <c r="H6193">
        <v>9571</v>
      </c>
      <c r="I6193" s="25" t="s">
        <v>2050</v>
      </c>
      <c r="J6193" t="s">
        <v>2113</v>
      </c>
      <c r="M6193" s="49"/>
    </row>
    <row r="6194" spans="6:13" x14ac:dyDescent="0.25">
      <c r="F6194" t="s">
        <v>6604</v>
      </c>
      <c r="G6194">
        <v>78359</v>
      </c>
      <c r="H6194">
        <v>8335</v>
      </c>
      <c r="I6194" s="25" t="s">
        <v>2018</v>
      </c>
      <c r="J6194" t="s">
        <v>2019</v>
      </c>
      <c r="M6194" s="49"/>
    </row>
    <row r="6195" spans="6:13" x14ac:dyDescent="0.25">
      <c r="F6195" t="s">
        <v>6605</v>
      </c>
      <c r="G6195">
        <v>63683</v>
      </c>
      <c r="H6195">
        <v>6440</v>
      </c>
      <c r="I6195" s="25" t="s">
        <v>2046</v>
      </c>
      <c r="J6195" t="s">
        <v>2415</v>
      </c>
      <c r="M6195" s="49"/>
    </row>
    <row r="6196" spans="6:13" x14ac:dyDescent="0.25">
      <c r="F6196" t="s">
        <v>6605</v>
      </c>
      <c r="G6196">
        <v>77799</v>
      </c>
      <c r="H6196">
        <v>8317</v>
      </c>
      <c r="I6196" s="25" t="s">
        <v>2018</v>
      </c>
      <c r="J6196" t="s">
        <v>2071</v>
      </c>
      <c r="M6196" s="49"/>
    </row>
    <row r="6197" spans="6:13" x14ac:dyDescent="0.25">
      <c r="F6197" t="s">
        <v>6606</v>
      </c>
      <c r="G6197">
        <v>94496</v>
      </c>
      <c r="H6197">
        <v>9275</v>
      </c>
      <c r="I6197" s="25" t="s">
        <v>2050</v>
      </c>
      <c r="J6197" t="s">
        <v>2198</v>
      </c>
      <c r="M6197" s="49"/>
    </row>
    <row r="6198" spans="6:13" x14ac:dyDescent="0.25">
      <c r="F6198" t="s">
        <v>6607</v>
      </c>
      <c r="G6198">
        <v>1990</v>
      </c>
      <c r="H6198">
        <v>12066</v>
      </c>
      <c r="I6198" s="25" t="s">
        <v>2356</v>
      </c>
      <c r="J6198" t="s">
        <v>2357</v>
      </c>
      <c r="M6198" s="49"/>
    </row>
    <row r="6199" spans="6:13" x14ac:dyDescent="0.25">
      <c r="F6199" t="s">
        <v>6608</v>
      </c>
      <c r="G6199">
        <v>54317</v>
      </c>
      <c r="H6199">
        <v>7235</v>
      </c>
      <c r="I6199" s="25" t="s">
        <v>2123</v>
      </c>
      <c r="J6199" t="s">
        <v>2395</v>
      </c>
      <c r="M6199" s="49"/>
    </row>
    <row r="6200" spans="6:13" x14ac:dyDescent="0.25">
      <c r="F6200" t="s">
        <v>6608</v>
      </c>
      <c r="G6200">
        <v>54317</v>
      </c>
      <c r="H6200">
        <v>7235</v>
      </c>
      <c r="I6200" s="25" t="s">
        <v>2123</v>
      </c>
      <c r="J6200" t="s">
        <v>2395</v>
      </c>
      <c r="M6200" s="49"/>
    </row>
    <row r="6201" spans="6:13" x14ac:dyDescent="0.25">
      <c r="F6201" t="s">
        <v>6609</v>
      </c>
      <c r="G6201">
        <v>4758</v>
      </c>
      <c r="H6201">
        <v>14730</v>
      </c>
      <c r="I6201" s="25" t="s">
        <v>2135</v>
      </c>
      <c r="J6201" t="s">
        <v>2083</v>
      </c>
      <c r="M6201" s="49"/>
    </row>
    <row r="6202" spans="6:13" x14ac:dyDescent="0.25">
      <c r="F6202" t="s">
        <v>6610</v>
      </c>
      <c r="G6202">
        <v>39387</v>
      </c>
      <c r="H6202">
        <v>15083</v>
      </c>
      <c r="I6202" s="25" t="s">
        <v>2241</v>
      </c>
      <c r="J6202" t="s">
        <v>2052</v>
      </c>
      <c r="M6202" s="49"/>
    </row>
    <row r="6203" spans="6:13" x14ac:dyDescent="0.25">
      <c r="F6203" t="s">
        <v>6611</v>
      </c>
      <c r="G6203">
        <v>24251</v>
      </c>
      <c r="H6203">
        <v>1058</v>
      </c>
      <c r="I6203" s="25" t="s">
        <v>2085</v>
      </c>
      <c r="J6203" t="s">
        <v>2086</v>
      </c>
      <c r="M6203" s="49"/>
    </row>
    <row r="6204" spans="6:13" x14ac:dyDescent="0.25">
      <c r="F6204" t="s">
        <v>6612</v>
      </c>
      <c r="G6204">
        <v>38557</v>
      </c>
      <c r="H6204">
        <v>3151</v>
      </c>
      <c r="I6204" s="25" t="s">
        <v>2074</v>
      </c>
      <c r="J6204" t="s">
        <v>2126</v>
      </c>
      <c r="M6204" s="49"/>
    </row>
    <row r="6205" spans="6:13" x14ac:dyDescent="0.25">
      <c r="F6205" t="s">
        <v>2292</v>
      </c>
      <c r="G6205">
        <v>49082</v>
      </c>
      <c r="H6205">
        <v>3404</v>
      </c>
      <c r="I6205" s="25" t="s">
        <v>2074</v>
      </c>
      <c r="J6205" t="s">
        <v>6613</v>
      </c>
      <c r="M6205" s="49"/>
    </row>
    <row r="6206" spans="6:13" x14ac:dyDescent="0.25">
      <c r="F6206" t="s">
        <v>2292</v>
      </c>
      <c r="G6206">
        <v>49078</v>
      </c>
      <c r="H6206">
        <v>3404</v>
      </c>
      <c r="I6206" s="25" t="s">
        <v>2074</v>
      </c>
      <c r="J6206" t="s">
        <v>6613</v>
      </c>
      <c r="M6206" s="49"/>
    </row>
    <row r="6207" spans="6:13" x14ac:dyDescent="0.25">
      <c r="F6207" t="s">
        <v>2292</v>
      </c>
      <c r="G6207">
        <v>49074</v>
      </c>
      <c r="H6207">
        <v>3404</v>
      </c>
      <c r="I6207" s="25" t="s">
        <v>2074</v>
      </c>
      <c r="J6207" t="s">
        <v>6613</v>
      </c>
      <c r="M6207" s="49"/>
    </row>
    <row r="6208" spans="6:13" x14ac:dyDescent="0.25">
      <c r="F6208" t="s">
        <v>2292</v>
      </c>
      <c r="G6208">
        <v>49088</v>
      </c>
      <c r="H6208">
        <v>3404</v>
      </c>
      <c r="I6208" s="25" t="s">
        <v>2074</v>
      </c>
      <c r="J6208" t="s">
        <v>6613</v>
      </c>
      <c r="M6208" s="49"/>
    </row>
    <row r="6209" spans="6:13" x14ac:dyDescent="0.25">
      <c r="F6209" t="s">
        <v>2292</v>
      </c>
      <c r="G6209">
        <v>49086</v>
      </c>
      <c r="H6209">
        <v>3404</v>
      </c>
      <c r="I6209" s="25" t="s">
        <v>2074</v>
      </c>
      <c r="J6209" t="s">
        <v>6613</v>
      </c>
      <c r="M6209" s="49"/>
    </row>
    <row r="6210" spans="6:13" x14ac:dyDescent="0.25">
      <c r="F6210" t="s">
        <v>2292</v>
      </c>
      <c r="G6210">
        <v>49076</v>
      </c>
      <c r="H6210">
        <v>3404</v>
      </c>
      <c r="I6210" s="25" t="s">
        <v>2074</v>
      </c>
      <c r="J6210" t="s">
        <v>6613</v>
      </c>
      <c r="M6210" s="49"/>
    </row>
    <row r="6211" spans="6:13" x14ac:dyDescent="0.25">
      <c r="F6211" t="s">
        <v>2292</v>
      </c>
      <c r="G6211">
        <v>49084</v>
      </c>
      <c r="H6211">
        <v>3404</v>
      </c>
      <c r="I6211" s="25" t="s">
        <v>2074</v>
      </c>
      <c r="J6211" t="s">
        <v>6613</v>
      </c>
      <c r="M6211" s="49"/>
    </row>
    <row r="6212" spans="6:13" x14ac:dyDescent="0.25">
      <c r="F6212" t="s">
        <v>2292</v>
      </c>
      <c r="G6212">
        <v>49080</v>
      </c>
      <c r="H6212">
        <v>3404</v>
      </c>
      <c r="I6212" s="25" t="s">
        <v>2074</v>
      </c>
      <c r="J6212" t="s">
        <v>6613</v>
      </c>
      <c r="M6212" s="49"/>
    </row>
    <row r="6213" spans="6:13" x14ac:dyDescent="0.25">
      <c r="F6213" t="s">
        <v>2292</v>
      </c>
      <c r="G6213">
        <v>49090</v>
      </c>
      <c r="H6213">
        <v>3404</v>
      </c>
      <c r="I6213" s="25" t="s">
        <v>2074</v>
      </c>
      <c r="J6213" t="s">
        <v>6613</v>
      </c>
      <c r="M6213" s="49"/>
    </row>
    <row r="6214" spans="6:13" x14ac:dyDescent="0.25">
      <c r="F6214" t="s">
        <v>6614</v>
      </c>
      <c r="G6214">
        <v>48346</v>
      </c>
      <c r="H6214">
        <v>5570</v>
      </c>
      <c r="I6214" s="25" t="s">
        <v>2023</v>
      </c>
      <c r="J6214" t="s">
        <v>2154</v>
      </c>
      <c r="M6214" s="49"/>
    </row>
    <row r="6215" spans="6:13" x14ac:dyDescent="0.25">
      <c r="F6215" t="s">
        <v>6615</v>
      </c>
      <c r="G6215">
        <v>75395</v>
      </c>
      <c r="H6215">
        <v>8235</v>
      </c>
      <c r="I6215" s="25" t="s">
        <v>2018</v>
      </c>
      <c r="J6215" t="s">
        <v>2422</v>
      </c>
      <c r="M6215" s="49"/>
    </row>
    <row r="6216" spans="6:13" x14ac:dyDescent="0.25">
      <c r="F6216" t="s">
        <v>6616</v>
      </c>
      <c r="G6216">
        <v>21756</v>
      </c>
      <c r="H6216">
        <v>3352</v>
      </c>
      <c r="I6216" s="25" t="s">
        <v>2074</v>
      </c>
      <c r="J6216" t="s">
        <v>2079</v>
      </c>
      <c r="M6216" s="49"/>
    </row>
    <row r="6217" spans="6:13" x14ac:dyDescent="0.25">
      <c r="F6217" t="s">
        <v>6617</v>
      </c>
      <c r="G6217">
        <v>25872</v>
      </c>
      <c r="H6217">
        <v>1054</v>
      </c>
      <c r="I6217" s="25" t="s">
        <v>2085</v>
      </c>
      <c r="J6217" t="s">
        <v>2195</v>
      </c>
      <c r="M6217" s="49"/>
    </row>
    <row r="6218" spans="6:13" x14ac:dyDescent="0.25">
      <c r="F6218" t="s">
        <v>6618</v>
      </c>
      <c r="G6218">
        <v>89296</v>
      </c>
      <c r="H6218">
        <v>9775</v>
      </c>
      <c r="I6218" s="25" t="s">
        <v>2050</v>
      </c>
      <c r="J6218" t="s">
        <v>2418</v>
      </c>
      <c r="M6218" s="49"/>
    </row>
    <row r="6219" spans="6:13" x14ac:dyDescent="0.25">
      <c r="F6219" t="s">
        <v>6619</v>
      </c>
      <c r="G6219">
        <v>39606</v>
      </c>
      <c r="H6219">
        <v>15090</v>
      </c>
      <c r="I6219" s="25" t="s">
        <v>2241</v>
      </c>
      <c r="J6219" t="s">
        <v>2382</v>
      </c>
      <c r="M6219" s="49"/>
    </row>
    <row r="6220" spans="6:13" x14ac:dyDescent="0.25">
      <c r="F6220" t="s">
        <v>6620</v>
      </c>
      <c r="G6220">
        <v>74706</v>
      </c>
      <c r="H6220">
        <v>8225</v>
      </c>
      <c r="I6220" s="25" t="s">
        <v>2018</v>
      </c>
      <c r="J6220" t="s">
        <v>2108</v>
      </c>
      <c r="M6220" s="49"/>
    </row>
    <row r="6221" spans="6:13" x14ac:dyDescent="0.25">
      <c r="F6221" t="s">
        <v>6621</v>
      </c>
      <c r="G6221">
        <v>24367</v>
      </c>
      <c r="H6221">
        <v>1058</v>
      </c>
      <c r="I6221" s="25" t="s">
        <v>2085</v>
      </c>
      <c r="J6221" t="s">
        <v>2086</v>
      </c>
      <c r="M6221" s="49"/>
    </row>
    <row r="6222" spans="6:13" x14ac:dyDescent="0.25">
      <c r="F6222" t="s">
        <v>6622</v>
      </c>
      <c r="G6222">
        <v>49179</v>
      </c>
      <c r="H6222">
        <v>3459</v>
      </c>
      <c r="I6222" s="25" t="s">
        <v>2074</v>
      </c>
      <c r="J6222" t="s">
        <v>2292</v>
      </c>
      <c r="M6222" s="49"/>
    </row>
    <row r="6223" spans="6:13" x14ac:dyDescent="0.25">
      <c r="F6223" t="s">
        <v>6623</v>
      </c>
      <c r="G6223">
        <v>94486</v>
      </c>
      <c r="H6223">
        <v>9271</v>
      </c>
      <c r="I6223" s="25" t="s">
        <v>2050</v>
      </c>
      <c r="J6223" t="s">
        <v>2172</v>
      </c>
      <c r="M6223" s="49"/>
    </row>
    <row r="6224" spans="6:13" x14ac:dyDescent="0.25">
      <c r="F6224" t="s">
        <v>6624</v>
      </c>
      <c r="G6224">
        <v>27711</v>
      </c>
      <c r="H6224">
        <v>3356</v>
      </c>
      <c r="I6224" s="25" t="s">
        <v>2074</v>
      </c>
      <c r="J6224" t="s">
        <v>2295</v>
      </c>
      <c r="M6224" s="49"/>
    </row>
    <row r="6225" spans="6:13" x14ac:dyDescent="0.25">
      <c r="F6225" t="s">
        <v>6625</v>
      </c>
      <c r="G6225">
        <v>6386</v>
      </c>
      <c r="H6225">
        <v>15082</v>
      </c>
      <c r="I6225" s="25" t="s">
        <v>2241</v>
      </c>
      <c r="J6225" t="s">
        <v>2242</v>
      </c>
      <c r="M6225" s="49"/>
    </row>
    <row r="6226" spans="6:13" x14ac:dyDescent="0.25">
      <c r="F6226" t="s">
        <v>6626</v>
      </c>
      <c r="G6226">
        <v>37520</v>
      </c>
      <c r="H6226">
        <v>3159</v>
      </c>
      <c r="I6226" s="25" t="s">
        <v>2074</v>
      </c>
      <c r="J6226" t="s">
        <v>2093</v>
      </c>
      <c r="M6226" s="49"/>
    </row>
    <row r="6227" spans="6:13" x14ac:dyDescent="0.25">
      <c r="F6227" t="s">
        <v>6627</v>
      </c>
      <c r="G6227">
        <v>24783</v>
      </c>
      <c r="H6227">
        <v>1058</v>
      </c>
      <c r="I6227" s="25" t="s">
        <v>2085</v>
      </c>
      <c r="J6227" t="s">
        <v>2086</v>
      </c>
      <c r="M6227" s="49"/>
    </row>
    <row r="6228" spans="6:13" x14ac:dyDescent="0.25">
      <c r="F6228" t="s">
        <v>6628</v>
      </c>
      <c r="G6228">
        <v>56340</v>
      </c>
      <c r="H6228">
        <v>7141</v>
      </c>
      <c r="I6228" s="25" t="s">
        <v>2123</v>
      </c>
      <c r="J6228" t="s">
        <v>2388</v>
      </c>
      <c r="M6228" s="49"/>
    </row>
    <row r="6229" spans="6:13" x14ac:dyDescent="0.25">
      <c r="F6229" t="s">
        <v>6629</v>
      </c>
      <c r="G6229">
        <v>25590</v>
      </c>
      <c r="H6229">
        <v>1058</v>
      </c>
      <c r="I6229" s="25" t="s">
        <v>2085</v>
      </c>
      <c r="J6229" t="s">
        <v>2086</v>
      </c>
      <c r="M6229" s="49"/>
    </row>
    <row r="6230" spans="6:13" x14ac:dyDescent="0.25">
      <c r="F6230" t="s">
        <v>6630</v>
      </c>
      <c r="G6230">
        <v>38835</v>
      </c>
      <c r="H6230">
        <v>15085</v>
      </c>
      <c r="I6230" s="25" t="s">
        <v>2241</v>
      </c>
      <c r="J6230" t="s">
        <v>2178</v>
      </c>
      <c r="M6230" s="49"/>
    </row>
    <row r="6231" spans="6:13" x14ac:dyDescent="0.25">
      <c r="F6231" t="s">
        <v>6631</v>
      </c>
      <c r="G6231">
        <v>73760</v>
      </c>
      <c r="H6231">
        <v>8116</v>
      </c>
      <c r="I6231" s="25" t="s">
        <v>2018</v>
      </c>
      <c r="J6231" t="s">
        <v>2213</v>
      </c>
      <c r="M6231" s="49"/>
    </row>
    <row r="6232" spans="6:13" x14ac:dyDescent="0.25">
      <c r="F6232" t="s">
        <v>6632</v>
      </c>
      <c r="G6232">
        <v>97645</v>
      </c>
      <c r="H6232">
        <v>9673</v>
      </c>
      <c r="I6232" s="25" t="s">
        <v>2050</v>
      </c>
      <c r="J6232" t="s">
        <v>2676</v>
      </c>
      <c r="M6232" s="49"/>
    </row>
    <row r="6233" spans="6:13" x14ac:dyDescent="0.25">
      <c r="F6233" t="s">
        <v>6633</v>
      </c>
      <c r="G6233">
        <v>67574</v>
      </c>
      <c r="H6233">
        <v>7331</v>
      </c>
      <c r="I6233" s="25" t="s">
        <v>2123</v>
      </c>
      <c r="J6233" t="s">
        <v>2029</v>
      </c>
      <c r="M6233" s="49"/>
    </row>
    <row r="6234" spans="6:13" x14ac:dyDescent="0.25">
      <c r="F6234" t="s">
        <v>6634</v>
      </c>
      <c r="G6234">
        <v>88356</v>
      </c>
      <c r="H6234">
        <v>8437</v>
      </c>
      <c r="I6234" s="25" t="s">
        <v>2018</v>
      </c>
      <c r="J6234" t="s">
        <v>2720</v>
      </c>
      <c r="M6234" s="49"/>
    </row>
    <row r="6235" spans="6:13" x14ac:dyDescent="0.25">
      <c r="F6235" t="s">
        <v>6635</v>
      </c>
      <c r="G6235">
        <v>4749</v>
      </c>
      <c r="H6235">
        <v>14522</v>
      </c>
      <c r="I6235" s="25" t="s">
        <v>2135</v>
      </c>
      <c r="J6235" t="s">
        <v>2100</v>
      </c>
      <c r="M6235" s="49"/>
    </row>
    <row r="6236" spans="6:13" x14ac:dyDescent="0.25">
      <c r="F6236" t="s">
        <v>6636</v>
      </c>
      <c r="G6236">
        <v>26842</v>
      </c>
      <c r="H6236">
        <v>3457</v>
      </c>
      <c r="I6236" s="25" t="s">
        <v>2074</v>
      </c>
      <c r="J6236" t="s">
        <v>2220</v>
      </c>
      <c r="M6236" s="49"/>
    </row>
    <row r="6237" spans="6:13" x14ac:dyDescent="0.25">
      <c r="F6237" t="s">
        <v>6637</v>
      </c>
      <c r="G6237">
        <v>76684</v>
      </c>
      <c r="H6237">
        <v>8215</v>
      </c>
      <c r="I6237" s="25" t="s">
        <v>2018</v>
      </c>
      <c r="J6237" t="s">
        <v>2724</v>
      </c>
      <c r="M6237" s="49"/>
    </row>
    <row r="6238" spans="6:13" x14ac:dyDescent="0.25">
      <c r="F6238" t="s">
        <v>6638</v>
      </c>
      <c r="G6238">
        <v>2899</v>
      </c>
      <c r="H6238">
        <v>14626</v>
      </c>
      <c r="I6238" s="25" t="s">
        <v>2135</v>
      </c>
      <c r="J6238" t="s">
        <v>2150</v>
      </c>
      <c r="M6238" s="49"/>
    </row>
    <row r="6239" spans="6:13" x14ac:dyDescent="0.25">
      <c r="F6239" t="s">
        <v>6639</v>
      </c>
      <c r="G6239">
        <v>17424</v>
      </c>
      <c r="H6239">
        <v>13075</v>
      </c>
      <c r="I6239" s="25" t="s">
        <v>2191</v>
      </c>
      <c r="J6239" t="s">
        <v>2160</v>
      </c>
      <c r="M6239" s="49"/>
    </row>
    <row r="6240" spans="6:13" x14ac:dyDescent="0.25">
      <c r="F6240" t="s">
        <v>6640</v>
      </c>
      <c r="G6240">
        <v>76470</v>
      </c>
      <c r="H6240">
        <v>8216</v>
      </c>
      <c r="I6240" s="25" t="s">
        <v>2018</v>
      </c>
      <c r="J6240" t="s">
        <v>2564</v>
      </c>
      <c r="M6240" s="49"/>
    </row>
    <row r="6241" spans="6:13" x14ac:dyDescent="0.25">
      <c r="F6241" t="s">
        <v>6641</v>
      </c>
      <c r="G6241">
        <v>75443</v>
      </c>
      <c r="H6241">
        <v>8236</v>
      </c>
      <c r="I6241" s="25" t="s">
        <v>2018</v>
      </c>
      <c r="J6241" t="s">
        <v>3087</v>
      </c>
      <c r="M6241" s="49"/>
    </row>
    <row r="6242" spans="6:13" x14ac:dyDescent="0.25">
      <c r="F6242" t="s">
        <v>6642</v>
      </c>
      <c r="G6242">
        <v>73113</v>
      </c>
      <c r="H6242">
        <v>8117</v>
      </c>
      <c r="I6242" s="25" t="s">
        <v>2018</v>
      </c>
      <c r="J6242" t="s">
        <v>2089</v>
      </c>
      <c r="M6242" s="49"/>
    </row>
    <row r="6243" spans="6:13" x14ac:dyDescent="0.25">
      <c r="F6243" t="s">
        <v>6643</v>
      </c>
      <c r="G6243">
        <v>25591</v>
      </c>
      <c r="H6243">
        <v>1061</v>
      </c>
      <c r="I6243" s="25" t="s">
        <v>2085</v>
      </c>
      <c r="J6243" t="s">
        <v>2377</v>
      </c>
      <c r="M6243" s="49"/>
    </row>
    <row r="6244" spans="6:13" x14ac:dyDescent="0.25">
      <c r="F6244" t="s">
        <v>6644</v>
      </c>
      <c r="G6244">
        <v>1458</v>
      </c>
      <c r="H6244">
        <v>14625</v>
      </c>
      <c r="I6244" s="25" t="s">
        <v>2135</v>
      </c>
      <c r="J6244" t="s">
        <v>2041</v>
      </c>
      <c r="M6244" s="49"/>
    </row>
    <row r="6245" spans="6:13" x14ac:dyDescent="0.25">
      <c r="F6245" t="s">
        <v>6645</v>
      </c>
      <c r="G6245">
        <v>77883</v>
      </c>
      <c r="H6245">
        <v>8317</v>
      </c>
      <c r="I6245" s="25" t="s">
        <v>2018</v>
      </c>
      <c r="J6245" t="s">
        <v>2071</v>
      </c>
      <c r="M6245" s="49"/>
    </row>
    <row r="6246" spans="6:13" x14ac:dyDescent="0.25">
      <c r="F6246" t="s">
        <v>6646</v>
      </c>
      <c r="G6246">
        <v>91242</v>
      </c>
      <c r="H6246">
        <v>9574</v>
      </c>
      <c r="I6246" s="25" t="s">
        <v>2050</v>
      </c>
      <c r="J6246" t="s">
        <v>2291</v>
      </c>
      <c r="M6246" s="49"/>
    </row>
    <row r="6247" spans="6:13" x14ac:dyDescent="0.25">
      <c r="F6247" t="s">
        <v>6647</v>
      </c>
      <c r="G6247">
        <v>31868</v>
      </c>
      <c r="H6247">
        <v>3255</v>
      </c>
      <c r="I6247" s="25" t="s">
        <v>2074</v>
      </c>
      <c r="J6247" t="s">
        <v>3044</v>
      </c>
      <c r="M6247" s="49"/>
    </row>
    <row r="6248" spans="6:13" x14ac:dyDescent="0.25">
      <c r="F6248" t="s">
        <v>6648</v>
      </c>
      <c r="G6248">
        <v>21259</v>
      </c>
      <c r="H6248">
        <v>3353</v>
      </c>
      <c r="I6248" s="25" t="s">
        <v>2074</v>
      </c>
      <c r="J6248" t="s">
        <v>2176</v>
      </c>
      <c r="M6248" s="49"/>
    </row>
    <row r="6249" spans="6:13" x14ac:dyDescent="0.25">
      <c r="F6249" t="s">
        <v>6649</v>
      </c>
      <c r="G6249">
        <v>67731</v>
      </c>
      <c r="H6249">
        <v>7335</v>
      </c>
      <c r="I6249" s="25" t="s">
        <v>2123</v>
      </c>
      <c r="J6249" t="s">
        <v>2843</v>
      </c>
      <c r="M6249" s="49"/>
    </row>
    <row r="6250" spans="6:13" x14ac:dyDescent="0.25">
      <c r="F6250" t="s">
        <v>6650</v>
      </c>
      <c r="G6250">
        <v>67697</v>
      </c>
      <c r="H6250">
        <v>7335</v>
      </c>
      <c r="I6250" s="25" t="s">
        <v>2123</v>
      </c>
      <c r="J6250" t="s">
        <v>2843</v>
      </c>
      <c r="M6250" s="49"/>
    </row>
    <row r="6251" spans="6:13" x14ac:dyDescent="0.25">
      <c r="F6251" t="s">
        <v>6651</v>
      </c>
      <c r="G6251">
        <v>83624</v>
      </c>
      <c r="H6251">
        <v>9182</v>
      </c>
      <c r="I6251" s="25" t="s">
        <v>2050</v>
      </c>
      <c r="J6251" t="s">
        <v>2254</v>
      </c>
      <c r="M6251" s="49"/>
    </row>
    <row r="6252" spans="6:13" x14ac:dyDescent="0.25">
      <c r="F6252" t="s">
        <v>6652</v>
      </c>
      <c r="G6252">
        <v>21762</v>
      </c>
      <c r="H6252">
        <v>3352</v>
      </c>
      <c r="I6252" s="25" t="s">
        <v>2074</v>
      </c>
      <c r="J6252" t="s">
        <v>2079</v>
      </c>
      <c r="M6252" s="49"/>
    </row>
    <row r="6253" spans="6:13" x14ac:dyDescent="0.25">
      <c r="F6253" t="s">
        <v>6653</v>
      </c>
      <c r="G6253">
        <v>28870</v>
      </c>
      <c r="H6253">
        <v>3361</v>
      </c>
      <c r="I6253" s="25" t="s">
        <v>2074</v>
      </c>
      <c r="J6253" t="s">
        <v>2075</v>
      </c>
      <c r="M6253" s="49"/>
    </row>
    <row r="6254" spans="6:13" x14ac:dyDescent="0.25">
      <c r="F6254" t="s">
        <v>6654</v>
      </c>
      <c r="G6254">
        <v>67166</v>
      </c>
      <c r="H6254">
        <v>7338</v>
      </c>
      <c r="I6254" s="25" t="s">
        <v>2123</v>
      </c>
      <c r="J6254" t="s">
        <v>2448</v>
      </c>
      <c r="M6254" s="49"/>
    </row>
    <row r="6255" spans="6:13" x14ac:dyDescent="0.25">
      <c r="F6255" t="s">
        <v>6655</v>
      </c>
      <c r="G6255">
        <v>77833</v>
      </c>
      <c r="H6255">
        <v>8216</v>
      </c>
      <c r="I6255" s="25" t="s">
        <v>2018</v>
      </c>
      <c r="J6255" t="s">
        <v>2564</v>
      </c>
      <c r="M6255" s="49"/>
    </row>
    <row r="6256" spans="6:13" x14ac:dyDescent="0.25">
      <c r="F6256" t="s">
        <v>6656</v>
      </c>
      <c r="G6256">
        <v>86700</v>
      </c>
      <c r="H6256">
        <v>9779</v>
      </c>
      <c r="I6256" s="25" t="s">
        <v>2050</v>
      </c>
      <c r="J6256" t="s">
        <v>2280</v>
      </c>
      <c r="M6256" s="49"/>
    </row>
    <row r="6257" spans="6:13" x14ac:dyDescent="0.25">
      <c r="F6257" t="s">
        <v>6657</v>
      </c>
      <c r="G6257">
        <v>87724</v>
      </c>
      <c r="H6257">
        <v>9778</v>
      </c>
      <c r="I6257" s="25" t="s">
        <v>2050</v>
      </c>
      <c r="J6257" t="s">
        <v>2460</v>
      </c>
      <c r="M6257" s="49"/>
    </row>
    <row r="6258" spans="6:13" x14ac:dyDescent="0.25">
      <c r="F6258" t="s">
        <v>6658</v>
      </c>
      <c r="G6258">
        <v>85521</v>
      </c>
      <c r="H6258">
        <v>9184</v>
      </c>
      <c r="I6258" s="25" t="s">
        <v>2050</v>
      </c>
      <c r="J6258" t="s">
        <v>2547</v>
      </c>
      <c r="M6258" s="49"/>
    </row>
    <row r="6259" spans="6:13" x14ac:dyDescent="0.25">
      <c r="F6259" t="s">
        <v>6659</v>
      </c>
      <c r="G6259">
        <v>34633</v>
      </c>
      <c r="H6259">
        <v>6634</v>
      </c>
      <c r="I6259" s="25" t="s">
        <v>2046</v>
      </c>
      <c r="J6259" t="s">
        <v>2360</v>
      </c>
      <c r="M6259" s="49"/>
    </row>
    <row r="6260" spans="6:13" x14ac:dyDescent="0.25">
      <c r="F6260" t="s">
        <v>6660</v>
      </c>
      <c r="G6260">
        <v>66564</v>
      </c>
      <c r="H6260">
        <v>10043</v>
      </c>
      <c r="I6260" s="25" t="s">
        <v>2849</v>
      </c>
      <c r="J6260" t="s">
        <v>3883</v>
      </c>
      <c r="M6260" s="49"/>
    </row>
    <row r="6261" spans="6:13" x14ac:dyDescent="0.25">
      <c r="F6261" t="s">
        <v>6661</v>
      </c>
      <c r="G6261">
        <v>64853</v>
      </c>
      <c r="H6261">
        <v>6432</v>
      </c>
      <c r="I6261" s="25" t="s">
        <v>2046</v>
      </c>
      <c r="J6261" t="s">
        <v>2338</v>
      </c>
      <c r="M6261" s="49"/>
    </row>
    <row r="6262" spans="6:13" x14ac:dyDescent="0.25">
      <c r="F6262" t="s">
        <v>6662</v>
      </c>
      <c r="G6262">
        <v>94563</v>
      </c>
      <c r="H6262">
        <v>9271</v>
      </c>
      <c r="I6262" s="25" t="s">
        <v>2050</v>
      </c>
      <c r="J6262" t="s">
        <v>2172</v>
      </c>
      <c r="M6262" s="49"/>
    </row>
    <row r="6263" spans="6:13" x14ac:dyDescent="0.25">
      <c r="F6263" t="s">
        <v>6663</v>
      </c>
      <c r="G6263">
        <v>26939</v>
      </c>
      <c r="H6263">
        <v>3461</v>
      </c>
      <c r="I6263" s="25" t="s">
        <v>2074</v>
      </c>
      <c r="J6263" t="s">
        <v>2426</v>
      </c>
      <c r="M6263" s="49"/>
    </row>
    <row r="6264" spans="6:13" x14ac:dyDescent="0.25">
      <c r="F6264" t="s">
        <v>6664</v>
      </c>
      <c r="G6264">
        <v>51491</v>
      </c>
      <c r="H6264">
        <v>5378</v>
      </c>
      <c r="I6264" s="25" t="s">
        <v>2023</v>
      </c>
      <c r="J6264" t="s">
        <v>2909</v>
      </c>
      <c r="M6264" s="49"/>
    </row>
    <row r="6265" spans="6:13" x14ac:dyDescent="0.25">
      <c r="F6265" t="s">
        <v>6665</v>
      </c>
      <c r="G6265">
        <v>73277</v>
      </c>
      <c r="H6265">
        <v>8116</v>
      </c>
      <c r="I6265" s="25" t="s">
        <v>2018</v>
      </c>
      <c r="J6265" t="s">
        <v>2213</v>
      </c>
      <c r="M6265" s="49"/>
    </row>
    <row r="6266" spans="6:13" x14ac:dyDescent="0.25">
      <c r="F6266" t="s">
        <v>6666</v>
      </c>
      <c r="G6266">
        <v>88696</v>
      </c>
      <c r="H6266">
        <v>8435</v>
      </c>
      <c r="I6266" s="25" t="s">
        <v>2018</v>
      </c>
      <c r="J6266" t="s">
        <v>3011</v>
      </c>
      <c r="M6266" s="49"/>
    </row>
    <row r="6267" spans="6:13" x14ac:dyDescent="0.25">
      <c r="F6267" t="s">
        <v>6667</v>
      </c>
      <c r="G6267">
        <v>24811</v>
      </c>
      <c r="H6267">
        <v>1058</v>
      </c>
      <c r="I6267" s="25" t="s">
        <v>2085</v>
      </c>
      <c r="J6267" t="s">
        <v>2086</v>
      </c>
      <c r="M6267" s="49"/>
    </row>
    <row r="6268" spans="6:13" x14ac:dyDescent="0.25">
      <c r="F6268" t="s">
        <v>6668</v>
      </c>
      <c r="G6268">
        <v>2797</v>
      </c>
      <c r="H6268">
        <v>14626</v>
      </c>
      <c r="I6268" s="25" t="s">
        <v>2135</v>
      </c>
      <c r="J6268" t="s">
        <v>2150</v>
      </c>
      <c r="M6268" s="49"/>
    </row>
    <row r="6269" spans="6:13" x14ac:dyDescent="0.25">
      <c r="F6269" t="s">
        <v>6669</v>
      </c>
      <c r="G6269">
        <v>87466</v>
      </c>
      <c r="H6269">
        <v>9780</v>
      </c>
      <c r="I6269" s="25" t="s">
        <v>2050</v>
      </c>
      <c r="J6269" t="s">
        <v>2278</v>
      </c>
      <c r="M6269" s="49"/>
    </row>
    <row r="6270" spans="6:13" x14ac:dyDescent="0.25">
      <c r="F6270" t="s">
        <v>6670</v>
      </c>
      <c r="G6270">
        <v>28876</v>
      </c>
      <c r="H6270">
        <v>3361</v>
      </c>
      <c r="I6270" s="25" t="s">
        <v>2074</v>
      </c>
      <c r="J6270" t="s">
        <v>2075</v>
      </c>
      <c r="M6270" s="49"/>
    </row>
    <row r="6271" spans="6:13" x14ac:dyDescent="0.25">
      <c r="F6271" t="s">
        <v>6671</v>
      </c>
      <c r="G6271">
        <v>24634</v>
      </c>
      <c r="H6271">
        <v>1058</v>
      </c>
      <c r="I6271" s="25" t="s">
        <v>2085</v>
      </c>
      <c r="J6271" t="s">
        <v>2086</v>
      </c>
      <c r="M6271" s="49"/>
    </row>
    <row r="6272" spans="6:13" x14ac:dyDescent="0.25">
      <c r="F6272" t="s">
        <v>2304</v>
      </c>
      <c r="G6272">
        <v>33098</v>
      </c>
      <c r="H6272">
        <v>5774</v>
      </c>
      <c r="I6272" s="25" t="s">
        <v>2023</v>
      </c>
      <c r="J6272" t="s">
        <v>2304</v>
      </c>
      <c r="M6272" s="49"/>
    </row>
    <row r="6273" spans="6:13" x14ac:dyDescent="0.25">
      <c r="F6273" t="s">
        <v>2304</v>
      </c>
      <c r="G6273">
        <v>33104</v>
      </c>
      <c r="H6273">
        <v>5774</v>
      </c>
      <c r="I6273" s="25" t="s">
        <v>2023</v>
      </c>
      <c r="J6273" t="s">
        <v>2304</v>
      </c>
      <c r="M6273" s="49"/>
    </row>
    <row r="6274" spans="6:13" x14ac:dyDescent="0.25">
      <c r="F6274" t="s">
        <v>2304</v>
      </c>
      <c r="G6274">
        <v>33106</v>
      </c>
      <c r="H6274">
        <v>5774</v>
      </c>
      <c r="I6274" s="25" t="s">
        <v>2023</v>
      </c>
      <c r="J6274" t="s">
        <v>2304</v>
      </c>
      <c r="M6274" s="49"/>
    </row>
    <row r="6275" spans="6:13" x14ac:dyDescent="0.25">
      <c r="F6275" t="s">
        <v>2304</v>
      </c>
      <c r="G6275">
        <v>33102</v>
      </c>
      <c r="H6275">
        <v>5774</v>
      </c>
      <c r="I6275" s="25" t="s">
        <v>2023</v>
      </c>
      <c r="J6275" t="s">
        <v>2304</v>
      </c>
      <c r="M6275" s="49"/>
    </row>
    <row r="6276" spans="6:13" x14ac:dyDescent="0.25">
      <c r="F6276" t="s">
        <v>2304</v>
      </c>
      <c r="G6276">
        <v>33100</v>
      </c>
      <c r="H6276">
        <v>5774</v>
      </c>
      <c r="I6276" s="25" t="s">
        <v>2023</v>
      </c>
      <c r="J6276" t="s">
        <v>2304</v>
      </c>
      <c r="M6276" s="49"/>
    </row>
    <row r="6277" spans="6:13" x14ac:dyDescent="0.25">
      <c r="F6277" t="s">
        <v>6672</v>
      </c>
      <c r="G6277">
        <v>82396</v>
      </c>
      <c r="H6277">
        <v>9190</v>
      </c>
      <c r="I6277" s="25" t="s">
        <v>2050</v>
      </c>
      <c r="J6277" t="s">
        <v>2417</v>
      </c>
      <c r="M6277" s="49"/>
    </row>
    <row r="6278" spans="6:13" x14ac:dyDescent="0.25">
      <c r="F6278" t="s">
        <v>6673</v>
      </c>
      <c r="G6278">
        <v>25794</v>
      </c>
      <c r="H6278">
        <v>1051</v>
      </c>
      <c r="I6278" s="25" t="s">
        <v>2085</v>
      </c>
      <c r="J6278" t="s">
        <v>2097</v>
      </c>
      <c r="M6278" s="49"/>
    </row>
    <row r="6279" spans="6:13" x14ac:dyDescent="0.25">
      <c r="F6279" t="s">
        <v>6674</v>
      </c>
      <c r="G6279">
        <v>93351</v>
      </c>
      <c r="H6279">
        <v>9273</v>
      </c>
      <c r="I6279" s="25" t="s">
        <v>2050</v>
      </c>
      <c r="J6279" t="s">
        <v>2054</v>
      </c>
      <c r="M6279" s="49"/>
    </row>
    <row r="6280" spans="6:13" x14ac:dyDescent="0.25">
      <c r="F6280" t="s">
        <v>6675</v>
      </c>
      <c r="G6280">
        <v>83349</v>
      </c>
      <c r="H6280">
        <v>9189</v>
      </c>
      <c r="I6280" s="25" t="s">
        <v>2050</v>
      </c>
      <c r="J6280" t="s">
        <v>2407</v>
      </c>
      <c r="M6280" s="49"/>
    </row>
    <row r="6281" spans="6:13" x14ac:dyDescent="0.25">
      <c r="F6281" t="s">
        <v>6676</v>
      </c>
      <c r="G6281">
        <v>19075</v>
      </c>
      <c r="H6281">
        <v>13076</v>
      </c>
      <c r="I6281" s="25" t="s">
        <v>2191</v>
      </c>
      <c r="J6281" t="s">
        <v>2234</v>
      </c>
      <c r="M6281" s="49"/>
    </row>
    <row r="6282" spans="6:13" x14ac:dyDescent="0.25">
      <c r="F6282" t="s">
        <v>6677</v>
      </c>
      <c r="G6282">
        <v>16341</v>
      </c>
      <c r="H6282">
        <v>12060</v>
      </c>
      <c r="I6282" s="25" t="s">
        <v>2356</v>
      </c>
      <c r="J6282" t="s">
        <v>2040</v>
      </c>
      <c r="M6282" s="49"/>
    </row>
    <row r="6283" spans="6:13" x14ac:dyDescent="0.25">
      <c r="F6283" t="s">
        <v>6678</v>
      </c>
      <c r="G6283">
        <v>23689</v>
      </c>
      <c r="H6283">
        <v>1055</v>
      </c>
      <c r="I6283" s="25" t="s">
        <v>2085</v>
      </c>
      <c r="J6283" t="s">
        <v>2185</v>
      </c>
      <c r="M6283" s="49"/>
    </row>
    <row r="6284" spans="6:13" x14ac:dyDescent="0.25">
      <c r="F6284" t="s">
        <v>6679</v>
      </c>
      <c r="G6284">
        <v>26871</v>
      </c>
      <c r="H6284">
        <v>3454</v>
      </c>
      <c r="I6284" s="25" t="s">
        <v>2074</v>
      </c>
      <c r="J6284" t="s">
        <v>2118</v>
      </c>
      <c r="M6284" s="49"/>
    </row>
    <row r="6285" spans="6:13" x14ac:dyDescent="0.25">
      <c r="F6285" t="s">
        <v>6680</v>
      </c>
      <c r="G6285">
        <v>91788</v>
      </c>
      <c r="H6285">
        <v>9577</v>
      </c>
      <c r="I6285" s="25" t="s">
        <v>2050</v>
      </c>
      <c r="J6285" t="s">
        <v>2057</v>
      </c>
      <c r="M6285" s="49"/>
    </row>
    <row r="6286" spans="6:13" x14ac:dyDescent="0.25">
      <c r="F6286" t="s">
        <v>2307</v>
      </c>
      <c r="G6286">
        <v>19370</v>
      </c>
      <c r="H6286">
        <v>13076</v>
      </c>
      <c r="I6286" s="25" t="s">
        <v>2191</v>
      </c>
      <c r="J6286" t="s">
        <v>2234</v>
      </c>
      <c r="M6286" s="49"/>
    </row>
    <row r="6287" spans="6:13" x14ac:dyDescent="0.25">
      <c r="F6287" t="s">
        <v>6681</v>
      </c>
      <c r="G6287">
        <v>92711</v>
      </c>
      <c r="H6287">
        <v>9374</v>
      </c>
      <c r="I6287" s="25" t="s">
        <v>2050</v>
      </c>
      <c r="J6287" t="s">
        <v>2420</v>
      </c>
      <c r="M6287" s="49"/>
    </row>
    <row r="6288" spans="6:13" x14ac:dyDescent="0.25">
      <c r="F6288" t="s">
        <v>6682</v>
      </c>
      <c r="G6288">
        <v>94365</v>
      </c>
      <c r="H6288">
        <v>9278</v>
      </c>
      <c r="I6288" s="25" t="s">
        <v>2050</v>
      </c>
      <c r="J6288" t="s">
        <v>2170</v>
      </c>
      <c r="M6288" s="49"/>
    </row>
    <row r="6289" spans="6:13" x14ac:dyDescent="0.25">
      <c r="F6289" t="s">
        <v>6683</v>
      </c>
      <c r="G6289">
        <v>38470</v>
      </c>
      <c r="H6289">
        <v>3151</v>
      </c>
      <c r="I6289" s="25" t="s">
        <v>2074</v>
      </c>
      <c r="J6289" t="s">
        <v>2126</v>
      </c>
      <c r="M6289" s="49"/>
    </row>
    <row r="6290" spans="6:13" x14ac:dyDescent="0.25">
      <c r="F6290" t="s">
        <v>6684</v>
      </c>
      <c r="G6290">
        <v>92331</v>
      </c>
      <c r="H6290">
        <v>9373</v>
      </c>
      <c r="I6290" s="25" t="s">
        <v>2050</v>
      </c>
      <c r="J6290" t="s">
        <v>2891</v>
      </c>
      <c r="M6290" s="49"/>
    </row>
    <row r="6291" spans="6:13" x14ac:dyDescent="0.25">
      <c r="F6291" t="s">
        <v>6685</v>
      </c>
      <c r="G6291">
        <v>85599</v>
      </c>
      <c r="H6291">
        <v>9175</v>
      </c>
      <c r="I6291" s="25" t="s">
        <v>2050</v>
      </c>
      <c r="J6291" t="s">
        <v>2500</v>
      </c>
      <c r="M6291" s="49"/>
    </row>
    <row r="6292" spans="6:13" x14ac:dyDescent="0.25">
      <c r="F6292" t="s">
        <v>6686</v>
      </c>
      <c r="G6292">
        <v>97846</v>
      </c>
      <c r="H6292">
        <v>9677</v>
      </c>
      <c r="I6292" s="25" t="s">
        <v>2050</v>
      </c>
      <c r="J6292" t="s">
        <v>2527</v>
      </c>
      <c r="M6292" s="49"/>
    </row>
    <row r="6293" spans="6:13" x14ac:dyDescent="0.25">
      <c r="F6293" t="s">
        <v>6687</v>
      </c>
      <c r="G6293">
        <v>17309</v>
      </c>
      <c r="H6293">
        <v>13075</v>
      </c>
      <c r="I6293" s="25" t="s">
        <v>2191</v>
      </c>
      <c r="J6293" t="s">
        <v>2160</v>
      </c>
      <c r="M6293" s="49"/>
    </row>
    <row r="6294" spans="6:13" x14ac:dyDescent="0.25">
      <c r="F6294" t="s">
        <v>2198</v>
      </c>
      <c r="G6294">
        <v>94034</v>
      </c>
      <c r="H6294">
        <v>9262</v>
      </c>
      <c r="I6294" s="25" t="s">
        <v>2050</v>
      </c>
      <c r="J6294" t="s">
        <v>6688</v>
      </c>
      <c r="M6294" s="49"/>
    </row>
    <row r="6295" spans="6:13" x14ac:dyDescent="0.25">
      <c r="F6295" t="s">
        <v>2198</v>
      </c>
      <c r="G6295">
        <v>94036</v>
      </c>
      <c r="H6295">
        <v>9262</v>
      </c>
      <c r="I6295" s="25" t="s">
        <v>2050</v>
      </c>
      <c r="J6295" t="s">
        <v>6688</v>
      </c>
      <c r="M6295" s="49"/>
    </row>
    <row r="6296" spans="6:13" x14ac:dyDescent="0.25">
      <c r="F6296" t="s">
        <v>2198</v>
      </c>
      <c r="G6296">
        <v>94032</v>
      </c>
      <c r="H6296">
        <v>9262</v>
      </c>
      <c r="I6296" s="25" t="s">
        <v>2050</v>
      </c>
      <c r="J6296" t="s">
        <v>6688</v>
      </c>
      <c r="M6296" s="49"/>
    </row>
    <row r="6297" spans="6:13" x14ac:dyDescent="0.25">
      <c r="F6297" t="s">
        <v>2198</v>
      </c>
      <c r="G6297">
        <v>94036</v>
      </c>
      <c r="H6297">
        <v>9275</v>
      </c>
      <c r="I6297" s="25" t="s">
        <v>2050</v>
      </c>
      <c r="J6297" t="s">
        <v>2198</v>
      </c>
      <c r="M6297" s="49"/>
    </row>
    <row r="6298" spans="6:13" x14ac:dyDescent="0.25">
      <c r="F6298" t="s">
        <v>6689</v>
      </c>
      <c r="G6298">
        <v>85669</v>
      </c>
      <c r="H6298">
        <v>9177</v>
      </c>
      <c r="I6298" s="25" t="s">
        <v>2050</v>
      </c>
      <c r="J6298" t="s">
        <v>2915</v>
      </c>
      <c r="M6298" s="49"/>
    </row>
    <row r="6299" spans="6:13" x14ac:dyDescent="0.25">
      <c r="F6299" t="s">
        <v>6690</v>
      </c>
      <c r="G6299">
        <v>94265</v>
      </c>
      <c r="H6299">
        <v>9276</v>
      </c>
      <c r="I6299" s="25" t="s">
        <v>2050</v>
      </c>
      <c r="J6299" t="s">
        <v>2078</v>
      </c>
      <c r="M6299" s="49"/>
    </row>
    <row r="6300" spans="6:13" x14ac:dyDescent="0.25">
      <c r="F6300" t="s">
        <v>6691</v>
      </c>
      <c r="G6300">
        <v>30982</v>
      </c>
      <c r="H6300">
        <v>3241</v>
      </c>
      <c r="I6300" s="25" t="s">
        <v>2074</v>
      </c>
      <c r="J6300" t="s">
        <v>2321</v>
      </c>
      <c r="M6300" s="49"/>
    </row>
    <row r="6301" spans="6:13" x14ac:dyDescent="0.25">
      <c r="F6301" t="s">
        <v>6692</v>
      </c>
      <c r="G6301">
        <v>85307</v>
      </c>
      <c r="H6301">
        <v>9178</v>
      </c>
      <c r="I6301" s="25" t="s">
        <v>2050</v>
      </c>
      <c r="J6301" t="s">
        <v>2315</v>
      </c>
      <c r="M6301" s="49"/>
    </row>
    <row r="6302" spans="6:13" x14ac:dyDescent="0.25">
      <c r="F6302" t="s">
        <v>6692</v>
      </c>
      <c r="G6302">
        <v>85307</v>
      </c>
      <c r="H6302">
        <v>9186</v>
      </c>
      <c r="I6302" s="25" t="s">
        <v>2050</v>
      </c>
      <c r="J6302" t="s">
        <v>2594</v>
      </c>
      <c r="M6302" s="49"/>
    </row>
    <row r="6303" spans="6:13" x14ac:dyDescent="0.25">
      <c r="F6303" t="s">
        <v>6693</v>
      </c>
      <c r="G6303">
        <v>7952</v>
      </c>
      <c r="H6303">
        <v>14523</v>
      </c>
      <c r="I6303" s="25" t="s">
        <v>2135</v>
      </c>
      <c r="J6303" t="s">
        <v>2136</v>
      </c>
      <c r="M6303" s="49"/>
    </row>
    <row r="6304" spans="6:13" x14ac:dyDescent="0.25">
      <c r="F6304" t="s">
        <v>6694</v>
      </c>
      <c r="G6304">
        <v>95701</v>
      </c>
      <c r="H6304">
        <v>9377</v>
      </c>
      <c r="I6304" s="25" t="s">
        <v>2050</v>
      </c>
      <c r="J6304" t="s">
        <v>2393</v>
      </c>
      <c r="M6304" s="49"/>
    </row>
    <row r="6305" spans="6:13" x14ac:dyDescent="0.25">
      <c r="F6305" t="s">
        <v>6695</v>
      </c>
      <c r="G6305">
        <v>4523</v>
      </c>
      <c r="H6305">
        <v>14729</v>
      </c>
      <c r="I6305" s="25" t="s">
        <v>2135</v>
      </c>
      <c r="J6305" t="s">
        <v>2684</v>
      </c>
      <c r="M6305" s="49"/>
    </row>
    <row r="6306" spans="6:13" x14ac:dyDescent="0.25">
      <c r="F6306" t="s">
        <v>6696</v>
      </c>
      <c r="G6306">
        <v>91257</v>
      </c>
      <c r="H6306">
        <v>9472</v>
      </c>
      <c r="I6306" s="25" t="s">
        <v>2050</v>
      </c>
      <c r="J6306" t="s">
        <v>2180</v>
      </c>
      <c r="M6306" s="49"/>
    </row>
    <row r="6307" spans="6:13" x14ac:dyDescent="0.25">
      <c r="F6307" t="s">
        <v>2309</v>
      </c>
      <c r="G6307">
        <v>31224</v>
      </c>
      <c r="H6307">
        <v>3157</v>
      </c>
      <c r="I6307" s="25" t="s">
        <v>2074</v>
      </c>
      <c r="J6307" t="s">
        <v>2309</v>
      </c>
      <c r="M6307" s="49"/>
    </row>
    <row r="6308" spans="6:13" x14ac:dyDescent="0.25">
      <c r="F6308" t="s">
        <v>2309</v>
      </c>
      <c r="G6308">
        <v>31226</v>
      </c>
      <c r="H6308">
        <v>3157</v>
      </c>
      <c r="I6308" s="25" t="s">
        <v>2074</v>
      </c>
      <c r="J6308" t="s">
        <v>2309</v>
      </c>
      <c r="M6308" s="49"/>
    </row>
    <row r="6309" spans="6:13" x14ac:dyDescent="0.25">
      <c r="F6309" t="s">
        <v>2309</v>
      </c>
      <c r="G6309">
        <v>31228</v>
      </c>
      <c r="H6309">
        <v>3157</v>
      </c>
      <c r="I6309" s="25" t="s">
        <v>2074</v>
      </c>
      <c r="J6309" t="s">
        <v>2309</v>
      </c>
      <c r="M6309" s="49"/>
    </row>
    <row r="6310" spans="6:13" x14ac:dyDescent="0.25">
      <c r="F6310" t="s">
        <v>6697</v>
      </c>
      <c r="G6310">
        <v>82380</v>
      </c>
      <c r="H6310">
        <v>9190</v>
      </c>
      <c r="I6310" s="25" t="s">
        <v>2050</v>
      </c>
      <c r="J6310" t="s">
        <v>2417</v>
      </c>
      <c r="M6310" s="49"/>
    </row>
    <row r="6311" spans="6:13" x14ac:dyDescent="0.25">
      <c r="F6311" t="s">
        <v>6698</v>
      </c>
      <c r="G6311">
        <v>86971</v>
      </c>
      <c r="H6311">
        <v>9190</v>
      </c>
      <c r="I6311" s="25" t="s">
        <v>2050</v>
      </c>
      <c r="J6311" t="s">
        <v>2417</v>
      </c>
      <c r="M6311" s="49"/>
    </row>
    <row r="6312" spans="6:13" x14ac:dyDescent="0.25">
      <c r="F6312" t="s">
        <v>6699</v>
      </c>
      <c r="G6312">
        <v>3185</v>
      </c>
      <c r="H6312">
        <v>12071</v>
      </c>
      <c r="I6312" s="25" t="s">
        <v>2356</v>
      </c>
      <c r="J6312" t="s">
        <v>3364</v>
      </c>
      <c r="M6312" s="49"/>
    </row>
    <row r="6313" spans="6:13" x14ac:dyDescent="0.25">
      <c r="F6313" t="s">
        <v>6700</v>
      </c>
      <c r="G6313">
        <v>54331</v>
      </c>
      <c r="H6313">
        <v>7235</v>
      </c>
      <c r="I6313" s="25" t="s">
        <v>2123</v>
      </c>
      <c r="J6313" t="s">
        <v>2395</v>
      </c>
      <c r="M6313" s="49"/>
    </row>
    <row r="6314" spans="6:13" x14ac:dyDescent="0.25">
      <c r="F6314" t="s">
        <v>6700</v>
      </c>
      <c r="G6314">
        <v>54331</v>
      </c>
      <c r="H6314">
        <v>7235</v>
      </c>
      <c r="I6314" s="25" t="s">
        <v>2123</v>
      </c>
      <c r="J6314" t="s">
        <v>2395</v>
      </c>
      <c r="M6314" s="49"/>
    </row>
    <row r="6315" spans="6:13" x14ac:dyDescent="0.25">
      <c r="F6315" t="s">
        <v>6701</v>
      </c>
      <c r="G6315">
        <v>54570</v>
      </c>
      <c r="H6315">
        <v>7233</v>
      </c>
      <c r="I6315" s="25" t="s">
        <v>2123</v>
      </c>
      <c r="J6315" t="s">
        <v>2416</v>
      </c>
      <c r="M6315" s="49"/>
    </row>
    <row r="6316" spans="6:13" x14ac:dyDescent="0.25">
      <c r="F6316" t="s">
        <v>6701</v>
      </c>
      <c r="G6316">
        <v>54570</v>
      </c>
      <c r="H6316">
        <v>7233</v>
      </c>
      <c r="I6316" s="25" t="s">
        <v>2123</v>
      </c>
      <c r="J6316" t="s">
        <v>2416</v>
      </c>
      <c r="M6316" s="49"/>
    </row>
    <row r="6317" spans="6:13" x14ac:dyDescent="0.25">
      <c r="F6317" t="s">
        <v>6702</v>
      </c>
      <c r="G6317">
        <v>93482</v>
      </c>
      <c r="H6317">
        <v>9372</v>
      </c>
      <c r="I6317" s="25" t="s">
        <v>2050</v>
      </c>
      <c r="J6317" t="s">
        <v>2523</v>
      </c>
      <c r="M6317" s="49"/>
    </row>
    <row r="6318" spans="6:13" x14ac:dyDescent="0.25">
      <c r="F6318" t="s">
        <v>6703</v>
      </c>
      <c r="G6318">
        <v>9322</v>
      </c>
      <c r="H6318">
        <v>14522</v>
      </c>
      <c r="I6318" s="25" t="s">
        <v>2135</v>
      </c>
      <c r="J6318" t="s">
        <v>2100</v>
      </c>
      <c r="M6318" s="49"/>
    </row>
    <row r="6319" spans="6:13" x14ac:dyDescent="0.25">
      <c r="F6319" t="s">
        <v>6704</v>
      </c>
      <c r="G6319">
        <v>17328</v>
      </c>
      <c r="H6319">
        <v>13075</v>
      </c>
      <c r="I6319" s="25" t="s">
        <v>2191</v>
      </c>
      <c r="J6319" t="s">
        <v>2160</v>
      </c>
      <c r="M6319" s="49"/>
    </row>
    <row r="6320" spans="6:13" x14ac:dyDescent="0.25">
      <c r="F6320" t="s">
        <v>6705</v>
      </c>
      <c r="G6320">
        <v>31621</v>
      </c>
      <c r="H6320">
        <v>3256</v>
      </c>
      <c r="I6320" s="25" t="s">
        <v>2074</v>
      </c>
      <c r="J6320" t="s">
        <v>2271</v>
      </c>
      <c r="M6320" s="49"/>
    </row>
    <row r="6321" spans="6:13" x14ac:dyDescent="0.25">
      <c r="F6321" t="s">
        <v>6706</v>
      </c>
      <c r="G6321">
        <v>82349</v>
      </c>
      <c r="H6321">
        <v>9188</v>
      </c>
      <c r="I6321" s="25" t="s">
        <v>2050</v>
      </c>
      <c r="J6321" t="s">
        <v>2481</v>
      </c>
      <c r="M6321" s="49"/>
    </row>
    <row r="6322" spans="6:13" x14ac:dyDescent="0.25">
      <c r="F6322" t="s">
        <v>6707</v>
      </c>
      <c r="G6322">
        <v>93080</v>
      </c>
      <c r="H6322">
        <v>9375</v>
      </c>
      <c r="I6322" s="25" t="s">
        <v>2050</v>
      </c>
      <c r="J6322" t="s">
        <v>2365</v>
      </c>
      <c r="M6322" s="49"/>
    </row>
    <row r="6323" spans="6:13" x14ac:dyDescent="0.25">
      <c r="F6323" t="s">
        <v>6708</v>
      </c>
      <c r="G6323">
        <v>82377</v>
      </c>
      <c r="H6323">
        <v>9190</v>
      </c>
      <c r="I6323" s="25" t="s">
        <v>2050</v>
      </c>
      <c r="J6323" t="s">
        <v>2417</v>
      </c>
      <c r="M6323" s="49"/>
    </row>
    <row r="6324" spans="6:13" x14ac:dyDescent="0.25">
      <c r="F6324" t="s">
        <v>6709</v>
      </c>
      <c r="G6324">
        <v>86929</v>
      </c>
      <c r="H6324">
        <v>9181</v>
      </c>
      <c r="I6324" s="25" t="s">
        <v>2050</v>
      </c>
      <c r="J6324" t="s">
        <v>2505</v>
      </c>
      <c r="M6324" s="49"/>
    </row>
    <row r="6325" spans="6:13" x14ac:dyDescent="0.25">
      <c r="F6325" t="s">
        <v>6710</v>
      </c>
      <c r="G6325">
        <v>17217</v>
      </c>
      <c r="H6325">
        <v>13071</v>
      </c>
      <c r="I6325" s="25" t="s">
        <v>2191</v>
      </c>
      <c r="J6325" t="s">
        <v>2091</v>
      </c>
      <c r="M6325" s="49"/>
    </row>
    <row r="6326" spans="6:13" x14ac:dyDescent="0.25">
      <c r="F6326" t="s">
        <v>6711</v>
      </c>
      <c r="G6326">
        <v>94366</v>
      </c>
      <c r="H6326">
        <v>9278</v>
      </c>
      <c r="I6326" s="25" t="s">
        <v>2050</v>
      </c>
      <c r="J6326" t="s">
        <v>2170</v>
      </c>
      <c r="M6326" s="49"/>
    </row>
    <row r="6327" spans="6:13" x14ac:dyDescent="0.25">
      <c r="F6327" t="s">
        <v>6712</v>
      </c>
      <c r="G6327">
        <v>94368</v>
      </c>
      <c r="H6327">
        <v>9278</v>
      </c>
      <c r="I6327" s="25" t="s">
        <v>2050</v>
      </c>
      <c r="J6327" t="s">
        <v>2170</v>
      </c>
      <c r="M6327" s="49"/>
    </row>
    <row r="6328" spans="6:13" x14ac:dyDescent="0.25">
      <c r="F6328" t="s">
        <v>6713</v>
      </c>
      <c r="G6328">
        <v>66706</v>
      </c>
      <c r="H6328">
        <v>10042</v>
      </c>
      <c r="I6328" s="25" t="s">
        <v>2849</v>
      </c>
      <c r="J6328" t="s">
        <v>2850</v>
      </c>
      <c r="M6328" s="49"/>
    </row>
    <row r="6329" spans="6:13" x14ac:dyDescent="0.25">
      <c r="F6329" t="s">
        <v>6714</v>
      </c>
      <c r="G6329">
        <v>19348</v>
      </c>
      <c r="H6329">
        <v>12070</v>
      </c>
      <c r="I6329" s="25" t="s">
        <v>2356</v>
      </c>
      <c r="J6329" t="s">
        <v>2316</v>
      </c>
      <c r="M6329" s="49"/>
    </row>
    <row r="6330" spans="6:13" x14ac:dyDescent="0.25">
      <c r="F6330" t="s">
        <v>6714</v>
      </c>
      <c r="G6330">
        <v>19348</v>
      </c>
      <c r="H6330">
        <v>12070</v>
      </c>
      <c r="I6330" s="25" t="s">
        <v>2356</v>
      </c>
      <c r="J6330" t="s">
        <v>2316</v>
      </c>
      <c r="M6330" s="49"/>
    </row>
    <row r="6331" spans="6:13" x14ac:dyDescent="0.25">
      <c r="F6331" t="s">
        <v>6715</v>
      </c>
      <c r="G6331">
        <v>94157</v>
      </c>
      <c r="H6331">
        <v>9272</v>
      </c>
      <c r="I6331" s="25" t="s">
        <v>2050</v>
      </c>
      <c r="J6331" t="s">
        <v>2140</v>
      </c>
      <c r="M6331" s="49"/>
    </row>
    <row r="6332" spans="6:13" x14ac:dyDescent="0.25">
      <c r="F6332" t="s">
        <v>6716</v>
      </c>
      <c r="G6332">
        <v>91580</v>
      </c>
      <c r="H6332">
        <v>9571</v>
      </c>
      <c r="I6332" s="25" t="s">
        <v>2050</v>
      </c>
      <c r="J6332" t="s">
        <v>2113</v>
      </c>
      <c r="M6332" s="49"/>
    </row>
    <row r="6333" spans="6:13" x14ac:dyDescent="0.25">
      <c r="F6333" t="s">
        <v>6717</v>
      </c>
      <c r="G6333">
        <v>36100</v>
      </c>
      <c r="H6333">
        <v>6631</v>
      </c>
      <c r="I6333" s="25" t="s">
        <v>2046</v>
      </c>
      <c r="J6333" t="s">
        <v>2145</v>
      </c>
      <c r="M6333" s="49"/>
    </row>
    <row r="6334" spans="6:13" x14ac:dyDescent="0.25">
      <c r="F6334" t="s">
        <v>6717</v>
      </c>
      <c r="G6334">
        <v>6193</v>
      </c>
      <c r="H6334">
        <v>15088</v>
      </c>
      <c r="I6334" s="25" t="s">
        <v>2241</v>
      </c>
      <c r="J6334" t="s">
        <v>2344</v>
      </c>
      <c r="M6334" s="49"/>
    </row>
    <row r="6335" spans="6:13" x14ac:dyDescent="0.25">
      <c r="F6335" t="s">
        <v>6718</v>
      </c>
      <c r="G6335">
        <v>86574</v>
      </c>
      <c r="H6335">
        <v>9771</v>
      </c>
      <c r="I6335" s="25" t="s">
        <v>2050</v>
      </c>
      <c r="J6335" t="s">
        <v>2120</v>
      </c>
      <c r="M6335" s="49"/>
    </row>
    <row r="6336" spans="6:13" x14ac:dyDescent="0.25">
      <c r="F6336" t="s">
        <v>6719</v>
      </c>
      <c r="G6336">
        <v>32469</v>
      </c>
      <c r="H6336">
        <v>5770</v>
      </c>
      <c r="I6336" s="25" t="s">
        <v>2023</v>
      </c>
      <c r="J6336" t="s">
        <v>2257</v>
      </c>
      <c r="M6336" s="49"/>
    </row>
    <row r="6337" spans="6:13" x14ac:dyDescent="0.25">
      <c r="F6337" t="s">
        <v>6720</v>
      </c>
      <c r="G6337">
        <v>85238</v>
      </c>
      <c r="H6337">
        <v>9174</v>
      </c>
      <c r="I6337" s="25" t="s">
        <v>2050</v>
      </c>
      <c r="J6337" t="s">
        <v>2445</v>
      </c>
      <c r="M6337" s="49"/>
    </row>
    <row r="6338" spans="6:13" x14ac:dyDescent="0.25">
      <c r="F6338" t="s">
        <v>6721</v>
      </c>
      <c r="G6338">
        <v>56858</v>
      </c>
      <c r="H6338">
        <v>7135</v>
      </c>
      <c r="I6338" s="25" t="s">
        <v>2123</v>
      </c>
      <c r="J6338" t="s">
        <v>2072</v>
      </c>
      <c r="M6338" s="49"/>
    </row>
    <row r="6339" spans="6:13" x14ac:dyDescent="0.25">
      <c r="F6339" t="s">
        <v>6721</v>
      </c>
      <c r="G6339">
        <v>56858</v>
      </c>
      <c r="H6339">
        <v>7135</v>
      </c>
      <c r="I6339" s="25" t="s">
        <v>2123</v>
      </c>
      <c r="J6339" t="s">
        <v>2072</v>
      </c>
      <c r="M6339" s="49"/>
    </row>
    <row r="6340" spans="6:13" x14ac:dyDescent="0.25">
      <c r="F6340" t="s">
        <v>6721</v>
      </c>
      <c r="G6340">
        <v>56858</v>
      </c>
      <c r="H6340">
        <v>7135</v>
      </c>
      <c r="I6340" s="25" t="s">
        <v>2123</v>
      </c>
      <c r="J6340" t="s">
        <v>2072</v>
      </c>
      <c r="M6340" s="49"/>
    </row>
    <row r="6341" spans="6:13" x14ac:dyDescent="0.25">
      <c r="F6341" t="s">
        <v>6721</v>
      </c>
      <c r="G6341">
        <v>56858</v>
      </c>
      <c r="H6341">
        <v>7140</v>
      </c>
      <c r="I6341" s="25" t="s">
        <v>2123</v>
      </c>
      <c r="J6341" t="s">
        <v>2329</v>
      </c>
      <c r="M6341" s="49"/>
    </row>
    <row r="6342" spans="6:13" x14ac:dyDescent="0.25">
      <c r="F6342" t="s">
        <v>6721</v>
      </c>
      <c r="G6342">
        <v>56858</v>
      </c>
      <c r="H6342">
        <v>7140</v>
      </c>
      <c r="I6342" s="25" t="s">
        <v>2123</v>
      </c>
      <c r="J6342" t="s">
        <v>2329</v>
      </c>
      <c r="M6342" s="49"/>
    </row>
    <row r="6343" spans="6:13" x14ac:dyDescent="0.25">
      <c r="F6343" t="s">
        <v>6721</v>
      </c>
      <c r="G6343">
        <v>56858</v>
      </c>
      <c r="H6343">
        <v>7140</v>
      </c>
      <c r="I6343" s="25" t="s">
        <v>2123</v>
      </c>
      <c r="J6343" t="s">
        <v>2329</v>
      </c>
      <c r="M6343" s="49"/>
    </row>
    <row r="6344" spans="6:13" x14ac:dyDescent="0.25">
      <c r="F6344" t="s">
        <v>6722</v>
      </c>
      <c r="G6344">
        <v>93186</v>
      </c>
      <c r="H6344">
        <v>9375</v>
      </c>
      <c r="I6344" s="25" t="s">
        <v>2050</v>
      </c>
      <c r="J6344" t="s">
        <v>2365</v>
      </c>
      <c r="M6344" s="49"/>
    </row>
    <row r="6345" spans="6:13" x14ac:dyDescent="0.25">
      <c r="F6345" t="s">
        <v>6723</v>
      </c>
      <c r="G6345">
        <v>83367</v>
      </c>
      <c r="H6345">
        <v>9189</v>
      </c>
      <c r="I6345" s="25" t="s">
        <v>2050</v>
      </c>
      <c r="J6345" t="s">
        <v>2407</v>
      </c>
      <c r="M6345" s="49"/>
    </row>
    <row r="6346" spans="6:13" x14ac:dyDescent="0.25">
      <c r="F6346" t="s">
        <v>6724</v>
      </c>
      <c r="G6346">
        <v>96175</v>
      </c>
      <c r="H6346">
        <v>9471</v>
      </c>
      <c r="I6346" s="25" t="s">
        <v>2050</v>
      </c>
      <c r="J6346" t="s">
        <v>2392</v>
      </c>
      <c r="M6346" s="49"/>
    </row>
    <row r="6347" spans="6:13" x14ac:dyDescent="0.25">
      <c r="F6347" t="s">
        <v>6725</v>
      </c>
      <c r="G6347">
        <v>87772</v>
      </c>
      <c r="H6347">
        <v>9778</v>
      </c>
      <c r="I6347" s="25" t="s">
        <v>2050</v>
      </c>
      <c r="J6347" t="s">
        <v>2460</v>
      </c>
      <c r="M6347" s="49"/>
    </row>
    <row r="6348" spans="6:13" x14ac:dyDescent="0.25">
      <c r="F6348" t="s">
        <v>6726</v>
      </c>
      <c r="G6348">
        <v>74397</v>
      </c>
      <c r="H6348">
        <v>8125</v>
      </c>
      <c r="I6348" s="25" t="s">
        <v>2018</v>
      </c>
      <c r="J6348" t="s">
        <v>2060</v>
      </c>
      <c r="M6348" s="49"/>
    </row>
    <row r="6349" spans="6:13" x14ac:dyDescent="0.25">
      <c r="F6349" t="s">
        <v>2594</v>
      </c>
      <c r="G6349">
        <v>85276</v>
      </c>
      <c r="H6349">
        <v>9186</v>
      </c>
      <c r="I6349" s="25" t="s">
        <v>2050</v>
      </c>
      <c r="J6349" t="s">
        <v>2594</v>
      </c>
      <c r="M6349" s="49"/>
    </row>
    <row r="6350" spans="6:13" x14ac:dyDescent="0.25">
      <c r="F6350" t="s">
        <v>6727</v>
      </c>
      <c r="G6350">
        <v>89284</v>
      </c>
      <c r="H6350">
        <v>9775</v>
      </c>
      <c r="I6350" s="25" t="s">
        <v>2050</v>
      </c>
      <c r="J6350" t="s">
        <v>2418</v>
      </c>
      <c r="M6350" s="49"/>
    </row>
    <row r="6351" spans="6:13" x14ac:dyDescent="0.25">
      <c r="F6351" t="s">
        <v>6728</v>
      </c>
      <c r="G6351">
        <v>79292</v>
      </c>
      <c r="H6351">
        <v>8315</v>
      </c>
      <c r="I6351" s="25" t="s">
        <v>2018</v>
      </c>
      <c r="J6351" t="s">
        <v>2061</v>
      </c>
      <c r="M6351" s="49"/>
    </row>
    <row r="6352" spans="6:13" x14ac:dyDescent="0.25">
      <c r="F6352" t="s">
        <v>6729</v>
      </c>
      <c r="G6352">
        <v>83539</v>
      </c>
      <c r="H6352">
        <v>9187</v>
      </c>
      <c r="I6352" s="25" t="s">
        <v>2050</v>
      </c>
      <c r="J6352" t="s">
        <v>2245</v>
      </c>
      <c r="M6352" s="49"/>
    </row>
    <row r="6353" spans="6:13" x14ac:dyDescent="0.25">
      <c r="F6353" t="s">
        <v>6730</v>
      </c>
      <c r="G6353">
        <v>93101</v>
      </c>
      <c r="H6353">
        <v>9375</v>
      </c>
      <c r="I6353" s="25" t="s">
        <v>2050</v>
      </c>
      <c r="J6353" t="s">
        <v>2365</v>
      </c>
      <c r="M6353" s="49"/>
    </row>
    <row r="6354" spans="6:13" x14ac:dyDescent="0.25">
      <c r="F6354" t="s">
        <v>6731</v>
      </c>
      <c r="G6354">
        <v>72285</v>
      </c>
      <c r="H6354">
        <v>8237</v>
      </c>
      <c r="I6354" s="25" t="s">
        <v>2018</v>
      </c>
      <c r="J6354" t="s">
        <v>2336</v>
      </c>
      <c r="M6354" s="49"/>
    </row>
    <row r="6355" spans="6:13" x14ac:dyDescent="0.25">
      <c r="F6355" t="s">
        <v>6732</v>
      </c>
      <c r="G6355">
        <v>84347</v>
      </c>
      <c r="H6355">
        <v>9277</v>
      </c>
      <c r="I6355" s="25" t="s">
        <v>2050</v>
      </c>
      <c r="J6355" t="s">
        <v>2529</v>
      </c>
      <c r="M6355" s="49"/>
    </row>
    <row r="6356" spans="6:13" x14ac:dyDescent="0.25">
      <c r="F6356" t="s">
        <v>6733</v>
      </c>
      <c r="G6356">
        <v>96176</v>
      </c>
      <c r="H6356">
        <v>9674</v>
      </c>
      <c r="I6356" s="25" t="s">
        <v>2050</v>
      </c>
      <c r="J6356" t="s">
        <v>2218</v>
      </c>
      <c r="M6356" s="49"/>
    </row>
    <row r="6357" spans="6:13" x14ac:dyDescent="0.25">
      <c r="F6357" t="s">
        <v>6734</v>
      </c>
      <c r="G6357">
        <v>93102</v>
      </c>
      <c r="H6357">
        <v>9375</v>
      </c>
      <c r="I6357" s="25" t="s">
        <v>2050</v>
      </c>
      <c r="J6357" t="s">
        <v>2365</v>
      </c>
      <c r="M6357" s="49"/>
    </row>
    <row r="6358" spans="6:13" x14ac:dyDescent="0.25">
      <c r="F6358" t="s">
        <v>6735</v>
      </c>
      <c r="G6358">
        <v>74629</v>
      </c>
      <c r="H6358">
        <v>8126</v>
      </c>
      <c r="I6358" s="25" t="s">
        <v>2018</v>
      </c>
      <c r="J6358" t="s">
        <v>3280</v>
      </c>
      <c r="M6358" s="49"/>
    </row>
    <row r="6359" spans="6:13" x14ac:dyDescent="0.25">
      <c r="F6359" t="s">
        <v>6736</v>
      </c>
      <c r="G6359">
        <v>66871</v>
      </c>
      <c r="H6359">
        <v>7336</v>
      </c>
      <c r="I6359" s="25" t="s">
        <v>2123</v>
      </c>
      <c r="J6359" t="s">
        <v>2216</v>
      </c>
      <c r="M6359" s="49"/>
    </row>
    <row r="6360" spans="6:13" x14ac:dyDescent="0.25">
      <c r="F6360" t="s">
        <v>6736</v>
      </c>
      <c r="G6360">
        <v>66871</v>
      </c>
      <c r="H6360">
        <v>7336</v>
      </c>
      <c r="I6360" s="25" t="s">
        <v>2123</v>
      </c>
      <c r="J6360" t="s">
        <v>2216</v>
      </c>
      <c r="M6360" s="49"/>
    </row>
    <row r="6361" spans="6:13" x14ac:dyDescent="0.25">
      <c r="F6361" t="s">
        <v>6737</v>
      </c>
      <c r="G6361">
        <v>84076</v>
      </c>
      <c r="H6361">
        <v>9274</v>
      </c>
      <c r="I6361" s="25" t="s">
        <v>2050</v>
      </c>
      <c r="J6361" t="s">
        <v>2132</v>
      </c>
      <c r="M6361" s="49"/>
    </row>
    <row r="6362" spans="6:13" x14ac:dyDescent="0.25">
      <c r="F6362" t="s">
        <v>6738</v>
      </c>
      <c r="G6362">
        <v>76327</v>
      </c>
      <c r="H6362">
        <v>8215</v>
      </c>
      <c r="I6362" s="25" t="s">
        <v>2018</v>
      </c>
      <c r="J6362" t="s">
        <v>2724</v>
      </c>
      <c r="M6362" s="49"/>
    </row>
    <row r="6363" spans="6:13" x14ac:dyDescent="0.25">
      <c r="F6363" t="s">
        <v>6739</v>
      </c>
      <c r="G6363">
        <v>91738</v>
      </c>
      <c r="H6363">
        <v>9577</v>
      </c>
      <c r="I6363" s="25" t="s">
        <v>2050</v>
      </c>
      <c r="J6363" t="s">
        <v>2057</v>
      </c>
      <c r="M6363" s="49"/>
    </row>
    <row r="6364" spans="6:13" x14ac:dyDescent="0.25">
      <c r="F6364" t="s">
        <v>6740</v>
      </c>
      <c r="G6364">
        <v>85104</v>
      </c>
      <c r="H6364">
        <v>9176</v>
      </c>
      <c r="I6364" s="25" t="s">
        <v>2050</v>
      </c>
      <c r="J6364" t="s">
        <v>2102</v>
      </c>
      <c r="M6364" s="49"/>
    </row>
    <row r="6365" spans="6:13" x14ac:dyDescent="0.25">
      <c r="F6365" t="s">
        <v>6741</v>
      </c>
      <c r="G6365">
        <v>87666</v>
      </c>
      <c r="H6365">
        <v>9777</v>
      </c>
      <c r="I6365" s="25" t="s">
        <v>2050</v>
      </c>
      <c r="J6365" t="s">
        <v>2237</v>
      </c>
      <c r="M6365" s="49"/>
    </row>
    <row r="6366" spans="6:13" x14ac:dyDescent="0.25">
      <c r="F6366" t="s">
        <v>6742</v>
      </c>
      <c r="G6366">
        <v>75172</v>
      </c>
      <c r="H6366">
        <v>8231</v>
      </c>
      <c r="I6366" s="25" t="s">
        <v>2018</v>
      </c>
      <c r="J6366" t="s">
        <v>6743</v>
      </c>
      <c r="M6366" s="49"/>
    </row>
    <row r="6367" spans="6:13" x14ac:dyDescent="0.25">
      <c r="F6367" t="s">
        <v>6742</v>
      </c>
      <c r="G6367">
        <v>75173</v>
      </c>
      <c r="H6367">
        <v>8231</v>
      </c>
      <c r="I6367" s="25" t="s">
        <v>2018</v>
      </c>
      <c r="J6367" t="s">
        <v>6743</v>
      </c>
      <c r="M6367" s="49"/>
    </row>
    <row r="6368" spans="6:13" x14ac:dyDescent="0.25">
      <c r="F6368" t="s">
        <v>6742</v>
      </c>
      <c r="G6368">
        <v>75175</v>
      </c>
      <c r="H6368">
        <v>8231</v>
      </c>
      <c r="I6368" s="25" t="s">
        <v>2018</v>
      </c>
      <c r="J6368" t="s">
        <v>6743</v>
      </c>
      <c r="M6368" s="49"/>
    </row>
    <row r="6369" spans="6:13" x14ac:dyDescent="0.25">
      <c r="F6369" t="s">
        <v>6742</v>
      </c>
      <c r="G6369">
        <v>75177</v>
      </c>
      <c r="H6369">
        <v>8231</v>
      </c>
      <c r="I6369" s="25" t="s">
        <v>2018</v>
      </c>
      <c r="J6369" t="s">
        <v>6743</v>
      </c>
      <c r="M6369" s="49"/>
    </row>
    <row r="6370" spans="6:13" x14ac:dyDescent="0.25">
      <c r="F6370" t="s">
        <v>6742</v>
      </c>
      <c r="G6370">
        <v>75180</v>
      </c>
      <c r="H6370">
        <v>8231</v>
      </c>
      <c r="I6370" s="25" t="s">
        <v>2018</v>
      </c>
      <c r="J6370" t="s">
        <v>6743</v>
      </c>
      <c r="M6370" s="49"/>
    </row>
    <row r="6371" spans="6:13" x14ac:dyDescent="0.25">
      <c r="F6371" t="s">
        <v>6742</v>
      </c>
      <c r="G6371">
        <v>75179</v>
      </c>
      <c r="H6371">
        <v>8231</v>
      </c>
      <c r="I6371" s="25" t="s">
        <v>2018</v>
      </c>
      <c r="J6371" t="s">
        <v>6743</v>
      </c>
      <c r="M6371" s="49"/>
    </row>
    <row r="6372" spans="6:13" x14ac:dyDescent="0.25">
      <c r="F6372" t="s">
        <v>6742</v>
      </c>
      <c r="G6372">
        <v>75181</v>
      </c>
      <c r="H6372">
        <v>8231</v>
      </c>
      <c r="I6372" s="25" t="s">
        <v>2018</v>
      </c>
      <c r="J6372" t="s">
        <v>6743</v>
      </c>
      <c r="M6372" s="49"/>
    </row>
    <row r="6373" spans="6:13" x14ac:dyDescent="0.25">
      <c r="F6373" t="s">
        <v>6744</v>
      </c>
      <c r="G6373">
        <v>92536</v>
      </c>
      <c r="H6373">
        <v>9376</v>
      </c>
      <c r="I6373" s="25" t="s">
        <v>2050</v>
      </c>
      <c r="J6373" t="s">
        <v>2390</v>
      </c>
      <c r="M6373" s="49"/>
    </row>
    <row r="6374" spans="6:13" x14ac:dyDescent="0.25">
      <c r="F6374" t="s">
        <v>6745</v>
      </c>
      <c r="G6374">
        <v>72539</v>
      </c>
      <c r="H6374">
        <v>8415</v>
      </c>
      <c r="I6374" s="25" t="s">
        <v>2018</v>
      </c>
      <c r="J6374" t="s">
        <v>2325</v>
      </c>
      <c r="M6374" s="49"/>
    </row>
    <row r="6375" spans="6:13" x14ac:dyDescent="0.25">
      <c r="F6375" t="s">
        <v>6746</v>
      </c>
      <c r="G6375">
        <v>87459</v>
      </c>
      <c r="H6375">
        <v>9777</v>
      </c>
      <c r="I6375" s="25" t="s">
        <v>2050</v>
      </c>
      <c r="J6375" t="s">
        <v>2237</v>
      </c>
      <c r="M6375" s="49"/>
    </row>
    <row r="6376" spans="6:13" x14ac:dyDescent="0.25">
      <c r="F6376" t="s">
        <v>6747</v>
      </c>
      <c r="G6376">
        <v>88630</v>
      </c>
      <c r="H6376">
        <v>8437</v>
      </c>
      <c r="I6376" s="25" t="s">
        <v>2018</v>
      </c>
      <c r="J6376" t="s">
        <v>2720</v>
      </c>
      <c r="M6376" s="49"/>
    </row>
    <row r="6377" spans="6:13" x14ac:dyDescent="0.25">
      <c r="F6377" t="s">
        <v>6748</v>
      </c>
      <c r="G6377">
        <v>72793</v>
      </c>
      <c r="H6377">
        <v>8415</v>
      </c>
      <c r="I6377" s="25" t="s">
        <v>2018</v>
      </c>
      <c r="J6377" t="s">
        <v>2325</v>
      </c>
      <c r="M6377" s="49"/>
    </row>
    <row r="6378" spans="6:13" x14ac:dyDescent="0.25">
      <c r="F6378" t="s">
        <v>6749</v>
      </c>
      <c r="G6378">
        <v>64319</v>
      </c>
      <c r="H6378">
        <v>6432</v>
      </c>
      <c r="I6378" s="25" t="s">
        <v>2046</v>
      </c>
      <c r="J6378" t="s">
        <v>2338</v>
      </c>
      <c r="M6378" s="49"/>
    </row>
    <row r="6379" spans="6:13" x14ac:dyDescent="0.25">
      <c r="F6379" t="s">
        <v>6750</v>
      </c>
      <c r="G6379">
        <v>76661</v>
      </c>
      <c r="H6379">
        <v>8215</v>
      </c>
      <c r="I6379" s="25" t="s">
        <v>2018</v>
      </c>
      <c r="J6379" t="s">
        <v>2724</v>
      </c>
      <c r="M6379" s="49"/>
    </row>
    <row r="6380" spans="6:13" x14ac:dyDescent="0.25">
      <c r="F6380" t="s">
        <v>6751</v>
      </c>
      <c r="G6380">
        <v>94158</v>
      </c>
      <c r="H6380">
        <v>9272</v>
      </c>
      <c r="I6380" s="25" t="s">
        <v>2050</v>
      </c>
      <c r="J6380" t="s">
        <v>2140</v>
      </c>
      <c r="M6380" s="49"/>
    </row>
    <row r="6381" spans="6:13" x14ac:dyDescent="0.25">
      <c r="F6381" t="s">
        <v>6752</v>
      </c>
      <c r="G6381">
        <v>36269</v>
      </c>
      <c r="H6381">
        <v>6632</v>
      </c>
      <c r="I6381" s="25" t="s">
        <v>2046</v>
      </c>
      <c r="J6381" t="s">
        <v>2303</v>
      </c>
      <c r="M6381" s="49"/>
    </row>
    <row r="6382" spans="6:13" x14ac:dyDescent="0.25">
      <c r="F6382" t="s">
        <v>6753</v>
      </c>
      <c r="G6382">
        <v>83451</v>
      </c>
      <c r="H6382">
        <v>9172</v>
      </c>
      <c r="I6382" s="25" t="s">
        <v>2050</v>
      </c>
      <c r="J6382" t="s">
        <v>2042</v>
      </c>
      <c r="M6382" s="49"/>
    </row>
    <row r="6383" spans="6:13" x14ac:dyDescent="0.25">
      <c r="F6383" t="s">
        <v>6754</v>
      </c>
      <c r="G6383">
        <v>93188</v>
      </c>
      <c r="H6383">
        <v>9375</v>
      </c>
      <c r="I6383" s="25" t="s">
        <v>2050</v>
      </c>
      <c r="J6383" t="s">
        <v>2365</v>
      </c>
      <c r="M6383" s="49"/>
    </row>
    <row r="6384" spans="6:13" x14ac:dyDescent="0.25">
      <c r="F6384" t="s">
        <v>6755</v>
      </c>
      <c r="G6384">
        <v>54498</v>
      </c>
      <c r="H6384">
        <v>7231</v>
      </c>
      <c r="I6384" s="25" t="s">
        <v>2123</v>
      </c>
      <c r="J6384" t="s">
        <v>2043</v>
      </c>
      <c r="M6384" s="49"/>
    </row>
    <row r="6385" spans="6:13" x14ac:dyDescent="0.25">
      <c r="F6385" t="s">
        <v>6756</v>
      </c>
      <c r="G6385">
        <v>92367</v>
      </c>
      <c r="H6385">
        <v>9373</v>
      </c>
      <c r="I6385" s="25" t="s">
        <v>2050</v>
      </c>
      <c r="J6385" t="s">
        <v>2891</v>
      </c>
      <c r="M6385" s="49"/>
    </row>
    <row r="6386" spans="6:13" x14ac:dyDescent="0.25">
      <c r="F6386" t="s">
        <v>6757</v>
      </c>
      <c r="G6386">
        <v>94431</v>
      </c>
      <c r="H6386">
        <v>9279</v>
      </c>
      <c r="I6386" s="25" t="s">
        <v>2050</v>
      </c>
      <c r="J6386" t="s">
        <v>3574</v>
      </c>
      <c r="M6386" s="49"/>
    </row>
    <row r="6387" spans="6:13" x14ac:dyDescent="0.25">
      <c r="F6387" t="s">
        <v>2311</v>
      </c>
      <c r="G6387">
        <v>25421</v>
      </c>
      <c r="H6387">
        <v>1056</v>
      </c>
      <c r="I6387" s="25" t="s">
        <v>2085</v>
      </c>
      <c r="J6387" t="s">
        <v>2311</v>
      </c>
      <c r="M6387" s="49"/>
    </row>
    <row r="6388" spans="6:13" x14ac:dyDescent="0.25">
      <c r="F6388" t="s">
        <v>6758</v>
      </c>
      <c r="G6388">
        <v>19065</v>
      </c>
      <c r="H6388">
        <v>13076</v>
      </c>
      <c r="I6388" s="25" t="s">
        <v>2191</v>
      </c>
      <c r="J6388" t="s">
        <v>2234</v>
      </c>
      <c r="M6388" s="49"/>
    </row>
    <row r="6389" spans="6:13" x14ac:dyDescent="0.25">
      <c r="F6389" t="s">
        <v>6759</v>
      </c>
      <c r="G6389">
        <v>91361</v>
      </c>
      <c r="H6389">
        <v>9474</v>
      </c>
      <c r="I6389" s="25" t="s">
        <v>2050</v>
      </c>
      <c r="J6389" t="s">
        <v>3692</v>
      </c>
      <c r="M6389" s="49"/>
    </row>
    <row r="6390" spans="6:13" x14ac:dyDescent="0.25">
      <c r="F6390" t="s">
        <v>6760</v>
      </c>
      <c r="G6390">
        <v>92712</v>
      </c>
      <c r="H6390">
        <v>9374</v>
      </c>
      <c r="I6390" s="25" t="s">
        <v>2050</v>
      </c>
      <c r="J6390" t="s">
        <v>2420</v>
      </c>
      <c r="M6390" s="49"/>
    </row>
    <row r="6391" spans="6:13" x14ac:dyDescent="0.25">
      <c r="F6391" t="s">
        <v>6761</v>
      </c>
      <c r="G6391">
        <v>66953</v>
      </c>
      <c r="H6391">
        <v>7317</v>
      </c>
      <c r="I6391" s="25" t="s">
        <v>2123</v>
      </c>
      <c r="J6391" t="s">
        <v>6762</v>
      </c>
      <c r="M6391" s="49"/>
    </row>
    <row r="6392" spans="6:13" x14ac:dyDescent="0.25">
      <c r="F6392" t="s">
        <v>6761</v>
      </c>
      <c r="G6392">
        <v>66955</v>
      </c>
      <c r="H6392">
        <v>7317</v>
      </c>
      <c r="I6392" s="25" t="s">
        <v>2123</v>
      </c>
      <c r="J6392" t="s">
        <v>6762</v>
      </c>
      <c r="M6392" s="49"/>
    </row>
    <row r="6393" spans="6:13" x14ac:dyDescent="0.25">
      <c r="F6393" t="s">
        <v>6761</v>
      </c>
      <c r="G6393">
        <v>66954</v>
      </c>
      <c r="H6393">
        <v>7317</v>
      </c>
      <c r="I6393" s="25" t="s">
        <v>2123</v>
      </c>
      <c r="J6393" t="s">
        <v>6762</v>
      </c>
      <c r="M6393" s="49"/>
    </row>
    <row r="6394" spans="6:13" x14ac:dyDescent="0.25">
      <c r="F6394" t="s">
        <v>6761</v>
      </c>
      <c r="G6394">
        <v>66955</v>
      </c>
      <c r="H6394">
        <v>7340</v>
      </c>
      <c r="I6394" s="25" t="s">
        <v>2123</v>
      </c>
      <c r="J6394" t="s">
        <v>2826</v>
      </c>
      <c r="M6394" s="49"/>
    </row>
    <row r="6395" spans="6:13" x14ac:dyDescent="0.25">
      <c r="F6395" t="s">
        <v>6763</v>
      </c>
      <c r="G6395">
        <v>1796</v>
      </c>
      <c r="H6395">
        <v>14628</v>
      </c>
      <c r="I6395" s="25" t="s">
        <v>2135</v>
      </c>
      <c r="J6395" t="s">
        <v>2347</v>
      </c>
      <c r="M6395" s="49"/>
    </row>
    <row r="6396" spans="6:13" x14ac:dyDescent="0.25">
      <c r="F6396" t="s">
        <v>6764</v>
      </c>
      <c r="G6396">
        <v>83132</v>
      </c>
      <c r="H6396">
        <v>9189</v>
      </c>
      <c r="I6396" s="25" t="s">
        <v>2050</v>
      </c>
      <c r="J6396" t="s">
        <v>2407</v>
      </c>
      <c r="M6396" s="49"/>
    </row>
    <row r="6397" spans="6:13" x14ac:dyDescent="0.25">
      <c r="F6397" t="s">
        <v>6765</v>
      </c>
      <c r="G6397">
        <v>56637</v>
      </c>
      <c r="H6397">
        <v>7137</v>
      </c>
      <c r="I6397" s="25" t="s">
        <v>2123</v>
      </c>
      <c r="J6397" t="s">
        <v>2246</v>
      </c>
      <c r="M6397" s="49"/>
    </row>
    <row r="6398" spans="6:13" x14ac:dyDescent="0.25">
      <c r="F6398" t="s">
        <v>6766</v>
      </c>
      <c r="G6398">
        <v>82152</v>
      </c>
      <c r="H6398">
        <v>9184</v>
      </c>
      <c r="I6398" s="25" t="s">
        <v>2050</v>
      </c>
      <c r="J6398" t="s">
        <v>2547</v>
      </c>
      <c r="M6398" s="49"/>
    </row>
    <row r="6399" spans="6:13" x14ac:dyDescent="0.25">
      <c r="F6399" t="s">
        <v>6766</v>
      </c>
      <c r="G6399">
        <v>82152</v>
      </c>
      <c r="H6399">
        <v>9188</v>
      </c>
      <c r="I6399" s="25" t="s">
        <v>2050</v>
      </c>
      <c r="J6399" t="s">
        <v>2481</v>
      </c>
      <c r="M6399" s="49"/>
    </row>
    <row r="6400" spans="6:13" x14ac:dyDescent="0.25">
      <c r="F6400" t="s">
        <v>6767</v>
      </c>
      <c r="G6400">
        <v>95515</v>
      </c>
      <c r="H6400">
        <v>9472</v>
      </c>
      <c r="I6400" s="25" t="s">
        <v>2050</v>
      </c>
      <c r="J6400" t="s">
        <v>2180</v>
      </c>
      <c r="M6400" s="49"/>
    </row>
    <row r="6401" spans="6:13" x14ac:dyDescent="0.25">
      <c r="F6401" t="s">
        <v>6768</v>
      </c>
      <c r="G6401">
        <v>19086</v>
      </c>
      <c r="H6401">
        <v>13076</v>
      </c>
      <c r="I6401" s="25" t="s">
        <v>2191</v>
      </c>
      <c r="J6401" t="s">
        <v>2234</v>
      </c>
      <c r="M6401" s="49"/>
    </row>
    <row r="6402" spans="6:13" x14ac:dyDescent="0.25">
      <c r="F6402" t="s">
        <v>6769</v>
      </c>
      <c r="G6402">
        <v>19339</v>
      </c>
      <c r="H6402">
        <v>12070</v>
      </c>
      <c r="I6402" s="25" t="s">
        <v>2356</v>
      </c>
      <c r="J6402" t="s">
        <v>2316</v>
      </c>
      <c r="M6402" s="49"/>
    </row>
    <row r="6403" spans="6:13" x14ac:dyDescent="0.25">
      <c r="F6403" t="s">
        <v>6770</v>
      </c>
      <c r="G6403">
        <v>94447</v>
      </c>
      <c r="H6403">
        <v>9271</v>
      </c>
      <c r="I6403" s="25" t="s">
        <v>2050</v>
      </c>
      <c r="J6403" t="s">
        <v>2172</v>
      </c>
      <c r="M6403" s="49"/>
    </row>
    <row r="6404" spans="6:13" x14ac:dyDescent="0.25">
      <c r="F6404" t="s">
        <v>6771</v>
      </c>
      <c r="G6404">
        <v>19395</v>
      </c>
      <c r="H6404">
        <v>13076</v>
      </c>
      <c r="I6404" s="25" t="s">
        <v>2191</v>
      </c>
      <c r="J6404" t="s">
        <v>2234</v>
      </c>
      <c r="M6404" s="49"/>
    </row>
    <row r="6405" spans="6:13" x14ac:dyDescent="0.25">
      <c r="F6405" t="s">
        <v>6772</v>
      </c>
      <c r="G6405">
        <v>8523</v>
      </c>
      <c r="H6405">
        <v>14523</v>
      </c>
      <c r="I6405" s="25" t="s">
        <v>2135</v>
      </c>
      <c r="J6405" t="s">
        <v>2136</v>
      </c>
      <c r="M6405" s="49"/>
    </row>
    <row r="6406" spans="6:13" x14ac:dyDescent="0.25">
      <c r="F6406" t="s">
        <v>6772</v>
      </c>
      <c r="G6406">
        <v>8523</v>
      </c>
      <c r="H6406">
        <v>14523</v>
      </c>
      <c r="I6406" s="25" t="s">
        <v>2135</v>
      </c>
      <c r="J6406" t="s">
        <v>2136</v>
      </c>
      <c r="M6406" s="49"/>
    </row>
    <row r="6407" spans="6:13" x14ac:dyDescent="0.25">
      <c r="F6407" t="s">
        <v>6772</v>
      </c>
      <c r="G6407">
        <v>8529</v>
      </c>
      <c r="H6407">
        <v>14523</v>
      </c>
      <c r="I6407" s="25" t="s">
        <v>2135</v>
      </c>
      <c r="J6407" t="s">
        <v>2136</v>
      </c>
      <c r="M6407" s="49"/>
    </row>
    <row r="6408" spans="6:13" x14ac:dyDescent="0.25">
      <c r="F6408" t="s">
        <v>6772</v>
      </c>
      <c r="G6408">
        <v>8523</v>
      </c>
      <c r="H6408">
        <v>14523</v>
      </c>
      <c r="I6408" s="25" t="s">
        <v>2135</v>
      </c>
      <c r="J6408" t="s">
        <v>2136</v>
      </c>
      <c r="M6408" s="49"/>
    </row>
    <row r="6409" spans="6:13" x14ac:dyDescent="0.25">
      <c r="F6409" t="s">
        <v>6772</v>
      </c>
      <c r="G6409">
        <v>8525</v>
      </c>
      <c r="H6409">
        <v>14523</v>
      </c>
      <c r="I6409" s="25" t="s">
        <v>2135</v>
      </c>
      <c r="J6409" t="s">
        <v>2136</v>
      </c>
      <c r="M6409" s="49"/>
    </row>
    <row r="6410" spans="6:13" x14ac:dyDescent="0.25">
      <c r="F6410" t="s">
        <v>6773</v>
      </c>
      <c r="G6410">
        <v>8527</v>
      </c>
      <c r="H6410">
        <v>14523</v>
      </c>
      <c r="I6410" s="25" t="s">
        <v>2135</v>
      </c>
      <c r="J6410" t="s">
        <v>2136</v>
      </c>
      <c r="M6410" s="49"/>
    </row>
    <row r="6411" spans="6:13" x14ac:dyDescent="0.25">
      <c r="F6411" t="s">
        <v>6774</v>
      </c>
      <c r="G6411">
        <v>91287</v>
      </c>
      <c r="H6411">
        <v>9472</v>
      </c>
      <c r="I6411" s="25" t="s">
        <v>2050</v>
      </c>
      <c r="J6411" t="s">
        <v>2180</v>
      </c>
      <c r="M6411" s="49"/>
    </row>
    <row r="6412" spans="6:13" x14ac:dyDescent="0.25">
      <c r="F6412" t="s">
        <v>6775</v>
      </c>
      <c r="G6412">
        <v>74385</v>
      </c>
      <c r="H6412">
        <v>8118</v>
      </c>
      <c r="I6412" s="25" t="s">
        <v>2018</v>
      </c>
      <c r="J6412" t="s">
        <v>2142</v>
      </c>
      <c r="M6412" s="49"/>
    </row>
    <row r="6413" spans="6:13" x14ac:dyDescent="0.25">
      <c r="F6413" t="s">
        <v>6776</v>
      </c>
      <c r="G6413">
        <v>91785</v>
      </c>
      <c r="H6413">
        <v>9577</v>
      </c>
      <c r="I6413" s="25" t="s">
        <v>2050</v>
      </c>
      <c r="J6413" t="s">
        <v>2057</v>
      </c>
      <c r="M6413" s="49"/>
    </row>
    <row r="6414" spans="6:13" x14ac:dyDescent="0.25">
      <c r="F6414" t="s">
        <v>6777</v>
      </c>
      <c r="G6414">
        <v>84568</v>
      </c>
      <c r="H6414">
        <v>9171</v>
      </c>
      <c r="I6414" s="25" t="s">
        <v>2050</v>
      </c>
      <c r="J6414" t="s">
        <v>2446</v>
      </c>
      <c r="M6414" s="49"/>
    </row>
    <row r="6415" spans="6:13" x14ac:dyDescent="0.25">
      <c r="F6415" t="s">
        <v>6778</v>
      </c>
      <c r="G6415">
        <v>87773</v>
      </c>
      <c r="H6415">
        <v>9778</v>
      </c>
      <c r="I6415" s="25" t="s">
        <v>2050</v>
      </c>
      <c r="J6415" t="s">
        <v>2460</v>
      </c>
      <c r="M6415" s="49"/>
    </row>
    <row r="6416" spans="6:13" x14ac:dyDescent="0.25">
      <c r="F6416" t="s">
        <v>6779</v>
      </c>
      <c r="G6416">
        <v>4928</v>
      </c>
      <c r="H6416">
        <v>12062</v>
      </c>
      <c r="I6416" s="25" t="s">
        <v>2356</v>
      </c>
      <c r="J6416" t="s">
        <v>2689</v>
      </c>
      <c r="M6416" s="49"/>
    </row>
    <row r="6417" spans="6:13" x14ac:dyDescent="0.25">
      <c r="F6417" t="s">
        <v>6780</v>
      </c>
      <c r="G6417">
        <v>58840</v>
      </c>
      <c r="H6417">
        <v>5962</v>
      </c>
      <c r="I6417" s="25" t="s">
        <v>2023</v>
      </c>
      <c r="J6417" t="s">
        <v>2239</v>
      </c>
      <c r="M6417" s="49"/>
    </row>
    <row r="6418" spans="6:13" x14ac:dyDescent="0.25">
      <c r="F6418" t="s">
        <v>6781</v>
      </c>
      <c r="G6418">
        <v>92714</v>
      </c>
      <c r="H6418">
        <v>9374</v>
      </c>
      <c r="I6418" s="25" t="s">
        <v>2050</v>
      </c>
      <c r="J6418" t="s">
        <v>2420</v>
      </c>
      <c r="M6418" s="49"/>
    </row>
    <row r="6419" spans="6:13" x14ac:dyDescent="0.25">
      <c r="F6419" t="s">
        <v>6782</v>
      </c>
      <c r="G6419">
        <v>85652</v>
      </c>
      <c r="H6419">
        <v>9175</v>
      </c>
      <c r="I6419" s="25" t="s">
        <v>2050</v>
      </c>
      <c r="J6419" t="s">
        <v>2500</v>
      </c>
      <c r="M6419" s="49"/>
    </row>
    <row r="6420" spans="6:13" x14ac:dyDescent="0.25">
      <c r="F6420" t="s">
        <v>6783</v>
      </c>
      <c r="G6420">
        <v>72124</v>
      </c>
      <c r="H6420">
        <v>8415</v>
      </c>
      <c r="I6420" s="25" t="s">
        <v>2018</v>
      </c>
      <c r="J6420" t="s">
        <v>2325</v>
      </c>
      <c r="M6420" s="49"/>
    </row>
    <row r="6421" spans="6:13" x14ac:dyDescent="0.25">
      <c r="F6421" t="s">
        <v>6784</v>
      </c>
      <c r="G6421">
        <v>73207</v>
      </c>
      <c r="H6421">
        <v>8116</v>
      </c>
      <c r="I6421" s="25" t="s">
        <v>2018</v>
      </c>
      <c r="J6421" t="s">
        <v>2213</v>
      </c>
      <c r="M6421" s="49"/>
    </row>
    <row r="6422" spans="6:13" x14ac:dyDescent="0.25">
      <c r="F6422" t="s">
        <v>2313</v>
      </c>
      <c r="G6422">
        <v>24306</v>
      </c>
      <c r="H6422">
        <v>1057</v>
      </c>
      <c r="I6422" s="25" t="s">
        <v>2085</v>
      </c>
      <c r="J6422" t="s">
        <v>2313</v>
      </c>
      <c r="M6422" s="49"/>
    </row>
    <row r="6423" spans="6:13" x14ac:dyDescent="0.25">
      <c r="F6423" t="s">
        <v>6785</v>
      </c>
      <c r="G6423">
        <v>95703</v>
      </c>
      <c r="H6423">
        <v>9377</v>
      </c>
      <c r="I6423" s="25" t="s">
        <v>2050</v>
      </c>
      <c r="J6423" t="s">
        <v>2393</v>
      </c>
      <c r="M6423" s="49"/>
    </row>
    <row r="6424" spans="6:13" x14ac:dyDescent="0.25">
      <c r="F6424" t="s">
        <v>6786</v>
      </c>
      <c r="G6424">
        <v>73655</v>
      </c>
      <c r="H6424">
        <v>8119</v>
      </c>
      <c r="I6424" s="25" t="s">
        <v>2018</v>
      </c>
      <c r="J6424" t="s">
        <v>2287</v>
      </c>
      <c r="M6424" s="49"/>
    </row>
    <row r="6425" spans="6:13" x14ac:dyDescent="0.25">
      <c r="F6425" t="s">
        <v>6787</v>
      </c>
      <c r="G6425">
        <v>54316</v>
      </c>
      <c r="H6425">
        <v>7235</v>
      </c>
      <c r="I6425" s="25" t="s">
        <v>2123</v>
      </c>
      <c r="J6425" t="s">
        <v>2395</v>
      </c>
      <c r="M6425" s="49"/>
    </row>
    <row r="6426" spans="6:13" x14ac:dyDescent="0.25">
      <c r="F6426" t="s">
        <v>6788</v>
      </c>
      <c r="G6426">
        <v>9514</v>
      </c>
      <c r="H6426">
        <v>14521</v>
      </c>
      <c r="I6426" s="25" t="s">
        <v>2135</v>
      </c>
      <c r="J6426" t="s">
        <v>2032</v>
      </c>
      <c r="M6426" s="49"/>
    </row>
    <row r="6427" spans="6:13" x14ac:dyDescent="0.25">
      <c r="F6427" t="s">
        <v>6789</v>
      </c>
      <c r="G6427">
        <v>9509</v>
      </c>
      <c r="H6427">
        <v>14521</v>
      </c>
      <c r="I6427" s="25" t="s">
        <v>2135</v>
      </c>
      <c r="J6427" t="s">
        <v>2032</v>
      </c>
      <c r="M6427" s="49"/>
    </row>
    <row r="6428" spans="6:13" x14ac:dyDescent="0.25">
      <c r="F6428" t="s">
        <v>6790</v>
      </c>
      <c r="G6428">
        <v>94060</v>
      </c>
      <c r="H6428">
        <v>9275</v>
      </c>
      <c r="I6428" s="25" t="s">
        <v>2050</v>
      </c>
      <c r="J6428" t="s">
        <v>2198</v>
      </c>
      <c r="M6428" s="49"/>
    </row>
    <row r="6429" spans="6:13" x14ac:dyDescent="0.25">
      <c r="F6429" t="s">
        <v>6791</v>
      </c>
      <c r="G6429">
        <v>82343</v>
      </c>
      <c r="H6429">
        <v>9188</v>
      </c>
      <c r="I6429" s="25" t="s">
        <v>2050</v>
      </c>
      <c r="J6429" t="s">
        <v>2481</v>
      </c>
      <c r="M6429" s="49"/>
    </row>
    <row r="6430" spans="6:13" x14ac:dyDescent="0.25">
      <c r="F6430" t="s">
        <v>6792</v>
      </c>
      <c r="G6430">
        <v>8543</v>
      </c>
      <c r="H6430">
        <v>14523</v>
      </c>
      <c r="I6430" s="25" t="s">
        <v>2135</v>
      </c>
      <c r="J6430" t="s">
        <v>2136</v>
      </c>
      <c r="M6430" s="49"/>
    </row>
    <row r="6431" spans="6:13" x14ac:dyDescent="0.25">
      <c r="F6431" t="s">
        <v>6793</v>
      </c>
      <c r="G6431">
        <v>31867</v>
      </c>
      <c r="H6431">
        <v>3257</v>
      </c>
      <c r="I6431" s="25" t="s">
        <v>2074</v>
      </c>
      <c r="J6431" t="s">
        <v>2167</v>
      </c>
      <c r="M6431" s="49"/>
    </row>
    <row r="6432" spans="6:13" x14ac:dyDescent="0.25">
      <c r="F6432" t="s">
        <v>6794</v>
      </c>
      <c r="G6432">
        <v>35415</v>
      </c>
      <c r="H6432">
        <v>6531</v>
      </c>
      <c r="I6432" s="25" t="s">
        <v>2046</v>
      </c>
      <c r="J6432" t="s">
        <v>2306</v>
      </c>
      <c r="M6432" s="49"/>
    </row>
    <row r="6433" spans="6:13" x14ac:dyDescent="0.25">
      <c r="F6433" t="s">
        <v>6795</v>
      </c>
      <c r="G6433">
        <v>85586</v>
      </c>
      <c r="H6433">
        <v>9175</v>
      </c>
      <c r="I6433" s="25" t="s">
        <v>2050</v>
      </c>
      <c r="J6433" t="s">
        <v>2500</v>
      </c>
      <c r="M6433" s="49"/>
    </row>
    <row r="6434" spans="6:13" x14ac:dyDescent="0.25">
      <c r="F6434" t="s">
        <v>6796</v>
      </c>
      <c r="G6434">
        <v>56751</v>
      </c>
      <c r="H6434">
        <v>7137</v>
      </c>
      <c r="I6434" s="25" t="s">
        <v>2123</v>
      </c>
      <c r="J6434" t="s">
        <v>2246</v>
      </c>
      <c r="M6434" s="49"/>
    </row>
    <row r="6435" spans="6:13" x14ac:dyDescent="0.25">
      <c r="F6435" t="s">
        <v>6797</v>
      </c>
      <c r="G6435">
        <v>85131</v>
      </c>
      <c r="H6435">
        <v>9176</v>
      </c>
      <c r="I6435" s="25" t="s">
        <v>2050</v>
      </c>
      <c r="J6435" t="s">
        <v>2102</v>
      </c>
      <c r="M6435" s="49"/>
    </row>
    <row r="6436" spans="6:13" x14ac:dyDescent="0.25">
      <c r="F6436" t="s">
        <v>6798</v>
      </c>
      <c r="G6436">
        <v>31718</v>
      </c>
      <c r="H6436">
        <v>3257</v>
      </c>
      <c r="I6436" s="25" t="s">
        <v>2074</v>
      </c>
      <c r="J6436" t="s">
        <v>2167</v>
      </c>
      <c r="M6436" s="49"/>
    </row>
    <row r="6437" spans="6:13" x14ac:dyDescent="0.25">
      <c r="F6437" t="s">
        <v>6799</v>
      </c>
      <c r="G6437">
        <v>84570</v>
      </c>
      <c r="H6437">
        <v>9183</v>
      </c>
      <c r="I6437" s="25" t="s">
        <v>2050</v>
      </c>
      <c r="J6437" t="s">
        <v>2474</v>
      </c>
      <c r="M6437" s="49"/>
    </row>
    <row r="6438" spans="6:13" x14ac:dyDescent="0.25">
      <c r="F6438" t="s">
        <v>6799</v>
      </c>
      <c r="G6438">
        <v>82398</v>
      </c>
      <c r="H6438">
        <v>9190</v>
      </c>
      <c r="I6438" s="25" t="s">
        <v>2050</v>
      </c>
      <c r="J6438" t="s">
        <v>2417</v>
      </c>
      <c r="M6438" s="49"/>
    </row>
    <row r="6439" spans="6:13" x14ac:dyDescent="0.25">
      <c r="F6439" t="s">
        <v>6800</v>
      </c>
      <c r="G6439">
        <v>91805</v>
      </c>
      <c r="H6439">
        <v>9577</v>
      </c>
      <c r="I6439" s="25" t="s">
        <v>2050</v>
      </c>
      <c r="J6439" t="s">
        <v>2057</v>
      </c>
      <c r="M6439" s="49"/>
    </row>
    <row r="6440" spans="6:13" x14ac:dyDescent="0.25">
      <c r="F6440" t="s">
        <v>6801</v>
      </c>
      <c r="G6440">
        <v>91224</v>
      </c>
      <c r="H6440">
        <v>9574</v>
      </c>
      <c r="I6440" s="25" t="s">
        <v>2050</v>
      </c>
      <c r="J6440" t="s">
        <v>2291</v>
      </c>
      <c r="M6440" s="49"/>
    </row>
    <row r="6441" spans="6:13" x14ac:dyDescent="0.25">
      <c r="F6441" t="s">
        <v>6802</v>
      </c>
      <c r="G6441">
        <v>56829</v>
      </c>
      <c r="H6441">
        <v>7135</v>
      </c>
      <c r="I6441" s="25" t="s">
        <v>2123</v>
      </c>
      <c r="J6441" t="s">
        <v>2072</v>
      </c>
      <c r="M6441" s="49"/>
    </row>
    <row r="6442" spans="6:13" x14ac:dyDescent="0.25">
      <c r="F6442" t="s">
        <v>6803</v>
      </c>
      <c r="G6442">
        <v>96178</v>
      </c>
      <c r="H6442">
        <v>9471</v>
      </c>
      <c r="I6442" s="25" t="s">
        <v>2050</v>
      </c>
      <c r="J6442" t="s">
        <v>2392</v>
      </c>
      <c r="M6442" s="49"/>
    </row>
    <row r="6443" spans="6:13" x14ac:dyDescent="0.25">
      <c r="F6443" t="s">
        <v>6804</v>
      </c>
      <c r="G6443">
        <v>36163</v>
      </c>
      <c r="H6443">
        <v>6631</v>
      </c>
      <c r="I6443" s="25" t="s">
        <v>2046</v>
      </c>
      <c r="J6443" t="s">
        <v>2145</v>
      </c>
      <c r="M6443" s="49"/>
    </row>
    <row r="6444" spans="6:13" x14ac:dyDescent="0.25">
      <c r="F6444" t="s">
        <v>6804</v>
      </c>
      <c r="G6444">
        <v>97490</v>
      </c>
      <c r="H6444">
        <v>9678</v>
      </c>
      <c r="I6444" s="25" t="s">
        <v>2050</v>
      </c>
      <c r="J6444" t="s">
        <v>2918</v>
      </c>
      <c r="M6444" s="49"/>
    </row>
    <row r="6445" spans="6:13" x14ac:dyDescent="0.25">
      <c r="F6445" t="s">
        <v>6805</v>
      </c>
      <c r="G6445">
        <v>92284</v>
      </c>
      <c r="H6445">
        <v>9371</v>
      </c>
      <c r="I6445" s="25" t="s">
        <v>2050</v>
      </c>
      <c r="J6445" t="s">
        <v>2469</v>
      </c>
      <c r="M6445" s="49"/>
    </row>
    <row r="6446" spans="6:13" x14ac:dyDescent="0.25">
      <c r="F6446" t="s">
        <v>6806</v>
      </c>
      <c r="G6446">
        <v>85309</v>
      </c>
      <c r="H6446">
        <v>9186</v>
      </c>
      <c r="I6446" s="25" t="s">
        <v>2050</v>
      </c>
      <c r="J6446" t="s">
        <v>2594</v>
      </c>
      <c r="M6446" s="49"/>
    </row>
    <row r="6447" spans="6:13" x14ac:dyDescent="0.25">
      <c r="F6447" t="s">
        <v>6807</v>
      </c>
      <c r="G6447">
        <v>32457</v>
      </c>
      <c r="H6447">
        <v>5770</v>
      </c>
      <c r="I6447" s="25" t="s">
        <v>2023</v>
      </c>
      <c r="J6447" t="s">
        <v>2257</v>
      </c>
      <c r="M6447" s="49"/>
    </row>
    <row r="6448" spans="6:13" x14ac:dyDescent="0.25">
      <c r="F6448" t="s">
        <v>6808</v>
      </c>
      <c r="G6448">
        <v>93483</v>
      </c>
      <c r="H6448">
        <v>9372</v>
      </c>
      <c r="I6448" s="25" t="s">
        <v>2050</v>
      </c>
      <c r="J6448" t="s">
        <v>2523</v>
      </c>
      <c r="M6448" s="49"/>
    </row>
    <row r="6449" spans="6:13" x14ac:dyDescent="0.25">
      <c r="F6449" t="s">
        <v>6809</v>
      </c>
      <c r="G6449">
        <v>7381</v>
      </c>
      <c r="H6449">
        <v>16075</v>
      </c>
      <c r="I6449" s="25" t="s">
        <v>2384</v>
      </c>
      <c r="J6449" t="s">
        <v>4221</v>
      </c>
      <c r="M6449" s="49"/>
    </row>
    <row r="6450" spans="6:13" x14ac:dyDescent="0.25">
      <c r="F6450" t="s">
        <v>6810</v>
      </c>
      <c r="G6450">
        <v>84103</v>
      </c>
      <c r="H6450">
        <v>9274</v>
      </c>
      <c r="I6450" s="25" t="s">
        <v>2050</v>
      </c>
      <c r="J6450" t="s">
        <v>2132</v>
      </c>
      <c r="M6450" s="49"/>
    </row>
    <row r="6451" spans="6:13" x14ac:dyDescent="0.25">
      <c r="F6451" t="s">
        <v>6811</v>
      </c>
      <c r="G6451">
        <v>92353</v>
      </c>
      <c r="H6451">
        <v>9373</v>
      </c>
      <c r="I6451" s="25" t="s">
        <v>2050</v>
      </c>
      <c r="J6451" t="s">
        <v>2891</v>
      </c>
      <c r="M6451" s="49"/>
    </row>
    <row r="6452" spans="6:13" x14ac:dyDescent="0.25">
      <c r="F6452" t="s">
        <v>6812</v>
      </c>
      <c r="G6452">
        <v>84389</v>
      </c>
      <c r="H6452">
        <v>9277</v>
      </c>
      <c r="I6452" s="25" t="s">
        <v>2050</v>
      </c>
      <c r="J6452" t="s">
        <v>2529</v>
      </c>
      <c r="M6452" s="49"/>
    </row>
    <row r="6453" spans="6:13" x14ac:dyDescent="0.25">
      <c r="F6453" t="s">
        <v>6813</v>
      </c>
      <c r="G6453">
        <v>14482</v>
      </c>
      <c r="H6453">
        <v>12054</v>
      </c>
      <c r="I6453" s="25" t="s">
        <v>2356</v>
      </c>
      <c r="J6453" t="s">
        <v>6814</v>
      </c>
      <c r="M6453" s="49"/>
    </row>
    <row r="6454" spans="6:13" x14ac:dyDescent="0.25">
      <c r="F6454" t="s">
        <v>6813</v>
      </c>
      <c r="G6454">
        <v>14469</v>
      </c>
      <c r="H6454">
        <v>12054</v>
      </c>
      <c r="I6454" s="25" t="s">
        <v>2356</v>
      </c>
      <c r="J6454" t="s">
        <v>6814</v>
      </c>
      <c r="M6454" s="49"/>
    </row>
    <row r="6455" spans="6:13" x14ac:dyDescent="0.25">
      <c r="F6455" t="s">
        <v>6813</v>
      </c>
      <c r="G6455">
        <v>14480</v>
      </c>
      <c r="H6455">
        <v>12054</v>
      </c>
      <c r="I6455" s="25" t="s">
        <v>2356</v>
      </c>
      <c r="J6455" t="s">
        <v>6814</v>
      </c>
      <c r="M6455" s="49"/>
    </row>
    <row r="6456" spans="6:13" x14ac:dyDescent="0.25">
      <c r="F6456" t="s">
        <v>6813</v>
      </c>
      <c r="G6456">
        <v>14473</v>
      </c>
      <c r="H6456">
        <v>12054</v>
      </c>
      <c r="I6456" s="25" t="s">
        <v>2356</v>
      </c>
      <c r="J6456" t="s">
        <v>6814</v>
      </c>
      <c r="M6456" s="49"/>
    </row>
    <row r="6457" spans="6:13" x14ac:dyDescent="0.25">
      <c r="F6457" t="s">
        <v>6813</v>
      </c>
      <c r="G6457">
        <v>14476</v>
      </c>
      <c r="H6457">
        <v>12054</v>
      </c>
      <c r="I6457" s="25" t="s">
        <v>2356</v>
      </c>
      <c r="J6457" t="s">
        <v>6814</v>
      </c>
      <c r="M6457" s="49"/>
    </row>
    <row r="6458" spans="6:13" x14ac:dyDescent="0.25">
      <c r="F6458" t="s">
        <v>6813</v>
      </c>
      <c r="G6458">
        <v>14471</v>
      </c>
      <c r="H6458">
        <v>12054</v>
      </c>
      <c r="I6458" s="25" t="s">
        <v>2356</v>
      </c>
      <c r="J6458" t="s">
        <v>6814</v>
      </c>
      <c r="M6458" s="49"/>
    </row>
    <row r="6459" spans="6:13" x14ac:dyDescent="0.25">
      <c r="F6459" t="s">
        <v>6813</v>
      </c>
      <c r="G6459">
        <v>14467</v>
      </c>
      <c r="H6459">
        <v>12054</v>
      </c>
      <c r="I6459" s="25" t="s">
        <v>2356</v>
      </c>
      <c r="J6459" t="s">
        <v>6814</v>
      </c>
      <c r="M6459" s="49"/>
    </row>
    <row r="6460" spans="6:13" x14ac:dyDescent="0.25">
      <c r="F6460" t="s">
        <v>6813</v>
      </c>
      <c r="G6460">
        <v>14478</v>
      </c>
      <c r="H6460">
        <v>12054</v>
      </c>
      <c r="I6460" s="25" t="s">
        <v>2356</v>
      </c>
      <c r="J6460" t="s">
        <v>6814</v>
      </c>
      <c r="M6460" s="49"/>
    </row>
    <row r="6461" spans="6:13" x14ac:dyDescent="0.25">
      <c r="F6461" t="s">
        <v>6813</v>
      </c>
      <c r="G6461">
        <v>14476</v>
      </c>
      <c r="H6461">
        <v>12054</v>
      </c>
      <c r="I6461" s="25" t="s">
        <v>2356</v>
      </c>
      <c r="J6461" t="s">
        <v>6814</v>
      </c>
      <c r="M6461" s="49"/>
    </row>
    <row r="6462" spans="6:13" x14ac:dyDescent="0.25">
      <c r="F6462" t="s">
        <v>6815</v>
      </c>
      <c r="G6462">
        <v>91278</v>
      </c>
      <c r="H6462">
        <v>9472</v>
      </c>
      <c r="I6462" s="25" t="s">
        <v>2050</v>
      </c>
      <c r="J6462" t="s">
        <v>2180</v>
      </c>
      <c r="M6462" s="49"/>
    </row>
    <row r="6463" spans="6:13" x14ac:dyDescent="0.25">
      <c r="F6463" t="s">
        <v>6816</v>
      </c>
      <c r="G6463">
        <v>86554</v>
      </c>
      <c r="H6463">
        <v>9771</v>
      </c>
      <c r="I6463" s="25" t="s">
        <v>2050</v>
      </c>
      <c r="J6463" t="s">
        <v>2120</v>
      </c>
      <c r="M6463" s="49"/>
    </row>
    <row r="6464" spans="6:13" x14ac:dyDescent="0.25">
      <c r="F6464" t="s">
        <v>6817</v>
      </c>
      <c r="G6464">
        <v>91099</v>
      </c>
      <c r="H6464">
        <v>9474</v>
      </c>
      <c r="I6464" s="25" t="s">
        <v>2050</v>
      </c>
      <c r="J6464" t="s">
        <v>3692</v>
      </c>
      <c r="M6464" s="49"/>
    </row>
    <row r="6465" spans="6:13" x14ac:dyDescent="0.25">
      <c r="F6465" t="s">
        <v>6818</v>
      </c>
      <c r="G6465">
        <v>57589</v>
      </c>
      <c r="H6465">
        <v>7132</v>
      </c>
      <c r="I6465" s="25" t="s">
        <v>2123</v>
      </c>
      <c r="J6465" t="s">
        <v>2401</v>
      </c>
      <c r="M6465" s="49"/>
    </row>
    <row r="6466" spans="6:13" x14ac:dyDescent="0.25">
      <c r="F6466" t="s">
        <v>6819</v>
      </c>
      <c r="G6466">
        <v>94267</v>
      </c>
      <c r="H6466">
        <v>9276</v>
      </c>
      <c r="I6466" s="25" t="s">
        <v>2050</v>
      </c>
      <c r="J6466" t="s">
        <v>2078</v>
      </c>
      <c r="M6466" s="49"/>
    </row>
    <row r="6467" spans="6:13" x14ac:dyDescent="0.25">
      <c r="F6467" t="s">
        <v>6820</v>
      </c>
      <c r="G6467">
        <v>24211</v>
      </c>
      <c r="H6467">
        <v>1057</v>
      </c>
      <c r="I6467" s="25" t="s">
        <v>2085</v>
      </c>
      <c r="J6467" t="s">
        <v>2313</v>
      </c>
      <c r="M6467" s="49"/>
    </row>
    <row r="6468" spans="6:13" x14ac:dyDescent="0.25">
      <c r="F6468" t="s">
        <v>6821</v>
      </c>
      <c r="G6468">
        <v>54664</v>
      </c>
      <c r="H6468">
        <v>7232</v>
      </c>
      <c r="I6468" s="25" t="s">
        <v>2123</v>
      </c>
      <c r="J6468" t="s">
        <v>2112</v>
      </c>
      <c r="M6468" s="49"/>
    </row>
    <row r="6469" spans="6:13" x14ac:dyDescent="0.25">
      <c r="F6469" t="s">
        <v>6822</v>
      </c>
      <c r="G6469">
        <v>86984</v>
      </c>
      <c r="H6469">
        <v>9190</v>
      </c>
      <c r="I6469" s="25" t="s">
        <v>2050</v>
      </c>
      <c r="J6469" t="s">
        <v>2417</v>
      </c>
      <c r="M6469" s="49"/>
    </row>
    <row r="6470" spans="6:13" x14ac:dyDescent="0.25">
      <c r="F6470" t="s">
        <v>6823</v>
      </c>
      <c r="G6470">
        <v>14727</v>
      </c>
      <c r="H6470">
        <v>12063</v>
      </c>
      <c r="I6470" s="25" t="s">
        <v>2356</v>
      </c>
      <c r="J6470" t="s">
        <v>2181</v>
      </c>
      <c r="M6470" s="49"/>
    </row>
    <row r="6471" spans="6:13" x14ac:dyDescent="0.25">
      <c r="F6471" t="s">
        <v>6824</v>
      </c>
      <c r="G6471">
        <v>17291</v>
      </c>
      <c r="H6471">
        <v>12073</v>
      </c>
      <c r="I6471" s="25" t="s">
        <v>2356</v>
      </c>
      <c r="J6471" t="s">
        <v>2397</v>
      </c>
      <c r="M6471" s="49"/>
    </row>
    <row r="6472" spans="6:13" x14ac:dyDescent="0.25">
      <c r="F6472" t="s">
        <v>6825</v>
      </c>
      <c r="G6472">
        <v>18375</v>
      </c>
      <c r="H6472">
        <v>13073</v>
      </c>
      <c r="I6472" s="25" t="s">
        <v>2191</v>
      </c>
      <c r="J6472" t="s">
        <v>2192</v>
      </c>
      <c r="M6472" s="49"/>
    </row>
    <row r="6473" spans="6:13" x14ac:dyDescent="0.25">
      <c r="F6473" t="s">
        <v>6826</v>
      </c>
      <c r="G6473">
        <v>92690</v>
      </c>
      <c r="H6473">
        <v>9374</v>
      </c>
      <c r="I6473" s="25" t="s">
        <v>2050</v>
      </c>
      <c r="J6473" t="s">
        <v>2420</v>
      </c>
      <c r="M6473" s="49"/>
    </row>
    <row r="6474" spans="6:13" x14ac:dyDescent="0.25">
      <c r="F6474" t="s">
        <v>6827</v>
      </c>
      <c r="G6474">
        <v>95355</v>
      </c>
      <c r="H6474">
        <v>9477</v>
      </c>
      <c r="I6474" s="25" t="s">
        <v>2050</v>
      </c>
      <c r="J6474" t="s">
        <v>4385</v>
      </c>
      <c r="M6474" s="49"/>
    </row>
    <row r="6475" spans="6:13" x14ac:dyDescent="0.25">
      <c r="F6475" t="s">
        <v>6828</v>
      </c>
      <c r="G6475">
        <v>96332</v>
      </c>
      <c r="H6475">
        <v>9476</v>
      </c>
      <c r="I6475" s="25" t="s">
        <v>2050</v>
      </c>
      <c r="J6475" t="s">
        <v>5435</v>
      </c>
      <c r="M6475" s="49"/>
    </row>
    <row r="6476" spans="6:13" x14ac:dyDescent="0.25">
      <c r="F6476" t="s">
        <v>6829</v>
      </c>
      <c r="G6476">
        <v>91362</v>
      </c>
      <c r="H6476">
        <v>9474</v>
      </c>
      <c r="I6476" s="25" t="s">
        <v>2050</v>
      </c>
      <c r="J6476" t="s">
        <v>3692</v>
      </c>
      <c r="M6476" s="49"/>
    </row>
    <row r="6477" spans="6:13" x14ac:dyDescent="0.25">
      <c r="F6477" t="s">
        <v>6830</v>
      </c>
      <c r="G6477">
        <v>32361</v>
      </c>
      <c r="H6477">
        <v>5770</v>
      </c>
      <c r="I6477" s="25" t="s">
        <v>2023</v>
      </c>
      <c r="J6477" t="s">
        <v>2257</v>
      </c>
      <c r="M6477" s="49"/>
    </row>
    <row r="6478" spans="6:13" x14ac:dyDescent="0.25">
      <c r="F6478" t="s">
        <v>6831</v>
      </c>
      <c r="G6478">
        <v>29491</v>
      </c>
      <c r="H6478">
        <v>3354</v>
      </c>
      <c r="I6478" s="25" t="s">
        <v>2074</v>
      </c>
      <c r="J6478" t="s">
        <v>2232</v>
      </c>
      <c r="M6478" s="49"/>
    </row>
    <row r="6479" spans="6:13" x14ac:dyDescent="0.25">
      <c r="F6479" t="s">
        <v>6832</v>
      </c>
      <c r="G6479">
        <v>97357</v>
      </c>
      <c r="H6479">
        <v>9675</v>
      </c>
      <c r="I6479" s="25" t="s">
        <v>2050</v>
      </c>
      <c r="J6479" t="s">
        <v>2259</v>
      </c>
      <c r="M6479" s="49"/>
    </row>
    <row r="6480" spans="6:13" x14ac:dyDescent="0.25">
      <c r="F6480" t="s">
        <v>6833</v>
      </c>
      <c r="G6480">
        <v>83209</v>
      </c>
      <c r="H6480">
        <v>9187</v>
      </c>
      <c r="I6480" s="25" t="s">
        <v>2050</v>
      </c>
      <c r="J6480" t="s">
        <v>2245</v>
      </c>
      <c r="M6480" s="49"/>
    </row>
    <row r="6481" spans="6:13" x14ac:dyDescent="0.25">
      <c r="F6481" t="s">
        <v>6834</v>
      </c>
      <c r="G6481">
        <v>25497</v>
      </c>
      <c r="H6481">
        <v>1056</v>
      </c>
      <c r="I6481" s="25" t="s">
        <v>2085</v>
      </c>
      <c r="J6481" t="s">
        <v>2311</v>
      </c>
      <c r="M6481" s="49"/>
    </row>
    <row r="6482" spans="6:13" x14ac:dyDescent="0.25">
      <c r="F6482" t="s">
        <v>6835</v>
      </c>
      <c r="G6482">
        <v>86931</v>
      </c>
      <c r="H6482">
        <v>9181</v>
      </c>
      <c r="I6482" s="25" t="s">
        <v>2050</v>
      </c>
      <c r="J6482" t="s">
        <v>2505</v>
      </c>
      <c r="M6482" s="49"/>
    </row>
    <row r="6483" spans="6:13" x14ac:dyDescent="0.25">
      <c r="F6483" t="s">
        <v>6836</v>
      </c>
      <c r="G6483">
        <v>16928</v>
      </c>
      <c r="H6483">
        <v>12070</v>
      </c>
      <c r="I6483" s="25" t="s">
        <v>2356</v>
      </c>
      <c r="J6483" t="s">
        <v>2316</v>
      </c>
      <c r="M6483" s="49"/>
    </row>
    <row r="6484" spans="6:13" x14ac:dyDescent="0.25">
      <c r="F6484" t="s">
        <v>6837</v>
      </c>
      <c r="G6484">
        <v>24253</v>
      </c>
      <c r="H6484">
        <v>1057</v>
      </c>
      <c r="I6484" s="25" t="s">
        <v>2085</v>
      </c>
      <c r="J6484" t="s">
        <v>2313</v>
      </c>
      <c r="M6484" s="49"/>
    </row>
    <row r="6485" spans="6:13" x14ac:dyDescent="0.25">
      <c r="F6485" t="s">
        <v>6838</v>
      </c>
      <c r="G6485">
        <v>7330</v>
      </c>
      <c r="H6485">
        <v>16073</v>
      </c>
      <c r="I6485" s="25" t="s">
        <v>2384</v>
      </c>
      <c r="J6485" t="s">
        <v>2618</v>
      </c>
      <c r="M6485" s="49"/>
    </row>
    <row r="6486" spans="6:13" x14ac:dyDescent="0.25">
      <c r="F6486" t="s">
        <v>6839</v>
      </c>
      <c r="G6486">
        <v>18445</v>
      </c>
      <c r="H6486">
        <v>13073</v>
      </c>
      <c r="I6486" s="25" t="s">
        <v>2191</v>
      </c>
      <c r="J6486" t="s">
        <v>2192</v>
      </c>
      <c r="M6486" s="49"/>
    </row>
    <row r="6487" spans="6:13" x14ac:dyDescent="0.25">
      <c r="F6487" t="s">
        <v>6839</v>
      </c>
      <c r="G6487">
        <v>18445</v>
      </c>
      <c r="H6487">
        <v>13073</v>
      </c>
      <c r="I6487" s="25" t="s">
        <v>2191</v>
      </c>
      <c r="J6487" t="s">
        <v>2192</v>
      </c>
      <c r="M6487" s="49"/>
    </row>
    <row r="6488" spans="6:13" x14ac:dyDescent="0.25">
      <c r="F6488" t="s">
        <v>6840</v>
      </c>
      <c r="G6488">
        <v>54597</v>
      </c>
      <c r="H6488">
        <v>7232</v>
      </c>
      <c r="I6488" s="25" t="s">
        <v>2123</v>
      </c>
      <c r="J6488" t="s">
        <v>2112</v>
      </c>
      <c r="M6488" s="49"/>
    </row>
    <row r="6489" spans="6:13" x14ac:dyDescent="0.25">
      <c r="F6489" t="s">
        <v>6840</v>
      </c>
      <c r="G6489">
        <v>54597</v>
      </c>
      <c r="H6489">
        <v>7232</v>
      </c>
      <c r="I6489" s="25" t="s">
        <v>2123</v>
      </c>
      <c r="J6489" t="s">
        <v>2112</v>
      </c>
      <c r="M6489" s="49"/>
    </row>
    <row r="6490" spans="6:13" x14ac:dyDescent="0.25">
      <c r="F6490" t="s">
        <v>6840</v>
      </c>
      <c r="G6490">
        <v>54597</v>
      </c>
      <c r="H6490">
        <v>7232</v>
      </c>
      <c r="I6490" s="25" t="s">
        <v>2123</v>
      </c>
      <c r="J6490" t="s">
        <v>2112</v>
      </c>
      <c r="M6490" s="49"/>
    </row>
    <row r="6491" spans="6:13" x14ac:dyDescent="0.25">
      <c r="F6491" t="s">
        <v>6840</v>
      </c>
      <c r="G6491">
        <v>54597</v>
      </c>
      <c r="H6491">
        <v>7233</v>
      </c>
      <c r="I6491" s="25" t="s">
        <v>2123</v>
      </c>
      <c r="J6491" t="s">
        <v>2416</v>
      </c>
      <c r="M6491" s="49"/>
    </row>
    <row r="6492" spans="6:13" x14ac:dyDescent="0.25">
      <c r="F6492" t="s">
        <v>6840</v>
      </c>
      <c r="G6492">
        <v>54597</v>
      </c>
      <c r="H6492">
        <v>7233</v>
      </c>
      <c r="I6492" s="25" t="s">
        <v>2123</v>
      </c>
      <c r="J6492" t="s">
        <v>2416</v>
      </c>
      <c r="M6492" s="49"/>
    </row>
    <row r="6493" spans="6:13" x14ac:dyDescent="0.25">
      <c r="F6493" t="s">
        <v>6840</v>
      </c>
      <c r="G6493">
        <v>54597</v>
      </c>
      <c r="H6493">
        <v>7233</v>
      </c>
      <c r="I6493" s="25" t="s">
        <v>2123</v>
      </c>
      <c r="J6493" t="s">
        <v>2416</v>
      </c>
      <c r="M6493" s="49"/>
    </row>
    <row r="6494" spans="6:13" x14ac:dyDescent="0.25">
      <c r="F6494" t="s">
        <v>6841</v>
      </c>
      <c r="G6494">
        <v>23820</v>
      </c>
      <c r="H6494">
        <v>1060</v>
      </c>
      <c r="I6494" s="25" t="s">
        <v>2085</v>
      </c>
      <c r="J6494" t="s">
        <v>2363</v>
      </c>
      <c r="M6494" s="49"/>
    </row>
    <row r="6495" spans="6:13" x14ac:dyDescent="0.25">
      <c r="F6495" t="s">
        <v>6842</v>
      </c>
      <c r="G6495">
        <v>97279</v>
      </c>
      <c r="H6495">
        <v>9679</v>
      </c>
      <c r="I6495" s="25" t="s">
        <v>2050</v>
      </c>
      <c r="J6495" t="s">
        <v>2428</v>
      </c>
      <c r="M6495" s="49"/>
    </row>
    <row r="6496" spans="6:13" x14ac:dyDescent="0.25">
      <c r="F6496" t="s">
        <v>6843</v>
      </c>
      <c r="G6496">
        <v>54595</v>
      </c>
      <c r="H6496">
        <v>7232</v>
      </c>
      <c r="I6496" s="25" t="s">
        <v>2123</v>
      </c>
      <c r="J6496" t="s">
        <v>2112</v>
      </c>
      <c r="M6496" s="49"/>
    </row>
    <row r="6497" spans="6:13" x14ac:dyDescent="0.25">
      <c r="F6497" t="s">
        <v>6844</v>
      </c>
      <c r="G6497">
        <v>83134</v>
      </c>
      <c r="H6497">
        <v>9187</v>
      </c>
      <c r="I6497" s="25" t="s">
        <v>2050</v>
      </c>
      <c r="J6497" t="s">
        <v>2245</v>
      </c>
      <c r="M6497" s="49"/>
    </row>
    <row r="6498" spans="6:13" x14ac:dyDescent="0.25">
      <c r="F6498" t="s">
        <v>6845</v>
      </c>
      <c r="G6498">
        <v>92715</v>
      </c>
      <c r="H6498">
        <v>9374</v>
      </c>
      <c r="I6498" s="25" t="s">
        <v>2050</v>
      </c>
      <c r="J6498" t="s">
        <v>2420</v>
      </c>
      <c r="M6498" s="49"/>
    </row>
    <row r="6499" spans="6:13" x14ac:dyDescent="0.25">
      <c r="F6499" t="s">
        <v>6846</v>
      </c>
      <c r="G6499">
        <v>82178</v>
      </c>
      <c r="H6499">
        <v>9179</v>
      </c>
      <c r="I6499" s="25" t="s">
        <v>2050</v>
      </c>
      <c r="J6499" t="s">
        <v>2111</v>
      </c>
      <c r="M6499" s="49"/>
    </row>
    <row r="6500" spans="6:13" x14ac:dyDescent="0.25">
      <c r="F6500" t="s">
        <v>6847</v>
      </c>
      <c r="G6500">
        <v>56305</v>
      </c>
      <c r="H6500">
        <v>7138</v>
      </c>
      <c r="I6500" s="25" t="s">
        <v>2123</v>
      </c>
      <c r="J6500" t="s">
        <v>2489</v>
      </c>
      <c r="M6500" s="49"/>
    </row>
    <row r="6501" spans="6:13" x14ac:dyDescent="0.25">
      <c r="F6501" t="s">
        <v>6848</v>
      </c>
      <c r="G6501">
        <v>50259</v>
      </c>
      <c r="H6501">
        <v>5362</v>
      </c>
      <c r="I6501" s="25" t="s">
        <v>2023</v>
      </c>
      <c r="J6501" t="s">
        <v>2326</v>
      </c>
      <c r="M6501" s="49"/>
    </row>
    <row r="6502" spans="6:13" x14ac:dyDescent="0.25">
      <c r="F6502" t="s">
        <v>6849</v>
      </c>
      <c r="G6502">
        <v>82049</v>
      </c>
      <c r="H6502">
        <v>9184</v>
      </c>
      <c r="I6502" s="25" t="s">
        <v>2050</v>
      </c>
      <c r="J6502" t="s">
        <v>2547</v>
      </c>
      <c r="M6502" s="49"/>
    </row>
    <row r="6503" spans="6:13" x14ac:dyDescent="0.25">
      <c r="F6503" t="s">
        <v>6850</v>
      </c>
      <c r="G6503">
        <v>95704</v>
      </c>
      <c r="H6503">
        <v>9377</v>
      </c>
      <c r="I6503" s="25" t="s">
        <v>2050</v>
      </c>
      <c r="J6503" t="s">
        <v>2393</v>
      </c>
      <c r="M6503" s="49"/>
    </row>
    <row r="6504" spans="6:13" x14ac:dyDescent="0.25">
      <c r="F6504" t="s">
        <v>6851</v>
      </c>
      <c r="G6504">
        <v>1896</v>
      </c>
      <c r="H6504">
        <v>14625</v>
      </c>
      <c r="I6504" s="25" t="s">
        <v>2135</v>
      </c>
      <c r="J6504" t="s">
        <v>2041</v>
      </c>
      <c r="M6504" s="49"/>
    </row>
    <row r="6505" spans="6:13" x14ac:dyDescent="0.25">
      <c r="F6505" t="s">
        <v>6852</v>
      </c>
      <c r="G6505">
        <v>56862</v>
      </c>
      <c r="H6505">
        <v>7135</v>
      </c>
      <c r="I6505" s="25" t="s">
        <v>2123</v>
      </c>
      <c r="J6505" t="s">
        <v>2072</v>
      </c>
      <c r="M6505" s="49"/>
    </row>
    <row r="6506" spans="6:13" x14ac:dyDescent="0.25">
      <c r="F6506" t="s">
        <v>6853</v>
      </c>
      <c r="G6506">
        <v>86932</v>
      </c>
      <c r="H6506">
        <v>9181</v>
      </c>
      <c r="I6506" s="25" t="s">
        <v>2050</v>
      </c>
      <c r="J6506" t="s">
        <v>2505</v>
      </c>
      <c r="M6506" s="49"/>
    </row>
    <row r="6507" spans="6:13" x14ac:dyDescent="0.25">
      <c r="F6507" t="s">
        <v>6854</v>
      </c>
      <c r="G6507">
        <v>90617</v>
      </c>
      <c r="H6507">
        <v>9573</v>
      </c>
      <c r="I6507" s="25" t="s">
        <v>2050</v>
      </c>
      <c r="J6507" t="s">
        <v>2466</v>
      </c>
      <c r="M6507" s="49"/>
    </row>
    <row r="6508" spans="6:13" x14ac:dyDescent="0.25">
      <c r="F6508" t="s">
        <v>6855</v>
      </c>
      <c r="G6508">
        <v>18581</v>
      </c>
      <c r="H6508">
        <v>13073</v>
      </c>
      <c r="I6508" s="25" t="s">
        <v>2191</v>
      </c>
      <c r="J6508" t="s">
        <v>2192</v>
      </c>
      <c r="M6508" s="49"/>
    </row>
    <row r="6509" spans="6:13" x14ac:dyDescent="0.25">
      <c r="F6509" t="s">
        <v>6855</v>
      </c>
      <c r="G6509">
        <v>18581</v>
      </c>
      <c r="H6509">
        <v>13073</v>
      </c>
      <c r="I6509" s="25" t="s">
        <v>2191</v>
      </c>
      <c r="J6509" t="s">
        <v>2192</v>
      </c>
      <c r="M6509" s="49"/>
    </row>
    <row r="6510" spans="6:13" x14ac:dyDescent="0.25">
      <c r="F6510" t="s">
        <v>6856</v>
      </c>
      <c r="G6510">
        <v>66346</v>
      </c>
      <c r="H6510">
        <v>10041</v>
      </c>
      <c r="I6510" s="25" t="s">
        <v>2849</v>
      </c>
      <c r="J6510" t="s">
        <v>4138</v>
      </c>
      <c r="M6510" s="49"/>
    </row>
    <row r="6511" spans="6:13" x14ac:dyDescent="0.25">
      <c r="F6511" t="s">
        <v>6857</v>
      </c>
      <c r="G6511">
        <v>85640</v>
      </c>
      <c r="H6511">
        <v>9184</v>
      </c>
      <c r="I6511" s="25" t="s">
        <v>2050</v>
      </c>
      <c r="J6511" t="s">
        <v>2547</v>
      </c>
      <c r="M6511" s="49"/>
    </row>
    <row r="6512" spans="6:13" x14ac:dyDescent="0.25">
      <c r="F6512" t="s">
        <v>6858</v>
      </c>
      <c r="G6512">
        <v>90602</v>
      </c>
      <c r="H6512">
        <v>9373</v>
      </c>
      <c r="I6512" s="25" t="s">
        <v>2050</v>
      </c>
      <c r="J6512" t="s">
        <v>2891</v>
      </c>
      <c r="M6512" s="49"/>
    </row>
    <row r="6513" spans="6:13" x14ac:dyDescent="0.25">
      <c r="F6513" t="s">
        <v>6859</v>
      </c>
      <c r="G6513">
        <v>49610</v>
      </c>
      <c r="H6513">
        <v>3459</v>
      </c>
      <c r="I6513" s="25" t="s">
        <v>2074</v>
      </c>
      <c r="J6513" t="s">
        <v>2292</v>
      </c>
      <c r="M6513" s="49"/>
    </row>
    <row r="6514" spans="6:13" x14ac:dyDescent="0.25">
      <c r="F6514" t="s">
        <v>6860</v>
      </c>
      <c r="G6514">
        <v>6484</v>
      </c>
      <c r="H6514">
        <v>15085</v>
      </c>
      <c r="I6514" s="25" t="s">
        <v>2241</v>
      </c>
      <c r="J6514" t="s">
        <v>2178</v>
      </c>
      <c r="M6514" s="49"/>
    </row>
    <row r="6515" spans="6:13" x14ac:dyDescent="0.25">
      <c r="F6515" t="s">
        <v>6861</v>
      </c>
      <c r="G6515">
        <v>6485</v>
      </c>
      <c r="H6515">
        <v>15085</v>
      </c>
      <c r="I6515" s="25" t="s">
        <v>2241</v>
      </c>
      <c r="J6515" t="s">
        <v>2178</v>
      </c>
      <c r="M6515" s="49"/>
    </row>
    <row r="6516" spans="6:13" x14ac:dyDescent="0.25">
      <c r="F6516" t="s">
        <v>6862</v>
      </c>
      <c r="G6516">
        <v>6268</v>
      </c>
      <c r="H6516">
        <v>15088</v>
      </c>
      <c r="I6516" s="25" t="s">
        <v>2241</v>
      </c>
      <c r="J6516" t="s">
        <v>2344</v>
      </c>
      <c r="M6516" s="49"/>
    </row>
    <row r="6517" spans="6:13" x14ac:dyDescent="0.25">
      <c r="F6517" t="s">
        <v>6862</v>
      </c>
      <c r="G6517">
        <v>6268</v>
      </c>
      <c r="H6517">
        <v>15088</v>
      </c>
      <c r="I6517" s="25" t="s">
        <v>2241</v>
      </c>
      <c r="J6517" t="s">
        <v>2344</v>
      </c>
      <c r="M6517" s="49"/>
    </row>
    <row r="6518" spans="6:13" x14ac:dyDescent="0.25">
      <c r="F6518" t="s">
        <v>6862</v>
      </c>
      <c r="G6518">
        <v>6268</v>
      </c>
      <c r="H6518">
        <v>15088</v>
      </c>
      <c r="I6518" s="25" t="s">
        <v>2241</v>
      </c>
      <c r="J6518" t="s">
        <v>2344</v>
      </c>
      <c r="M6518" s="49"/>
    </row>
    <row r="6519" spans="6:13" x14ac:dyDescent="0.25">
      <c r="F6519" t="s">
        <v>6863</v>
      </c>
      <c r="G6519">
        <v>25451</v>
      </c>
      <c r="H6519">
        <v>1056</v>
      </c>
      <c r="I6519" s="25" t="s">
        <v>2085</v>
      </c>
      <c r="J6519" t="s">
        <v>2311</v>
      </c>
      <c r="M6519" s="49"/>
    </row>
    <row r="6520" spans="6:13" x14ac:dyDescent="0.25">
      <c r="F6520" t="s">
        <v>6864</v>
      </c>
      <c r="G6520">
        <v>66287</v>
      </c>
      <c r="H6520">
        <v>10041</v>
      </c>
      <c r="I6520" s="25" t="s">
        <v>2849</v>
      </c>
      <c r="J6520" t="s">
        <v>4138</v>
      </c>
      <c r="M6520" s="49"/>
    </row>
    <row r="6521" spans="6:13" x14ac:dyDescent="0.25">
      <c r="F6521" t="s">
        <v>6865</v>
      </c>
      <c r="G6521">
        <v>35466</v>
      </c>
      <c r="H6521">
        <v>6531</v>
      </c>
      <c r="I6521" s="25" t="s">
        <v>2046</v>
      </c>
      <c r="J6521" t="s">
        <v>2306</v>
      </c>
      <c r="M6521" s="49"/>
    </row>
    <row r="6522" spans="6:13" x14ac:dyDescent="0.25">
      <c r="F6522" t="s">
        <v>6865</v>
      </c>
      <c r="G6522">
        <v>1734</v>
      </c>
      <c r="H6522">
        <v>14628</v>
      </c>
      <c r="I6522" s="25" t="s">
        <v>2135</v>
      </c>
      <c r="J6522" t="s">
        <v>2347</v>
      </c>
      <c r="M6522" s="49"/>
    </row>
    <row r="6523" spans="6:13" x14ac:dyDescent="0.25">
      <c r="F6523" t="s">
        <v>6866</v>
      </c>
      <c r="G6523">
        <v>24407</v>
      </c>
      <c r="H6523">
        <v>1059</v>
      </c>
      <c r="I6523" s="25" t="s">
        <v>2085</v>
      </c>
      <c r="J6523" t="s">
        <v>2354</v>
      </c>
      <c r="M6523" s="49"/>
    </row>
    <row r="6524" spans="6:13" x14ac:dyDescent="0.25">
      <c r="F6524" t="s">
        <v>6866</v>
      </c>
      <c r="G6524">
        <v>24407</v>
      </c>
      <c r="H6524">
        <v>1059</v>
      </c>
      <c r="I6524" s="25" t="s">
        <v>2085</v>
      </c>
      <c r="J6524" t="s">
        <v>2354</v>
      </c>
      <c r="M6524" s="49"/>
    </row>
    <row r="6525" spans="6:13" x14ac:dyDescent="0.25">
      <c r="F6525" t="s">
        <v>6867</v>
      </c>
      <c r="G6525">
        <v>38375</v>
      </c>
      <c r="H6525">
        <v>3154</v>
      </c>
      <c r="I6525" s="25" t="s">
        <v>2074</v>
      </c>
      <c r="J6525" t="s">
        <v>2186</v>
      </c>
      <c r="M6525" s="49"/>
    </row>
    <row r="6526" spans="6:13" x14ac:dyDescent="0.25">
      <c r="F6526" t="s">
        <v>6868</v>
      </c>
      <c r="G6526">
        <v>4519</v>
      </c>
      <c r="H6526">
        <v>14730</v>
      </c>
      <c r="I6526" s="25" t="s">
        <v>2135</v>
      </c>
      <c r="J6526" t="s">
        <v>2083</v>
      </c>
      <c r="M6526" s="49"/>
    </row>
    <row r="6527" spans="6:13" x14ac:dyDescent="0.25">
      <c r="F6527" t="s">
        <v>6869</v>
      </c>
      <c r="G6527">
        <v>21449</v>
      </c>
      <c r="H6527">
        <v>3355</v>
      </c>
      <c r="I6527" s="25" t="s">
        <v>2074</v>
      </c>
      <c r="J6527" t="s">
        <v>2129</v>
      </c>
      <c r="M6527" s="49"/>
    </row>
    <row r="6528" spans="6:13" x14ac:dyDescent="0.25">
      <c r="F6528" t="s">
        <v>6870</v>
      </c>
      <c r="G6528">
        <v>31604</v>
      </c>
      <c r="H6528">
        <v>3256</v>
      </c>
      <c r="I6528" s="25" t="s">
        <v>2074</v>
      </c>
      <c r="J6528" t="s">
        <v>2271</v>
      </c>
      <c r="M6528" s="49"/>
    </row>
    <row r="6529" spans="6:13" x14ac:dyDescent="0.25">
      <c r="F6529" t="s">
        <v>6871</v>
      </c>
      <c r="G6529">
        <v>1454</v>
      </c>
      <c r="H6529">
        <v>14625</v>
      </c>
      <c r="I6529" s="25" t="s">
        <v>2135</v>
      </c>
      <c r="J6529" t="s">
        <v>2041</v>
      </c>
      <c r="M6529" s="49"/>
    </row>
    <row r="6530" spans="6:13" x14ac:dyDescent="0.25">
      <c r="F6530" t="s">
        <v>6872</v>
      </c>
      <c r="G6530">
        <v>1445</v>
      </c>
      <c r="H6530">
        <v>14627</v>
      </c>
      <c r="I6530" s="25" t="s">
        <v>2135</v>
      </c>
      <c r="J6530" t="s">
        <v>2251</v>
      </c>
      <c r="M6530" s="49"/>
    </row>
    <row r="6531" spans="6:13" x14ac:dyDescent="0.25">
      <c r="F6531" t="s">
        <v>6873</v>
      </c>
      <c r="G6531">
        <v>1471</v>
      </c>
      <c r="H6531">
        <v>14627</v>
      </c>
      <c r="I6531" s="25" t="s">
        <v>2135</v>
      </c>
      <c r="J6531" t="s">
        <v>2251</v>
      </c>
      <c r="M6531" s="49"/>
    </row>
    <row r="6532" spans="6:13" x14ac:dyDescent="0.25">
      <c r="F6532" t="s">
        <v>6874</v>
      </c>
      <c r="G6532">
        <v>42477</v>
      </c>
      <c r="H6532">
        <v>5374</v>
      </c>
      <c r="I6532" s="25" t="s">
        <v>2023</v>
      </c>
      <c r="J6532" t="s">
        <v>2281</v>
      </c>
      <c r="M6532" s="49"/>
    </row>
    <row r="6533" spans="6:13" x14ac:dyDescent="0.25">
      <c r="F6533" t="s">
        <v>6875</v>
      </c>
      <c r="G6533">
        <v>78315</v>
      </c>
      <c r="H6533">
        <v>8335</v>
      </c>
      <c r="I6533" s="25" t="s">
        <v>2018</v>
      </c>
      <c r="J6533" t="s">
        <v>2019</v>
      </c>
      <c r="M6533" s="49"/>
    </row>
    <row r="6534" spans="6:13" x14ac:dyDescent="0.25">
      <c r="F6534" t="s">
        <v>6876</v>
      </c>
      <c r="G6534">
        <v>46348</v>
      </c>
      <c r="H6534">
        <v>5554</v>
      </c>
      <c r="I6534" s="25" t="s">
        <v>2023</v>
      </c>
      <c r="J6534" t="s">
        <v>2055</v>
      </c>
      <c r="M6534" s="49"/>
    </row>
    <row r="6535" spans="6:13" x14ac:dyDescent="0.25">
      <c r="F6535" t="s">
        <v>6877</v>
      </c>
      <c r="G6535">
        <v>6800</v>
      </c>
      <c r="H6535">
        <v>15082</v>
      </c>
      <c r="I6535" s="25" t="s">
        <v>2241</v>
      </c>
      <c r="J6535" t="s">
        <v>2242</v>
      </c>
      <c r="M6535" s="49"/>
    </row>
    <row r="6536" spans="6:13" x14ac:dyDescent="0.25">
      <c r="F6536" t="s">
        <v>6877</v>
      </c>
      <c r="G6536">
        <v>6779</v>
      </c>
      <c r="H6536">
        <v>15082</v>
      </c>
      <c r="I6536" s="25" t="s">
        <v>2241</v>
      </c>
      <c r="J6536" t="s">
        <v>2242</v>
      </c>
      <c r="M6536" s="49"/>
    </row>
    <row r="6537" spans="6:13" x14ac:dyDescent="0.25">
      <c r="F6537" t="s">
        <v>6878</v>
      </c>
      <c r="G6537">
        <v>32369</v>
      </c>
      <c r="H6537">
        <v>5770</v>
      </c>
      <c r="I6537" s="25" t="s">
        <v>2023</v>
      </c>
      <c r="J6537" t="s">
        <v>2257</v>
      </c>
      <c r="M6537" s="49"/>
    </row>
    <row r="6538" spans="6:13" x14ac:dyDescent="0.25">
      <c r="F6538" t="s">
        <v>6879</v>
      </c>
      <c r="G6538">
        <v>94369</v>
      </c>
      <c r="H6538">
        <v>9278</v>
      </c>
      <c r="I6538" s="25" t="s">
        <v>2050</v>
      </c>
      <c r="J6538" t="s">
        <v>2170</v>
      </c>
      <c r="M6538" s="49"/>
    </row>
    <row r="6539" spans="6:13" x14ac:dyDescent="0.25">
      <c r="F6539" t="s">
        <v>6879</v>
      </c>
      <c r="G6539">
        <v>86641</v>
      </c>
      <c r="H6539">
        <v>9779</v>
      </c>
      <c r="I6539" s="25" t="s">
        <v>2050</v>
      </c>
      <c r="J6539" t="s">
        <v>2280</v>
      </c>
      <c r="M6539" s="49"/>
    </row>
    <row r="6540" spans="6:13" x14ac:dyDescent="0.25">
      <c r="F6540" t="s">
        <v>6880</v>
      </c>
      <c r="G6540">
        <v>73492</v>
      </c>
      <c r="H6540">
        <v>8136</v>
      </c>
      <c r="I6540" s="25" t="s">
        <v>2018</v>
      </c>
      <c r="J6540" t="s">
        <v>2039</v>
      </c>
      <c r="M6540" s="49"/>
    </row>
    <row r="6541" spans="6:13" x14ac:dyDescent="0.25">
      <c r="F6541" t="s">
        <v>6881</v>
      </c>
      <c r="G6541">
        <v>82399</v>
      </c>
      <c r="H6541">
        <v>9190</v>
      </c>
      <c r="I6541" s="25" t="s">
        <v>2050</v>
      </c>
      <c r="J6541" t="s">
        <v>2417</v>
      </c>
      <c r="M6541" s="49"/>
    </row>
    <row r="6542" spans="6:13" x14ac:dyDescent="0.25">
      <c r="F6542" t="s">
        <v>6882</v>
      </c>
      <c r="G6542">
        <v>18516</v>
      </c>
      <c r="H6542">
        <v>13073</v>
      </c>
      <c r="I6542" s="25" t="s">
        <v>2191</v>
      </c>
      <c r="J6542" t="s">
        <v>2192</v>
      </c>
      <c r="M6542" s="49"/>
    </row>
    <row r="6543" spans="6:13" x14ac:dyDescent="0.25">
      <c r="F6543" t="s">
        <v>6883</v>
      </c>
      <c r="G6543">
        <v>54310</v>
      </c>
      <c r="H6543">
        <v>7232</v>
      </c>
      <c r="I6543" s="25" t="s">
        <v>2123</v>
      </c>
      <c r="J6543" t="s">
        <v>2112</v>
      </c>
      <c r="M6543" s="49"/>
    </row>
    <row r="6544" spans="6:13" x14ac:dyDescent="0.25">
      <c r="F6544" t="s">
        <v>6883</v>
      </c>
      <c r="G6544">
        <v>54310</v>
      </c>
      <c r="H6544">
        <v>7235</v>
      </c>
      <c r="I6544" s="25" t="s">
        <v>2123</v>
      </c>
      <c r="J6544" t="s">
        <v>2395</v>
      </c>
      <c r="M6544" s="49"/>
    </row>
    <row r="6545" spans="6:13" x14ac:dyDescent="0.25">
      <c r="F6545" t="s">
        <v>6884</v>
      </c>
      <c r="G6545">
        <v>83561</v>
      </c>
      <c r="H6545">
        <v>9187</v>
      </c>
      <c r="I6545" s="25" t="s">
        <v>2050</v>
      </c>
      <c r="J6545" t="s">
        <v>2245</v>
      </c>
      <c r="M6545" s="49"/>
    </row>
    <row r="6546" spans="6:13" x14ac:dyDescent="0.25">
      <c r="F6546" t="s">
        <v>6885</v>
      </c>
      <c r="G6546">
        <v>66887</v>
      </c>
      <c r="H6546">
        <v>7336</v>
      </c>
      <c r="I6546" s="25" t="s">
        <v>2123</v>
      </c>
      <c r="J6546" t="s">
        <v>2216</v>
      </c>
      <c r="M6546" s="49"/>
    </row>
    <row r="6547" spans="6:13" x14ac:dyDescent="0.25">
      <c r="F6547" t="s">
        <v>6885</v>
      </c>
      <c r="G6547">
        <v>66887</v>
      </c>
      <c r="H6547">
        <v>7336</v>
      </c>
      <c r="I6547" s="25" t="s">
        <v>2123</v>
      </c>
      <c r="J6547" t="s">
        <v>2216</v>
      </c>
      <c r="M6547" s="49"/>
    </row>
    <row r="6548" spans="6:13" x14ac:dyDescent="0.25">
      <c r="F6548" t="s">
        <v>6886</v>
      </c>
      <c r="G6548">
        <v>89192</v>
      </c>
      <c r="H6548">
        <v>8425</v>
      </c>
      <c r="I6548" s="25" t="s">
        <v>2018</v>
      </c>
      <c r="J6548" t="s">
        <v>2027</v>
      </c>
      <c r="M6548" s="49"/>
    </row>
    <row r="6549" spans="6:13" x14ac:dyDescent="0.25">
      <c r="F6549" t="s">
        <v>6886</v>
      </c>
      <c r="G6549">
        <v>86871</v>
      </c>
      <c r="H6549">
        <v>9778</v>
      </c>
      <c r="I6549" s="25" t="s">
        <v>2050</v>
      </c>
      <c r="J6549" t="s">
        <v>2460</v>
      </c>
      <c r="M6549" s="49"/>
    </row>
    <row r="6550" spans="6:13" x14ac:dyDescent="0.25">
      <c r="F6550" t="s">
        <v>6887</v>
      </c>
      <c r="G6550">
        <v>83486</v>
      </c>
      <c r="H6550">
        <v>9172</v>
      </c>
      <c r="I6550" s="25" t="s">
        <v>2050</v>
      </c>
      <c r="J6550" t="s">
        <v>2042</v>
      </c>
      <c r="M6550" s="49"/>
    </row>
    <row r="6551" spans="6:13" x14ac:dyDescent="0.25">
      <c r="F6551" t="s">
        <v>6888</v>
      </c>
      <c r="G6551">
        <v>67305</v>
      </c>
      <c r="H6551">
        <v>7333</v>
      </c>
      <c r="I6551" s="25" t="s">
        <v>2123</v>
      </c>
      <c r="J6551" t="s">
        <v>2103</v>
      </c>
      <c r="M6551" s="49"/>
    </row>
    <row r="6552" spans="6:13" x14ac:dyDescent="0.25">
      <c r="F6552" t="s">
        <v>6889</v>
      </c>
      <c r="G6552">
        <v>66877</v>
      </c>
      <c r="H6552">
        <v>7335</v>
      </c>
      <c r="I6552" s="25" t="s">
        <v>2123</v>
      </c>
      <c r="J6552" t="s">
        <v>2843</v>
      </c>
      <c r="M6552" s="49"/>
    </row>
    <row r="6553" spans="6:13" x14ac:dyDescent="0.25">
      <c r="F6553" t="s">
        <v>6890</v>
      </c>
      <c r="G6553">
        <v>97729</v>
      </c>
      <c r="H6553">
        <v>9672</v>
      </c>
      <c r="I6553" s="25" t="s">
        <v>2050</v>
      </c>
      <c r="J6553" t="s">
        <v>2620</v>
      </c>
      <c r="M6553" s="49"/>
    </row>
    <row r="6554" spans="6:13" x14ac:dyDescent="0.25">
      <c r="F6554" t="s">
        <v>6891</v>
      </c>
      <c r="G6554">
        <v>97236</v>
      </c>
      <c r="H6554">
        <v>9679</v>
      </c>
      <c r="I6554" s="25" t="s">
        <v>2050</v>
      </c>
      <c r="J6554" t="s">
        <v>2428</v>
      </c>
      <c r="M6554" s="49"/>
    </row>
    <row r="6555" spans="6:13" x14ac:dyDescent="0.25">
      <c r="F6555" t="s">
        <v>6892</v>
      </c>
      <c r="G6555">
        <v>72414</v>
      </c>
      <c r="H6555">
        <v>8417</v>
      </c>
      <c r="I6555" s="25" t="s">
        <v>2018</v>
      </c>
      <c r="J6555" t="s">
        <v>2269</v>
      </c>
      <c r="M6555" s="49"/>
    </row>
    <row r="6556" spans="6:13" x14ac:dyDescent="0.25">
      <c r="F6556" t="s">
        <v>6893</v>
      </c>
      <c r="G6556">
        <v>15834</v>
      </c>
      <c r="H6556">
        <v>12072</v>
      </c>
      <c r="I6556" s="25" t="s">
        <v>2356</v>
      </c>
      <c r="J6556" t="s">
        <v>2456</v>
      </c>
      <c r="M6556" s="49"/>
    </row>
    <row r="6557" spans="6:13" x14ac:dyDescent="0.25">
      <c r="F6557" t="s">
        <v>6894</v>
      </c>
      <c r="G6557">
        <v>7389</v>
      </c>
      <c r="H6557">
        <v>16075</v>
      </c>
      <c r="I6557" s="25" t="s">
        <v>2384</v>
      </c>
      <c r="J6557" t="s">
        <v>4221</v>
      </c>
      <c r="M6557" s="49"/>
    </row>
    <row r="6558" spans="6:13" x14ac:dyDescent="0.25">
      <c r="F6558" t="s">
        <v>6894</v>
      </c>
      <c r="G6558">
        <v>7389</v>
      </c>
      <c r="H6558">
        <v>16075</v>
      </c>
      <c r="I6558" s="25" t="s">
        <v>2384</v>
      </c>
      <c r="J6558" t="s">
        <v>4221</v>
      </c>
      <c r="M6558" s="49"/>
    </row>
    <row r="6559" spans="6:13" x14ac:dyDescent="0.25">
      <c r="F6559" t="s">
        <v>6895</v>
      </c>
      <c r="G6559">
        <v>97517</v>
      </c>
      <c r="H6559">
        <v>9672</v>
      </c>
      <c r="I6559" s="25" t="s">
        <v>2050</v>
      </c>
      <c r="J6559" t="s">
        <v>2620</v>
      </c>
      <c r="M6559" s="49"/>
    </row>
    <row r="6560" spans="6:13" x14ac:dyDescent="0.25">
      <c r="F6560" t="s">
        <v>6896</v>
      </c>
      <c r="G6560">
        <v>56235</v>
      </c>
      <c r="H6560">
        <v>7143</v>
      </c>
      <c r="I6560" s="25" t="s">
        <v>2123</v>
      </c>
      <c r="J6560" t="s">
        <v>2331</v>
      </c>
      <c r="M6560" s="49"/>
    </row>
    <row r="6561" spans="6:13" x14ac:dyDescent="0.25">
      <c r="F6561" t="s">
        <v>6897</v>
      </c>
      <c r="G6561">
        <v>63691</v>
      </c>
      <c r="H6561">
        <v>6440</v>
      </c>
      <c r="I6561" s="25" t="s">
        <v>2046</v>
      </c>
      <c r="J6561" t="s">
        <v>2415</v>
      </c>
      <c r="M6561" s="49"/>
    </row>
    <row r="6562" spans="6:13" x14ac:dyDescent="0.25">
      <c r="F6562" t="s">
        <v>6898</v>
      </c>
      <c r="G6562">
        <v>25873</v>
      </c>
      <c r="H6562">
        <v>1054</v>
      </c>
      <c r="I6562" s="25" t="s">
        <v>2085</v>
      </c>
      <c r="J6562" t="s">
        <v>2195</v>
      </c>
      <c r="M6562" s="49"/>
    </row>
    <row r="6563" spans="6:13" x14ac:dyDescent="0.25">
      <c r="F6563" t="s">
        <v>6899</v>
      </c>
      <c r="G6563">
        <v>8352</v>
      </c>
      <c r="H6563">
        <v>14521</v>
      </c>
      <c r="I6563" s="25" t="s">
        <v>2135</v>
      </c>
      <c r="J6563" t="s">
        <v>2032</v>
      </c>
      <c r="M6563" s="49"/>
    </row>
    <row r="6564" spans="6:13" x14ac:dyDescent="0.25">
      <c r="F6564" t="s">
        <v>6900</v>
      </c>
      <c r="G6564">
        <v>36169</v>
      </c>
      <c r="H6564">
        <v>6631</v>
      </c>
      <c r="I6564" s="25" t="s">
        <v>2046</v>
      </c>
      <c r="J6564" t="s">
        <v>2145</v>
      </c>
      <c r="M6564" s="49"/>
    </row>
    <row r="6565" spans="6:13" x14ac:dyDescent="0.25">
      <c r="F6565" t="s">
        <v>2564</v>
      </c>
      <c r="G6565">
        <v>76437</v>
      </c>
      <c r="H6565">
        <v>8216</v>
      </c>
      <c r="I6565" s="25" t="s">
        <v>2018</v>
      </c>
      <c r="J6565" t="s">
        <v>2564</v>
      </c>
      <c r="M6565" s="49"/>
    </row>
    <row r="6566" spans="6:13" x14ac:dyDescent="0.25">
      <c r="F6566" t="s">
        <v>6901</v>
      </c>
      <c r="G6566">
        <v>26180</v>
      </c>
      <c r="H6566">
        <v>3451</v>
      </c>
      <c r="I6566" s="25" t="s">
        <v>2074</v>
      </c>
      <c r="J6566" t="s">
        <v>2030</v>
      </c>
      <c r="M6566" s="49"/>
    </row>
    <row r="6567" spans="6:13" x14ac:dyDescent="0.25">
      <c r="F6567" t="s">
        <v>6902</v>
      </c>
      <c r="G6567">
        <v>99636</v>
      </c>
      <c r="H6567">
        <v>16068</v>
      </c>
      <c r="I6567" s="25" t="s">
        <v>2384</v>
      </c>
      <c r="J6567" t="s">
        <v>3075</v>
      </c>
      <c r="M6567" s="49"/>
    </row>
    <row r="6568" spans="6:13" x14ac:dyDescent="0.25">
      <c r="F6568" t="s">
        <v>6903</v>
      </c>
      <c r="G6568">
        <v>19077</v>
      </c>
      <c r="H6568">
        <v>13076</v>
      </c>
      <c r="I6568" s="25" t="s">
        <v>2191</v>
      </c>
      <c r="J6568" t="s">
        <v>2234</v>
      </c>
      <c r="M6568" s="49"/>
    </row>
    <row r="6569" spans="6:13" x14ac:dyDescent="0.25">
      <c r="F6569" t="s">
        <v>6904</v>
      </c>
      <c r="G6569">
        <v>23626</v>
      </c>
      <c r="H6569">
        <v>1055</v>
      </c>
      <c r="I6569" s="25" t="s">
        <v>2085</v>
      </c>
      <c r="J6569" t="s">
        <v>2185</v>
      </c>
      <c r="M6569" s="49"/>
    </row>
    <row r="6570" spans="6:13" x14ac:dyDescent="0.25">
      <c r="F6570" t="s">
        <v>6905</v>
      </c>
      <c r="G6570">
        <v>14712</v>
      </c>
      <c r="H6570">
        <v>12063</v>
      </c>
      <c r="I6570" s="25" t="s">
        <v>2356</v>
      </c>
      <c r="J6570" t="s">
        <v>2181</v>
      </c>
      <c r="M6570" s="49"/>
    </row>
    <row r="6571" spans="6:13" x14ac:dyDescent="0.25">
      <c r="F6571" t="s">
        <v>6906</v>
      </c>
      <c r="G6571">
        <v>40882</v>
      </c>
      <c r="H6571">
        <v>5158</v>
      </c>
      <c r="I6571" s="25" t="s">
        <v>2023</v>
      </c>
      <c r="J6571" t="s">
        <v>2252</v>
      </c>
      <c r="M6571" s="49"/>
    </row>
    <row r="6572" spans="6:13" x14ac:dyDescent="0.25">
      <c r="F6572" t="s">
        <v>6906</v>
      </c>
      <c r="G6572">
        <v>40880</v>
      </c>
      <c r="H6572">
        <v>5158</v>
      </c>
      <c r="I6572" s="25" t="s">
        <v>2023</v>
      </c>
      <c r="J6572" t="s">
        <v>2252</v>
      </c>
      <c r="M6572" s="49"/>
    </row>
    <row r="6573" spans="6:13" x14ac:dyDescent="0.25">
      <c r="F6573" t="s">
        <v>6906</v>
      </c>
      <c r="G6573">
        <v>40883</v>
      </c>
      <c r="H6573">
        <v>5158</v>
      </c>
      <c r="I6573" s="25" t="s">
        <v>2023</v>
      </c>
      <c r="J6573" t="s">
        <v>2252</v>
      </c>
      <c r="M6573" s="49"/>
    </row>
    <row r="6574" spans="6:13" x14ac:dyDescent="0.25">
      <c r="F6574" t="s">
        <v>6906</v>
      </c>
      <c r="G6574">
        <v>40885</v>
      </c>
      <c r="H6574">
        <v>5158</v>
      </c>
      <c r="I6574" s="25" t="s">
        <v>2023</v>
      </c>
      <c r="J6574" t="s">
        <v>2252</v>
      </c>
      <c r="M6574" s="49"/>
    </row>
    <row r="6575" spans="6:13" x14ac:dyDescent="0.25">
      <c r="F6575" t="s">
        <v>6906</v>
      </c>
      <c r="G6575">
        <v>40878</v>
      </c>
      <c r="H6575">
        <v>5158</v>
      </c>
      <c r="I6575" s="25" t="s">
        <v>2023</v>
      </c>
      <c r="J6575" t="s">
        <v>2252</v>
      </c>
      <c r="M6575" s="49"/>
    </row>
    <row r="6576" spans="6:13" x14ac:dyDescent="0.25">
      <c r="F6576" t="s">
        <v>6907</v>
      </c>
      <c r="G6576">
        <v>72365</v>
      </c>
      <c r="H6576">
        <v>8417</v>
      </c>
      <c r="I6576" s="25" t="s">
        <v>2018</v>
      </c>
      <c r="J6576" t="s">
        <v>2269</v>
      </c>
      <c r="M6576" s="49"/>
    </row>
    <row r="6577" spans="6:13" x14ac:dyDescent="0.25">
      <c r="F6577" t="s">
        <v>6908</v>
      </c>
      <c r="G6577">
        <v>96179</v>
      </c>
      <c r="H6577">
        <v>9471</v>
      </c>
      <c r="I6577" s="25" t="s">
        <v>2050</v>
      </c>
      <c r="J6577" t="s">
        <v>2392</v>
      </c>
      <c r="M6577" s="49"/>
    </row>
    <row r="6578" spans="6:13" x14ac:dyDescent="0.25">
      <c r="F6578" t="s">
        <v>6909</v>
      </c>
      <c r="G6578">
        <v>94371</v>
      </c>
      <c r="H6578">
        <v>9278</v>
      </c>
      <c r="I6578" s="25" t="s">
        <v>2050</v>
      </c>
      <c r="J6578" t="s">
        <v>2170</v>
      </c>
      <c r="M6578" s="49"/>
    </row>
    <row r="6579" spans="6:13" x14ac:dyDescent="0.25">
      <c r="F6579" t="s">
        <v>6910</v>
      </c>
      <c r="G6579">
        <v>94372</v>
      </c>
      <c r="H6579">
        <v>9278</v>
      </c>
      <c r="I6579" s="25" t="s">
        <v>2050</v>
      </c>
      <c r="J6579" t="s">
        <v>2170</v>
      </c>
      <c r="M6579" s="49"/>
    </row>
    <row r="6580" spans="6:13" x14ac:dyDescent="0.25">
      <c r="F6580" t="s">
        <v>6911</v>
      </c>
      <c r="G6580">
        <v>23909</v>
      </c>
      <c r="H6580">
        <v>1053</v>
      </c>
      <c r="I6580" s="25" t="s">
        <v>2085</v>
      </c>
      <c r="J6580" t="s">
        <v>2193</v>
      </c>
      <c r="M6580" s="49"/>
    </row>
    <row r="6581" spans="6:13" x14ac:dyDescent="0.25">
      <c r="F6581" t="s">
        <v>6912</v>
      </c>
      <c r="G6581">
        <v>29590</v>
      </c>
      <c r="H6581">
        <v>3360</v>
      </c>
      <c r="I6581" s="25" t="s">
        <v>2074</v>
      </c>
      <c r="J6581" t="s">
        <v>2400</v>
      </c>
      <c r="M6581" s="49"/>
    </row>
    <row r="6582" spans="6:13" x14ac:dyDescent="0.25">
      <c r="F6582" t="s">
        <v>6913</v>
      </c>
      <c r="G6582">
        <v>39359</v>
      </c>
      <c r="H6582">
        <v>15083</v>
      </c>
      <c r="I6582" s="25" t="s">
        <v>2241</v>
      </c>
      <c r="J6582" t="s">
        <v>2052</v>
      </c>
      <c r="M6582" s="49"/>
    </row>
    <row r="6583" spans="6:13" x14ac:dyDescent="0.25">
      <c r="F6583" t="s">
        <v>6914</v>
      </c>
      <c r="G6583">
        <v>56316</v>
      </c>
      <c r="H6583">
        <v>7138</v>
      </c>
      <c r="I6583" s="25" t="s">
        <v>2123</v>
      </c>
      <c r="J6583" t="s">
        <v>2489</v>
      </c>
      <c r="M6583" s="49"/>
    </row>
    <row r="6584" spans="6:13" x14ac:dyDescent="0.25">
      <c r="F6584" t="s">
        <v>6915</v>
      </c>
      <c r="G6584">
        <v>83064</v>
      </c>
      <c r="H6584">
        <v>9187</v>
      </c>
      <c r="I6584" s="25" t="s">
        <v>2050</v>
      </c>
      <c r="J6584" t="s">
        <v>2245</v>
      </c>
      <c r="M6584" s="49"/>
    </row>
    <row r="6585" spans="6:13" x14ac:dyDescent="0.25">
      <c r="F6585" t="s">
        <v>6916</v>
      </c>
      <c r="G6585">
        <v>69231</v>
      </c>
      <c r="H6585">
        <v>8226</v>
      </c>
      <c r="I6585" s="25" t="s">
        <v>2018</v>
      </c>
      <c r="J6585" t="s">
        <v>2442</v>
      </c>
      <c r="M6585" s="49"/>
    </row>
    <row r="6586" spans="6:13" x14ac:dyDescent="0.25">
      <c r="F6586" t="s">
        <v>6917</v>
      </c>
      <c r="G6586">
        <v>96181</v>
      </c>
      <c r="H6586">
        <v>9674</v>
      </c>
      <c r="I6586" s="25" t="s">
        <v>2050</v>
      </c>
      <c r="J6586" t="s">
        <v>2218</v>
      </c>
      <c r="M6586" s="49"/>
    </row>
    <row r="6587" spans="6:13" x14ac:dyDescent="0.25">
      <c r="F6587" t="s">
        <v>6918</v>
      </c>
      <c r="G6587">
        <v>65479</v>
      </c>
      <c r="H6587">
        <v>6433</v>
      </c>
      <c r="I6587" s="25" t="s">
        <v>2046</v>
      </c>
      <c r="J6587" t="s">
        <v>3061</v>
      </c>
      <c r="M6587" s="49"/>
    </row>
    <row r="6588" spans="6:13" x14ac:dyDescent="0.25">
      <c r="F6588" t="s">
        <v>6919</v>
      </c>
      <c r="G6588">
        <v>35282</v>
      </c>
      <c r="H6588">
        <v>6534</v>
      </c>
      <c r="I6588" s="25" t="s">
        <v>2046</v>
      </c>
      <c r="J6588" t="s">
        <v>2471</v>
      </c>
      <c r="M6588" s="49"/>
    </row>
    <row r="6589" spans="6:13" x14ac:dyDescent="0.25">
      <c r="F6589" t="s">
        <v>2068</v>
      </c>
      <c r="G6589">
        <v>88213</v>
      </c>
      <c r="H6589">
        <v>8436</v>
      </c>
      <c r="I6589" s="25" t="s">
        <v>2018</v>
      </c>
      <c r="J6589" t="s">
        <v>2068</v>
      </c>
      <c r="M6589" s="49"/>
    </row>
    <row r="6590" spans="6:13" x14ac:dyDescent="0.25">
      <c r="F6590" t="s">
        <v>2068</v>
      </c>
      <c r="G6590">
        <v>88213</v>
      </c>
      <c r="H6590">
        <v>8436</v>
      </c>
      <c r="I6590" s="25" t="s">
        <v>2018</v>
      </c>
      <c r="J6590" t="s">
        <v>2068</v>
      </c>
      <c r="M6590" s="49"/>
    </row>
    <row r="6591" spans="6:13" x14ac:dyDescent="0.25">
      <c r="F6591" t="s">
        <v>2068</v>
      </c>
      <c r="G6591">
        <v>88214</v>
      </c>
      <c r="H6591">
        <v>8436</v>
      </c>
      <c r="I6591" s="25" t="s">
        <v>2018</v>
      </c>
      <c r="J6591" t="s">
        <v>2068</v>
      </c>
      <c r="M6591" s="49"/>
    </row>
    <row r="6592" spans="6:13" x14ac:dyDescent="0.25">
      <c r="F6592" t="s">
        <v>2068</v>
      </c>
      <c r="G6592">
        <v>88212</v>
      </c>
      <c r="H6592">
        <v>8436</v>
      </c>
      <c r="I6592" s="25" t="s">
        <v>2018</v>
      </c>
      <c r="J6592" t="s">
        <v>2068</v>
      </c>
      <c r="M6592" s="49"/>
    </row>
    <row r="6593" spans="6:13" x14ac:dyDescent="0.25">
      <c r="F6593" t="s">
        <v>6920</v>
      </c>
      <c r="G6593">
        <v>74747</v>
      </c>
      <c r="H6593">
        <v>8225</v>
      </c>
      <c r="I6593" s="25" t="s">
        <v>2018</v>
      </c>
      <c r="J6593" t="s">
        <v>2108</v>
      </c>
      <c r="M6593" s="49"/>
    </row>
    <row r="6594" spans="6:13" x14ac:dyDescent="0.25">
      <c r="F6594" t="s">
        <v>6921</v>
      </c>
      <c r="G6594">
        <v>73098</v>
      </c>
      <c r="H6594">
        <v>8117</v>
      </c>
      <c r="I6594" s="25" t="s">
        <v>2018</v>
      </c>
      <c r="J6594" t="s">
        <v>2089</v>
      </c>
      <c r="M6594" s="49"/>
    </row>
    <row r="6595" spans="6:13" x14ac:dyDescent="0.25">
      <c r="F6595" t="s">
        <v>6922</v>
      </c>
      <c r="G6595">
        <v>17248</v>
      </c>
      <c r="H6595">
        <v>13071</v>
      </c>
      <c r="I6595" s="25" t="s">
        <v>2191</v>
      </c>
      <c r="J6595" t="s">
        <v>2091</v>
      </c>
      <c r="M6595" s="49"/>
    </row>
    <row r="6596" spans="6:13" x14ac:dyDescent="0.25">
      <c r="F6596" t="s">
        <v>6923</v>
      </c>
      <c r="G6596">
        <v>97848</v>
      </c>
      <c r="H6596">
        <v>9677</v>
      </c>
      <c r="I6596" s="25" t="s">
        <v>2050</v>
      </c>
      <c r="J6596" t="s">
        <v>2527</v>
      </c>
      <c r="M6596" s="49"/>
    </row>
    <row r="6597" spans="6:13" x14ac:dyDescent="0.25">
      <c r="F6597" t="s">
        <v>6924</v>
      </c>
      <c r="G6597">
        <v>83562</v>
      </c>
      <c r="H6597">
        <v>9183</v>
      </c>
      <c r="I6597" s="25" t="s">
        <v>2050</v>
      </c>
      <c r="J6597" t="s">
        <v>2474</v>
      </c>
      <c r="M6597" s="49"/>
    </row>
    <row r="6598" spans="6:13" x14ac:dyDescent="0.25">
      <c r="F6598" t="s">
        <v>6925</v>
      </c>
      <c r="G6598">
        <v>49509</v>
      </c>
      <c r="H6598">
        <v>5566</v>
      </c>
      <c r="I6598" s="25" t="s">
        <v>2023</v>
      </c>
      <c r="J6598" t="s">
        <v>2379</v>
      </c>
      <c r="M6598" s="49"/>
    </row>
    <row r="6599" spans="6:13" x14ac:dyDescent="0.25">
      <c r="F6599" t="s">
        <v>6926</v>
      </c>
      <c r="G6599">
        <v>96182</v>
      </c>
      <c r="H6599">
        <v>9471</v>
      </c>
      <c r="I6599" s="25" t="s">
        <v>2050</v>
      </c>
      <c r="J6599" t="s">
        <v>2392</v>
      </c>
      <c r="M6599" s="49"/>
    </row>
    <row r="6600" spans="6:13" x14ac:dyDescent="0.25">
      <c r="F6600" t="s">
        <v>2318</v>
      </c>
      <c r="G6600">
        <v>45663</v>
      </c>
      <c r="H6600">
        <v>5562</v>
      </c>
      <c r="I6600" s="25" t="s">
        <v>2023</v>
      </c>
      <c r="J6600" t="s">
        <v>2318</v>
      </c>
      <c r="M6600" s="49"/>
    </row>
    <row r="6601" spans="6:13" x14ac:dyDescent="0.25">
      <c r="F6601" t="s">
        <v>2318</v>
      </c>
      <c r="G6601">
        <v>45661</v>
      </c>
      <c r="H6601">
        <v>5562</v>
      </c>
      <c r="I6601" s="25" t="s">
        <v>2023</v>
      </c>
      <c r="J6601" t="s">
        <v>2318</v>
      </c>
      <c r="M6601" s="49"/>
    </row>
    <row r="6602" spans="6:13" x14ac:dyDescent="0.25">
      <c r="F6602" t="s">
        <v>2318</v>
      </c>
      <c r="G6602">
        <v>45657</v>
      </c>
      <c r="H6602">
        <v>5562</v>
      </c>
      <c r="I6602" s="25" t="s">
        <v>2023</v>
      </c>
      <c r="J6602" t="s">
        <v>2318</v>
      </c>
      <c r="M6602" s="49"/>
    </row>
    <row r="6603" spans="6:13" x14ac:dyDescent="0.25">
      <c r="F6603" t="s">
        <v>2318</v>
      </c>
      <c r="G6603">
        <v>45659</v>
      </c>
      <c r="H6603">
        <v>5562</v>
      </c>
      <c r="I6603" s="25" t="s">
        <v>2023</v>
      </c>
      <c r="J6603" t="s">
        <v>2318</v>
      </c>
      <c r="M6603" s="49"/>
    </row>
    <row r="6604" spans="6:13" x14ac:dyDescent="0.25">
      <c r="F6604" t="s">
        <v>2318</v>
      </c>
      <c r="G6604">
        <v>45665</v>
      </c>
      <c r="H6604">
        <v>5562</v>
      </c>
      <c r="I6604" s="25" t="s">
        <v>2023</v>
      </c>
      <c r="J6604" t="s">
        <v>2318</v>
      </c>
      <c r="M6604" s="49"/>
    </row>
    <row r="6605" spans="6:13" x14ac:dyDescent="0.25">
      <c r="F6605" t="s">
        <v>6927</v>
      </c>
      <c r="G6605">
        <v>96257</v>
      </c>
      <c r="H6605">
        <v>9478</v>
      </c>
      <c r="I6605" s="25" t="s">
        <v>2050</v>
      </c>
      <c r="J6605" t="s">
        <v>2404</v>
      </c>
      <c r="M6605" s="49"/>
    </row>
    <row r="6606" spans="6:13" x14ac:dyDescent="0.25">
      <c r="F6606" t="s">
        <v>6928</v>
      </c>
      <c r="G6606">
        <v>46459</v>
      </c>
      <c r="H6606">
        <v>5154</v>
      </c>
      <c r="I6606" s="25" t="s">
        <v>2023</v>
      </c>
      <c r="J6606" t="s">
        <v>2214</v>
      </c>
      <c r="M6606" s="49"/>
    </row>
    <row r="6607" spans="6:13" x14ac:dyDescent="0.25">
      <c r="F6607" t="s">
        <v>2078</v>
      </c>
      <c r="G6607">
        <v>94209</v>
      </c>
      <c r="H6607">
        <v>9276</v>
      </c>
      <c r="I6607" s="25" t="s">
        <v>2050</v>
      </c>
      <c r="J6607" t="s">
        <v>2078</v>
      </c>
      <c r="M6607" s="49"/>
    </row>
    <row r="6608" spans="6:13" x14ac:dyDescent="0.25">
      <c r="F6608" t="s">
        <v>2365</v>
      </c>
      <c r="G6608">
        <v>93047</v>
      </c>
      <c r="H6608">
        <v>9362</v>
      </c>
      <c r="I6608" s="25" t="s">
        <v>2050</v>
      </c>
      <c r="J6608" t="s">
        <v>6929</v>
      </c>
      <c r="M6608" s="49"/>
    </row>
    <row r="6609" spans="6:13" x14ac:dyDescent="0.25">
      <c r="F6609" t="s">
        <v>2365</v>
      </c>
      <c r="G6609">
        <v>93055</v>
      </c>
      <c r="H6609">
        <v>9362</v>
      </c>
      <c r="I6609" s="25" t="s">
        <v>2050</v>
      </c>
      <c r="J6609" t="s">
        <v>6929</v>
      </c>
      <c r="M6609" s="49"/>
    </row>
    <row r="6610" spans="6:13" x14ac:dyDescent="0.25">
      <c r="F6610" t="s">
        <v>2365</v>
      </c>
      <c r="G6610">
        <v>93057</v>
      </c>
      <c r="H6610">
        <v>9362</v>
      </c>
      <c r="I6610" s="25" t="s">
        <v>2050</v>
      </c>
      <c r="J6610" t="s">
        <v>6929</v>
      </c>
      <c r="M6610" s="49"/>
    </row>
    <row r="6611" spans="6:13" x14ac:dyDescent="0.25">
      <c r="F6611" t="s">
        <v>2365</v>
      </c>
      <c r="G6611">
        <v>93059</v>
      </c>
      <c r="H6611">
        <v>9362</v>
      </c>
      <c r="I6611" s="25" t="s">
        <v>2050</v>
      </c>
      <c r="J6611" t="s">
        <v>6929</v>
      </c>
      <c r="M6611" s="49"/>
    </row>
    <row r="6612" spans="6:13" x14ac:dyDescent="0.25">
      <c r="F6612" t="s">
        <v>2365</v>
      </c>
      <c r="G6612">
        <v>93049</v>
      </c>
      <c r="H6612">
        <v>9362</v>
      </c>
      <c r="I6612" s="25" t="s">
        <v>2050</v>
      </c>
      <c r="J6612" t="s">
        <v>6929</v>
      </c>
      <c r="M6612" s="49"/>
    </row>
    <row r="6613" spans="6:13" x14ac:dyDescent="0.25">
      <c r="F6613" t="s">
        <v>2365</v>
      </c>
      <c r="G6613">
        <v>93051</v>
      </c>
      <c r="H6613">
        <v>9362</v>
      </c>
      <c r="I6613" s="25" t="s">
        <v>2050</v>
      </c>
      <c r="J6613" t="s">
        <v>6929</v>
      </c>
      <c r="M6613" s="49"/>
    </row>
    <row r="6614" spans="6:13" x14ac:dyDescent="0.25">
      <c r="F6614" t="s">
        <v>2365</v>
      </c>
      <c r="G6614">
        <v>93053</v>
      </c>
      <c r="H6614">
        <v>9362</v>
      </c>
      <c r="I6614" s="25" t="s">
        <v>2050</v>
      </c>
      <c r="J6614" t="s">
        <v>6929</v>
      </c>
      <c r="M6614" s="49"/>
    </row>
    <row r="6615" spans="6:13" x14ac:dyDescent="0.25">
      <c r="F6615" t="s">
        <v>6930</v>
      </c>
      <c r="G6615">
        <v>93128</v>
      </c>
      <c r="H6615">
        <v>9375</v>
      </c>
      <c r="I6615" s="25" t="s">
        <v>2050</v>
      </c>
      <c r="J6615" t="s">
        <v>2365</v>
      </c>
      <c r="M6615" s="49"/>
    </row>
    <row r="6616" spans="6:13" x14ac:dyDescent="0.25">
      <c r="F6616" t="s">
        <v>6931</v>
      </c>
      <c r="G6616">
        <v>21649</v>
      </c>
      <c r="H6616">
        <v>3353</v>
      </c>
      <c r="I6616" s="25" t="s">
        <v>2074</v>
      </c>
      <c r="J6616" t="s">
        <v>2176</v>
      </c>
      <c r="M6616" s="49"/>
    </row>
    <row r="6617" spans="6:13" x14ac:dyDescent="0.25">
      <c r="F6617" t="s">
        <v>6932</v>
      </c>
      <c r="G6617">
        <v>4565</v>
      </c>
      <c r="H6617">
        <v>14729</v>
      </c>
      <c r="I6617" s="25" t="s">
        <v>2135</v>
      </c>
      <c r="J6617" t="s">
        <v>2684</v>
      </c>
      <c r="M6617" s="49"/>
    </row>
    <row r="6618" spans="6:13" x14ac:dyDescent="0.25">
      <c r="F6618" t="s">
        <v>6933</v>
      </c>
      <c r="G6618">
        <v>95194</v>
      </c>
      <c r="H6618">
        <v>9475</v>
      </c>
      <c r="I6618" s="25" t="s">
        <v>2050</v>
      </c>
      <c r="J6618" t="s">
        <v>2201</v>
      </c>
      <c r="M6618" s="49"/>
    </row>
    <row r="6619" spans="6:13" x14ac:dyDescent="0.25">
      <c r="F6619" t="s">
        <v>6934</v>
      </c>
      <c r="G6619">
        <v>95111</v>
      </c>
      <c r="H6619">
        <v>9475</v>
      </c>
      <c r="I6619" s="25" t="s">
        <v>2050</v>
      </c>
      <c r="J6619" t="s">
        <v>2201</v>
      </c>
      <c r="M6619" s="49"/>
    </row>
    <row r="6620" spans="6:13" x14ac:dyDescent="0.25">
      <c r="F6620" t="s">
        <v>6935</v>
      </c>
      <c r="G6620">
        <v>55592</v>
      </c>
      <c r="H6620">
        <v>7133</v>
      </c>
      <c r="I6620" s="25" t="s">
        <v>2123</v>
      </c>
      <c r="J6620" t="s">
        <v>2037</v>
      </c>
      <c r="M6620" s="49"/>
    </row>
    <row r="6621" spans="6:13" x14ac:dyDescent="0.25">
      <c r="F6621" t="s">
        <v>6936</v>
      </c>
      <c r="G6621">
        <v>31547</v>
      </c>
      <c r="H6621">
        <v>3256</v>
      </c>
      <c r="I6621" s="25" t="s">
        <v>2074</v>
      </c>
      <c r="J6621" t="s">
        <v>2271</v>
      </c>
      <c r="M6621" s="49"/>
    </row>
    <row r="6622" spans="6:13" x14ac:dyDescent="0.25">
      <c r="F6622" t="s">
        <v>6937</v>
      </c>
      <c r="G6622">
        <v>25593</v>
      </c>
      <c r="H6622">
        <v>1061</v>
      </c>
      <c r="I6622" s="25" t="s">
        <v>2085</v>
      </c>
      <c r="J6622" t="s">
        <v>2377</v>
      </c>
      <c r="M6622" s="49"/>
    </row>
    <row r="6623" spans="6:13" x14ac:dyDescent="0.25">
      <c r="F6623" t="s">
        <v>6938</v>
      </c>
      <c r="G6623">
        <v>86508</v>
      </c>
      <c r="H6623">
        <v>9771</v>
      </c>
      <c r="I6623" s="25" t="s">
        <v>2050</v>
      </c>
      <c r="J6623" t="s">
        <v>2120</v>
      </c>
      <c r="M6623" s="49"/>
    </row>
    <row r="6624" spans="6:13" x14ac:dyDescent="0.25">
      <c r="F6624" t="s">
        <v>6939</v>
      </c>
      <c r="G6624">
        <v>66780</v>
      </c>
      <c r="H6624">
        <v>10044</v>
      </c>
      <c r="I6624" s="25" t="s">
        <v>2849</v>
      </c>
      <c r="J6624" t="s">
        <v>3222</v>
      </c>
      <c r="M6624" s="49"/>
    </row>
    <row r="6625" spans="6:13" x14ac:dyDescent="0.25">
      <c r="F6625" t="s">
        <v>6940</v>
      </c>
      <c r="G6625">
        <v>19217</v>
      </c>
      <c r="H6625">
        <v>13074</v>
      </c>
      <c r="I6625" s="25" t="s">
        <v>2191</v>
      </c>
      <c r="J6625" t="s">
        <v>2275</v>
      </c>
      <c r="M6625" s="49"/>
    </row>
    <row r="6626" spans="6:13" x14ac:dyDescent="0.25">
      <c r="F6626" t="s">
        <v>6941</v>
      </c>
      <c r="G6626">
        <v>74934</v>
      </c>
      <c r="H6626">
        <v>8226</v>
      </c>
      <c r="I6626" s="25" t="s">
        <v>2018</v>
      </c>
      <c r="J6626" t="s">
        <v>2442</v>
      </c>
      <c r="M6626" s="49"/>
    </row>
    <row r="6627" spans="6:13" x14ac:dyDescent="0.25">
      <c r="F6627" t="s">
        <v>6942</v>
      </c>
      <c r="G6627">
        <v>64385</v>
      </c>
      <c r="H6627">
        <v>6437</v>
      </c>
      <c r="I6627" s="25" t="s">
        <v>2046</v>
      </c>
      <c r="J6627" t="s">
        <v>2674</v>
      </c>
      <c r="M6627" s="49"/>
    </row>
    <row r="6628" spans="6:13" x14ac:dyDescent="0.25">
      <c r="F6628" t="s">
        <v>6943</v>
      </c>
      <c r="G6628">
        <v>61203</v>
      </c>
      <c r="H6628">
        <v>6440</v>
      </c>
      <c r="I6628" s="25" t="s">
        <v>2046</v>
      </c>
      <c r="J6628" t="s">
        <v>2415</v>
      </c>
      <c r="M6628" s="49"/>
    </row>
    <row r="6629" spans="6:13" x14ac:dyDescent="0.25">
      <c r="F6629" t="s">
        <v>6944</v>
      </c>
      <c r="G6629">
        <v>78479</v>
      </c>
      <c r="H6629">
        <v>8335</v>
      </c>
      <c r="I6629" s="25" t="s">
        <v>2018</v>
      </c>
      <c r="J6629" t="s">
        <v>2019</v>
      </c>
      <c r="M6629" s="49"/>
    </row>
    <row r="6630" spans="6:13" x14ac:dyDescent="0.25">
      <c r="F6630" t="s">
        <v>6944</v>
      </c>
      <c r="G6630">
        <v>78479</v>
      </c>
      <c r="H6630">
        <v>8335</v>
      </c>
      <c r="I6630" s="25" t="s">
        <v>2018</v>
      </c>
      <c r="J6630" t="s">
        <v>2019</v>
      </c>
      <c r="M6630" s="49"/>
    </row>
    <row r="6631" spans="6:13" x14ac:dyDescent="0.25">
      <c r="F6631" t="s">
        <v>6944</v>
      </c>
      <c r="G6631">
        <v>78479</v>
      </c>
      <c r="H6631">
        <v>8335</v>
      </c>
      <c r="I6631" s="25" t="s">
        <v>2018</v>
      </c>
      <c r="J6631" t="s">
        <v>2019</v>
      </c>
      <c r="M6631" s="49"/>
    </row>
    <row r="6632" spans="6:13" x14ac:dyDescent="0.25">
      <c r="F6632" t="s">
        <v>6944</v>
      </c>
      <c r="G6632">
        <v>78479</v>
      </c>
      <c r="H6632">
        <v>8335</v>
      </c>
      <c r="I6632" s="25" t="s">
        <v>2018</v>
      </c>
      <c r="J6632" t="s">
        <v>2019</v>
      </c>
      <c r="M6632" s="49"/>
    </row>
    <row r="6633" spans="6:13" x14ac:dyDescent="0.25">
      <c r="F6633" t="s">
        <v>6944</v>
      </c>
      <c r="G6633">
        <v>78479</v>
      </c>
      <c r="H6633">
        <v>8335</v>
      </c>
      <c r="I6633" s="25" t="s">
        <v>2018</v>
      </c>
      <c r="J6633" t="s">
        <v>2019</v>
      </c>
      <c r="M6633" s="49"/>
    </row>
    <row r="6634" spans="6:13" x14ac:dyDescent="0.25">
      <c r="F6634" t="s">
        <v>6944</v>
      </c>
      <c r="G6634">
        <v>78479</v>
      </c>
      <c r="H6634">
        <v>8335</v>
      </c>
      <c r="I6634" s="25" t="s">
        <v>2018</v>
      </c>
      <c r="J6634" t="s">
        <v>2019</v>
      </c>
      <c r="M6634" s="49"/>
    </row>
    <row r="6635" spans="6:13" x14ac:dyDescent="0.25">
      <c r="F6635" t="s">
        <v>6945</v>
      </c>
      <c r="G6635">
        <v>93189</v>
      </c>
      <c r="H6635">
        <v>9372</v>
      </c>
      <c r="I6635" s="25" t="s">
        <v>2050</v>
      </c>
      <c r="J6635" t="s">
        <v>2523</v>
      </c>
      <c r="M6635" s="49"/>
    </row>
    <row r="6636" spans="6:13" x14ac:dyDescent="0.25">
      <c r="F6636" t="s">
        <v>6946</v>
      </c>
      <c r="G6636">
        <v>73262</v>
      </c>
      <c r="H6636">
        <v>8116</v>
      </c>
      <c r="I6636" s="25" t="s">
        <v>2018</v>
      </c>
      <c r="J6636" t="s">
        <v>2213</v>
      </c>
      <c r="M6636" s="49"/>
    </row>
    <row r="6637" spans="6:13" x14ac:dyDescent="0.25">
      <c r="F6637" t="s">
        <v>6947</v>
      </c>
      <c r="G6637">
        <v>2894</v>
      </c>
      <c r="H6637">
        <v>14626</v>
      </c>
      <c r="I6637" s="25" t="s">
        <v>2135</v>
      </c>
      <c r="J6637" t="s">
        <v>2150</v>
      </c>
      <c r="M6637" s="49"/>
    </row>
    <row r="6638" spans="6:13" x14ac:dyDescent="0.25">
      <c r="F6638" t="s">
        <v>6948</v>
      </c>
      <c r="G6638">
        <v>8468</v>
      </c>
      <c r="H6638">
        <v>14523</v>
      </c>
      <c r="I6638" s="25" t="s">
        <v>2135</v>
      </c>
      <c r="J6638" t="s">
        <v>2136</v>
      </c>
      <c r="M6638" s="49"/>
    </row>
    <row r="6639" spans="6:13" x14ac:dyDescent="0.25">
      <c r="F6639" t="s">
        <v>6949</v>
      </c>
      <c r="G6639">
        <v>97234</v>
      </c>
      <c r="H6639">
        <v>9679</v>
      </c>
      <c r="I6639" s="25" t="s">
        <v>2050</v>
      </c>
      <c r="J6639" t="s">
        <v>2428</v>
      </c>
      <c r="M6639" s="49"/>
    </row>
    <row r="6640" spans="6:13" x14ac:dyDescent="0.25">
      <c r="F6640" t="s">
        <v>6950</v>
      </c>
      <c r="G6640">
        <v>91244</v>
      </c>
      <c r="H6640">
        <v>9574</v>
      </c>
      <c r="I6640" s="25" t="s">
        <v>2050</v>
      </c>
      <c r="J6640" t="s">
        <v>2291</v>
      </c>
      <c r="M6640" s="49"/>
    </row>
    <row r="6641" spans="6:13" x14ac:dyDescent="0.25">
      <c r="F6641" t="s">
        <v>6951</v>
      </c>
      <c r="G6641">
        <v>83677</v>
      </c>
      <c r="H6641">
        <v>9173</v>
      </c>
      <c r="I6641" s="25" t="s">
        <v>2050</v>
      </c>
      <c r="J6641" t="s">
        <v>2659</v>
      </c>
      <c r="M6641" s="49"/>
    </row>
    <row r="6642" spans="6:13" x14ac:dyDescent="0.25">
      <c r="F6642" t="s">
        <v>6952</v>
      </c>
      <c r="G6642">
        <v>85293</v>
      </c>
      <c r="H6642">
        <v>9186</v>
      </c>
      <c r="I6642" s="25" t="s">
        <v>2050</v>
      </c>
      <c r="J6642" t="s">
        <v>2594</v>
      </c>
      <c r="M6642" s="49"/>
    </row>
    <row r="6643" spans="6:13" x14ac:dyDescent="0.25">
      <c r="F6643" t="s">
        <v>6953</v>
      </c>
      <c r="G6643">
        <v>84437</v>
      </c>
      <c r="H6643">
        <v>9183</v>
      </c>
      <c r="I6643" s="25" t="s">
        <v>2050</v>
      </c>
      <c r="J6643" t="s">
        <v>2474</v>
      </c>
      <c r="M6643" s="49"/>
    </row>
    <row r="6644" spans="6:13" x14ac:dyDescent="0.25">
      <c r="F6644" t="s">
        <v>6954</v>
      </c>
      <c r="G6644">
        <v>85084</v>
      </c>
      <c r="H6644">
        <v>9186</v>
      </c>
      <c r="I6644" s="25" t="s">
        <v>2050</v>
      </c>
      <c r="J6644" t="s">
        <v>2594</v>
      </c>
      <c r="M6644" s="49"/>
    </row>
    <row r="6645" spans="6:13" x14ac:dyDescent="0.25">
      <c r="F6645" t="s">
        <v>6955</v>
      </c>
      <c r="G6645">
        <v>86934</v>
      </c>
      <c r="H6645">
        <v>9181</v>
      </c>
      <c r="I6645" s="25" t="s">
        <v>2050</v>
      </c>
      <c r="J6645" t="s">
        <v>2505</v>
      </c>
      <c r="M6645" s="49"/>
    </row>
    <row r="6646" spans="6:13" x14ac:dyDescent="0.25">
      <c r="F6646" t="s">
        <v>6956</v>
      </c>
      <c r="G6646">
        <v>51580</v>
      </c>
      <c r="H6646">
        <v>5374</v>
      </c>
      <c r="I6646" s="25" t="s">
        <v>2023</v>
      </c>
      <c r="J6646" t="s">
        <v>2281</v>
      </c>
      <c r="M6646" s="49"/>
    </row>
    <row r="6647" spans="6:13" x14ac:dyDescent="0.25">
      <c r="F6647" t="s">
        <v>6957</v>
      </c>
      <c r="G6647">
        <v>66507</v>
      </c>
      <c r="H6647">
        <v>7340</v>
      </c>
      <c r="I6647" s="25" t="s">
        <v>2123</v>
      </c>
      <c r="J6647" t="s">
        <v>2826</v>
      </c>
      <c r="M6647" s="49"/>
    </row>
    <row r="6648" spans="6:13" x14ac:dyDescent="0.25">
      <c r="F6648" t="s">
        <v>6958</v>
      </c>
      <c r="G6648">
        <v>53520</v>
      </c>
      <c r="H6648">
        <v>7131</v>
      </c>
      <c r="I6648" s="25" t="s">
        <v>2123</v>
      </c>
      <c r="J6648" t="s">
        <v>2022</v>
      </c>
      <c r="M6648" s="49"/>
    </row>
    <row r="6649" spans="6:13" x14ac:dyDescent="0.25">
      <c r="F6649" t="s">
        <v>6958</v>
      </c>
      <c r="G6649">
        <v>53520</v>
      </c>
      <c r="H6649">
        <v>7131</v>
      </c>
      <c r="I6649" s="25" t="s">
        <v>2123</v>
      </c>
      <c r="J6649" t="s">
        <v>2022</v>
      </c>
      <c r="M6649" s="49"/>
    </row>
    <row r="6650" spans="6:13" x14ac:dyDescent="0.25">
      <c r="F6650" t="s">
        <v>6958</v>
      </c>
      <c r="G6650">
        <v>53520</v>
      </c>
      <c r="H6650">
        <v>7131</v>
      </c>
      <c r="I6650" s="25" t="s">
        <v>2123</v>
      </c>
      <c r="J6650" t="s">
        <v>2022</v>
      </c>
      <c r="M6650" s="49"/>
    </row>
    <row r="6651" spans="6:13" x14ac:dyDescent="0.25">
      <c r="F6651" t="s">
        <v>6958</v>
      </c>
      <c r="G6651">
        <v>53520</v>
      </c>
      <c r="H6651">
        <v>7233</v>
      </c>
      <c r="I6651" s="25" t="s">
        <v>2123</v>
      </c>
      <c r="J6651" t="s">
        <v>2416</v>
      </c>
      <c r="M6651" s="49"/>
    </row>
    <row r="6652" spans="6:13" x14ac:dyDescent="0.25">
      <c r="F6652" t="s">
        <v>6958</v>
      </c>
      <c r="G6652">
        <v>53520</v>
      </c>
      <c r="H6652">
        <v>7233</v>
      </c>
      <c r="I6652" s="25" t="s">
        <v>2123</v>
      </c>
      <c r="J6652" t="s">
        <v>2416</v>
      </c>
      <c r="M6652" s="49"/>
    </row>
    <row r="6653" spans="6:13" x14ac:dyDescent="0.25">
      <c r="F6653" t="s">
        <v>6958</v>
      </c>
      <c r="G6653">
        <v>53520</v>
      </c>
      <c r="H6653">
        <v>7233</v>
      </c>
      <c r="I6653" s="25" t="s">
        <v>2123</v>
      </c>
      <c r="J6653" t="s">
        <v>2416</v>
      </c>
      <c r="M6653" s="49"/>
    </row>
    <row r="6654" spans="6:13" x14ac:dyDescent="0.25">
      <c r="F6654" t="s">
        <v>6959</v>
      </c>
      <c r="G6654">
        <v>56861</v>
      </c>
      <c r="H6654">
        <v>7231</v>
      </c>
      <c r="I6654" s="25" t="s">
        <v>2123</v>
      </c>
      <c r="J6654" t="s">
        <v>2043</v>
      </c>
      <c r="M6654" s="49"/>
    </row>
    <row r="6655" spans="6:13" x14ac:dyDescent="0.25">
      <c r="F6655" t="s">
        <v>6960</v>
      </c>
      <c r="G6655">
        <v>68799</v>
      </c>
      <c r="H6655">
        <v>8226</v>
      </c>
      <c r="I6655" s="25" t="s">
        <v>2018</v>
      </c>
      <c r="J6655" t="s">
        <v>2442</v>
      </c>
      <c r="M6655" s="49"/>
    </row>
    <row r="6656" spans="6:13" x14ac:dyDescent="0.25">
      <c r="F6656" t="s">
        <v>6961</v>
      </c>
      <c r="G6656">
        <v>18276</v>
      </c>
      <c r="H6656">
        <v>13072</v>
      </c>
      <c r="I6656" s="25" t="s">
        <v>2191</v>
      </c>
      <c r="J6656" t="s">
        <v>2036</v>
      </c>
      <c r="M6656" s="49"/>
    </row>
    <row r="6657" spans="6:13" x14ac:dyDescent="0.25">
      <c r="F6657" t="s">
        <v>6962</v>
      </c>
      <c r="G6657">
        <v>86756</v>
      </c>
      <c r="H6657">
        <v>9779</v>
      </c>
      <c r="I6657" s="25" t="s">
        <v>2050</v>
      </c>
      <c r="J6657" t="s">
        <v>2280</v>
      </c>
      <c r="M6657" s="49"/>
    </row>
    <row r="6658" spans="6:13" x14ac:dyDescent="0.25">
      <c r="F6658" t="s">
        <v>6963</v>
      </c>
      <c r="G6658">
        <v>21465</v>
      </c>
      <c r="H6658">
        <v>1053</v>
      </c>
      <c r="I6658" s="25" t="s">
        <v>2085</v>
      </c>
      <c r="J6658" t="s">
        <v>2193</v>
      </c>
      <c r="M6658" s="49"/>
    </row>
    <row r="6659" spans="6:13" x14ac:dyDescent="0.25">
      <c r="F6659" t="s">
        <v>6963</v>
      </c>
      <c r="G6659">
        <v>21465</v>
      </c>
      <c r="H6659">
        <v>1062</v>
      </c>
      <c r="I6659" s="25" t="s">
        <v>2085</v>
      </c>
      <c r="J6659" t="s">
        <v>2188</v>
      </c>
      <c r="M6659" s="49"/>
    </row>
    <row r="6660" spans="6:13" x14ac:dyDescent="0.25">
      <c r="F6660" t="s">
        <v>6964</v>
      </c>
      <c r="G6660">
        <v>23858</v>
      </c>
      <c r="H6660">
        <v>1062</v>
      </c>
      <c r="I6660" s="25" t="s">
        <v>2085</v>
      </c>
      <c r="J6660" t="s">
        <v>2188</v>
      </c>
      <c r="M6660" s="49"/>
    </row>
    <row r="6661" spans="6:13" x14ac:dyDescent="0.25">
      <c r="F6661" t="s">
        <v>6965</v>
      </c>
      <c r="G6661">
        <v>34359</v>
      </c>
      <c r="H6661">
        <v>6633</v>
      </c>
      <c r="I6661" s="25" t="s">
        <v>2046</v>
      </c>
      <c r="J6661" t="s">
        <v>2162</v>
      </c>
      <c r="M6661" s="49"/>
    </row>
    <row r="6662" spans="6:13" x14ac:dyDescent="0.25">
      <c r="F6662" t="s">
        <v>6966</v>
      </c>
      <c r="G6662">
        <v>64354</v>
      </c>
      <c r="H6662">
        <v>6432</v>
      </c>
      <c r="I6662" s="25" t="s">
        <v>2046</v>
      </c>
      <c r="J6662" t="s">
        <v>2338</v>
      </c>
      <c r="M6662" s="49"/>
    </row>
    <row r="6663" spans="6:13" x14ac:dyDescent="0.25">
      <c r="F6663" t="s">
        <v>6967</v>
      </c>
      <c r="G6663">
        <v>9634</v>
      </c>
      <c r="H6663">
        <v>14522</v>
      </c>
      <c r="I6663" s="25" t="s">
        <v>2135</v>
      </c>
      <c r="J6663" t="s">
        <v>2100</v>
      </c>
      <c r="M6663" s="49"/>
    </row>
    <row r="6664" spans="6:13" x14ac:dyDescent="0.25">
      <c r="F6664" t="s">
        <v>6967</v>
      </c>
      <c r="G6664">
        <v>9629</v>
      </c>
      <c r="H6664">
        <v>14522</v>
      </c>
      <c r="I6664" s="25" t="s">
        <v>2135</v>
      </c>
      <c r="J6664" t="s">
        <v>2100</v>
      </c>
      <c r="M6664" s="49"/>
    </row>
    <row r="6665" spans="6:13" x14ac:dyDescent="0.25">
      <c r="F6665" t="s">
        <v>6968</v>
      </c>
      <c r="G6665">
        <v>8141</v>
      </c>
      <c r="H6665">
        <v>14524</v>
      </c>
      <c r="I6665" s="25" t="s">
        <v>2135</v>
      </c>
      <c r="J6665" t="s">
        <v>3424</v>
      </c>
      <c r="M6665" s="49"/>
    </row>
    <row r="6666" spans="6:13" x14ac:dyDescent="0.25">
      <c r="F6666" t="s">
        <v>6969</v>
      </c>
      <c r="G6666">
        <v>54421</v>
      </c>
      <c r="H6666">
        <v>7235</v>
      </c>
      <c r="I6666" s="25" t="s">
        <v>2123</v>
      </c>
      <c r="J6666" t="s">
        <v>2395</v>
      </c>
      <c r="M6666" s="49"/>
    </row>
    <row r="6667" spans="6:13" x14ac:dyDescent="0.25">
      <c r="F6667" t="s">
        <v>6970</v>
      </c>
      <c r="G6667">
        <v>21400</v>
      </c>
      <c r="H6667">
        <v>3355</v>
      </c>
      <c r="I6667" s="25" t="s">
        <v>2074</v>
      </c>
      <c r="J6667" t="s">
        <v>2129</v>
      </c>
      <c r="M6667" s="49"/>
    </row>
    <row r="6668" spans="6:13" x14ac:dyDescent="0.25">
      <c r="F6668" t="s">
        <v>6971</v>
      </c>
      <c r="G6668">
        <v>94419</v>
      </c>
      <c r="H6668">
        <v>9279</v>
      </c>
      <c r="I6668" s="25" t="s">
        <v>2050</v>
      </c>
      <c r="J6668" t="s">
        <v>3574</v>
      </c>
      <c r="M6668" s="49"/>
    </row>
    <row r="6669" spans="6:13" x14ac:dyDescent="0.25">
      <c r="F6669" t="s">
        <v>6972</v>
      </c>
      <c r="G6669">
        <v>84571</v>
      </c>
      <c r="H6669">
        <v>9171</v>
      </c>
      <c r="I6669" s="25" t="s">
        <v>2050</v>
      </c>
      <c r="J6669" t="s">
        <v>2446</v>
      </c>
      <c r="M6669" s="49"/>
    </row>
    <row r="6670" spans="6:13" x14ac:dyDescent="0.25">
      <c r="F6670" t="s">
        <v>6973</v>
      </c>
      <c r="G6670">
        <v>35447</v>
      </c>
      <c r="H6670">
        <v>6531</v>
      </c>
      <c r="I6670" s="25" t="s">
        <v>2046</v>
      </c>
      <c r="J6670" t="s">
        <v>2306</v>
      </c>
      <c r="M6670" s="49"/>
    </row>
    <row r="6671" spans="6:13" x14ac:dyDescent="0.25">
      <c r="F6671" t="s">
        <v>6974</v>
      </c>
      <c r="G6671">
        <v>83242</v>
      </c>
      <c r="H6671">
        <v>9189</v>
      </c>
      <c r="I6671" s="25" t="s">
        <v>2050</v>
      </c>
      <c r="J6671" t="s">
        <v>2407</v>
      </c>
      <c r="M6671" s="49"/>
    </row>
    <row r="6672" spans="6:13" x14ac:dyDescent="0.25">
      <c r="F6672" t="s">
        <v>6975</v>
      </c>
      <c r="G6672">
        <v>48734</v>
      </c>
      <c r="H6672">
        <v>5554</v>
      </c>
      <c r="I6672" s="25" t="s">
        <v>2023</v>
      </c>
      <c r="J6672" t="s">
        <v>2055</v>
      </c>
      <c r="M6672" s="49"/>
    </row>
    <row r="6673" spans="6:13" x14ac:dyDescent="0.25">
      <c r="F6673" t="s">
        <v>6976</v>
      </c>
      <c r="G6673">
        <v>25462</v>
      </c>
      <c r="H6673">
        <v>1056</v>
      </c>
      <c r="I6673" s="25" t="s">
        <v>2085</v>
      </c>
      <c r="J6673" t="s">
        <v>2311</v>
      </c>
      <c r="M6673" s="49"/>
    </row>
    <row r="6674" spans="6:13" x14ac:dyDescent="0.25">
      <c r="F6674" t="s">
        <v>6977</v>
      </c>
      <c r="G6674">
        <v>53424</v>
      </c>
      <c r="H6674">
        <v>7131</v>
      </c>
      <c r="I6674" s="25" t="s">
        <v>2123</v>
      </c>
      <c r="J6674" t="s">
        <v>2022</v>
      </c>
      <c r="M6674" s="49"/>
    </row>
    <row r="6675" spans="6:13" x14ac:dyDescent="0.25">
      <c r="F6675" t="s">
        <v>6978</v>
      </c>
      <c r="G6675">
        <v>75196</v>
      </c>
      <c r="H6675">
        <v>8236</v>
      </c>
      <c r="I6675" s="25" t="s">
        <v>2018</v>
      </c>
      <c r="J6675" t="s">
        <v>3087</v>
      </c>
      <c r="M6675" s="49"/>
    </row>
    <row r="6676" spans="6:13" x14ac:dyDescent="0.25">
      <c r="F6676" t="s">
        <v>6979</v>
      </c>
      <c r="G6676">
        <v>38319</v>
      </c>
      <c r="H6676">
        <v>3158</v>
      </c>
      <c r="I6676" s="25" t="s">
        <v>2074</v>
      </c>
      <c r="J6676" t="s">
        <v>2434</v>
      </c>
      <c r="M6676" s="49"/>
    </row>
    <row r="6677" spans="6:13" x14ac:dyDescent="0.25">
      <c r="F6677" t="s">
        <v>6979</v>
      </c>
      <c r="G6677">
        <v>97280</v>
      </c>
      <c r="H6677">
        <v>9679</v>
      </c>
      <c r="I6677" s="25" t="s">
        <v>2050</v>
      </c>
      <c r="J6677" t="s">
        <v>2428</v>
      </c>
      <c r="M6677" s="49"/>
    </row>
    <row r="6678" spans="6:13" x14ac:dyDescent="0.25">
      <c r="F6678" t="s">
        <v>6980</v>
      </c>
      <c r="G6678">
        <v>7368</v>
      </c>
      <c r="H6678">
        <v>16075</v>
      </c>
      <c r="I6678" s="25" t="s">
        <v>2384</v>
      </c>
      <c r="J6678" t="s">
        <v>4221</v>
      </c>
      <c r="M6678" s="49"/>
    </row>
    <row r="6679" spans="6:13" x14ac:dyDescent="0.25">
      <c r="F6679" t="s">
        <v>6981</v>
      </c>
      <c r="G6679">
        <v>42855</v>
      </c>
      <c r="H6679">
        <v>5120</v>
      </c>
      <c r="I6679" s="25" t="s">
        <v>2023</v>
      </c>
      <c r="J6679" t="s">
        <v>6982</v>
      </c>
      <c r="M6679" s="49"/>
    </row>
    <row r="6680" spans="6:13" x14ac:dyDescent="0.25">
      <c r="F6680" t="s">
        <v>6981</v>
      </c>
      <c r="G6680">
        <v>42897</v>
      </c>
      <c r="H6680">
        <v>5120</v>
      </c>
      <c r="I6680" s="25" t="s">
        <v>2023</v>
      </c>
      <c r="J6680" t="s">
        <v>6982</v>
      </c>
      <c r="M6680" s="49"/>
    </row>
    <row r="6681" spans="6:13" x14ac:dyDescent="0.25">
      <c r="F6681" t="s">
        <v>6981</v>
      </c>
      <c r="G6681">
        <v>42857</v>
      </c>
      <c r="H6681">
        <v>5120</v>
      </c>
      <c r="I6681" s="25" t="s">
        <v>2023</v>
      </c>
      <c r="J6681" t="s">
        <v>6982</v>
      </c>
      <c r="M6681" s="49"/>
    </row>
    <row r="6682" spans="6:13" x14ac:dyDescent="0.25">
      <c r="F6682" t="s">
        <v>6981</v>
      </c>
      <c r="G6682">
        <v>42899</v>
      </c>
      <c r="H6682">
        <v>5120</v>
      </c>
      <c r="I6682" s="25" t="s">
        <v>2023</v>
      </c>
      <c r="J6682" t="s">
        <v>6982</v>
      </c>
      <c r="M6682" s="49"/>
    </row>
    <row r="6683" spans="6:13" x14ac:dyDescent="0.25">
      <c r="F6683" t="s">
        <v>6981</v>
      </c>
      <c r="G6683">
        <v>42853</v>
      </c>
      <c r="H6683">
        <v>5120</v>
      </c>
      <c r="I6683" s="25" t="s">
        <v>2023</v>
      </c>
      <c r="J6683" t="s">
        <v>6982</v>
      </c>
      <c r="M6683" s="49"/>
    </row>
    <row r="6684" spans="6:13" x14ac:dyDescent="0.25">
      <c r="F6684" t="s">
        <v>6981</v>
      </c>
      <c r="G6684">
        <v>42859</v>
      </c>
      <c r="H6684">
        <v>5120</v>
      </c>
      <c r="I6684" s="25" t="s">
        <v>2023</v>
      </c>
      <c r="J6684" t="s">
        <v>6982</v>
      </c>
      <c r="M6684" s="49"/>
    </row>
    <row r="6685" spans="6:13" x14ac:dyDescent="0.25">
      <c r="F6685" t="s">
        <v>6983</v>
      </c>
      <c r="G6685">
        <v>8373</v>
      </c>
      <c r="H6685">
        <v>14524</v>
      </c>
      <c r="I6685" s="25" t="s">
        <v>2135</v>
      </c>
      <c r="J6685" t="s">
        <v>3424</v>
      </c>
      <c r="M6685" s="49"/>
    </row>
    <row r="6686" spans="6:13" x14ac:dyDescent="0.25">
      <c r="F6686" t="s">
        <v>6984</v>
      </c>
      <c r="G6686">
        <v>71686</v>
      </c>
      <c r="H6686">
        <v>8118</v>
      </c>
      <c r="I6686" s="25" t="s">
        <v>2018</v>
      </c>
      <c r="J6686" t="s">
        <v>2142</v>
      </c>
      <c r="M6686" s="49"/>
    </row>
    <row r="6687" spans="6:13" x14ac:dyDescent="0.25">
      <c r="F6687" t="s">
        <v>6985</v>
      </c>
      <c r="G6687">
        <v>73630</v>
      </c>
      <c r="H6687">
        <v>8119</v>
      </c>
      <c r="I6687" s="25" t="s">
        <v>2018</v>
      </c>
      <c r="J6687" t="s">
        <v>2287</v>
      </c>
      <c r="M6687" s="49"/>
    </row>
    <row r="6688" spans="6:13" x14ac:dyDescent="0.25">
      <c r="F6688" t="s">
        <v>6986</v>
      </c>
      <c r="G6688">
        <v>77871</v>
      </c>
      <c r="H6688">
        <v>8317</v>
      </c>
      <c r="I6688" s="25" t="s">
        <v>2018</v>
      </c>
      <c r="J6688" t="s">
        <v>2071</v>
      </c>
      <c r="M6688" s="49"/>
    </row>
    <row r="6689" spans="6:13" x14ac:dyDescent="0.25">
      <c r="F6689" t="s">
        <v>6987</v>
      </c>
      <c r="G6689">
        <v>24768</v>
      </c>
      <c r="H6689">
        <v>1058</v>
      </c>
      <c r="I6689" s="25" t="s">
        <v>2085</v>
      </c>
      <c r="J6689" t="s">
        <v>2086</v>
      </c>
      <c r="M6689" s="49"/>
    </row>
    <row r="6690" spans="6:13" x14ac:dyDescent="0.25">
      <c r="F6690" t="s">
        <v>6988</v>
      </c>
      <c r="G6690">
        <v>56579</v>
      </c>
      <c r="H6690">
        <v>7138</v>
      </c>
      <c r="I6690" s="25" t="s">
        <v>2123</v>
      </c>
      <c r="J6690" t="s">
        <v>2489</v>
      </c>
      <c r="M6690" s="49"/>
    </row>
    <row r="6691" spans="6:13" x14ac:dyDescent="0.25">
      <c r="F6691" t="s">
        <v>6989</v>
      </c>
      <c r="G6691">
        <v>38368</v>
      </c>
      <c r="H6691">
        <v>3154</v>
      </c>
      <c r="I6691" s="25" t="s">
        <v>2074</v>
      </c>
      <c r="J6691" t="s">
        <v>2186</v>
      </c>
      <c r="M6691" s="49"/>
    </row>
    <row r="6692" spans="6:13" x14ac:dyDescent="0.25">
      <c r="F6692" t="s">
        <v>6990</v>
      </c>
      <c r="G6692">
        <v>56477</v>
      </c>
      <c r="H6692">
        <v>7143</v>
      </c>
      <c r="I6692" s="25" t="s">
        <v>2123</v>
      </c>
      <c r="J6692" t="s">
        <v>2331</v>
      </c>
      <c r="M6692" s="49"/>
    </row>
    <row r="6693" spans="6:13" x14ac:dyDescent="0.25">
      <c r="F6693" t="s">
        <v>6991</v>
      </c>
      <c r="G6693">
        <v>86643</v>
      </c>
      <c r="H6693">
        <v>9185</v>
      </c>
      <c r="I6693" s="25" t="s">
        <v>2050</v>
      </c>
      <c r="J6693" t="s">
        <v>2515</v>
      </c>
      <c r="M6693" s="49"/>
    </row>
    <row r="6694" spans="6:13" x14ac:dyDescent="0.25">
      <c r="F6694" t="s">
        <v>6992</v>
      </c>
      <c r="G6694">
        <v>71272</v>
      </c>
      <c r="H6694">
        <v>8115</v>
      </c>
      <c r="I6694" s="25" t="s">
        <v>2018</v>
      </c>
      <c r="J6694" t="s">
        <v>2222</v>
      </c>
      <c r="M6694" s="49"/>
    </row>
    <row r="6695" spans="6:13" x14ac:dyDescent="0.25">
      <c r="F6695" t="s">
        <v>6993</v>
      </c>
      <c r="G6695">
        <v>78603</v>
      </c>
      <c r="H6695">
        <v>8327</v>
      </c>
      <c r="I6695" s="25" t="s">
        <v>2018</v>
      </c>
      <c r="J6695" t="s">
        <v>2277</v>
      </c>
      <c r="M6695" s="49"/>
    </row>
    <row r="6696" spans="6:13" x14ac:dyDescent="0.25">
      <c r="F6696" t="s">
        <v>6994</v>
      </c>
      <c r="G6696">
        <v>96184</v>
      </c>
      <c r="H6696">
        <v>9674</v>
      </c>
      <c r="I6696" s="25" t="s">
        <v>2050</v>
      </c>
      <c r="J6696" t="s">
        <v>2218</v>
      </c>
      <c r="M6696" s="49"/>
    </row>
    <row r="6697" spans="6:13" x14ac:dyDescent="0.25">
      <c r="F6697" t="s">
        <v>6995</v>
      </c>
      <c r="G6697">
        <v>21391</v>
      </c>
      <c r="H6697">
        <v>3355</v>
      </c>
      <c r="I6697" s="25" t="s">
        <v>2074</v>
      </c>
      <c r="J6697" t="s">
        <v>2129</v>
      </c>
      <c r="M6697" s="49"/>
    </row>
    <row r="6698" spans="6:13" x14ac:dyDescent="0.25">
      <c r="F6698" t="s">
        <v>6995</v>
      </c>
      <c r="G6698">
        <v>21391</v>
      </c>
      <c r="H6698">
        <v>3355</v>
      </c>
      <c r="I6698" s="25" t="s">
        <v>2074</v>
      </c>
      <c r="J6698" t="s">
        <v>2129</v>
      </c>
      <c r="M6698" s="49"/>
    </row>
    <row r="6699" spans="6:13" x14ac:dyDescent="0.25">
      <c r="F6699" t="s">
        <v>6996</v>
      </c>
      <c r="G6699">
        <v>18230</v>
      </c>
      <c r="H6699">
        <v>13072</v>
      </c>
      <c r="I6699" s="25" t="s">
        <v>2191</v>
      </c>
      <c r="J6699" t="s">
        <v>2036</v>
      </c>
      <c r="M6699" s="49"/>
    </row>
    <row r="6700" spans="6:13" x14ac:dyDescent="0.25">
      <c r="F6700" t="s">
        <v>6997</v>
      </c>
      <c r="G6700">
        <v>27336</v>
      </c>
      <c r="H6700">
        <v>3358</v>
      </c>
      <c r="I6700" s="25" t="s">
        <v>2074</v>
      </c>
      <c r="J6700" t="s">
        <v>2371</v>
      </c>
      <c r="M6700" s="49"/>
    </row>
    <row r="6701" spans="6:13" x14ac:dyDescent="0.25">
      <c r="F6701" t="s">
        <v>6998</v>
      </c>
      <c r="G6701">
        <v>18211</v>
      </c>
      <c r="H6701">
        <v>13072</v>
      </c>
      <c r="I6701" s="25" t="s">
        <v>2191</v>
      </c>
      <c r="J6701" t="s">
        <v>2036</v>
      </c>
      <c r="M6701" s="49"/>
    </row>
    <row r="6702" spans="6:13" x14ac:dyDescent="0.25">
      <c r="F6702" t="s">
        <v>6998</v>
      </c>
      <c r="G6702">
        <v>18211</v>
      </c>
      <c r="H6702">
        <v>13072</v>
      </c>
      <c r="I6702" s="25" t="s">
        <v>2191</v>
      </c>
      <c r="J6702" t="s">
        <v>2036</v>
      </c>
      <c r="M6702" s="49"/>
    </row>
    <row r="6703" spans="6:13" x14ac:dyDescent="0.25">
      <c r="F6703" t="s">
        <v>6999</v>
      </c>
      <c r="G6703">
        <v>93191</v>
      </c>
      <c r="H6703">
        <v>9372</v>
      </c>
      <c r="I6703" s="25" t="s">
        <v>2050</v>
      </c>
      <c r="J6703" t="s">
        <v>2523</v>
      </c>
      <c r="M6703" s="49"/>
    </row>
    <row r="6704" spans="6:13" x14ac:dyDescent="0.25">
      <c r="F6704" t="s">
        <v>6999</v>
      </c>
      <c r="G6704">
        <v>89364</v>
      </c>
      <c r="H6704">
        <v>9774</v>
      </c>
      <c r="I6704" s="25" t="s">
        <v>2050</v>
      </c>
      <c r="J6704" t="s">
        <v>2205</v>
      </c>
      <c r="M6704" s="49"/>
    </row>
    <row r="6705" spans="6:13" x14ac:dyDescent="0.25">
      <c r="F6705" t="s">
        <v>7000</v>
      </c>
      <c r="G6705">
        <v>87549</v>
      </c>
      <c r="H6705">
        <v>9780</v>
      </c>
      <c r="I6705" s="25" t="s">
        <v>2050</v>
      </c>
      <c r="J6705" t="s">
        <v>2278</v>
      </c>
      <c r="M6705" s="49"/>
    </row>
    <row r="6706" spans="6:13" x14ac:dyDescent="0.25">
      <c r="F6706" t="s">
        <v>7001</v>
      </c>
      <c r="G6706">
        <v>56769</v>
      </c>
      <c r="H6706">
        <v>7233</v>
      </c>
      <c r="I6706" s="25" t="s">
        <v>2123</v>
      </c>
      <c r="J6706" t="s">
        <v>2416</v>
      </c>
      <c r="M6706" s="49"/>
    </row>
    <row r="6707" spans="6:13" x14ac:dyDescent="0.25">
      <c r="F6707" t="s">
        <v>7002</v>
      </c>
      <c r="G6707">
        <v>97282</v>
      </c>
      <c r="H6707">
        <v>9677</v>
      </c>
      <c r="I6707" s="25" t="s">
        <v>2050</v>
      </c>
      <c r="J6707" t="s">
        <v>2527</v>
      </c>
      <c r="M6707" s="49"/>
    </row>
    <row r="6708" spans="6:13" x14ac:dyDescent="0.25">
      <c r="F6708" t="s">
        <v>7003</v>
      </c>
      <c r="G6708">
        <v>79276</v>
      </c>
      <c r="H6708">
        <v>8316</v>
      </c>
      <c r="I6708" s="25" t="s">
        <v>2018</v>
      </c>
      <c r="J6708" t="s">
        <v>2764</v>
      </c>
      <c r="M6708" s="49"/>
    </row>
    <row r="6709" spans="6:13" x14ac:dyDescent="0.25">
      <c r="F6709" t="s">
        <v>7004</v>
      </c>
      <c r="G6709">
        <v>92717</v>
      </c>
      <c r="H6709">
        <v>9377</v>
      </c>
      <c r="I6709" s="25" t="s">
        <v>2050</v>
      </c>
      <c r="J6709" t="s">
        <v>2393</v>
      </c>
      <c r="M6709" s="49"/>
    </row>
    <row r="6710" spans="6:13" x14ac:dyDescent="0.25">
      <c r="F6710" t="s">
        <v>2325</v>
      </c>
      <c r="G6710">
        <v>72762</v>
      </c>
      <c r="H6710">
        <v>8415</v>
      </c>
      <c r="I6710" s="25" t="s">
        <v>2018</v>
      </c>
      <c r="J6710" t="s">
        <v>2325</v>
      </c>
      <c r="M6710" s="49"/>
    </row>
    <row r="6711" spans="6:13" x14ac:dyDescent="0.25">
      <c r="F6711" t="s">
        <v>2325</v>
      </c>
      <c r="G6711">
        <v>72766</v>
      </c>
      <c r="H6711">
        <v>8415</v>
      </c>
      <c r="I6711" s="25" t="s">
        <v>2018</v>
      </c>
      <c r="J6711" t="s">
        <v>2325</v>
      </c>
      <c r="M6711" s="49"/>
    </row>
    <row r="6712" spans="6:13" x14ac:dyDescent="0.25">
      <c r="F6712" t="s">
        <v>2325</v>
      </c>
      <c r="G6712">
        <v>72760</v>
      </c>
      <c r="H6712">
        <v>8415</v>
      </c>
      <c r="I6712" s="25" t="s">
        <v>2018</v>
      </c>
      <c r="J6712" t="s">
        <v>2325</v>
      </c>
      <c r="M6712" s="49"/>
    </row>
    <row r="6713" spans="6:13" x14ac:dyDescent="0.25">
      <c r="F6713" t="s">
        <v>2325</v>
      </c>
      <c r="G6713">
        <v>72764</v>
      </c>
      <c r="H6713">
        <v>8415</v>
      </c>
      <c r="I6713" s="25" t="s">
        <v>2018</v>
      </c>
      <c r="J6713" t="s">
        <v>2325</v>
      </c>
      <c r="M6713" s="49"/>
    </row>
    <row r="6714" spans="6:13" x14ac:dyDescent="0.25">
      <c r="F6714" t="s">
        <v>2325</v>
      </c>
      <c r="G6714">
        <v>72768</v>
      </c>
      <c r="H6714">
        <v>8415</v>
      </c>
      <c r="I6714" s="25" t="s">
        <v>2018</v>
      </c>
      <c r="J6714" t="s">
        <v>2325</v>
      </c>
      <c r="M6714" s="49"/>
    </row>
    <row r="6715" spans="6:13" x14ac:dyDescent="0.25">
      <c r="F6715" t="s">
        <v>2325</v>
      </c>
      <c r="G6715">
        <v>72766</v>
      </c>
      <c r="H6715">
        <v>8415</v>
      </c>
      <c r="I6715" s="25" t="s">
        <v>2018</v>
      </c>
      <c r="J6715" t="s">
        <v>2325</v>
      </c>
      <c r="M6715" s="49"/>
    </row>
    <row r="6716" spans="6:13" x14ac:dyDescent="0.25">
      <c r="F6716" t="s">
        <v>2325</v>
      </c>
      <c r="G6716">
        <v>72762</v>
      </c>
      <c r="H6716">
        <v>8415</v>
      </c>
      <c r="I6716" s="25" t="s">
        <v>2018</v>
      </c>
      <c r="J6716" t="s">
        <v>2325</v>
      </c>
      <c r="M6716" s="49"/>
    </row>
    <row r="6717" spans="6:13" x14ac:dyDescent="0.25">
      <c r="F6717" t="s">
        <v>2325</v>
      </c>
      <c r="G6717">
        <v>72770</v>
      </c>
      <c r="H6717">
        <v>8415</v>
      </c>
      <c r="I6717" s="25" t="s">
        <v>2018</v>
      </c>
      <c r="J6717" t="s">
        <v>2325</v>
      </c>
      <c r="M6717" s="49"/>
    </row>
    <row r="6718" spans="6:13" x14ac:dyDescent="0.25">
      <c r="F6718" t="s">
        <v>2325</v>
      </c>
      <c r="G6718">
        <v>72764</v>
      </c>
      <c r="H6718">
        <v>8415</v>
      </c>
      <c r="I6718" s="25" t="s">
        <v>2018</v>
      </c>
      <c r="J6718" t="s">
        <v>2325</v>
      </c>
      <c r="M6718" s="49"/>
    </row>
    <row r="6719" spans="6:13" x14ac:dyDescent="0.25">
      <c r="F6719" t="s">
        <v>7005</v>
      </c>
      <c r="G6719">
        <v>26817</v>
      </c>
      <c r="H6719">
        <v>3457</v>
      </c>
      <c r="I6719" s="25" t="s">
        <v>2074</v>
      </c>
      <c r="J6719" t="s">
        <v>2220</v>
      </c>
      <c r="M6719" s="49"/>
    </row>
    <row r="6720" spans="6:13" x14ac:dyDescent="0.25">
      <c r="F6720" t="s">
        <v>7006</v>
      </c>
      <c r="G6720">
        <v>55624</v>
      </c>
      <c r="H6720">
        <v>7134</v>
      </c>
      <c r="I6720" s="25" t="s">
        <v>2123</v>
      </c>
      <c r="J6720" t="s">
        <v>2048</v>
      </c>
      <c r="M6720" s="49"/>
    </row>
    <row r="6721" spans="6:13" x14ac:dyDescent="0.25">
      <c r="F6721" t="s">
        <v>7007</v>
      </c>
      <c r="G6721">
        <v>33378</v>
      </c>
      <c r="H6721">
        <v>5754</v>
      </c>
      <c r="I6721" s="25" t="s">
        <v>2023</v>
      </c>
      <c r="J6721" t="s">
        <v>2165</v>
      </c>
      <c r="M6721" s="49"/>
    </row>
    <row r="6722" spans="6:13" x14ac:dyDescent="0.25">
      <c r="F6722" t="s">
        <v>7008</v>
      </c>
      <c r="G6722">
        <v>46414</v>
      </c>
      <c r="H6722">
        <v>5554</v>
      </c>
      <c r="I6722" s="25" t="s">
        <v>2023</v>
      </c>
      <c r="J6722" t="s">
        <v>2055</v>
      </c>
      <c r="M6722" s="49"/>
    </row>
    <row r="6723" spans="6:13" x14ac:dyDescent="0.25">
      <c r="F6723" t="s">
        <v>7009</v>
      </c>
      <c r="G6723">
        <v>26899</v>
      </c>
      <c r="H6723">
        <v>3454</v>
      </c>
      <c r="I6723" s="25" t="s">
        <v>2074</v>
      </c>
      <c r="J6723" t="s">
        <v>2118</v>
      </c>
      <c r="M6723" s="49"/>
    </row>
    <row r="6724" spans="6:13" x14ac:dyDescent="0.25">
      <c r="F6724" t="s">
        <v>7010</v>
      </c>
      <c r="G6724">
        <v>77866</v>
      </c>
      <c r="H6724">
        <v>8317</v>
      </c>
      <c r="I6724" s="25" t="s">
        <v>2018</v>
      </c>
      <c r="J6724" t="s">
        <v>2071</v>
      </c>
      <c r="M6724" s="49"/>
    </row>
    <row r="6725" spans="6:13" x14ac:dyDescent="0.25">
      <c r="F6725" t="s">
        <v>7011</v>
      </c>
      <c r="G6725">
        <v>53359</v>
      </c>
      <c r="H6725">
        <v>5382</v>
      </c>
      <c r="I6725" s="25" t="s">
        <v>2023</v>
      </c>
      <c r="J6725" t="s">
        <v>2298</v>
      </c>
      <c r="M6725" s="49"/>
    </row>
    <row r="6726" spans="6:13" x14ac:dyDescent="0.25">
      <c r="F6726" t="s">
        <v>7012</v>
      </c>
      <c r="G6726">
        <v>47495</v>
      </c>
      <c r="H6726">
        <v>5170</v>
      </c>
      <c r="I6726" s="25" t="s">
        <v>2023</v>
      </c>
      <c r="J6726" t="s">
        <v>2328</v>
      </c>
      <c r="M6726" s="49"/>
    </row>
    <row r="6727" spans="6:13" x14ac:dyDescent="0.25">
      <c r="F6727" t="s">
        <v>7013</v>
      </c>
      <c r="G6727">
        <v>55494</v>
      </c>
      <c r="H6727">
        <v>7140</v>
      </c>
      <c r="I6727" s="25" t="s">
        <v>2123</v>
      </c>
      <c r="J6727" t="s">
        <v>2329</v>
      </c>
      <c r="M6727" s="49"/>
    </row>
    <row r="6728" spans="6:13" x14ac:dyDescent="0.25">
      <c r="F6728" t="s">
        <v>7014</v>
      </c>
      <c r="G6728">
        <v>53619</v>
      </c>
      <c r="H6728">
        <v>7138</v>
      </c>
      <c r="I6728" s="25" t="s">
        <v>2123</v>
      </c>
      <c r="J6728" t="s">
        <v>2489</v>
      </c>
      <c r="M6728" s="49"/>
    </row>
    <row r="6729" spans="6:13" x14ac:dyDescent="0.25">
      <c r="F6729" t="s">
        <v>7015</v>
      </c>
      <c r="G6729">
        <v>56598</v>
      </c>
      <c r="H6729">
        <v>7138</v>
      </c>
      <c r="I6729" s="25" t="s">
        <v>2123</v>
      </c>
      <c r="J6729" t="s">
        <v>2489</v>
      </c>
      <c r="M6729" s="49"/>
    </row>
    <row r="6730" spans="6:13" x14ac:dyDescent="0.25">
      <c r="F6730" t="s">
        <v>7016</v>
      </c>
      <c r="G6730">
        <v>48432</v>
      </c>
      <c r="H6730">
        <v>5566</v>
      </c>
      <c r="I6730" s="25" t="s">
        <v>2023</v>
      </c>
      <c r="J6730" t="s">
        <v>2379</v>
      </c>
      <c r="M6730" s="49"/>
    </row>
    <row r="6731" spans="6:13" x14ac:dyDescent="0.25">
      <c r="F6731" t="s">
        <v>7016</v>
      </c>
      <c r="G6731">
        <v>48429</v>
      </c>
      <c r="H6731">
        <v>5566</v>
      </c>
      <c r="I6731" s="25" t="s">
        <v>2023</v>
      </c>
      <c r="J6731" t="s">
        <v>2379</v>
      </c>
      <c r="M6731" s="49"/>
    </row>
    <row r="6732" spans="6:13" x14ac:dyDescent="0.25">
      <c r="F6732" t="s">
        <v>7016</v>
      </c>
      <c r="G6732">
        <v>48432</v>
      </c>
      <c r="H6732">
        <v>5566</v>
      </c>
      <c r="I6732" s="25" t="s">
        <v>2023</v>
      </c>
      <c r="J6732" t="s">
        <v>2379</v>
      </c>
      <c r="M6732" s="49"/>
    </row>
    <row r="6733" spans="6:13" x14ac:dyDescent="0.25">
      <c r="F6733" t="s">
        <v>7016</v>
      </c>
      <c r="G6733">
        <v>48431</v>
      </c>
      <c r="H6733">
        <v>5566</v>
      </c>
      <c r="I6733" s="25" t="s">
        <v>2023</v>
      </c>
      <c r="J6733" t="s">
        <v>2379</v>
      </c>
      <c r="M6733" s="49"/>
    </row>
    <row r="6734" spans="6:13" x14ac:dyDescent="0.25">
      <c r="F6734" t="s">
        <v>7017</v>
      </c>
      <c r="G6734">
        <v>79618</v>
      </c>
      <c r="H6734">
        <v>8336</v>
      </c>
      <c r="I6734" s="25" t="s">
        <v>2018</v>
      </c>
      <c r="J6734" t="s">
        <v>2227</v>
      </c>
      <c r="M6734" s="49"/>
    </row>
    <row r="6735" spans="6:13" x14ac:dyDescent="0.25">
      <c r="F6735" t="s">
        <v>7018</v>
      </c>
      <c r="G6735">
        <v>79365</v>
      </c>
      <c r="H6735">
        <v>8316</v>
      </c>
      <c r="I6735" s="25" t="s">
        <v>2018</v>
      </c>
      <c r="J6735" t="s">
        <v>2764</v>
      </c>
      <c r="M6735" s="49"/>
    </row>
    <row r="6736" spans="6:13" x14ac:dyDescent="0.25">
      <c r="F6736" t="s">
        <v>7019</v>
      </c>
      <c r="G6736">
        <v>77836</v>
      </c>
      <c r="H6736">
        <v>8216</v>
      </c>
      <c r="I6736" s="25" t="s">
        <v>2018</v>
      </c>
      <c r="J6736" t="s">
        <v>2564</v>
      </c>
      <c r="M6736" s="49"/>
    </row>
    <row r="6737" spans="6:13" x14ac:dyDescent="0.25">
      <c r="F6737" t="s">
        <v>7020</v>
      </c>
      <c r="G6737">
        <v>16831</v>
      </c>
      <c r="H6737">
        <v>12068</v>
      </c>
      <c r="I6737" s="25" t="s">
        <v>2356</v>
      </c>
      <c r="J6737" t="s">
        <v>2299</v>
      </c>
      <c r="M6737" s="49"/>
    </row>
    <row r="6738" spans="6:13" x14ac:dyDescent="0.25">
      <c r="F6738" t="s">
        <v>7020</v>
      </c>
      <c r="G6738">
        <v>16837</v>
      </c>
      <c r="H6738">
        <v>12068</v>
      </c>
      <c r="I6738" s="25" t="s">
        <v>2356</v>
      </c>
      <c r="J6738" t="s">
        <v>2299</v>
      </c>
      <c r="M6738" s="49"/>
    </row>
    <row r="6739" spans="6:13" x14ac:dyDescent="0.25">
      <c r="F6739" t="s">
        <v>7021</v>
      </c>
      <c r="G6739">
        <v>76287</v>
      </c>
      <c r="H6739">
        <v>8215</v>
      </c>
      <c r="I6739" s="25" t="s">
        <v>2018</v>
      </c>
      <c r="J6739" t="s">
        <v>2724</v>
      </c>
      <c r="M6739" s="49"/>
    </row>
    <row r="6740" spans="6:13" x14ac:dyDescent="0.25">
      <c r="F6740" t="s">
        <v>7022</v>
      </c>
      <c r="G6740">
        <v>76764</v>
      </c>
      <c r="H6740">
        <v>7334</v>
      </c>
      <c r="I6740" s="25" t="s">
        <v>2123</v>
      </c>
      <c r="J6740" t="s">
        <v>2873</v>
      </c>
      <c r="M6740" s="49"/>
    </row>
    <row r="6741" spans="6:13" x14ac:dyDescent="0.25">
      <c r="F6741" t="s">
        <v>7023</v>
      </c>
      <c r="G6741">
        <v>56321</v>
      </c>
      <c r="H6741">
        <v>7137</v>
      </c>
      <c r="I6741" s="25" t="s">
        <v>2123</v>
      </c>
      <c r="J6741" t="s">
        <v>2246</v>
      </c>
      <c r="M6741" s="49"/>
    </row>
    <row r="6742" spans="6:13" x14ac:dyDescent="0.25">
      <c r="F6742" t="s">
        <v>7024</v>
      </c>
      <c r="G6742">
        <v>47509</v>
      </c>
      <c r="H6742">
        <v>5154</v>
      </c>
      <c r="I6742" s="25" t="s">
        <v>2023</v>
      </c>
      <c r="J6742" t="s">
        <v>2214</v>
      </c>
      <c r="M6742" s="49"/>
    </row>
    <row r="6743" spans="6:13" x14ac:dyDescent="0.25">
      <c r="F6743" t="s">
        <v>7025</v>
      </c>
      <c r="G6743">
        <v>14728</v>
      </c>
      <c r="H6743">
        <v>12063</v>
      </c>
      <c r="I6743" s="25" t="s">
        <v>2356</v>
      </c>
      <c r="J6743" t="s">
        <v>2181</v>
      </c>
      <c r="M6743" s="49"/>
    </row>
    <row r="6744" spans="6:13" x14ac:dyDescent="0.25">
      <c r="F6744" t="s">
        <v>7026</v>
      </c>
      <c r="G6744">
        <v>76835</v>
      </c>
      <c r="H6744">
        <v>7337</v>
      </c>
      <c r="I6744" s="25" t="s">
        <v>2123</v>
      </c>
      <c r="J6744" t="s">
        <v>2256</v>
      </c>
      <c r="M6744" s="49"/>
    </row>
    <row r="6745" spans="6:13" x14ac:dyDescent="0.25">
      <c r="F6745" t="s">
        <v>7026</v>
      </c>
      <c r="G6745">
        <v>76835</v>
      </c>
      <c r="H6745">
        <v>7337</v>
      </c>
      <c r="I6745" s="25" t="s">
        <v>2123</v>
      </c>
      <c r="J6745" t="s">
        <v>2256</v>
      </c>
      <c r="M6745" s="49"/>
    </row>
    <row r="6746" spans="6:13" x14ac:dyDescent="0.25">
      <c r="F6746" t="s">
        <v>7027</v>
      </c>
      <c r="G6746">
        <v>38551</v>
      </c>
      <c r="H6746">
        <v>3151</v>
      </c>
      <c r="I6746" s="25" t="s">
        <v>2074</v>
      </c>
      <c r="J6746" t="s">
        <v>2126</v>
      </c>
      <c r="M6746" s="49"/>
    </row>
    <row r="6747" spans="6:13" x14ac:dyDescent="0.25">
      <c r="F6747" t="s">
        <v>7028</v>
      </c>
      <c r="G6747">
        <v>18311</v>
      </c>
      <c r="H6747">
        <v>13073</v>
      </c>
      <c r="I6747" s="25" t="s">
        <v>2191</v>
      </c>
      <c r="J6747" t="s">
        <v>2192</v>
      </c>
      <c r="M6747" s="49"/>
    </row>
    <row r="6748" spans="6:13" x14ac:dyDescent="0.25">
      <c r="F6748" t="s">
        <v>7029</v>
      </c>
      <c r="G6748">
        <v>79736</v>
      </c>
      <c r="H6748">
        <v>8337</v>
      </c>
      <c r="I6748" s="25" t="s">
        <v>2018</v>
      </c>
      <c r="J6748" t="s">
        <v>2248</v>
      </c>
      <c r="M6748" s="49"/>
    </row>
    <row r="6749" spans="6:13" x14ac:dyDescent="0.25">
      <c r="F6749" t="s">
        <v>7030</v>
      </c>
      <c r="G6749">
        <v>24635</v>
      </c>
      <c r="H6749">
        <v>1060</v>
      </c>
      <c r="I6749" s="25" t="s">
        <v>2085</v>
      </c>
      <c r="J6749" t="s">
        <v>2363</v>
      </c>
      <c r="M6749" s="49"/>
    </row>
    <row r="6750" spans="6:13" x14ac:dyDescent="0.25">
      <c r="F6750" t="s">
        <v>7031</v>
      </c>
      <c r="G6750">
        <v>86510</v>
      </c>
      <c r="H6750">
        <v>9771</v>
      </c>
      <c r="I6750" s="25" t="s">
        <v>2050</v>
      </c>
      <c r="J6750" t="s">
        <v>2120</v>
      </c>
      <c r="M6750" s="49"/>
    </row>
    <row r="6751" spans="6:13" x14ac:dyDescent="0.25">
      <c r="F6751" t="s">
        <v>7032</v>
      </c>
      <c r="G6751">
        <v>97519</v>
      </c>
      <c r="H6751">
        <v>9674</v>
      </c>
      <c r="I6751" s="25" t="s">
        <v>2050</v>
      </c>
      <c r="J6751" t="s">
        <v>2218</v>
      </c>
      <c r="M6751" s="49"/>
    </row>
    <row r="6752" spans="6:13" x14ac:dyDescent="0.25">
      <c r="F6752" t="s">
        <v>7033</v>
      </c>
      <c r="G6752">
        <v>27339</v>
      </c>
      <c r="H6752">
        <v>3361</v>
      </c>
      <c r="I6752" s="25" t="s">
        <v>2074</v>
      </c>
      <c r="J6752" t="s">
        <v>2075</v>
      </c>
      <c r="M6752" s="49"/>
    </row>
    <row r="6753" spans="6:13" x14ac:dyDescent="0.25">
      <c r="F6753" t="s">
        <v>7034</v>
      </c>
      <c r="G6753">
        <v>92286</v>
      </c>
      <c r="H6753">
        <v>9371</v>
      </c>
      <c r="I6753" s="25" t="s">
        <v>2050</v>
      </c>
      <c r="J6753" t="s">
        <v>2469</v>
      </c>
      <c r="M6753" s="49"/>
    </row>
    <row r="6754" spans="6:13" x14ac:dyDescent="0.25">
      <c r="F6754" t="s">
        <v>7034</v>
      </c>
      <c r="G6754">
        <v>87668</v>
      </c>
      <c r="H6754">
        <v>9777</v>
      </c>
      <c r="I6754" s="25" t="s">
        <v>2050</v>
      </c>
      <c r="J6754" t="s">
        <v>2237</v>
      </c>
      <c r="M6754" s="49"/>
    </row>
    <row r="6755" spans="6:13" x14ac:dyDescent="0.25">
      <c r="F6755" t="s">
        <v>7035</v>
      </c>
      <c r="G6755">
        <v>87669</v>
      </c>
      <c r="H6755">
        <v>9777</v>
      </c>
      <c r="I6755" s="25" t="s">
        <v>2050</v>
      </c>
      <c r="J6755" t="s">
        <v>2237</v>
      </c>
      <c r="M6755" s="49"/>
    </row>
    <row r="6756" spans="6:13" x14ac:dyDescent="0.25">
      <c r="F6756" t="s">
        <v>7036</v>
      </c>
      <c r="G6756">
        <v>97792</v>
      </c>
      <c r="H6756">
        <v>9672</v>
      </c>
      <c r="I6756" s="25" t="s">
        <v>2050</v>
      </c>
      <c r="J6756" t="s">
        <v>2620</v>
      </c>
      <c r="M6756" s="49"/>
    </row>
    <row r="6757" spans="6:13" x14ac:dyDescent="0.25">
      <c r="F6757" t="s">
        <v>7037</v>
      </c>
      <c r="G6757">
        <v>93339</v>
      </c>
      <c r="H6757">
        <v>9273</v>
      </c>
      <c r="I6757" s="25" t="s">
        <v>2050</v>
      </c>
      <c r="J6757" t="s">
        <v>2054</v>
      </c>
      <c r="M6757" s="49"/>
    </row>
    <row r="6758" spans="6:13" x14ac:dyDescent="0.25">
      <c r="F6758" t="s">
        <v>7038</v>
      </c>
      <c r="G6758">
        <v>97283</v>
      </c>
      <c r="H6758">
        <v>9679</v>
      </c>
      <c r="I6758" s="25" t="s">
        <v>2050</v>
      </c>
      <c r="J6758" t="s">
        <v>2428</v>
      </c>
      <c r="M6758" s="49"/>
    </row>
    <row r="6759" spans="6:13" x14ac:dyDescent="0.25">
      <c r="F6759" t="s">
        <v>7039</v>
      </c>
      <c r="G6759">
        <v>72585</v>
      </c>
      <c r="H6759">
        <v>8415</v>
      </c>
      <c r="I6759" s="25" t="s">
        <v>2018</v>
      </c>
      <c r="J6759" t="s">
        <v>2325</v>
      </c>
      <c r="M6759" s="49"/>
    </row>
    <row r="6760" spans="6:13" x14ac:dyDescent="0.25">
      <c r="F6760" t="s">
        <v>7040</v>
      </c>
      <c r="G6760">
        <v>83083</v>
      </c>
      <c r="H6760">
        <v>9187</v>
      </c>
      <c r="I6760" s="25" t="s">
        <v>2050</v>
      </c>
      <c r="J6760" t="s">
        <v>2245</v>
      </c>
      <c r="M6760" s="49"/>
    </row>
    <row r="6761" spans="6:13" x14ac:dyDescent="0.25">
      <c r="F6761" t="s">
        <v>7041</v>
      </c>
      <c r="G6761">
        <v>88377</v>
      </c>
      <c r="H6761">
        <v>8436</v>
      </c>
      <c r="I6761" s="25" t="s">
        <v>2018</v>
      </c>
      <c r="J6761" t="s">
        <v>2068</v>
      </c>
      <c r="M6761" s="49"/>
    </row>
    <row r="6762" spans="6:13" x14ac:dyDescent="0.25">
      <c r="F6762" t="s">
        <v>7042</v>
      </c>
      <c r="G6762">
        <v>94566</v>
      </c>
      <c r="H6762">
        <v>9272</v>
      </c>
      <c r="I6762" s="25" t="s">
        <v>2050</v>
      </c>
      <c r="J6762" t="s">
        <v>2140</v>
      </c>
      <c r="M6762" s="49"/>
    </row>
    <row r="6763" spans="6:13" x14ac:dyDescent="0.25">
      <c r="F6763" t="s">
        <v>7043</v>
      </c>
      <c r="G6763">
        <v>88499</v>
      </c>
      <c r="H6763">
        <v>8425</v>
      </c>
      <c r="I6763" s="25" t="s">
        <v>2018</v>
      </c>
      <c r="J6763" t="s">
        <v>2027</v>
      </c>
      <c r="M6763" s="49"/>
    </row>
    <row r="6764" spans="6:13" x14ac:dyDescent="0.25">
      <c r="F6764" t="s">
        <v>7043</v>
      </c>
      <c r="G6764">
        <v>88499</v>
      </c>
      <c r="H6764">
        <v>8426</v>
      </c>
      <c r="I6764" s="25" t="s">
        <v>2018</v>
      </c>
      <c r="J6764" t="s">
        <v>2081</v>
      </c>
      <c r="M6764" s="49"/>
    </row>
    <row r="6765" spans="6:13" x14ac:dyDescent="0.25">
      <c r="F6765" t="s">
        <v>7044</v>
      </c>
      <c r="G6765">
        <v>64560</v>
      </c>
      <c r="H6765">
        <v>6433</v>
      </c>
      <c r="I6765" s="25" t="s">
        <v>2046</v>
      </c>
      <c r="J6765" t="s">
        <v>3061</v>
      </c>
      <c r="M6765" s="49"/>
    </row>
    <row r="6766" spans="6:13" x14ac:dyDescent="0.25">
      <c r="F6766" t="s">
        <v>7045</v>
      </c>
      <c r="G6766">
        <v>79359</v>
      </c>
      <c r="H6766">
        <v>8316</v>
      </c>
      <c r="I6766" s="25" t="s">
        <v>2018</v>
      </c>
      <c r="J6766" t="s">
        <v>2764</v>
      </c>
      <c r="M6766" s="49"/>
    </row>
    <row r="6767" spans="6:13" x14ac:dyDescent="0.25">
      <c r="F6767" t="s">
        <v>7046</v>
      </c>
      <c r="G6767">
        <v>66292</v>
      </c>
      <c r="H6767">
        <v>10041</v>
      </c>
      <c r="I6767" s="25" t="s">
        <v>2849</v>
      </c>
      <c r="J6767" t="s">
        <v>4138</v>
      </c>
      <c r="M6767" s="49"/>
    </row>
    <row r="6768" spans="6:13" x14ac:dyDescent="0.25">
      <c r="F6768" t="s">
        <v>7047</v>
      </c>
      <c r="G6768">
        <v>78239</v>
      </c>
      <c r="H6768">
        <v>8335</v>
      </c>
      <c r="I6768" s="25" t="s">
        <v>2018</v>
      </c>
      <c r="J6768" t="s">
        <v>2019</v>
      </c>
      <c r="M6768" s="49"/>
    </row>
    <row r="6769" spans="6:13" x14ac:dyDescent="0.25">
      <c r="F6769" t="s">
        <v>7048</v>
      </c>
      <c r="G6769">
        <v>97794</v>
      </c>
      <c r="H6769">
        <v>9677</v>
      </c>
      <c r="I6769" s="25" t="s">
        <v>2050</v>
      </c>
      <c r="J6769" t="s">
        <v>2527</v>
      </c>
      <c r="M6769" s="49"/>
    </row>
    <row r="6770" spans="6:13" x14ac:dyDescent="0.25">
      <c r="F6770" t="s">
        <v>7049</v>
      </c>
      <c r="G6770">
        <v>1589</v>
      </c>
      <c r="H6770">
        <v>14627</v>
      </c>
      <c r="I6770" s="25" t="s">
        <v>2135</v>
      </c>
      <c r="J6770" t="s">
        <v>2251</v>
      </c>
      <c r="M6770" s="49"/>
    </row>
    <row r="6771" spans="6:13" x14ac:dyDescent="0.25">
      <c r="F6771" t="s">
        <v>7049</v>
      </c>
      <c r="G6771">
        <v>1587</v>
      </c>
      <c r="H6771">
        <v>14627</v>
      </c>
      <c r="I6771" s="25" t="s">
        <v>2135</v>
      </c>
      <c r="J6771" t="s">
        <v>2251</v>
      </c>
      <c r="M6771" s="49"/>
    </row>
    <row r="6772" spans="6:13" x14ac:dyDescent="0.25">
      <c r="F6772" t="s">
        <v>7049</v>
      </c>
      <c r="G6772">
        <v>1591</v>
      </c>
      <c r="H6772">
        <v>14627</v>
      </c>
      <c r="I6772" s="25" t="s">
        <v>2135</v>
      </c>
      <c r="J6772" t="s">
        <v>2251</v>
      </c>
      <c r="M6772" s="49"/>
    </row>
    <row r="6773" spans="6:13" x14ac:dyDescent="0.25">
      <c r="F6773" t="s">
        <v>7050</v>
      </c>
      <c r="G6773">
        <v>1594</v>
      </c>
      <c r="H6773">
        <v>14627</v>
      </c>
      <c r="I6773" s="25" t="s">
        <v>2135</v>
      </c>
      <c r="J6773" t="s">
        <v>2251</v>
      </c>
      <c r="M6773" s="49"/>
    </row>
    <row r="6774" spans="6:13" x14ac:dyDescent="0.25">
      <c r="F6774" t="s">
        <v>7051</v>
      </c>
      <c r="G6774">
        <v>73469</v>
      </c>
      <c r="H6774">
        <v>8136</v>
      </c>
      <c r="I6774" s="25" t="s">
        <v>2018</v>
      </c>
      <c r="J6774" t="s">
        <v>2039</v>
      </c>
      <c r="M6774" s="49"/>
    </row>
    <row r="6775" spans="6:13" x14ac:dyDescent="0.25">
      <c r="F6775" t="s">
        <v>7051</v>
      </c>
      <c r="G6775">
        <v>73469</v>
      </c>
      <c r="H6775">
        <v>8136</v>
      </c>
      <c r="I6775" s="25" t="s">
        <v>2018</v>
      </c>
      <c r="J6775" t="s">
        <v>2039</v>
      </c>
      <c r="M6775" s="49"/>
    </row>
    <row r="6776" spans="6:13" x14ac:dyDescent="0.25">
      <c r="F6776" t="s">
        <v>7052</v>
      </c>
      <c r="G6776">
        <v>66509</v>
      </c>
      <c r="H6776">
        <v>7340</v>
      </c>
      <c r="I6776" s="25" t="s">
        <v>2123</v>
      </c>
      <c r="J6776" t="s">
        <v>2826</v>
      </c>
      <c r="M6776" s="49"/>
    </row>
    <row r="6777" spans="6:13" x14ac:dyDescent="0.25">
      <c r="F6777" t="s">
        <v>7053</v>
      </c>
      <c r="G6777">
        <v>49597</v>
      </c>
      <c r="H6777">
        <v>3459</v>
      </c>
      <c r="I6777" s="25" t="s">
        <v>2074</v>
      </c>
      <c r="J6777" t="s">
        <v>2292</v>
      </c>
      <c r="M6777" s="49"/>
    </row>
    <row r="6778" spans="6:13" x14ac:dyDescent="0.25">
      <c r="F6778" t="s">
        <v>7054</v>
      </c>
      <c r="G6778">
        <v>55499</v>
      </c>
      <c r="H6778">
        <v>7140</v>
      </c>
      <c r="I6778" s="25" t="s">
        <v>2123</v>
      </c>
      <c r="J6778" t="s">
        <v>2329</v>
      </c>
      <c r="M6778" s="49"/>
    </row>
    <row r="6779" spans="6:13" x14ac:dyDescent="0.25">
      <c r="F6779" t="s">
        <v>7055</v>
      </c>
      <c r="G6779">
        <v>33397</v>
      </c>
      <c r="H6779">
        <v>5754</v>
      </c>
      <c r="I6779" s="25" t="s">
        <v>2023</v>
      </c>
      <c r="J6779" t="s">
        <v>2165</v>
      </c>
      <c r="M6779" s="49"/>
    </row>
    <row r="6780" spans="6:13" x14ac:dyDescent="0.25">
      <c r="F6780" t="s">
        <v>7056</v>
      </c>
      <c r="G6780">
        <v>78604</v>
      </c>
      <c r="H6780">
        <v>8327</v>
      </c>
      <c r="I6780" s="25" t="s">
        <v>2018</v>
      </c>
      <c r="J6780" t="s">
        <v>2277</v>
      </c>
      <c r="M6780" s="49"/>
    </row>
    <row r="6781" spans="6:13" x14ac:dyDescent="0.25">
      <c r="F6781" t="s">
        <v>7057</v>
      </c>
      <c r="G6781">
        <v>2956</v>
      </c>
      <c r="H6781">
        <v>14626</v>
      </c>
      <c r="I6781" s="25" t="s">
        <v>2135</v>
      </c>
      <c r="J6781" t="s">
        <v>2150</v>
      </c>
      <c r="M6781" s="49"/>
    </row>
    <row r="6782" spans="6:13" x14ac:dyDescent="0.25">
      <c r="F6782" t="s">
        <v>7058</v>
      </c>
      <c r="G6782">
        <v>64668</v>
      </c>
      <c r="H6782">
        <v>6431</v>
      </c>
      <c r="I6782" s="25" t="s">
        <v>2046</v>
      </c>
      <c r="J6782" t="s">
        <v>2065</v>
      </c>
      <c r="M6782" s="49"/>
    </row>
    <row r="6783" spans="6:13" x14ac:dyDescent="0.25">
      <c r="F6783" t="s">
        <v>7058</v>
      </c>
      <c r="G6783">
        <v>93485</v>
      </c>
      <c r="H6783">
        <v>9372</v>
      </c>
      <c r="I6783" s="25" t="s">
        <v>2050</v>
      </c>
      <c r="J6783" t="s">
        <v>2523</v>
      </c>
      <c r="M6783" s="49"/>
    </row>
    <row r="6784" spans="6:13" x14ac:dyDescent="0.25">
      <c r="F6784" t="s">
        <v>7059</v>
      </c>
      <c r="G6784">
        <v>97222</v>
      </c>
      <c r="H6784">
        <v>9679</v>
      </c>
      <c r="I6784" s="25" t="s">
        <v>2050</v>
      </c>
      <c r="J6784" t="s">
        <v>2428</v>
      </c>
      <c r="M6784" s="49"/>
    </row>
    <row r="6785" spans="6:13" x14ac:dyDescent="0.25">
      <c r="F6785" t="s">
        <v>7060</v>
      </c>
      <c r="G6785">
        <v>83253</v>
      </c>
      <c r="H6785">
        <v>9187</v>
      </c>
      <c r="I6785" s="25" t="s">
        <v>2050</v>
      </c>
      <c r="J6785" t="s">
        <v>2245</v>
      </c>
      <c r="M6785" s="49"/>
    </row>
    <row r="6786" spans="6:13" x14ac:dyDescent="0.25">
      <c r="F6786" t="s">
        <v>7061</v>
      </c>
      <c r="G6786">
        <v>94269</v>
      </c>
      <c r="H6786">
        <v>9276</v>
      </c>
      <c r="I6786" s="25" t="s">
        <v>2050</v>
      </c>
      <c r="J6786" t="s">
        <v>2078</v>
      </c>
      <c r="M6786" s="49"/>
    </row>
    <row r="6787" spans="6:13" x14ac:dyDescent="0.25">
      <c r="F6787" t="s">
        <v>7062</v>
      </c>
      <c r="G6787">
        <v>49824</v>
      </c>
      <c r="H6787">
        <v>3456</v>
      </c>
      <c r="I6787" s="25" t="s">
        <v>2074</v>
      </c>
      <c r="J6787" t="s">
        <v>2156</v>
      </c>
      <c r="M6787" s="49"/>
    </row>
    <row r="6788" spans="6:13" x14ac:dyDescent="0.25">
      <c r="F6788" t="s">
        <v>7063</v>
      </c>
      <c r="G6788">
        <v>94160</v>
      </c>
      <c r="H6788">
        <v>9272</v>
      </c>
      <c r="I6788" s="25" t="s">
        <v>2050</v>
      </c>
      <c r="J6788" t="s">
        <v>2140</v>
      </c>
      <c r="M6788" s="49"/>
    </row>
    <row r="6789" spans="6:13" x14ac:dyDescent="0.25">
      <c r="F6789" t="s">
        <v>7064</v>
      </c>
      <c r="G6789">
        <v>37296</v>
      </c>
      <c r="H6789">
        <v>6636</v>
      </c>
      <c r="I6789" s="25" t="s">
        <v>2046</v>
      </c>
      <c r="J6789" t="s">
        <v>2733</v>
      </c>
      <c r="M6789" s="49"/>
    </row>
    <row r="6790" spans="6:13" x14ac:dyDescent="0.25">
      <c r="F6790" t="s">
        <v>7065</v>
      </c>
      <c r="G6790">
        <v>77975</v>
      </c>
      <c r="H6790">
        <v>8317</v>
      </c>
      <c r="I6790" s="25" t="s">
        <v>2018</v>
      </c>
      <c r="J6790" t="s">
        <v>2071</v>
      </c>
      <c r="M6790" s="49"/>
    </row>
    <row r="6791" spans="6:13" x14ac:dyDescent="0.25">
      <c r="F6791" t="s">
        <v>7066</v>
      </c>
      <c r="G6791">
        <v>31737</v>
      </c>
      <c r="H6791">
        <v>3257</v>
      </c>
      <c r="I6791" s="25" t="s">
        <v>2074</v>
      </c>
      <c r="J6791" t="s">
        <v>2167</v>
      </c>
      <c r="M6791" s="49"/>
    </row>
    <row r="6792" spans="6:13" x14ac:dyDescent="0.25">
      <c r="F6792" t="s">
        <v>7067</v>
      </c>
      <c r="G6792">
        <v>25920</v>
      </c>
      <c r="H6792">
        <v>1054</v>
      </c>
      <c r="I6792" s="25" t="s">
        <v>2085</v>
      </c>
      <c r="J6792" t="s">
        <v>2195</v>
      </c>
      <c r="M6792" s="49"/>
    </row>
    <row r="6793" spans="6:13" x14ac:dyDescent="0.25">
      <c r="F6793" t="s">
        <v>7068</v>
      </c>
      <c r="G6793">
        <v>27721</v>
      </c>
      <c r="H6793">
        <v>3356</v>
      </c>
      <c r="I6793" s="25" t="s">
        <v>2074</v>
      </c>
      <c r="J6793" t="s">
        <v>2295</v>
      </c>
      <c r="M6793" s="49"/>
    </row>
    <row r="6794" spans="6:13" x14ac:dyDescent="0.25">
      <c r="F6794" t="s">
        <v>7069</v>
      </c>
      <c r="G6794">
        <v>54636</v>
      </c>
      <c r="H6794">
        <v>7232</v>
      </c>
      <c r="I6794" s="25" t="s">
        <v>2123</v>
      </c>
      <c r="J6794" t="s">
        <v>2112</v>
      </c>
      <c r="M6794" s="49"/>
    </row>
    <row r="6795" spans="6:13" x14ac:dyDescent="0.25">
      <c r="F6795" t="s">
        <v>7070</v>
      </c>
      <c r="G6795">
        <v>17207</v>
      </c>
      <c r="H6795">
        <v>13071</v>
      </c>
      <c r="I6795" s="25" t="s">
        <v>2191</v>
      </c>
      <c r="J6795" t="s">
        <v>2091</v>
      </c>
      <c r="M6795" s="49"/>
    </row>
    <row r="6796" spans="6:13" x14ac:dyDescent="0.25">
      <c r="F6796" t="s">
        <v>7071</v>
      </c>
      <c r="G6796">
        <v>39579</v>
      </c>
      <c r="H6796">
        <v>15090</v>
      </c>
      <c r="I6796" s="25" t="s">
        <v>2241</v>
      </c>
      <c r="J6796" t="s">
        <v>2382</v>
      </c>
      <c r="M6796" s="49"/>
    </row>
    <row r="6797" spans="6:13" x14ac:dyDescent="0.25">
      <c r="F6797" t="s">
        <v>7072</v>
      </c>
      <c r="G6797">
        <v>9306</v>
      </c>
      <c r="H6797">
        <v>14522</v>
      </c>
      <c r="I6797" s="25" t="s">
        <v>2135</v>
      </c>
      <c r="J6797" t="s">
        <v>2100</v>
      </c>
      <c r="M6797" s="49"/>
    </row>
    <row r="6798" spans="6:13" x14ac:dyDescent="0.25">
      <c r="F6798" t="s">
        <v>7073</v>
      </c>
      <c r="G6798">
        <v>35519</v>
      </c>
      <c r="H6798">
        <v>6440</v>
      </c>
      <c r="I6798" s="25" t="s">
        <v>2046</v>
      </c>
      <c r="J6798" t="s">
        <v>2415</v>
      </c>
      <c r="M6798" s="49"/>
    </row>
    <row r="6799" spans="6:13" x14ac:dyDescent="0.25">
      <c r="F6799" t="s">
        <v>7074</v>
      </c>
      <c r="G6799">
        <v>67806</v>
      </c>
      <c r="H6799">
        <v>7333</v>
      </c>
      <c r="I6799" s="25" t="s">
        <v>2123</v>
      </c>
      <c r="J6799" t="s">
        <v>2103</v>
      </c>
      <c r="M6799" s="49"/>
    </row>
    <row r="6800" spans="6:13" x14ac:dyDescent="0.25">
      <c r="F6800" t="s">
        <v>7075</v>
      </c>
      <c r="G6800">
        <v>99102</v>
      </c>
      <c r="H6800">
        <v>16070</v>
      </c>
      <c r="I6800" s="25" t="s">
        <v>2384</v>
      </c>
      <c r="J6800" t="s">
        <v>2206</v>
      </c>
      <c r="M6800" s="49"/>
    </row>
    <row r="6801" spans="6:13" x14ac:dyDescent="0.25">
      <c r="F6801" t="s">
        <v>7075</v>
      </c>
      <c r="G6801">
        <v>99102</v>
      </c>
      <c r="H6801">
        <v>16070</v>
      </c>
      <c r="I6801" s="25" t="s">
        <v>2384</v>
      </c>
      <c r="J6801" t="s">
        <v>2206</v>
      </c>
      <c r="M6801" s="49"/>
    </row>
    <row r="6802" spans="6:13" x14ac:dyDescent="0.25">
      <c r="F6802" t="s">
        <v>7075</v>
      </c>
      <c r="G6802">
        <v>99102</v>
      </c>
      <c r="H6802">
        <v>16071</v>
      </c>
      <c r="I6802" s="25" t="s">
        <v>2384</v>
      </c>
      <c r="J6802" t="s">
        <v>2508</v>
      </c>
      <c r="M6802" s="49"/>
    </row>
    <row r="6803" spans="6:13" x14ac:dyDescent="0.25">
      <c r="F6803" t="s">
        <v>7075</v>
      </c>
      <c r="G6803">
        <v>99102</v>
      </c>
      <c r="H6803">
        <v>16071</v>
      </c>
      <c r="I6803" s="25" t="s">
        <v>2384</v>
      </c>
      <c r="J6803" t="s">
        <v>2508</v>
      </c>
      <c r="M6803" s="49"/>
    </row>
    <row r="6804" spans="6:13" x14ac:dyDescent="0.25">
      <c r="F6804" t="s">
        <v>7076</v>
      </c>
      <c r="G6804">
        <v>91740</v>
      </c>
      <c r="H6804">
        <v>9571</v>
      </c>
      <c r="I6804" s="25" t="s">
        <v>2050</v>
      </c>
      <c r="J6804" t="s">
        <v>2113</v>
      </c>
      <c r="M6804" s="49"/>
    </row>
    <row r="6805" spans="6:13" x14ac:dyDescent="0.25">
      <c r="F6805" t="s">
        <v>7077</v>
      </c>
      <c r="G6805">
        <v>96476</v>
      </c>
      <c r="H6805">
        <v>9473</v>
      </c>
      <c r="I6805" s="25" t="s">
        <v>2050</v>
      </c>
      <c r="J6805" t="s">
        <v>2177</v>
      </c>
      <c r="M6805" s="49"/>
    </row>
    <row r="6806" spans="6:13" x14ac:dyDescent="0.25">
      <c r="F6806" t="s">
        <v>7078</v>
      </c>
      <c r="G6806">
        <v>66976</v>
      </c>
      <c r="H6806">
        <v>7340</v>
      </c>
      <c r="I6806" s="25" t="s">
        <v>2123</v>
      </c>
      <c r="J6806" t="s">
        <v>2826</v>
      </c>
      <c r="M6806" s="49"/>
    </row>
    <row r="6807" spans="6:13" x14ac:dyDescent="0.25">
      <c r="F6807" t="s">
        <v>7079</v>
      </c>
      <c r="G6807">
        <v>99976</v>
      </c>
      <c r="H6807">
        <v>16064</v>
      </c>
      <c r="I6807" s="25" t="s">
        <v>2384</v>
      </c>
      <c r="J6807" t="s">
        <v>2405</v>
      </c>
      <c r="M6807" s="49"/>
    </row>
    <row r="6808" spans="6:13" x14ac:dyDescent="0.25">
      <c r="F6808" t="s">
        <v>7080</v>
      </c>
      <c r="G6808">
        <v>97348</v>
      </c>
      <c r="H6808">
        <v>9675</v>
      </c>
      <c r="I6808" s="25" t="s">
        <v>2050</v>
      </c>
      <c r="J6808" t="s">
        <v>2259</v>
      </c>
      <c r="M6808" s="49"/>
    </row>
    <row r="6809" spans="6:13" x14ac:dyDescent="0.25">
      <c r="F6809" t="s">
        <v>7080</v>
      </c>
      <c r="G6809">
        <v>97348</v>
      </c>
      <c r="H6809">
        <v>9675</v>
      </c>
      <c r="I6809" s="25" t="s">
        <v>2050</v>
      </c>
      <c r="J6809" t="s">
        <v>2259</v>
      </c>
      <c r="M6809" s="49"/>
    </row>
    <row r="6810" spans="6:13" x14ac:dyDescent="0.25">
      <c r="F6810" t="s">
        <v>7080</v>
      </c>
      <c r="G6810">
        <v>97348</v>
      </c>
      <c r="H6810">
        <v>9675</v>
      </c>
      <c r="I6810" s="25" t="s">
        <v>2050</v>
      </c>
      <c r="J6810" t="s">
        <v>2259</v>
      </c>
      <c r="M6810" s="49"/>
    </row>
    <row r="6811" spans="6:13" x14ac:dyDescent="0.25">
      <c r="F6811" t="s">
        <v>7081</v>
      </c>
      <c r="G6811">
        <v>97849</v>
      </c>
      <c r="H6811">
        <v>9677</v>
      </c>
      <c r="I6811" s="25" t="s">
        <v>2050</v>
      </c>
      <c r="J6811" t="s">
        <v>2527</v>
      </c>
      <c r="M6811" s="49"/>
    </row>
    <row r="6812" spans="6:13" x14ac:dyDescent="0.25">
      <c r="F6812" t="s">
        <v>7082</v>
      </c>
      <c r="G6812">
        <v>25924</v>
      </c>
      <c r="H6812">
        <v>1054</v>
      </c>
      <c r="I6812" s="25" t="s">
        <v>2085</v>
      </c>
      <c r="J6812" t="s">
        <v>2195</v>
      </c>
      <c r="M6812" s="49"/>
    </row>
    <row r="6813" spans="6:13" x14ac:dyDescent="0.25">
      <c r="F6813" t="s">
        <v>7083</v>
      </c>
      <c r="G6813">
        <v>63517</v>
      </c>
      <c r="H6813">
        <v>6435</v>
      </c>
      <c r="I6813" s="25" t="s">
        <v>2046</v>
      </c>
      <c r="J6813" t="s">
        <v>2703</v>
      </c>
      <c r="M6813" s="49"/>
    </row>
    <row r="6814" spans="6:13" x14ac:dyDescent="0.25">
      <c r="F6814" t="s">
        <v>7083</v>
      </c>
      <c r="G6814">
        <v>67688</v>
      </c>
      <c r="H6814">
        <v>7335</v>
      </c>
      <c r="I6814" s="25" t="s">
        <v>2123</v>
      </c>
      <c r="J6814" t="s">
        <v>2843</v>
      </c>
      <c r="M6814" s="49"/>
    </row>
    <row r="6815" spans="6:13" x14ac:dyDescent="0.25">
      <c r="F6815" t="s">
        <v>7084</v>
      </c>
      <c r="G6815">
        <v>96472</v>
      </c>
      <c r="H6815">
        <v>9473</v>
      </c>
      <c r="I6815" s="25" t="s">
        <v>2050</v>
      </c>
      <c r="J6815" t="s">
        <v>2177</v>
      </c>
      <c r="M6815" s="49"/>
    </row>
    <row r="6816" spans="6:13" x14ac:dyDescent="0.25">
      <c r="F6816" t="s">
        <v>7085</v>
      </c>
      <c r="G6816">
        <v>4932</v>
      </c>
      <c r="H6816">
        <v>12062</v>
      </c>
      <c r="I6816" s="25" t="s">
        <v>2356</v>
      </c>
      <c r="J6816" t="s">
        <v>2689</v>
      </c>
      <c r="M6816" s="49"/>
    </row>
    <row r="6817" spans="6:13" x14ac:dyDescent="0.25">
      <c r="F6817" t="s">
        <v>7086</v>
      </c>
      <c r="G6817">
        <v>63322</v>
      </c>
      <c r="H6817">
        <v>6438</v>
      </c>
      <c r="I6817" s="25" t="s">
        <v>2046</v>
      </c>
      <c r="J6817" t="s">
        <v>3567</v>
      </c>
      <c r="M6817" s="49"/>
    </row>
    <row r="6818" spans="6:13" x14ac:dyDescent="0.25">
      <c r="F6818" t="s">
        <v>7087</v>
      </c>
      <c r="G6818">
        <v>67127</v>
      </c>
      <c r="H6818">
        <v>7338</v>
      </c>
      <c r="I6818" s="25" t="s">
        <v>2123</v>
      </c>
      <c r="J6818" t="s">
        <v>2448</v>
      </c>
      <c r="M6818" s="49"/>
    </row>
    <row r="6819" spans="6:13" x14ac:dyDescent="0.25">
      <c r="F6819" t="s">
        <v>7088</v>
      </c>
      <c r="G6819">
        <v>31637</v>
      </c>
      <c r="H6819">
        <v>3256</v>
      </c>
      <c r="I6819" s="25" t="s">
        <v>2074</v>
      </c>
      <c r="J6819" t="s">
        <v>2271</v>
      </c>
      <c r="M6819" s="49"/>
    </row>
    <row r="6820" spans="6:13" x14ac:dyDescent="0.25">
      <c r="F6820" t="s">
        <v>7089</v>
      </c>
      <c r="G6820">
        <v>8228</v>
      </c>
      <c r="H6820">
        <v>14523</v>
      </c>
      <c r="I6820" s="25" t="s">
        <v>2135</v>
      </c>
      <c r="J6820" t="s">
        <v>2136</v>
      </c>
      <c r="M6820" s="49"/>
    </row>
    <row r="6821" spans="6:13" x14ac:dyDescent="0.25">
      <c r="F6821" t="s">
        <v>7090</v>
      </c>
      <c r="G6821">
        <v>63110</v>
      </c>
      <c r="H6821">
        <v>6438</v>
      </c>
      <c r="I6821" s="25" t="s">
        <v>2046</v>
      </c>
      <c r="J6821" t="s">
        <v>3567</v>
      </c>
      <c r="M6821" s="49"/>
    </row>
    <row r="6822" spans="6:13" x14ac:dyDescent="0.25">
      <c r="F6822" t="s">
        <v>7091</v>
      </c>
      <c r="G6822">
        <v>93426</v>
      </c>
      <c r="H6822">
        <v>9372</v>
      </c>
      <c r="I6822" s="25" t="s">
        <v>2050</v>
      </c>
      <c r="J6822" t="s">
        <v>2523</v>
      </c>
      <c r="M6822" s="49"/>
    </row>
    <row r="6823" spans="6:13" x14ac:dyDescent="0.25">
      <c r="F6823" t="s">
        <v>7091</v>
      </c>
      <c r="G6823">
        <v>93426</v>
      </c>
      <c r="H6823">
        <v>9372</v>
      </c>
      <c r="I6823" s="25" t="s">
        <v>2050</v>
      </c>
      <c r="J6823" t="s">
        <v>2523</v>
      </c>
      <c r="M6823" s="49"/>
    </row>
    <row r="6824" spans="6:13" x14ac:dyDescent="0.25">
      <c r="F6824" t="s">
        <v>7092</v>
      </c>
      <c r="G6824">
        <v>32289</v>
      </c>
      <c r="H6824">
        <v>5758</v>
      </c>
      <c r="I6824" s="25" t="s">
        <v>2023</v>
      </c>
      <c r="J6824" t="s">
        <v>2189</v>
      </c>
      <c r="M6824" s="49"/>
    </row>
    <row r="6825" spans="6:13" x14ac:dyDescent="0.25">
      <c r="F6825" t="s">
        <v>7093</v>
      </c>
      <c r="G6825">
        <v>52159</v>
      </c>
      <c r="H6825">
        <v>5334</v>
      </c>
      <c r="I6825" s="25" t="s">
        <v>2023</v>
      </c>
      <c r="J6825" t="s">
        <v>2341</v>
      </c>
      <c r="M6825" s="49"/>
    </row>
    <row r="6826" spans="6:13" x14ac:dyDescent="0.25">
      <c r="F6826" t="s">
        <v>7093</v>
      </c>
      <c r="G6826">
        <v>52159</v>
      </c>
      <c r="H6826">
        <v>5334</v>
      </c>
      <c r="I6826" s="25" t="s">
        <v>2023</v>
      </c>
      <c r="J6826" t="s">
        <v>2341</v>
      </c>
      <c r="M6826" s="49"/>
    </row>
    <row r="6827" spans="6:13" x14ac:dyDescent="0.25">
      <c r="F6827" t="s">
        <v>7093</v>
      </c>
      <c r="G6827">
        <v>52159</v>
      </c>
      <c r="H6827">
        <v>5334</v>
      </c>
      <c r="I6827" s="25" t="s">
        <v>2023</v>
      </c>
      <c r="J6827" t="s">
        <v>2341</v>
      </c>
      <c r="M6827" s="49"/>
    </row>
    <row r="6828" spans="6:13" x14ac:dyDescent="0.25">
      <c r="F6828" t="s">
        <v>7094</v>
      </c>
      <c r="G6828">
        <v>89365</v>
      </c>
      <c r="H6828">
        <v>9774</v>
      </c>
      <c r="I6828" s="25" t="s">
        <v>2050</v>
      </c>
      <c r="J6828" t="s">
        <v>2205</v>
      </c>
      <c r="M6828" s="49"/>
    </row>
    <row r="6829" spans="6:13" x14ac:dyDescent="0.25">
      <c r="F6829" t="s">
        <v>7095</v>
      </c>
      <c r="G6829">
        <v>89297</v>
      </c>
      <c r="H6829">
        <v>9775</v>
      </c>
      <c r="I6829" s="25" t="s">
        <v>2050</v>
      </c>
      <c r="J6829" t="s">
        <v>2418</v>
      </c>
      <c r="M6829" s="49"/>
    </row>
    <row r="6830" spans="6:13" x14ac:dyDescent="0.25">
      <c r="F6830" t="s">
        <v>7096</v>
      </c>
      <c r="G6830">
        <v>18184</v>
      </c>
      <c r="H6830">
        <v>13072</v>
      </c>
      <c r="I6830" s="25" t="s">
        <v>2191</v>
      </c>
      <c r="J6830" t="s">
        <v>2036</v>
      </c>
      <c r="M6830" s="49"/>
    </row>
    <row r="6831" spans="6:13" x14ac:dyDescent="0.25">
      <c r="F6831" t="s">
        <v>7097</v>
      </c>
      <c r="G6831">
        <v>86703</v>
      </c>
      <c r="H6831">
        <v>9779</v>
      </c>
      <c r="I6831" s="25" t="s">
        <v>2050</v>
      </c>
      <c r="J6831" t="s">
        <v>2280</v>
      </c>
      <c r="M6831" s="49"/>
    </row>
    <row r="6832" spans="6:13" x14ac:dyDescent="0.25">
      <c r="F6832" t="s">
        <v>7098</v>
      </c>
      <c r="G6832">
        <v>23821</v>
      </c>
      <c r="H6832">
        <v>1060</v>
      </c>
      <c r="I6832" s="25" t="s">
        <v>2085</v>
      </c>
      <c r="J6832" t="s">
        <v>2363</v>
      </c>
      <c r="M6832" s="49"/>
    </row>
    <row r="6833" spans="6:13" x14ac:dyDescent="0.25">
      <c r="F6833" t="s">
        <v>7099</v>
      </c>
      <c r="G6833">
        <v>91189</v>
      </c>
      <c r="H6833">
        <v>9576</v>
      </c>
      <c r="I6833" s="25" t="s">
        <v>2050</v>
      </c>
      <c r="J6833" t="s">
        <v>2051</v>
      </c>
      <c r="M6833" s="49"/>
    </row>
    <row r="6834" spans="6:13" x14ac:dyDescent="0.25">
      <c r="F6834" t="s">
        <v>7100</v>
      </c>
      <c r="G6834">
        <v>93352</v>
      </c>
      <c r="H6834">
        <v>9273</v>
      </c>
      <c r="I6834" s="25" t="s">
        <v>2050</v>
      </c>
      <c r="J6834" t="s">
        <v>2054</v>
      </c>
      <c r="M6834" s="49"/>
    </row>
    <row r="6835" spans="6:13" x14ac:dyDescent="0.25">
      <c r="F6835" t="s">
        <v>7101</v>
      </c>
      <c r="G6835">
        <v>85296</v>
      </c>
      <c r="H6835">
        <v>9186</v>
      </c>
      <c r="I6835" s="25" t="s">
        <v>2050</v>
      </c>
      <c r="J6835" t="s">
        <v>2594</v>
      </c>
      <c r="M6835" s="49"/>
    </row>
    <row r="6836" spans="6:13" x14ac:dyDescent="0.25">
      <c r="F6836" t="s">
        <v>7102</v>
      </c>
      <c r="G6836">
        <v>72229</v>
      </c>
      <c r="H6836">
        <v>8235</v>
      </c>
      <c r="I6836" s="25" t="s">
        <v>2018</v>
      </c>
      <c r="J6836" t="s">
        <v>2422</v>
      </c>
      <c r="M6836" s="49"/>
    </row>
    <row r="6837" spans="6:13" x14ac:dyDescent="0.25">
      <c r="F6837" t="s">
        <v>7102</v>
      </c>
      <c r="G6837">
        <v>83101</v>
      </c>
      <c r="H6837">
        <v>9187</v>
      </c>
      <c r="I6837" s="25" t="s">
        <v>2050</v>
      </c>
      <c r="J6837" t="s">
        <v>2245</v>
      </c>
      <c r="M6837" s="49"/>
    </row>
    <row r="6838" spans="6:13" x14ac:dyDescent="0.25">
      <c r="F6838" t="s">
        <v>7103</v>
      </c>
      <c r="G6838">
        <v>86701</v>
      </c>
      <c r="H6838">
        <v>9185</v>
      </c>
      <c r="I6838" s="25" t="s">
        <v>2050</v>
      </c>
      <c r="J6838" t="s">
        <v>2515</v>
      </c>
      <c r="M6838" s="49"/>
    </row>
    <row r="6839" spans="6:13" x14ac:dyDescent="0.25">
      <c r="F6839" t="s">
        <v>7104</v>
      </c>
      <c r="G6839">
        <v>85244</v>
      </c>
      <c r="H6839">
        <v>9174</v>
      </c>
      <c r="I6839" s="25" t="s">
        <v>2050</v>
      </c>
      <c r="J6839" t="s">
        <v>2445</v>
      </c>
      <c r="M6839" s="49"/>
    </row>
    <row r="6840" spans="6:13" x14ac:dyDescent="0.25">
      <c r="F6840" t="s">
        <v>7105</v>
      </c>
      <c r="G6840">
        <v>94133</v>
      </c>
      <c r="H6840">
        <v>9272</v>
      </c>
      <c r="I6840" s="25" t="s">
        <v>2050</v>
      </c>
      <c r="J6840" t="s">
        <v>2140</v>
      </c>
      <c r="M6840" s="49"/>
    </row>
    <row r="6841" spans="6:13" x14ac:dyDescent="0.25">
      <c r="F6841" t="s">
        <v>7106</v>
      </c>
      <c r="G6841">
        <v>9247</v>
      </c>
      <c r="H6841">
        <v>14511</v>
      </c>
      <c r="I6841" s="25" t="s">
        <v>2135</v>
      </c>
      <c r="J6841" t="s">
        <v>3431</v>
      </c>
      <c r="M6841" s="49"/>
    </row>
    <row r="6842" spans="6:13" x14ac:dyDescent="0.25">
      <c r="F6842" t="s">
        <v>7107</v>
      </c>
      <c r="G6842">
        <v>31627</v>
      </c>
      <c r="H6842">
        <v>3256</v>
      </c>
      <c r="I6842" s="25" t="s">
        <v>2074</v>
      </c>
      <c r="J6842" t="s">
        <v>2271</v>
      </c>
      <c r="M6842" s="49"/>
    </row>
    <row r="6843" spans="6:13" x14ac:dyDescent="0.25">
      <c r="F6843" t="s">
        <v>7108</v>
      </c>
      <c r="G6843">
        <v>74255</v>
      </c>
      <c r="H6843">
        <v>8125</v>
      </c>
      <c r="I6843" s="25" t="s">
        <v>2018</v>
      </c>
      <c r="J6843" t="s">
        <v>2060</v>
      </c>
      <c r="M6843" s="49"/>
    </row>
    <row r="6844" spans="6:13" x14ac:dyDescent="0.25">
      <c r="F6844" t="s">
        <v>7109</v>
      </c>
      <c r="G6844">
        <v>6809</v>
      </c>
      <c r="H6844">
        <v>15082</v>
      </c>
      <c r="I6844" s="25" t="s">
        <v>2241</v>
      </c>
      <c r="J6844" t="s">
        <v>2242</v>
      </c>
      <c r="M6844" s="49"/>
    </row>
    <row r="6845" spans="6:13" x14ac:dyDescent="0.25">
      <c r="F6845" t="s">
        <v>7110</v>
      </c>
      <c r="G6845">
        <v>38325</v>
      </c>
      <c r="H6845">
        <v>3158</v>
      </c>
      <c r="I6845" s="25" t="s">
        <v>2074</v>
      </c>
      <c r="J6845" t="s">
        <v>2434</v>
      </c>
      <c r="M6845" s="49"/>
    </row>
    <row r="6846" spans="6:13" x14ac:dyDescent="0.25">
      <c r="F6846" t="s">
        <v>7111</v>
      </c>
      <c r="G6846">
        <v>63934</v>
      </c>
      <c r="H6846">
        <v>9676</v>
      </c>
      <c r="I6846" s="25" t="s">
        <v>2050</v>
      </c>
      <c r="J6846" t="s">
        <v>2381</v>
      </c>
      <c r="M6846" s="49"/>
    </row>
    <row r="6847" spans="6:13" x14ac:dyDescent="0.25">
      <c r="F6847" t="s">
        <v>7112</v>
      </c>
      <c r="G6847">
        <v>67354</v>
      </c>
      <c r="H6847">
        <v>7338</v>
      </c>
      <c r="I6847" s="25" t="s">
        <v>2123</v>
      </c>
      <c r="J6847" t="s">
        <v>2448</v>
      </c>
      <c r="M6847" s="49"/>
    </row>
    <row r="6848" spans="6:13" x14ac:dyDescent="0.25">
      <c r="F6848" t="s">
        <v>7113</v>
      </c>
      <c r="G6848">
        <v>72587</v>
      </c>
      <c r="H6848">
        <v>8415</v>
      </c>
      <c r="I6848" s="25" t="s">
        <v>2018</v>
      </c>
      <c r="J6848" t="s">
        <v>2325</v>
      </c>
      <c r="M6848" s="49"/>
    </row>
    <row r="6849" spans="6:13" x14ac:dyDescent="0.25">
      <c r="F6849" t="s">
        <v>7114</v>
      </c>
      <c r="G6849">
        <v>98630</v>
      </c>
      <c r="H6849">
        <v>16069</v>
      </c>
      <c r="I6849" s="25" t="s">
        <v>2384</v>
      </c>
      <c r="J6849" t="s">
        <v>2631</v>
      </c>
      <c r="M6849" s="49"/>
    </row>
    <row r="6850" spans="6:13" x14ac:dyDescent="0.25">
      <c r="F6850" t="s">
        <v>7115</v>
      </c>
      <c r="G6850">
        <v>41569</v>
      </c>
      <c r="H6850">
        <v>5162</v>
      </c>
      <c r="I6850" s="25" t="s">
        <v>2023</v>
      </c>
      <c r="J6850" t="s">
        <v>2333</v>
      </c>
      <c r="M6850" s="49"/>
    </row>
    <row r="6851" spans="6:13" x14ac:dyDescent="0.25">
      <c r="F6851" t="s">
        <v>7116</v>
      </c>
      <c r="G6851">
        <v>36329</v>
      </c>
      <c r="H6851">
        <v>6535</v>
      </c>
      <c r="I6851" s="25" t="s">
        <v>2046</v>
      </c>
      <c r="J6851" t="s">
        <v>2346</v>
      </c>
      <c r="M6851" s="49"/>
    </row>
    <row r="6852" spans="6:13" x14ac:dyDescent="0.25">
      <c r="F6852" t="s">
        <v>7117</v>
      </c>
      <c r="G6852">
        <v>29591</v>
      </c>
      <c r="H6852">
        <v>3360</v>
      </c>
      <c r="I6852" s="25" t="s">
        <v>2074</v>
      </c>
      <c r="J6852" t="s">
        <v>2400</v>
      </c>
      <c r="M6852" s="49"/>
    </row>
    <row r="6853" spans="6:13" x14ac:dyDescent="0.25">
      <c r="F6853" t="s">
        <v>7118</v>
      </c>
      <c r="G6853">
        <v>63549</v>
      </c>
      <c r="H6853">
        <v>6435</v>
      </c>
      <c r="I6853" s="25" t="s">
        <v>2046</v>
      </c>
      <c r="J6853" t="s">
        <v>2703</v>
      </c>
      <c r="M6853" s="49"/>
    </row>
    <row r="6854" spans="6:13" x14ac:dyDescent="0.25">
      <c r="F6854" t="s">
        <v>7119</v>
      </c>
      <c r="G6854">
        <v>7580</v>
      </c>
      <c r="H6854">
        <v>16076</v>
      </c>
      <c r="I6854" s="25" t="s">
        <v>2384</v>
      </c>
      <c r="J6854" t="s">
        <v>2583</v>
      </c>
      <c r="M6854" s="49"/>
    </row>
    <row r="6855" spans="6:13" x14ac:dyDescent="0.25">
      <c r="F6855" t="s">
        <v>7120</v>
      </c>
      <c r="G6855">
        <v>30952</v>
      </c>
      <c r="H6855">
        <v>3241</v>
      </c>
      <c r="I6855" s="25" t="s">
        <v>2074</v>
      </c>
      <c r="J6855" t="s">
        <v>2321</v>
      </c>
      <c r="M6855" s="49"/>
    </row>
    <row r="6856" spans="6:13" x14ac:dyDescent="0.25">
      <c r="F6856" t="s">
        <v>7121</v>
      </c>
      <c r="G6856">
        <v>87671</v>
      </c>
      <c r="H6856">
        <v>9777</v>
      </c>
      <c r="I6856" s="25" t="s">
        <v>2050</v>
      </c>
      <c r="J6856" t="s">
        <v>2237</v>
      </c>
      <c r="M6856" s="49"/>
    </row>
    <row r="6857" spans="6:13" x14ac:dyDescent="0.25">
      <c r="F6857" t="s">
        <v>7122</v>
      </c>
      <c r="G6857">
        <v>36217</v>
      </c>
      <c r="H6857">
        <v>6632</v>
      </c>
      <c r="I6857" s="25" t="s">
        <v>2046</v>
      </c>
      <c r="J6857" t="s">
        <v>2303</v>
      </c>
      <c r="M6857" s="49"/>
    </row>
    <row r="6858" spans="6:13" x14ac:dyDescent="0.25">
      <c r="F6858" t="s">
        <v>7123</v>
      </c>
      <c r="G6858">
        <v>61191</v>
      </c>
      <c r="H6858">
        <v>6440</v>
      </c>
      <c r="I6858" s="25" t="s">
        <v>2046</v>
      </c>
      <c r="J6858" t="s">
        <v>2415</v>
      </c>
      <c r="M6858" s="49"/>
    </row>
    <row r="6859" spans="6:13" x14ac:dyDescent="0.25">
      <c r="F6859" t="s">
        <v>7124</v>
      </c>
      <c r="G6859">
        <v>29571</v>
      </c>
      <c r="H6859">
        <v>3360</v>
      </c>
      <c r="I6859" s="25" t="s">
        <v>2074</v>
      </c>
      <c r="J6859" t="s">
        <v>2400</v>
      </c>
      <c r="M6859" s="49"/>
    </row>
    <row r="6860" spans="6:13" x14ac:dyDescent="0.25">
      <c r="F6860" t="s">
        <v>7125</v>
      </c>
      <c r="G6860">
        <v>37124</v>
      </c>
      <c r="H6860">
        <v>3159</v>
      </c>
      <c r="I6860" s="25" t="s">
        <v>2074</v>
      </c>
      <c r="J6860" t="s">
        <v>2093</v>
      </c>
      <c r="M6860" s="49"/>
    </row>
    <row r="6861" spans="6:13" x14ac:dyDescent="0.25">
      <c r="F6861" t="s">
        <v>7126</v>
      </c>
      <c r="G6861">
        <v>8548</v>
      </c>
      <c r="H6861">
        <v>14523</v>
      </c>
      <c r="I6861" s="25" t="s">
        <v>2135</v>
      </c>
      <c r="J6861" t="s">
        <v>2136</v>
      </c>
      <c r="M6861" s="49"/>
    </row>
    <row r="6862" spans="6:13" x14ac:dyDescent="0.25">
      <c r="F6862" t="s">
        <v>7126</v>
      </c>
      <c r="G6862">
        <v>8539</v>
      </c>
      <c r="H6862">
        <v>14523</v>
      </c>
      <c r="I6862" s="25" t="s">
        <v>2135</v>
      </c>
      <c r="J6862" t="s">
        <v>2136</v>
      </c>
      <c r="M6862" s="49"/>
    </row>
    <row r="6863" spans="6:13" x14ac:dyDescent="0.25">
      <c r="F6863" t="s">
        <v>7127</v>
      </c>
      <c r="G6863">
        <v>73494</v>
      </c>
      <c r="H6863">
        <v>8136</v>
      </c>
      <c r="I6863" s="25" t="s">
        <v>2018</v>
      </c>
      <c r="J6863" t="s">
        <v>2039</v>
      </c>
      <c r="M6863" s="49"/>
    </row>
    <row r="6864" spans="6:13" x14ac:dyDescent="0.25">
      <c r="F6864" t="s">
        <v>7127</v>
      </c>
      <c r="G6864">
        <v>74749</v>
      </c>
      <c r="H6864">
        <v>8225</v>
      </c>
      <c r="I6864" s="25" t="s">
        <v>2018</v>
      </c>
      <c r="J6864" t="s">
        <v>2108</v>
      </c>
      <c r="M6864" s="49"/>
    </row>
    <row r="6865" spans="6:13" x14ac:dyDescent="0.25">
      <c r="F6865" t="s">
        <v>7128</v>
      </c>
      <c r="G6865">
        <v>48720</v>
      </c>
      <c r="H6865">
        <v>5558</v>
      </c>
      <c r="I6865" s="25" t="s">
        <v>2023</v>
      </c>
      <c r="J6865" t="s">
        <v>2076</v>
      </c>
      <c r="M6865" s="49"/>
    </row>
    <row r="6866" spans="6:13" x14ac:dyDescent="0.25">
      <c r="F6866" t="s">
        <v>7129</v>
      </c>
      <c r="G6866">
        <v>72348</v>
      </c>
      <c r="H6866">
        <v>8417</v>
      </c>
      <c r="I6866" s="25" t="s">
        <v>2018</v>
      </c>
      <c r="J6866" t="s">
        <v>2269</v>
      </c>
      <c r="M6866" s="49"/>
    </row>
    <row r="6867" spans="6:13" x14ac:dyDescent="0.25">
      <c r="F6867" t="s">
        <v>7130</v>
      </c>
      <c r="G6867">
        <v>21224</v>
      </c>
      <c r="H6867">
        <v>3353</v>
      </c>
      <c r="I6867" s="25" t="s">
        <v>2074</v>
      </c>
      <c r="J6867" t="s">
        <v>2176</v>
      </c>
      <c r="M6867" s="49"/>
    </row>
    <row r="6868" spans="6:13" x14ac:dyDescent="0.25">
      <c r="F6868" t="s">
        <v>7130</v>
      </c>
      <c r="G6868">
        <v>74538</v>
      </c>
      <c r="H6868">
        <v>8127</v>
      </c>
      <c r="I6868" s="25" t="s">
        <v>2018</v>
      </c>
      <c r="J6868" t="s">
        <v>3126</v>
      </c>
      <c r="M6868" s="49"/>
    </row>
    <row r="6869" spans="6:13" x14ac:dyDescent="0.25">
      <c r="F6869" t="s">
        <v>2245</v>
      </c>
      <c r="G6869">
        <v>83024</v>
      </c>
      <c r="H6869">
        <v>9163</v>
      </c>
      <c r="I6869" s="25" t="s">
        <v>2050</v>
      </c>
      <c r="J6869" t="s">
        <v>7131</v>
      </c>
      <c r="M6869" s="49"/>
    </row>
    <row r="6870" spans="6:13" x14ac:dyDescent="0.25">
      <c r="F6870" t="s">
        <v>2245</v>
      </c>
      <c r="G6870">
        <v>83026</v>
      </c>
      <c r="H6870">
        <v>9163</v>
      </c>
      <c r="I6870" s="25" t="s">
        <v>2050</v>
      </c>
      <c r="J6870" t="s">
        <v>7131</v>
      </c>
      <c r="M6870" s="49"/>
    </row>
    <row r="6871" spans="6:13" x14ac:dyDescent="0.25">
      <c r="F6871" t="s">
        <v>2245</v>
      </c>
      <c r="G6871">
        <v>83022</v>
      </c>
      <c r="H6871">
        <v>9163</v>
      </c>
      <c r="I6871" s="25" t="s">
        <v>2050</v>
      </c>
      <c r="J6871" t="s">
        <v>7131</v>
      </c>
      <c r="M6871" s="49"/>
    </row>
    <row r="6872" spans="6:13" x14ac:dyDescent="0.25">
      <c r="F6872" t="s">
        <v>7132</v>
      </c>
      <c r="G6872">
        <v>17091</v>
      </c>
      <c r="H6872">
        <v>13071</v>
      </c>
      <c r="I6872" s="25" t="s">
        <v>2191</v>
      </c>
      <c r="J6872" t="s">
        <v>2091</v>
      </c>
      <c r="M6872" s="49"/>
    </row>
    <row r="6873" spans="6:13" x14ac:dyDescent="0.25">
      <c r="F6873" t="s">
        <v>7133</v>
      </c>
      <c r="G6873">
        <v>35119</v>
      </c>
      <c r="H6873">
        <v>6635</v>
      </c>
      <c r="I6873" s="25" t="s">
        <v>2046</v>
      </c>
      <c r="J6873" t="s">
        <v>2308</v>
      </c>
      <c r="M6873" s="49"/>
    </row>
    <row r="6874" spans="6:13" x14ac:dyDescent="0.25">
      <c r="F6874" t="s">
        <v>7134</v>
      </c>
      <c r="G6874">
        <v>7366</v>
      </c>
      <c r="H6874">
        <v>16075</v>
      </c>
      <c r="I6874" s="25" t="s">
        <v>2384</v>
      </c>
      <c r="J6874" t="s">
        <v>4221</v>
      </c>
      <c r="M6874" s="49"/>
    </row>
    <row r="6875" spans="6:13" x14ac:dyDescent="0.25">
      <c r="F6875" t="s">
        <v>7135</v>
      </c>
      <c r="G6875">
        <v>4617</v>
      </c>
      <c r="H6875">
        <v>16077</v>
      </c>
      <c r="I6875" s="25" t="s">
        <v>2384</v>
      </c>
      <c r="J6875" t="s">
        <v>2385</v>
      </c>
      <c r="M6875" s="49"/>
    </row>
    <row r="6876" spans="6:13" x14ac:dyDescent="0.25">
      <c r="F6876" t="s">
        <v>7135</v>
      </c>
      <c r="G6876">
        <v>4617</v>
      </c>
      <c r="H6876">
        <v>16077</v>
      </c>
      <c r="I6876" s="25" t="s">
        <v>2384</v>
      </c>
      <c r="J6876" t="s">
        <v>2385</v>
      </c>
      <c r="M6876" s="49"/>
    </row>
    <row r="6877" spans="6:13" x14ac:dyDescent="0.25">
      <c r="F6877" t="s">
        <v>7136</v>
      </c>
      <c r="G6877">
        <v>95195</v>
      </c>
      <c r="H6877">
        <v>9479</v>
      </c>
      <c r="I6877" s="25" t="s">
        <v>2050</v>
      </c>
      <c r="J6877" t="s">
        <v>2436</v>
      </c>
      <c r="M6877" s="49"/>
    </row>
    <row r="6878" spans="6:13" x14ac:dyDescent="0.25">
      <c r="F6878" t="s">
        <v>7137</v>
      </c>
      <c r="G6878">
        <v>51503</v>
      </c>
      <c r="H6878">
        <v>5378</v>
      </c>
      <c r="I6878" s="25" t="s">
        <v>2023</v>
      </c>
      <c r="J6878" t="s">
        <v>2909</v>
      </c>
      <c r="M6878" s="49"/>
    </row>
    <row r="6879" spans="6:13" x14ac:dyDescent="0.25">
      <c r="F6879" t="s">
        <v>7138</v>
      </c>
      <c r="G6879">
        <v>94439</v>
      </c>
      <c r="H6879">
        <v>9277</v>
      </c>
      <c r="I6879" s="25" t="s">
        <v>2050</v>
      </c>
      <c r="J6879" t="s">
        <v>2529</v>
      </c>
      <c r="M6879" s="49"/>
    </row>
    <row r="6880" spans="6:13" x14ac:dyDescent="0.25">
      <c r="F6880" t="s">
        <v>7139</v>
      </c>
      <c r="G6880">
        <v>64380</v>
      </c>
      <c r="H6880">
        <v>6432</v>
      </c>
      <c r="I6880" s="25" t="s">
        <v>2046</v>
      </c>
      <c r="J6880" t="s">
        <v>2338</v>
      </c>
      <c r="M6880" s="49"/>
    </row>
    <row r="6881" spans="6:13" x14ac:dyDescent="0.25">
      <c r="F6881" t="s">
        <v>7140</v>
      </c>
      <c r="G6881">
        <v>87672</v>
      </c>
      <c r="H6881">
        <v>9777</v>
      </c>
      <c r="I6881" s="25" t="s">
        <v>2050</v>
      </c>
      <c r="J6881" t="s">
        <v>2237</v>
      </c>
      <c r="M6881" s="49"/>
    </row>
    <row r="6882" spans="6:13" x14ac:dyDescent="0.25">
      <c r="F6882" t="s">
        <v>7141</v>
      </c>
      <c r="G6882">
        <v>6571</v>
      </c>
      <c r="H6882">
        <v>16065</v>
      </c>
      <c r="I6882" s="25" t="s">
        <v>2384</v>
      </c>
      <c r="J6882" t="s">
        <v>2532</v>
      </c>
      <c r="M6882" s="49"/>
    </row>
    <row r="6883" spans="6:13" x14ac:dyDescent="0.25">
      <c r="F6883" t="s">
        <v>7142</v>
      </c>
      <c r="G6883">
        <v>90574</v>
      </c>
      <c r="H6883">
        <v>9573</v>
      </c>
      <c r="I6883" s="25" t="s">
        <v>2050</v>
      </c>
      <c r="J6883" t="s">
        <v>2466</v>
      </c>
      <c r="M6883" s="49"/>
    </row>
    <row r="6884" spans="6:13" x14ac:dyDescent="0.25">
      <c r="F6884" t="s">
        <v>7143</v>
      </c>
      <c r="G6884">
        <v>4741</v>
      </c>
      <c r="H6884">
        <v>14522</v>
      </c>
      <c r="I6884" s="25" t="s">
        <v>2135</v>
      </c>
      <c r="J6884" t="s">
        <v>2100</v>
      </c>
      <c r="M6884" s="49"/>
    </row>
    <row r="6885" spans="6:13" x14ac:dyDescent="0.25">
      <c r="F6885" t="s">
        <v>2036</v>
      </c>
      <c r="G6885">
        <v>18055</v>
      </c>
      <c r="H6885">
        <v>13003</v>
      </c>
      <c r="I6885" s="25" t="s">
        <v>2191</v>
      </c>
      <c r="J6885" t="s">
        <v>3825</v>
      </c>
      <c r="M6885" s="49"/>
    </row>
    <row r="6886" spans="6:13" x14ac:dyDescent="0.25">
      <c r="F6886" t="s">
        <v>2036</v>
      </c>
      <c r="G6886">
        <v>18106</v>
      </c>
      <c r="H6886">
        <v>13003</v>
      </c>
      <c r="I6886" s="25" t="s">
        <v>2191</v>
      </c>
      <c r="J6886" t="s">
        <v>3825</v>
      </c>
      <c r="M6886" s="49"/>
    </row>
    <row r="6887" spans="6:13" x14ac:dyDescent="0.25">
      <c r="F6887" t="s">
        <v>2036</v>
      </c>
      <c r="G6887">
        <v>18057</v>
      </c>
      <c r="H6887">
        <v>13003</v>
      </c>
      <c r="I6887" s="25" t="s">
        <v>2191</v>
      </c>
      <c r="J6887" t="s">
        <v>3825</v>
      </c>
      <c r="M6887" s="49"/>
    </row>
    <row r="6888" spans="6:13" x14ac:dyDescent="0.25">
      <c r="F6888" t="s">
        <v>2036</v>
      </c>
      <c r="G6888">
        <v>18109</v>
      </c>
      <c r="H6888">
        <v>13003</v>
      </c>
      <c r="I6888" s="25" t="s">
        <v>2191</v>
      </c>
      <c r="J6888" t="s">
        <v>3825</v>
      </c>
      <c r="M6888" s="49"/>
    </row>
    <row r="6889" spans="6:13" x14ac:dyDescent="0.25">
      <c r="F6889" t="s">
        <v>2036</v>
      </c>
      <c r="G6889">
        <v>18119</v>
      </c>
      <c r="H6889">
        <v>13003</v>
      </c>
      <c r="I6889" s="25" t="s">
        <v>2191</v>
      </c>
      <c r="J6889" t="s">
        <v>3825</v>
      </c>
      <c r="M6889" s="49"/>
    </row>
    <row r="6890" spans="6:13" x14ac:dyDescent="0.25">
      <c r="F6890" t="s">
        <v>2036</v>
      </c>
      <c r="G6890">
        <v>18147</v>
      </c>
      <c r="H6890">
        <v>13003</v>
      </c>
      <c r="I6890" s="25" t="s">
        <v>2191</v>
      </c>
      <c r="J6890" t="s">
        <v>3825</v>
      </c>
      <c r="M6890" s="49"/>
    </row>
    <row r="6891" spans="6:13" x14ac:dyDescent="0.25">
      <c r="F6891" t="s">
        <v>2036</v>
      </c>
      <c r="G6891">
        <v>18146</v>
      </c>
      <c r="H6891">
        <v>13003</v>
      </c>
      <c r="I6891" s="25" t="s">
        <v>2191</v>
      </c>
      <c r="J6891" t="s">
        <v>3825</v>
      </c>
      <c r="M6891" s="49"/>
    </row>
    <row r="6892" spans="6:13" x14ac:dyDescent="0.25">
      <c r="F6892" t="s">
        <v>7144</v>
      </c>
      <c r="G6892">
        <v>18182</v>
      </c>
      <c r="H6892">
        <v>13003</v>
      </c>
      <c r="I6892" s="25" t="s">
        <v>2191</v>
      </c>
      <c r="J6892" t="s">
        <v>3825</v>
      </c>
      <c r="M6892" s="49"/>
    </row>
    <row r="6893" spans="6:13" x14ac:dyDescent="0.25">
      <c r="F6893" t="s">
        <v>7144</v>
      </c>
      <c r="G6893">
        <v>18182</v>
      </c>
      <c r="H6893">
        <v>13072</v>
      </c>
      <c r="I6893" s="25" t="s">
        <v>2191</v>
      </c>
      <c r="J6893" t="s">
        <v>2036</v>
      </c>
      <c r="M6893" s="49"/>
    </row>
    <row r="6894" spans="6:13" x14ac:dyDescent="0.25">
      <c r="F6894" t="s">
        <v>7145</v>
      </c>
      <c r="G6894">
        <v>18181</v>
      </c>
      <c r="H6894">
        <v>13003</v>
      </c>
      <c r="I6894" s="25" t="s">
        <v>2191</v>
      </c>
      <c r="J6894" t="s">
        <v>3825</v>
      </c>
      <c r="M6894" s="49"/>
    </row>
    <row r="6895" spans="6:13" x14ac:dyDescent="0.25">
      <c r="F6895" t="s">
        <v>7145</v>
      </c>
      <c r="G6895">
        <v>18181</v>
      </c>
      <c r="H6895">
        <v>13072</v>
      </c>
      <c r="I6895" s="25" t="s">
        <v>2191</v>
      </c>
      <c r="J6895" t="s">
        <v>2036</v>
      </c>
      <c r="M6895" s="49"/>
    </row>
    <row r="6896" spans="6:13" x14ac:dyDescent="0.25">
      <c r="F6896" t="s">
        <v>7146</v>
      </c>
      <c r="G6896">
        <v>18069</v>
      </c>
      <c r="H6896">
        <v>13003</v>
      </c>
      <c r="I6896" s="25" t="s">
        <v>2191</v>
      </c>
      <c r="J6896" t="s">
        <v>3825</v>
      </c>
      <c r="M6896" s="49"/>
    </row>
    <row r="6897" spans="6:13" x14ac:dyDescent="0.25">
      <c r="F6897" t="s">
        <v>7146</v>
      </c>
      <c r="G6897">
        <v>18069</v>
      </c>
      <c r="H6897">
        <v>13072</v>
      </c>
      <c r="I6897" s="25" t="s">
        <v>2191</v>
      </c>
      <c r="J6897" t="s">
        <v>2036</v>
      </c>
      <c r="M6897" s="49"/>
    </row>
    <row r="6898" spans="6:13" x14ac:dyDescent="0.25">
      <c r="F6898" t="s">
        <v>7147</v>
      </c>
      <c r="G6898">
        <v>18059</v>
      </c>
      <c r="H6898">
        <v>13003</v>
      </c>
      <c r="I6898" s="25" t="s">
        <v>2191</v>
      </c>
      <c r="J6898" t="s">
        <v>3825</v>
      </c>
      <c r="M6898" s="49"/>
    </row>
    <row r="6899" spans="6:13" x14ac:dyDescent="0.25">
      <c r="F6899" t="s">
        <v>7147</v>
      </c>
      <c r="G6899">
        <v>18059</v>
      </c>
      <c r="H6899">
        <v>13072</v>
      </c>
      <c r="I6899" s="25" t="s">
        <v>2191</v>
      </c>
      <c r="J6899" t="s">
        <v>2036</v>
      </c>
      <c r="M6899" s="49"/>
    </row>
    <row r="6900" spans="6:13" x14ac:dyDescent="0.25">
      <c r="F6900" t="s">
        <v>7148</v>
      </c>
      <c r="G6900">
        <v>74585</v>
      </c>
      <c r="H6900">
        <v>8127</v>
      </c>
      <c r="I6900" s="25" t="s">
        <v>2018</v>
      </c>
      <c r="J6900" t="s">
        <v>3126</v>
      </c>
      <c r="M6900" s="49"/>
    </row>
    <row r="6901" spans="6:13" x14ac:dyDescent="0.25">
      <c r="F6901" t="s">
        <v>7149</v>
      </c>
      <c r="G6901">
        <v>88430</v>
      </c>
      <c r="H6901">
        <v>8426</v>
      </c>
      <c r="I6901" s="25" t="s">
        <v>2018</v>
      </c>
      <c r="J6901" t="s">
        <v>2081</v>
      </c>
      <c r="M6901" s="49"/>
    </row>
    <row r="6902" spans="6:13" x14ac:dyDescent="0.25">
      <c r="F6902" t="s">
        <v>7150</v>
      </c>
      <c r="G6902">
        <v>27356</v>
      </c>
      <c r="H6902">
        <v>3357</v>
      </c>
      <c r="I6902" s="25" t="s">
        <v>2074</v>
      </c>
      <c r="J6902" t="s">
        <v>2339</v>
      </c>
      <c r="M6902" s="49"/>
    </row>
    <row r="6903" spans="6:13" x14ac:dyDescent="0.25">
      <c r="F6903" t="s">
        <v>7150</v>
      </c>
      <c r="G6903">
        <v>27356</v>
      </c>
      <c r="H6903">
        <v>3357</v>
      </c>
      <c r="I6903" s="25" t="s">
        <v>2074</v>
      </c>
      <c r="J6903" t="s">
        <v>2339</v>
      </c>
      <c r="M6903" s="49"/>
    </row>
    <row r="6904" spans="6:13" x14ac:dyDescent="0.25">
      <c r="F6904" t="s">
        <v>7151</v>
      </c>
      <c r="G6904">
        <v>36199</v>
      </c>
      <c r="H6904">
        <v>6632</v>
      </c>
      <c r="I6904" s="25" t="s">
        <v>2046</v>
      </c>
      <c r="J6904" t="s">
        <v>2303</v>
      </c>
      <c r="M6904" s="49"/>
    </row>
    <row r="6905" spans="6:13" x14ac:dyDescent="0.25">
      <c r="F6905" t="s">
        <v>7152</v>
      </c>
      <c r="G6905">
        <v>38531</v>
      </c>
      <c r="H6905">
        <v>3151</v>
      </c>
      <c r="I6905" s="25" t="s">
        <v>2074</v>
      </c>
      <c r="J6905" t="s">
        <v>2126</v>
      </c>
      <c r="M6905" s="49"/>
    </row>
    <row r="6906" spans="6:13" x14ac:dyDescent="0.25">
      <c r="F6906" t="s">
        <v>2051</v>
      </c>
      <c r="G6906">
        <v>91154</v>
      </c>
      <c r="H6906">
        <v>9576</v>
      </c>
      <c r="I6906" s="25" t="s">
        <v>2050</v>
      </c>
      <c r="J6906" t="s">
        <v>2051</v>
      </c>
      <c r="M6906" s="49"/>
    </row>
    <row r="6907" spans="6:13" x14ac:dyDescent="0.25">
      <c r="F6907" t="s">
        <v>7153</v>
      </c>
      <c r="G6907">
        <v>4571</v>
      </c>
      <c r="H6907">
        <v>14729</v>
      </c>
      <c r="I6907" s="25" t="s">
        <v>2135</v>
      </c>
      <c r="J6907" t="s">
        <v>2684</v>
      </c>
      <c r="M6907" s="49"/>
    </row>
    <row r="6908" spans="6:13" x14ac:dyDescent="0.25">
      <c r="F6908" t="s">
        <v>7154</v>
      </c>
      <c r="G6908">
        <v>88167</v>
      </c>
      <c r="H6908">
        <v>9776</v>
      </c>
      <c r="I6908" s="25" t="s">
        <v>2050</v>
      </c>
      <c r="J6908" t="s">
        <v>4735</v>
      </c>
      <c r="M6908" s="49"/>
    </row>
    <row r="6909" spans="6:13" x14ac:dyDescent="0.25">
      <c r="F6909" t="s">
        <v>7155</v>
      </c>
      <c r="G6909">
        <v>90552</v>
      </c>
      <c r="H6909">
        <v>9574</v>
      </c>
      <c r="I6909" s="25" t="s">
        <v>2050</v>
      </c>
      <c r="J6909" t="s">
        <v>2291</v>
      </c>
      <c r="M6909" s="49"/>
    </row>
    <row r="6910" spans="6:13" x14ac:dyDescent="0.25">
      <c r="F6910" t="s">
        <v>7156</v>
      </c>
      <c r="G6910">
        <v>63860</v>
      </c>
      <c r="H6910">
        <v>9671</v>
      </c>
      <c r="I6910" s="25" t="s">
        <v>2050</v>
      </c>
      <c r="J6910" t="s">
        <v>2453</v>
      </c>
      <c r="M6910" s="49"/>
    </row>
    <row r="6911" spans="6:13" x14ac:dyDescent="0.25">
      <c r="F6911" t="s">
        <v>1497</v>
      </c>
      <c r="G6911">
        <v>91541</v>
      </c>
      <c r="H6911">
        <v>9571</v>
      </c>
      <c r="I6911" s="25" t="s">
        <v>2050</v>
      </c>
      <c r="J6911" t="s">
        <v>2113</v>
      </c>
      <c r="M6911" s="49"/>
    </row>
    <row r="6912" spans="6:13" x14ac:dyDescent="0.25">
      <c r="F6912" t="s">
        <v>7157</v>
      </c>
      <c r="G6912">
        <v>2929</v>
      </c>
      <c r="H6912">
        <v>14626</v>
      </c>
      <c r="I6912" s="25" t="s">
        <v>2135</v>
      </c>
      <c r="J6912" t="s">
        <v>2150</v>
      </c>
      <c r="M6912" s="49"/>
    </row>
    <row r="6913" spans="6:13" x14ac:dyDescent="0.25">
      <c r="F6913" t="s">
        <v>7158</v>
      </c>
      <c r="G6913">
        <v>97851</v>
      </c>
      <c r="H6913">
        <v>9677</v>
      </c>
      <c r="I6913" s="25" t="s">
        <v>2050</v>
      </c>
      <c r="J6913" t="s">
        <v>2527</v>
      </c>
      <c r="M6913" s="49"/>
    </row>
    <row r="6914" spans="6:13" x14ac:dyDescent="0.25">
      <c r="F6914" t="s">
        <v>7159</v>
      </c>
      <c r="G6914">
        <v>97520</v>
      </c>
      <c r="H6914">
        <v>9678</v>
      </c>
      <c r="I6914" s="25" t="s">
        <v>2050</v>
      </c>
      <c r="J6914" t="s">
        <v>2918</v>
      </c>
      <c r="M6914" s="49"/>
    </row>
    <row r="6915" spans="6:13" x14ac:dyDescent="0.25">
      <c r="F6915" t="s">
        <v>7160</v>
      </c>
      <c r="G6915">
        <v>67753</v>
      </c>
      <c r="H6915">
        <v>7336</v>
      </c>
      <c r="I6915" s="25" t="s">
        <v>2123</v>
      </c>
      <c r="J6915" t="s">
        <v>2216</v>
      </c>
      <c r="M6915" s="49"/>
    </row>
    <row r="6916" spans="6:13" x14ac:dyDescent="0.25">
      <c r="F6916" t="s">
        <v>7160</v>
      </c>
      <c r="G6916">
        <v>67753</v>
      </c>
      <c r="H6916">
        <v>7336</v>
      </c>
      <c r="I6916" s="25" t="s">
        <v>2123</v>
      </c>
      <c r="J6916" t="s">
        <v>2216</v>
      </c>
      <c r="M6916" s="49"/>
    </row>
    <row r="6917" spans="6:13" x14ac:dyDescent="0.25">
      <c r="F6917" t="s">
        <v>7160</v>
      </c>
      <c r="G6917">
        <v>67753</v>
      </c>
      <c r="H6917">
        <v>7336</v>
      </c>
      <c r="I6917" s="25" t="s">
        <v>2123</v>
      </c>
      <c r="J6917" t="s">
        <v>2216</v>
      </c>
      <c r="M6917" s="49"/>
    </row>
    <row r="6918" spans="6:13" x14ac:dyDescent="0.25">
      <c r="F6918" t="s">
        <v>7161</v>
      </c>
      <c r="G6918">
        <v>86935</v>
      </c>
      <c r="H6918">
        <v>9181</v>
      </c>
      <c r="I6918" s="25" t="s">
        <v>2050</v>
      </c>
      <c r="J6918" t="s">
        <v>2505</v>
      </c>
      <c r="M6918" s="49"/>
    </row>
    <row r="6919" spans="6:13" x14ac:dyDescent="0.25">
      <c r="F6919" t="s">
        <v>7162</v>
      </c>
      <c r="G6919">
        <v>83543</v>
      </c>
      <c r="H6919">
        <v>9187</v>
      </c>
      <c r="I6919" s="25" t="s">
        <v>2050</v>
      </c>
      <c r="J6919" t="s">
        <v>2245</v>
      </c>
      <c r="M6919" s="49"/>
    </row>
    <row r="6920" spans="6:13" x14ac:dyDescent="0.25">
      <c r="F6920" t="s">
        <v>7163</v>
      </c>
      <c r="G6920">
        <v>83700</v>
      </c>
      <c r="H6920">
        <v>9182</v>
      </c>
      <c r="I6920" s="25" t="s">
        <v>2050</v>
      </c>
      <c r="J6920" t="s">
        <v>2254</v>
      </c>
      <c r="M6920" s="49"/>
    </row>
    <row r="6921" spans="6:13" x14ac:dyDescent="0.25">
      <c r="F6921" t="s">
        <v>7164</v>
      </c>
      <c r="G6921">
        <v>89616</v>
      </c>
      <c r="H6921">
        <v>8425</v>
      </c>
      <c r="I6921" s="25" t="s">
        <v>2018</v>
      </c>
      <c r="J6921" t="s">
        <v>2027</v>
      </c>
      <c r="M6921" s="49"/>
    </row>
    <row r="6922" spans="6:13" x14ac:dyDescent="0.25">
      <c r="F6922" t="s">
        <v>7165</v>
      </c>
      <c r="G6922">
        <v>91341</v>
      </c>
      <c r="H6922">
        <v>9572</v>
      </c>
      <c r="I6922" s="25" t="s">
        <v>2050</v>
      </c>
      <c r="J6922" t="s">
        <v>2105</v>
      </c>
      <c r="M6922" s="49"/>
    </row>
    <row r="6923" spans="6:13" x14ac:dyDescent="0.25">
      <c r="F6923" t="s">
        <v>7165</v>
      </c>
      <c r="G6923">
        <v>91341</v>
      </c>
      <c r="H6923">
        <v>9572</v>
      </c>
      <c r="I6923" s="25" t="s">
        <v>2050</v>
      </c>
      <c r="J6923" t="s">
        <v>2105</v>
      </c>
      <c r="M6923" s="49"/>
    </row>
    <row r="6924" spans="6:13" x14ac:dyDescent="0.25">
      <c r="F6924" t="s">
        <v>7165</v>
      </c>
      <c r="G6924">
        <v>91187</v>
      </c>
      <c r="H6924">
        <v>9576</v>
      </c>
      <c r="I6924" s="25" t="s">
        <v>2050</v>
      </c>
      <c r="J6924" t="s">
        <v>2051</v>
      </c>
      <c r="M6924" s="49"/>
    </row>
    <row r="6925" spans="6:13" x14ac:dyDescent="0.25">
      <c r="F6925" t="s">
        <v>7166</v>
      </c>
      <c r="G6925">
        <v>82401</v>
      </c>
      <c r="H6925">
        <v>9190</v>
      </c>
      <c r="I6925" s="25" t="s">
        <v>2050</v>
      </c>
      <c r="J6925" t="s">
        <v>2417</v>
      </c>
      <c r="M6925" s="49"/>
    </row>
    <row r="6926" spans="6:13" x14ac:dyDescent="0.25">
      <c r="F6926" t="s">
        <v>7166</v>
      </c>
      <c r="G6926">
        <v>82401</v>
      </c>
      <c r="H6926">
        <v>9190</v>
      </c>
      <c r="I6926" s="25" t="s">
        <v>2050</v>
      </c>
      <c r="J6926" t="s">
        <v>2417</v>
      </c>
      <c r="M6926" s="49"/>
    </row>
    <row r="6927" spans="6:13" x14ac:dyDescent="0.25">
      <c r="F6927" t="s">
        <v>7167</v>
      </c>
      <c r="G6927">
        <v>84056</v>
      </c>
      <c r="H6927">
        <v>9274</v>
      </c>
      <c r="I6927" s="25" t="s">
        <v>2050</v>
      </c>
      <c r="J6927" t="s">
        <v>2132</v>
      </c>
      <c r="M6927" s="49"/>
    </row>
    <row r="6928" spans="6:13" x14ac:dyDescent="0.25">
      <c r="F6928" t="s">
        <v>7168</v>
      </c>
      <c r="G6928">
        <v>72108</v>
      </c>
      <c r="H6928">
        <v>8416</v>
      </c>
      <c r="I6928" s="25" t="s">
        <v>2018</v>
      </c>
      <c r="J6928" t="s">
        <v>2464</v>
      </c>
      <c r="M6928" s="49"/>
    </row>
    <row r="6929" spans="6:13" x14ac:dyDescent="0.25">
      <c r="F6929" t="s">
        <v>7168</v>
      </c>
      <c r="G6929">
        <v>72108</v>
      </c>
      <c r="H6929">
        <v>8416</v>
      </c>
      <c r="I6929" s="25" t="s">
        <v>2018</v>
      </c>
      <c r="J6929" t="s">
        <v>2464</v>
      </c>
      <c r="M6929" s="49"/>
    </row>
    <row r="6930" spans="6:13" x14ac:dyDescent="0.25">
      <c r="F6930" t="s">
        <v>7168</v>
      </c>
      <c r="G6930">
        <v>72108</v>
      </c>
      <c r="H6930">
        <v>8416</v>
      </c>
      <c r="I6930" s="25" t="s">
        <v>2018</v>
      </c>
      <c r="J6930" t="s">
        <v>2464</v>
      </c>
      <c r="M6930" s="49"/>
    </row>
    <row r="6931" spans="6:13" x14ac:dyDescent="0.25">
      <c r="F6931" t="s">
        <v>7169</v>
      </c>
      <c r="G6931">
        <v>97228</v>
      </c>
      <c r="H6931">
        <v>9679</v>
      </c>
      <c r="I6931" s="25" t="s">
        <v>2050</v>
      </c>
      <c r="J6931" t="s">
        <v>2428</v>
      </c>
      <c r="M6931" s="49"/>
    </row>
    <row r="6932" spans="6:13" x14ac:dyDescent="0.25">
      <c r="F6932" t="s">
        <v>7170</v>
      </c>
      <c r="G6932">
        <v>94094</v>
      </c>
      <c r="H6932">
        <v>9275</v>
      </c>
      <c r="I6932" s="25" t="s">
        <v>2050</v>
      </c>
      <c r="J6932" t="s">
        <v>2198</v>
      </c>
      <c r="M6932" s="49"/>
    </row>
    <row r="6933" spans="6:13" x14ac:dyDescent="0.25">
      <c r="F6933" t="s">
        <v>7171</v>
      </c>
      <c r="G6933">
        <v>97285</v>
      </c>
      <c r="H6933">
        <v>9679</v>
      </c>
      <c r="I6933" s="25" t="s">
        <v>2050</v>
      </c>
      <c r="J6933" t="s">
        <v>2428</v>
      </c>
      <c r="M6933" s="49"/>
    </row>
    <row r="6934" spans="6:13" x14ac:dyDescent="0.25">
      <c r="F6934" t="s">
        <v>2208</v>
      </c>
      <c r="G6934">
        <v>78628</v>
      </c>
      <c r="H6934">
        <v>8325</v>
      </c>
      <c r="I6934" s="25" t="s">
        <v>2018</v>
      </c>
      <c r="J6934" t="s">
        <v>2208</v>
      </c>
      <c r="M6934" s="49"/>
    </row>
    <row r="6935" spans="6:13" x14ac:dyDescent="0.25">
      <c r="F6935" t="s">
        <v>2208</v>
      </c>
      <c r="G6935">
        <v>78628</v>
      </c>
      <c r="H6935">
        <v>8325</v>
      </c>
      <c r="I6935" s="25" t="s">
        <v>2018</v>
      </c>
      <c r="J6935" t="s">
        <v>2208</v>
      </c>
      <c r="M6935" s="49"/>
    </row>
    <row r="6936" spans="6:13" x14ac:dyDescent="0.25">
      <c r="F6936" t="s">
        <v>7172</v>
      </c>
      <c r="G6936">
        <v>92444</v>
      </c>
      <c r="H6936">
        <v>9372</v>
      </c>
      <c r="I6936" s="25" t="s">
        <v>2050</v>
      </c>
      <c r="J6936" t="s">
        <v>2523</v>
      </c>
      <c r="M6936" s="49"/>
    </row>
    <row r="6937" spans="6:13" x14ac:dyDescent="0.25">
      <c r="F6937" t="s">
        <v>7173</v>
      </c>
      <c r="G6937">
        <v>90607</v>
      </c>
      <c r="H6937">
        <v>9574</v>
      </c>
      <c r="I6937" s="25" t="s">
        <v>2050</v>
      </c>
      <c r="J6937" t="s">
        <v>2291</v>
      </c>
      <c r="M6937" s="49"/>
    </row>
    <row r="6938" spans="6:13" x14ac:dyDescent="0.25">
      <c r="F6938" t="s">
        <v>7174</v>
      </c>
      <c r="G6938">
        <v>87494</v>
      </c>
      <c r="H6938">
        <v>9777</v>
      </c>
      <c r="I6938" s="25" t="s">
        <v>2050</v>
      </c>
      <c r="J6938" t="s">
        <v>2237</v>
      </c>
      <c r="M6938" s="49"/>
    </row>
    <row r="6939" spans="6:13" x14ac:dyDescent="0.25">
      <c r="F6939" t="s">
        <v>7175</v>
      </c>
      <c r="G6939">
        <v>84104</v>
      </c>
      <c r="H6939">
        <v>9178</v>
      </c>
      <c r="I6939" s="25" t="s">
        <v>2050</v>
      </c>
      <c r="J6939" t="s">
        <v>2315</v>
      </c>
      <c r="M6939" s="49"/>
    </row>
    <row r="6940" spans="6:13" x14ac:dyDescent="0.25">
      <c r="F6940" t="s">
        <v>7176</v>
      </c>
      <c r="G6940">
        <v>87674</v>
      </c>
      <c r="H6940">
        <v>9777</v>
      </c>
      <c r="I6940" s="25" t="s">
        <v>2050</v>
      </c>
      <c r="J6940" t="s">
        <v>2237</v>
      </c>
      <c r="M6940" s="49"/>
    </row>
    <row r="6941" spans="6:13" x14ac:dyDescent="0.25">
      <c r="F6941" t="s">
        <v>7177</v>
      </c>
      <c r="G6941">
        <v>73635</v>
      </c>
      <c r="H6941">
        <v>8119</v>
      </c>
      <c r="I6941" s="25" t="s">
        <v>2018</v>
      </c>
      <c r="J6941" t="s">
        <v>2287</v>
      </c>
      <c r="M6941" s="49"/>
    </row>
    <row r="6942" spans="6:13" x14ac:dyDescent="0.25">
      <c r="F6942" t="s">
        <v>7178</v>
      </c>
      <c r="G6942">
        <v>15562</v>
      </c>
      <c r="H6942">
        <v>12064</v>
      </c>
      <c r="I6942" s="25" t="s">
        <v>2356</v>
      </c>
      <c r="J6942" t="s">
        <v>2243</v>
      </c>
      <c r="M6942" s="49"/>
    </row>
    <row r="6943" spans="6:13" x14ac:dyDescent="0.25">
      <c r="F6943" t="s">
        <v>7178</v>
      </c>
      <c r="G6943">
        <v>15378</v>
      </c>
      <c r="H6943">
        <v>12064</v>
      </c>
      <c r="I6943" s="25" t="s">
        <v>2356</v>
      </c>
      <c r="J6943" t="s">
        <v>2243</v>
      </c>
      <c r="M6943" s="49"/>
    </row>
    <row r="6944" spans="6:13" x14ac:dyDescent="0.25">
      <c r="F6944" t="s">
        <v>7179</v>
      </c>
      <c r="G6944">
        <v>94161</v>
      </c>
      <c r="H6944">
        <v>9275</v>
      </c>
      <c r="I6944" s="25" t="s">
        <v>2050</v>
      </c>
      <c r="J6944" t="s">
        <v>2198</v>
      </c>
      <c r="M6944" s="49"/>
    </row>
    <row r="6945" spans="6:13" x14ac:dyDescent="0.25">
      <c r="F6945" t="s">
        <v>7180</v>
      </c>
      <c r="G6945">
        <v>55593</v>
      </c>
      <c r="H6945">
        <v>7133</v>
      </c>
      <c r="I6945" s="25" t="s">
        <v>2123</v>
      </c>
      <c r="J6945" t="s">
        <v>2037</v>
      </c>
      <c r="M6945" s="49"/>
    </row>
    <row r="6946" spans="6:13" x14ac:dyDescent="0.25">
      <c r="F6946" t="s">
        <v>7181</v>
      </c>
      <c r="G6946">
        <v>65385</v>
      </c>
      <c r="H6946">
        <v>6439</v>
      </c>
      <c r="I6946" s="25" t="s">
        <v>2046</v>
      </c>
      <c r="J6946" t="s">
        <v>2047</v>
      </c>
      <c r="M6946" s="49"/>
    </row>
    <row r="6947" spans="6:13" x14ac:dyDescent="0.25">
      <c r="F6947" t="s">
        <v>7182</v>
      </c>
      <c r="G6947">
        <v>7407</v>
      </c>
      <c r="H6947">
        <v>16073</v>
      </c>
      <c r="I6947" s="25" t="s">
        <v>2384</v>
      </c>
      <c r="J6947" t="s">
        <v>2618</v>
      </c>
      <c r="M6947" s="49"/>
    </row>
    <row r="6948" spans="6:13" x14ac:dyDescent="0.25">
      <c r="F6948" t="s">
        <v>7183</v>
      </c>
      <c r="G6948">
        <v>95365</v>
      </c>
      <c r="H6948">
        <v>9477</v>
      </c>
      <c r="I6948" s="25" t="s">
        <v>2050</v>
      </c>
      <c r="J6948" t="s">
        <v>4385</v>
      </c>
      <c r="M6948" s="49"/>
    </row>
    <row r="6949" spans="6:13" x14ac:dyDescent="0.25">
      <c r="F6949" t="s">
        <v>7184</v>
      </c>
      <c r="G6949">
        <v>91622</v>
      </c>
      <c r="H6949">
        <v>9571</v>
      </c>
      <c r="I6949" s="25" t="s">
        <v>2050</v>
      </c>
      <c r="J6949" t="s">
        <v>2113</v>
      </c>
      <c r="M6949" s="49"/>
    </row>
    <row r="6950" spans="6:13" x14ac:dyDescent="0.25">
      <c r="F6950" t="s">
        <v>7185</v>
      </c>
      <c r="G6950">
        <v>38471</v>
      </c>
      <c r="H6950">
        <v>3151</v>
      </c>
      <c r="I6950" s="25" t="s">
        <v>2074</v>
      </c>
      <c r="J6950" t="s">
        <v>2126</v>
      </c>
      <c r="M6950" s="49"/>
    </row>
    <row r="6951" spans="6:13" x14ac:dyDescent="0.25">
      <c r="F6951" t="s">
        <v>7186</v>
      </c>
      <c r="G6951">
        <v>99842</v>
      </c>
      <c r="H6951">
        <v>16063</v>
      </c>
      <c r="I6951" s="25" t="s">
        <v>2384</v>
      </c>
      <c r="J6951" t="s">
        <v>2687</v>
      </c>
      <c r="M6951" s="49"/>
    </row>
    <row r="6952" spans="6:13" x14ac:dyDescent="0.25">
      <c r="F6952" t="s">
        <v>7187</v>
      </c>
      <c r="G6952">
        <v>1945</v>
      </c>
      <c r="H6952">
        <v>12066</v>
      </c>
      <c r="I6952" s="25" t="s">
        <v>2356</v>
      </c>
      <c r="J6952" t="s">
        <v>2357</v>
      </c>
      <c r="M6952" s="49"/>
    </row>
    <row r="6953" spans="6:13" x14ac:dyDescent="0.25">
      <c r="F6953" t="s">
        <v>7188</v>
      </c>
      <c r="G6953">
        <v>83324</v>
      </c>
      <c r="H6953">
        <v>9189</v>
      </c>
      <c r="I6953" s="25" t="s">
        <v>2050</v>
      </c>
      <c r="J6953" t="s">
        <v>2407</v>
      </c>
      <c r="M6953" s="49"/>
    </row>
    <row r="6954" spans="6:13" x14ac:dyDescent="0.25">
      <c r="F6954" t="s">
        <v>7189</v>
      </c>
      <c r="G6954">
        <v>94099</v>
      </c>
      <c r="H6954">
        <v>9275</v>
      </c>
      <c r="I6954" s="25" t="s">
        <v>2050</v>
      </c>
      <c r="J6954" t="s">
        <v>2198</v>
      </c>
      <c r="M6954" s="49"/>
    </row>
    <row r="6955" spans="6:13" x14ac:dyDescent="0.25">
      <c r="F6955" t="s">
        <v>7190</v>
      </c>
      <c r="G6955">
        <v>76761</v>
      </c>
      <c r="H6955">
        <v>7334</v>
      </c>
      <c r="I6955" s="25" t="s">
        <v>2123</v>
      </c>
      <c r="J6955" t="s">
        <v>2873</v>
      </c>
      <c r="M6955" s="49"/>
    </row>
    <row r="6956" spans="6:13" x14ac:dyDescent="0.25">
      <c r="F6956" t="s">
        <v>7191</v>
      </c>
      <c r="G6956">
        <v>79595</v>
      </c>
      <c r="H6956">
        <v>8336</v>
      </c>
      <c r="I6956" s="25" t="s">
        <v>2018</v>
      </c>
      <c r="J6956" t="s">
        <v>2227</v>
      </c>
      <c r="M6956" s="49"/>
    </row>
    <row r="6957" spans="6:13" x14ac:dyDescent="0.25">
      <c r="F6957" t="s">
        <v>7191</v>
      </c>
      <c r="G6957">
        <v>79595</v>
      </c>
      <c r="H6957">
        <v>8336</v>
      </c>
      <c r="I6957" s="25" t="s">
        <v>2018</v>
      </c>
      <c r="J6957" t="s">
        <v>2227</v>
      </c>
      <c r="M6957" s="49"/>
    </row>
    <row r="6958" spans="6:13" x14ac:dyDescent="0.25">
      <c r="F6958" t="s">
        <v>7192</v>
      </c>
      <c r="G6958">
        <v>24254</v>
      </c>
      <c r="H6958">
        <v>1058</v>
      </c>
      <c r="I6958" s="25" t="s">
        <v>2085</v>
      </c>
      <c r="J6958" t="s">
        <v>2086</v>
      </c>
      <c r="M6958" s="49"/>
    </row>
    <row r="6959" spans="6:13" x14ac:dyDescent="0.25">
      <c r="F6959" t="s">
        <v>7193</v>
      </c>
      <c r="G6959">
        <v>93486</v>
      </c>
      <c r="H6959">
        <v>9372</v>
      </c>
      <c r="I6959" s="25" t="s">
        <v>2050</v>
      </c>
      <c r="J6959" t="s">
        <v>2523</v>
      </c>
      <c r="M6959" s="49"/>
    </row>
    <row r="6960" spans="6:13" x14ac:dyDescent="0.25">
      <c r="F6960" t="s">
        <v>7194</v>
      </c>
      <c r="G6960">
        <v>65594</v>
      </c>
      <c r="H6960">
        <v>6533</v>
      </c>
      <c r="I6960" s="25" t="s">
        <v>2046</v>
      </c>
      <c r="J6960" t="s">
        <v>2629</v>
      </c>
      <c r="M6960" s="49"/>
    </row>
    <row r="6961" spans="6:13" x14ac:dyDescent="0.25">
      <c r="F6961" t="s">
        <v>7195</v>
      </c>
      <c r="G6961">
        <v>67152</v>
      </c>
      <c r="H6961">
        <v>7332</v>
      </c>
      <c r="I6961" s="25" t="s">
        <v>2123</v>
      </c>
      <c r="J6961" t="s">
        <v>2440</v>
      </c>
      <c r="M6961" s="49"/>
    </row>
    <row r="6962" spans="6:13" x14ac:dyDescent="0.25">
      <c r="F6962" t="s">
        <v>7196</v>
      </c>
      <c r="G6962">
        <v>73577</v>
      </c>
      <c r="H6962">
        <v>8136</v>
      </c>
      <c r="I6962" s="25" t="s">
        <v>2018</v>
      </c>
      <c r="J6962" t="s">
        <v>2039</v>
      </c>
      <c r="M6962" s="49"/>
    </row>
    <row r="6963" spans="6:13" x14ac:dyDescent="0.25">
      <c r="F6963" t="s">
        <v>7197</v>
      </c>
      <c r="G6963">
        <v>53809</v>
      </c>
      <c r="H6963">
        <v>5382</v>
      </c>
      <c r="I6963" s="25" t="s">
        <v>2023</v>
      </c>
      <c r="J6963" t="s">
        <v>2298</v>
      </c>
      <c r="M6963" s="49"/>
    </row>
    <row r="6964" spans="6:13" x14ac:dyDescent="0.25">
      <c r="F6964" t="s">
        <v>7198</v>
      </c>
      <c r="G6964">
        <v>65428</v>
      </c>
      <c r="H6964">
        <v>6433</v>
      </c>
      <c r="I6964" s="25" t="s">
        <v>2046</v>
      </c>
      <c r="J6964" t="s">
        <v>3061</v>
      </c>
      <c r="M6964" s="49"/>
    </row>
    <row r="6965" spans="6:13" x14ac:dyDescent="0.25">
      <c r="F6965" t="s">
        <v>7199</v>
      </c>
      <c r="G6965">
        <v>77977</v>
      </c>
      <c r="H6965">
        <v>8317</v>
      </c>
      <c r="I6965" s="25" t="s">
        <v>2018</v>
      </c>
      <c r="J6965" t="s">
        <v>2071</v>
      </c>
      <c r="M6965" s="49"/>
    </row>
    <row r="6966" spans="6:13" x14ac:dyDescent="0.25">
      <c r="F6966" t="s">
        <v>7200</v>
      </c>
      <c r="G6966">
        <v>71277</v>
      </c>
      <c r="H6966">
        <v>8115</v>
      </c>
      <c r="I6966" s="25" t="s">
        <v>2018</v>
      </c>
      <c r="J6966" t="s">
        <v>2222</v>
      </c>
      <c r="M6966" s="49"/>
    </row>
    <row r="6967" spans="6:13" x14ac:dyDescent="0.25">
      <c r="F6967" t="s">
        <v>7201</v>
      </c>
      <c r="G6967">
        <v>59602</v>
      </c>
      <c r="H6967">
        <v>5974</v>
      </c>
      <c r="I6967" s="25" t="s">
        <v>2023</v>
      </c>
      <c r="J6967" t="s">
        <v>2368</v>
      </c>
      <c r="M6967" s="49"/>
    </row>
    <row r="6968" spans="6:13" x14ac:dyDescent="0.25">
      <c r="F6968" t="s">
        <v>7202</v>
      </c>
      <c r="G6968">
        <v>18317</v>
      </c>
      <c r="H6968">
        <v>13073</v>
      </c>
      <c r="I6968" s="25" t="s">
        <v>2191</v>
      </c>
      <c r="J6968" t="s">
        <v>2192</v>
      </c>
      <c r="M6968" s="49"/>
    </row>
    <row r="6969" spans="6:13" x14ac:dyDescent="0.25">
      <c r="F6969" t="s">
        <v>7202</v>
      </c>
      <c r="G6969">
        <v>18317</v>
      </c>
      <c r="H6969">
        <v>13073</v>
      </c>
      <c r="I6969" s="25" t="s">
        <v>2191</v>
      </c>
      <c r="J6969" t="s">
        <v>2192</v>
      </c>
      <c r="M6969" s="49"/>
    </row>
    <row r="6970" spans="6:13" x14ac:dyDescent="0.25">
      <c r="F6970" t="s">
        <v>7203</v>
      </c>
      <c r="G6970">
        <v>93342</v>
      </c>
      <c r="H6970">
        <v>9273</v>
      </c>
      <c r="I6970" s="25" t="s">
        <v>2050</v>
      </c>
      <c r="J6970" t="s">
        <v>2054</v>
      </c>
      <c r="M6970" s="49"/>
    </row>
    <row r="6971" spans="6:13" x14ac:dyDescent="0.25">
      <c r="F6971" t="s">
        <v>7204</v>
      </c>
      <c r="G6971">
        <v>7929</v>
      </c>
      <c r="H6971">
        <v>16075</v>
      </c>
      <c r="I6971" s="25" t="s">
        <v>2384</v>
      </c>
      <c r="J6971" t="s">
        <v>4221</v>
      </c>
      <c r="M6971" s="49"/>
    </row>
    <row r="6972" spans="6:13" x14ac:dyDescent="0.25">
      <c r="F6972" t="s">
        <v>7205</v>
      </c>
      <c r="G6972">
        <v>83416</v>
      </c>
      <c r="H6972">
        <v>9172</v>
      </c>
      <c r="I6972" s="25" t="s">
        <v>2050</v>
      </c>
      <c r="J6972" t="s">
        <v>2042</v>
      </c>
      <c r="M6972" s="49"/>
    </row>
    <row r="6973" spans="6:13" x14ac:dyDescent="0.25">
      <c r="F6973" t="s">
        <v>7206</v>
      </c>
      <c r="G6973">
        <v>7318</v>
      </c>
      <c r="H6973">
        <v>16073</v>
      </c>
      <c r="I6973" s="25" t="s">
        <v>2384</v>
      </c>
      <c r="J6973" t="s">
        <v>2618</v>
      </c>
      <c r="M6973" s="49"/>
    </row>
    <row r="6974" spans="6:13" x14ac:dyDescent="0.25">
      <c r="F6974" t="s">
        <v>7207</v>
      </c>
      <c r="G6974">
        <v>66117</v>
      </c>
      <c r="H6974">
        <v>10041</v>
      </c>
      <c r="I6974" s="25" t="s">
        <v>2849</v>
      </c>
      <c r="J6974" t="s">
        <v>4138</v>
      </c>
      <c r="M6974" s="49"/>
    </row>
    <row r="6975" spans="6:13" x14ac:dyDescent="0.25">
      <c r="F6975" t="s">
        <v>7207</v>
      </c>
      <c r="G6975">
        <v>66133</v>
      </c>
      <c r="H6975">
        <v>10041</v>
      </c>
      <c r="I6975" s="25" t="s">
        <v>2849</v>
      </c>
      <c r="J6975" t="s">
        <v>4138</v>
      </c>
      <c r="M6975" s="49"/>
    </row>
    <row r="6976" spans="6:13" x14ac:dyDescent="0.25">
      <c r="F6976" t="s">
        <v>7207</v>
      </c>
      <c r="G6976">
        <v>66131</v>
      </c>
      <c r="H6976">
        <v>10041</v>
      </c>
      <c r="I6976" s="25" t="s">
        <v>2849</v>
      </c>
      <c r="J6976" t="s">
        <v>4138</v>
      </c>
      <c r="M6976" s="49"/>
    </row>
    <row r="6977" spans="6:13" x14ac:dyDescent="0.25">
      <c r="F6977" t="s">
        <v>7207</v>
      </c>
      <c r="G6977">
        <v>66130</v>
      </c>
      <c r="H6977">
        <v>10041</v>
      </c>
      <c r="I6977" s="25" t="s">
        <v>2849</v>
      </c>
      <c r="J6977" t="s">
        <v>4138</v>
      </c>
      <c r="M6977" s="49"/>
    </row>
    <row r="6978" spans="6:13" x14ac:dyDescent="0.25">
      <c r="F6978" t="s">
        <v>7207</v>
      </c>
      <c r="G6978">
        <v>66132</v>
      </c>
      <c r="H6978">
        <v>10041</v>
      </c>
      <c r="I6978" s="25" t="s">
        <v>2849</v>
      </c>
      <c r="J6978" t="s">
        <v>4138</v>
      </c>
      <c r="M6978" s="49"/>
    </row>
    <row r="6979" spans="6:13" x14ac:dyDescent="0.25">
      <c r="F6979" t="s">
        <v>7207</v>
      </c>
      <c r="G6979">
        <v>66128</v>
      </c>
      <c r="H6979">
        <v>10041</v>
      </c>
      <c r="I6979" s="25" t="s">
        <v>2849</v>
      </c>
      <c r="J6979" t="s">
        <v>4138</v>
      </c>
      <c r="M6979" s="49"/>
    </row>
    <row r="6980" spans="6:13" x14ac:dyDescent="0.25">
      <c r="F6980" t="s">
        <v>7207</v>
      </c>
      <c r="G6980">
        <v>66113</v>
      </c>
      <c r="H6980">
        <v>10041</v>
      </c>
      <c r="I6980" s="25" t="s">
        <v>2849</v>
      </c>
      <c r="J6980" t="s">
        <v>4138</v>
      </c>
      <c r="M6980" s="49"/>
    </row>
    <row r="6981" spans="6:13" x14ac:dyDescent="0.25">
      <c r="F6981" t="s">
        <v>7207</v>
      </c>
      <c r="G6981">
        <v>66129</v>
      </c>
      <c r="H6981">
        <v>10041</v>
      </c>
      <c r="I6981" s="25" t="s">
        <v>2849</v>
      </c>
      <c r="J6981" t="s">
        <v>4138</v>
      </c>
      <c r="M6981" s="49"/>
    </row>
    <row r="6982" spans="6:13" x14ac:dyDescent="0.25">
      <c r="F6982" t="s">
        <v>7207</v>
      </c>
      <c r="G6982">
        <v>66121</v>
      </c>
      <c r="H6982">
        <v>10041</v>
      </c>
      <c r="I6982" s="25" t="s">
        <v>2849</v>
      </c>
      <c r="J6982" t="s">
        <v>4138</v>
      </c>
      <c r="M6982" s="49"/>
    </row>
    <row r="6983" spans="6:13" x14ac:dyDescent="0.25">
      <c r="F6983" t="s">
        <v>7207</v>
      </c>
      <c r="G6983">
        <v>66111</v>
      </c>
      <c r="H6983">
        <v>10041</v>
      </c>
      <c r="I6983" s="25" t="s">
        <v>2849</v>
      </c>
      <c r="J6983" t="s">
        <v>4138</v>
      </c>
      <c r="M6983" s="49"/>
    </row>
    <row r="6984" spans="6:13" x14ac:dyDescent="0.25">
      <c r="F6984" t="s">
        <v>7207</v>
      </c>
      <c r="G6984">
        <v>66127</v>
      </c>
      <c r="H6984">
        <v>10041</v>
      </c>
      <c r="I6984" s="25" t="s">
        <v>2849</v>
      </c>
      <c r="J6984" t="s">
        <v>4138</v>
      </c>
      <c r="M6984" s="49"/>
    </row>
    <row r="6985" spans="6:13" x14ac:dyDescent="0.25">
      <c r="F6985" t="s">
        <v>7207</v>
      </c>
      <c r="G6985">
        <v>66126</v>
      </c>
      <c r="H6985">
        <v>10041</v>
      </c>
      <c r="I6985" s="25" t="s">
        <v>2849</v>
      </c>
      <c r="J6985" t="s">
        <v>4138</v>
      </c>
      <c r="M6985" s="49"/>
    </row>
    <row r="6986" spans="6:13" x14ac:dyDescent="0.25">
      <c r="F6986" t="s">
        <v>7207</v>
      </c>
      <c r="G6986">
        <v>66123</v>
      </c>
      <c r="H6986">
        <v>10041</v>
      </c>
      <c r="I6986" s="25" t="s">
        <v>2849</v>
      </c>
      <c r="J6986" t="s">
        <v>4138</v>
      </c>
      <c r="M6986" s="49"/>
    </row>
    <row r="6987" spans="6:13" x14ac:dyDescent="0.25">
      <c r="F6987" t="s">
        <v>7207</v>
      </c>
      <c r="G6987">
        <v>66115</v>
      </c>
      <c r="H6987">
        <v>10041</v>
      </c>
      <c r="I6987" s="25" t="s">
        <v>2849</v>
      </c>
      <c r="J6987" t="s">
        <v>4138</v>
      </c>
      <c r="M6987" s="49"/>
    </row>
    <row r="6988" spans="6:13" x14ac:dyDescent="0.25">
      <c r="F6988" t="s">
        <v>7207</v>
      </c>
      <c r="G6988">
        <v>66119</v>
      </c>
      <c r="H6988">
        <v>10041</v>
      </c>
      <c r="I6988" s="25" t="s">
        <v>2849</v>
      </c>
      <c r="J6988" t="s">
        <v>4138</v>
      </c>
      <c r="M6988" s="49"/>
    </row>
    <row r="6989" spans="6:13" x14ac:dyDescent="0.25">
      <c r="F6989" t="s">
        <v>7207</v>
      </c>
      <c r="G6989">
        <v>66125</v>
      </c>
      <c r="H6989">
        <v>10041</v>
      </c>
      <c r="I6989" s="25" t="s">
        <v>2849</v>
      </c>
      <c r="J6989" t="s">
        <v>4138</v>
      </c>
      <c r="M6989" s="49"/>
    </row>
    <row r="6990" spans="6:13" x14ac:dyDescent="0.25">
      <c r="F6990" t="s">
        <v>7208</v>
      </c>
      <c r="G6990">
        <v>54439</v>
      </c>
      <c r="H6990">
        <v>7235</v>
      </c>
      <c r="I6990" s="25" t="s">
        <v>2123</v>
      </c>
      <c r="J6990" t="s">
        <v>2395</v>
      </c>
      <c r="M6990" s="49"/>
    </row>
    <row r="6991" spans="6:13" x14ac:dyDescent="0.25">
      <c r="F6991" t="s">
        <v>3222</v>
      </c>
      <c r="G6991">
        <v>66740</v>
      </c>
      <c r="H6991">
        <v>10044</v>
      </c>
      <c r="I6991" s="25" t="s">
        <v>2849</v>
      </c>
      <c r="J6991" t="s">
        <v>3222</v>
      </c>
      <c r="M6991" s="49"/>
    </row>
    <row r="6992" spans="6:13" x14ac:dyDescent="0.25">
      <c r="F6992" t="s">
        <v>7209</v>
      </c>
      <c r="G6992">
        <v>66793</v>
      </c>
      <c r="H6992">
        <v>10044</v>
      </c>
      <c r="I6992" s="25" t="s">
        <v>2849</v>
      </c>
      <c r="J6992" t="s">
        <v>3222</v>
      </c>
      <c r="M6992" s="49"/>
    </row>
    <row r="6993" spans="6:13" x14ac:dyDescent="0.25">
      <c r="F6993" t="s">
        <v>7210</v>
      </c>
      <c r="G6993">
        <v>91623</v>
      </c>
      <c r="H6993">
        <v>9571</v>
      </c>
      <c r="I6993" s="25" t="s">
        <v>2050</v>
      </c>
      <c r="J6993" t="s">
        <v>2113</v>
      </c>
      <c r="M6993" s="49"/>
    </row>
    <row r="6994" spans="6:13" x14ac:dyDescent="0.25">
      <c r="F6994" t="s">
        <v>7211</v>
      </c>
      <c r="G6994">
        <v>74343</v>
      </c>
      <c r="H6994">
        <v>8118</v>
      </c>
      <c r="I6994" s="25" t="s">
        <v>2018</v>
      </c>
      <c r="J6994" t="s">
        <v>2142</v>
      </c>
      <c r="M6994" s="49"/>
    </row>
    <row r="6995" spans="6:13" x14ac:dyDescent="0.25">
      <c r="F6995" t="s">
        <v>7212</v>
      </c>
      <c r="G6995">
        <v>83679</v>
      </c>
      <c r="H6995">
        <v>9173</v>
      </c>
      <c r="I6995" s="25" t="s">
        <v>2050</v>
      </c>
      <c r="J6995" t="s">
        <v>2659</v>
      </c>
      <c r="M6995" s="49"/>
    </row>
    <row r="6996" spans="6:13" x14ac:dyDescent="0.25">
      <c r="F6996" t="s">
        <v>7213</v>
      </c>
      <c r="G6996">
        <v>48369</v>
      </c>
      <c r="H6996">
        <v>5566</v>
      </c>
      <c r="I6996" s="25" t="s">
        <v>2023</v>
      </c>
      <c r="J6996" t="s">
        <v>2379</v>
      </c>
      <c r="M6996" s="49"/>
    </row>
    <row r="6997" spans="6:13" x14ac:dyDescent="0.25">
      <c r="F6997" t="s">
        <v>7214</v>
      </c>
      <c r="G6997">
        <v>56648</v>
      </c>
      <c r="H6997">
        <v>7137</v>
      </c>
      <c r="I6997" s="25" t="s">
        <v>2123</v>
      </c>
      <c r="J6997" t="s">
        <v>2246</v>
      </c>
      <c r="M6997" s="49"/>
    </row>
    <row r="6998" spans="6:13" x14ac:dyDescent="0.25">
      <c r="F6998" t="s">
        <v>7215</v>
      </c>
      <c r="G6998">
        <v>18551</v>
      </c>
      <c r="H6998">
        <v>13073</v>
      </c>
      <c r="I6998" s="25" t="s">
        <v>2191</v>
      </c>
      <c r="J6998" t="s">
        <v>2192</v>
      </c>
      <c r="M6998" s="49"/>
    </row>
    <row r="6999" spans="6:13" x14ac:dyDescent="0.25">
      <c r="F6999" t="s">
        <v>7216</v>
      </c>
      <c r="G6999">
        <v>63877</v>
      </c>
      <c r="H6999">
        <v>9671</v>
      </c>
      <c r="I6999" s="25" t="s">
        <v>2050</v>
      </c>
      <c r="J6999" t="s">
        <v>2453</v>
      </c>
      <c r="M6999" s="49"/>
    </row>
    <row r="7000" spans="6:13" x14ac:dyDescent="0.25">
      <c r="F7000" t="s">
        <v>7217</v>
      </c>
      <c r="G7000">
        <v>73084</v>
      </c>
      <c r="H7000">
        <v>8117</v>
      </c>
      <c r="I7000" s="25" t="s">
        <v>2018</v>
      </c>
      <c r="J7000" t="s">
        <v>2089</v>
      </c>
      <c r="M7000" s="49"/>
    </row>
    <row r="7001" spans="6:13" x14ac:dyDescent="0.25">
      <c r="F7001" t="s">
        <v>7218</v>
      </c>
      <c r="G7001">
        <v>94163</v>
      </c>
      <c r="H7001">
        <v>9272</v>
      </c>
      <c r="I7001" s="25" t="s">
        <v>2050</v>
      </c>
      <c r="J7001" t="s">
        <v>2140</v>
      </c>
      <c r="M7001" s="49"/>
    </row>
    <row r="7002" spans="6:13" x14ac:dyDescent="0.25">
      <c r="F7002" t="s">
        <v>7219</v>
      </c>
      <c r="G7002">
        <v>88682</v>
      </c>
      <c r="H7002">
        <v>8435</v>
      </c>
      <c r="I7002" s="25" t="s">
        <v>2018</v>
      </c>
      <c r="J7002" t="s">
        <v>3011</v>
      </c>
      <c r="M7002" s="49"/>
    </row>
    <row r="7003" spans="6:13" x14ac:dyDescent="0.25">
      <c r="F7003" t="s">
        <v>7220</v>
      </c>
      <c r="G7003">
        <v>87775</v>
      </c>
      <c r="H7003">
        <v>9778</v>
      </c>
      <c r="I7003" s="25" t="s">
        <v>2050</v>
      </c>
      <c r="J7003" t="s">
        <v>2460</v>
      </c>
      <c r="M7003" s="49"/>
    </row>
    <row r="7004" spans="6:13" x14ac:dyDescent="0.25">
      <c r="F7004" t="s">
        <v>7221</v>
      </c>
      <c r="G7004">
        <v>54528</v>
      </c>
      <c r="H7004">
        <v>7231</v>
      </c>
      <c r="I7004" s="25" t="s">
        <v>2123</v>
      </c>
      <c r="J7004" t="s">
        <v>2043</v>
      </c>
      <c r="M7004" s="49"/>
    </row>
    <row r="7005" spans="6:13" x14ac:dyDescent="0.25">
      <c r="F7005" t="s">
        <v>7222</v>
      </c>
      <c r="G7005">
        <v>6198</v>
      </c>
      <c r="H7005">
        <v>15088</v>
      </c>
      <c r="I7005" s="25" t="s">
        <v>2241</v>
      </c>
      <c r="J7005" t="s">
        <v>2344</v>
      </c>
      <c r="M7005" s="49"/>
    </row>
    <row r="7006" spans="6:13" x14ac:dyDescent="0.25">
      <c r="F7006" t="s">
        <v>7223</v>
      </c>
      <c r="G7006">
        <v>48499</v>
      </c>
      <c r="H7006">
        <v>3454</v>
      </c>
      <c r="I7006" s="25" t="s">
        <v>2074</v>
      </c>
      <c r="J7006" t="s">
        <v>2118</v>
      </c>
      <c r="M7006" s="49"/>
    </row>
    <row r="7007" spans="6:13" x14ac:dyDescent="0.25">
      <c r="F7007" t="s">
        <v>7224</v>
      </c>
      <c r="G7007">
        <v>38239</v>
      </c>
      <c r="H7007">
        <v>3102</v>
      </c>
      <c r="I7007" s="25" t="s">
        <v>2074</v>
      </c>
      <c r="J7007" t="s">
        <v>2349</v>
      </c>
      <c r="M7007" s="49"/>
    </row>
    <row r="7008" spans="6:13" x14ac:dyDescent="0.25">
      <c r="F7008" t="s">
        <v>7224</v>
      </c>
      <c r="G7008">
        <v>38229</v>
      </c>
      <c r="H7008">
        <v>3102</v>
      </c>
      <c r="I7008" s="25" t="s">
        <v>2074</v>
      </c>
      <c r="J7008" t="s">
        <v>2349</v>
      </c>
      <c r="M7008" s="49"/>
    </row>
    <row r="7009" spans="6:13" x14ac:dyDescent="0.25">
      <c r="F7009" t="s">
        <v>7224</v>
      </c>
      <c r="G7009">
        <v>38259</v>
      </c>
      <c r="H7009">
        <v>3102</v>
      </c>
      <c r="I7009" s="25" t="s">
        <v>2074</v>
      </c>
      <c r="J7009" t="s">
        <v>2349</v>
      </c>
      <c r="M7009" s="49"/>
    </row>
    <row r="7010" spans="6:13" x14ac:dyDescent="0.25">
      <c r="F7010" t="s">
        <v>7224</v>
      </c>
      <c r="G7010">
        <v>38226</v>
      </c>
      <c r="H7010">
        <v>3102</v>
      </c>
      <c r="I7010" s="25" t="s">
        <v>2074</v>
      </c>
      <c r="J7010" t="s">
        <v>2349</v>
      </c>
      <c r="M7010" s="49"/>
    </row>
    <row r="7011" spans="6:13" x14ac:dyDescent="0.25">
      <c r="F7011" t="s">
        <v>7224</v>
      </c>
      <c r="G7011">
        <v>38228</v>
      </c>
      <c r="H7011">
        <v>3102</v>
      </c>
      <c r="I7011" s="25" t="s">
        <v>2074</v>
      </c>
      <c r="J7011" t="s">
        <v>2349</v>
      </c>
      <c r="M7011" s="49"/>
    </row>
    <row r="7012" spans="6:13" x14ac:dyDescent="0.25">
      <c r="F7012" t="s">
        <v>7225</v>
      </c>
      <c r="G7012">
        <v>21376</v>
      </c>
      <c r="H7012">
        <v>3353</v>
      </c>
      <c r="I7012" s="25" t="s">
        <v>2074</v>
      </c>
      <c r="J7012" t="s">
        <v>2176</v>
      </c>
      <c r="M7012" s="49"/>
    </row>
    <row r="7013" spans="6:13" x14ac:dyDescent="0.25">
      <c r="F7013" t="s">
        <v>7226</v>
      </c>
      <c r="G7013">
        <v>31020</v>
      </c>
      <c r="H7013">
        <v>3252</v>
      </c>
      <c r="I7013" s="25" t="s">
        <v>2074</v>
      </c>
      <c r="J7013" t="s">
        <v>2139</v>
      </c>
      <c r="M7013" s="49"/>
    </row>
    <row r="7014" spans="6:13" x14ac:dyDescent="0.25">
      <c r="F7014" t="s">
        <v>7227</v>
      </c>
      <c r="G7014">
        <v>33154</v>
      </c>
      <c r="H7014">
        <v>5774</v>
      </c>
      <c r="I7014" s="25" t="s">
        <v>2023</v>
      </c>
      <c r="J7014" t="s">
        <v>2304</v>
      </c>
      <c r="M7014" s="49"/>
    </row>
    <row r="7015" spans="6:13" x14ac:dyDescent="0.25">
      <c r="F7015" t="s">
        <v>7228</v>
      </c>
      <c r="G7015">
        <v>29410</v>
      </c>
      <c r="H7015">
        <v>15081</v>
      </c>
      <c r="I7015" s="25" t="s">
        <v>2241</v>
      </c>
      <c r="J7015" t="s">
        <v>2028</v>
      </c>
      <c r="M7015" s="49"/>
    </row>
    <row r="7016" spans="6:13" x14ac:dyDescent="0.25">
      <c r="F7016" t="s">
        <v>7229</v>
      </c>
      <c r="G7016">
        <v>94121</v>
      </c>
      <c r="H7016">
        <v>9275</v>
      </c>
      <c r="I7016" s="25" t="s">
        <v>2050</v>
      </c>
      <c r="J7016" t="s">
        <v>2198</v>
      </c>
      <c r="M7016" s="49"/>
    </row>
    <row r="7017" spans="6:13" x14ac:dyDescent="0.25">
      <c r="F7017" t="s">
        <v>7230</v>
      </c>
      <c r="G7017">
        <v>83122</v>
      </c>
      <c r="H7017">
        <v>9187</v>
      </c>
      <c r="I7017" s="25" t="s">
        <v>2050</v>
      </c>
      <c r="J7017" t="s">
        <v>2245</v>
      </c>
      <c r="M7017" s="49"/>
    </row>
    <row r="7018" spans="6:13" x14ac:dyDescent="0.25">
      <c r="F7018" t="s">
        <v>7231</v>
      </c>
      <c r="G7018">
        <v>18573</v>
      </c>
      <c r="H7018">
        <v>13073</v>
      </c>
      <c r="I7018" s="25" t="s">
        <v>2191</v>
      </c>
      <c r="J7018" t="s">
        <v>2192</v>
      </c>
      <c r="M7018" s="49"/>
    </row>
    <row r="7019" spans="6:13" x14ac:dyDescent="0.25">
      <c r="F7019" t="s">
        <v>7231</v>
      </c>
      <c r="G7019">
        <v>18573</v>
      </c>
      <c r="H7019">
        <v>13073</v>
      </c>
      <c r="I7019" s="25" t="s">
        <v>2191</v>
      </c>
      <c r="J7019" t="s">
        <v>2192</v>
      </c>
      <c r="M7019" s="49"/>
    </row>
    <row r="7020" spans="6:13" x14ac:dyDescent="0.25">
      <c r="F7020" t="s">
        <v>7232</v>
      </c>
      <c r="G7020">
        <v>97522</v>
      </c>
      <c r="H7020">
        <v>9674</v>
      </c>
      <c r="I7020" s="25" t="s">
        <v>2050</v>
      </c>
      <c r="J7020" t="s">
        <v>2218</v>
      </c>
      <c r="M7020" s="49"/>
    </row>
    <row r="7021" spans="6:13" x14ac:dyDescent="0.25">
      <c r="F7021" t="s">
        <v>7233</v>
      </c>
      <c r="G7021">
        <v>39524</v>
      </c>
      <c r="H7021">
        <v>15090</v>
      </c>
      <c r="I7021" s="25" t="s">
        <v>2241</v>
      </c>
      <c r="J7021" t="s">
        <v>2382</v>
      </c>
      <c r="M7021" s="49"/>
    </row>
    <row r="7022" spans="6:13" x14ac:dyDescent="0.25">
      <c r="F7022" t="s">
        <v>7234</v>
      </c>
      <c r="G7022">
        <v>97657</v>
      </c>
      <c r="H7022">
        <v>9673</v>
      </c>
      <c r="I7022" s="25" t="s">
        <v>2050</v>
      </c>
      <c r="J7022" t="s">
        <v>2676</v>
      </c>
      <c r="M7022" s="49"/>
    </row>
    <row r="7023" spans="6:13" x14ac:dyDescent="0.25">
      <c r="F7023" t="s">
        <v>7235</v>
      </c>
      <c r="G7023">
        <v>26452</v>
      </c>
      <c r="H7023">
        <v>3455</v>
      </c>
      <c r="I7023" s="25" t="s">
        <v>2074</v>
      </c>
      <c r="J7023" t="s">
        <v>2143</v>
      </c>
      <c r="M7023" s="49"/>
    </row>
    <row r="7024" spans="6:13" x14ac:dyDescent="0.25">
      <c r="F7024" t="s">
        <v>7236</v>
      </c>
      <c r="G7024">
        <v>6794</v>
      </c>
      <c r="H7024">
        <v>15082</v>
      </c>
      <c r="I7024" s="25" t="s">
        <v>2241</v>
      </c>
      <c r="J7024" t="s">
        <v>2242</v>
      </c>
      <c r="M7024" s="49"/>
    </row>
    <row r="7025" spans="6:13" x14ac:dyDescent="0.25">
      <c r="F7025" t="s">
        <v>7236</v>
      </c>
      <c r="G7025">
        <v>6792</v>
      </c>
      <c r="H7025">
        <v>15082</v>
      </c>
      <c r="I7025" s="25" t="s">
        <v>2241</v>
      </c>
      <c r="J7025" t="s">
        <v>2242</v>
      </c>
      <c r="M7025" s="49"/>
    </row>
    <row r="7026" spans="6:13" x14ac:dyDescent="0.25">
      <c r="F7026" t="s">
        <v>7236</v>
      </c>
      <c r="G7026">
        <v>6796</v>
      </c>
      <c r="H7026">
        <v>15082</v>
      </c>
      <c r="I7026" s="25" t="s">
        <v>2241</v>
      </c>
      <c r="J7026" t="s">
        <v>2242</v>
      </c>
      <c r="M7026" s="49"/>
    </row>
    <row r="7027" spans="6:13" x14ac:dyDescent="0.25">
      <c r="F7027" t="s">
        <v>7237</v>
      </c>
      <c r="G7027">
        <v>23898</v>
      </c>
      <c r="H7027">
        <v>1053</v>
      </c>
      <c r="I7027" s="25" t="s">
        <v>2085</v>
      </c>
      <c r="J7027" t="s">
        <v>2193</v>
      </c>
      <c r="M7027" s="49"/>
    </row>
    <row r="7028" spans="6:13" x14ac:dyDescent="0.25">
      <c r="F7028" t="s">
        <v>7238</v>
      </c>
      <c r="G7028">
        <v>69207</v>
      </c>
      <c r="H7028">
        <v>8226</v>
      </c>
      <c r="I7028" s="25" t="s">
        <v>2018</v>
      </c>
      <c r="J7028" t="s">
        <v>2442</v>
      </c>
      <c r="M7028" s="49"/>
    </row>
    <row r="7029" spans="6:13" x14ac:dyDescent="0.25">
      <c r="F7029" t="s">
        <v>7239</v>
      </c>
      <c r="G7029">
        <v>6526</v>
      </c>
      <c r="H7029">
        <v>15087</v>
      </c>
      <c r="I7029" s="25" t="s">
        <v>2241</v>
      </c>
      <c r="J7029" t="s">
        <v>2324</v>
      </c>
      <c r="M7029" s="49"/>
    </row>
    <row r="7030" spans="6:13" x14ac:dyDescent="0.25">
      <c r="F7030" t="s">
        <v>7240</v>
      </c>
      <c r="G7030">
        <v>18190</v>
      </c>
      <c r="H7030">
        <v>13072</v>
      </c>
      <c r="I7030" s="25" t="s">
        <v>2191</v>
      </c>
      <c r="J7030" t="s">
        <v>2036</v>
      </c>
      <c r="M7030" s="49"/>
    </row>
    <row r="7031" spans="6:13" x14ac:dyDescent="0.25">
      <c r="F7031" t="s">
        <v>7241</v>
      </c>
      <c r="G7031">
        <v>25776</v>
      </c>
      <c r="H7031">
        <v>1051</v>
      </c>
      <c r="I7031" s="25" t="s">
        <v>2085</v>
      </c>
      <c r="J7031" t="s">
        <v>2097</v>
      </c>
      <c r="M7031" s="49"/>
    </row>
    <row r="7032" spans="6:13" x14ac:dyDescent="0.25">
      <c r="F7032" t="s">
        <v>7241</v>
      </c>
      <c r="G7032">
        <v>25776</v>
      </c>
      <c r="H7032">
        <v>1051</v>
      </c>
      <c r="I7032" s="25" t="s">
        <v>2085</v>
      </c>
      <c r="J7032" t="s">
        <v>2097</v>
      </c>
      <c r="M7032" s="49"/>
    </row>
    <row r="7033" spans="6:13" x14ac:dyDescent="0.25">
      <c r="F7033" t="s">
        <v>7242</v>
      </c>
      <c r="G7033">
        <v>53757</v>
      </c>
      <c r="H7033">
        <v>5382</v>
      </c>
      <c r="I7033" s="25" t="s">
        <v>2023</v>
      </c>
      <c r="J7033" t="s">
        <v>2298</v>
      </c>
      <c r="M7033" s="49"/>
    </row>
    <row r="7034" spans="6:13" x14ac:dyDescent="0.25">
      <c r="F7034" t="s">
        <v>7243</v>
      </c>
      <c r="G7034">
        <v>94379</v>
      </c>
      <c r="H7034">
        <v>9278</v>
      </c>
      <c r="I7034" s="25" t="s">
        <v>2050</v>
      </c>
      <c r="J7034" t="s">
        <v>2170</v>
      </c>
      <c r="M7034" s="49"/>
    </row>
    <row r="7035" spans="6:13" x14ac:dyDescent="0.25">
      <c r="F7035" t="s">
        <v>7244</v>
      </c>
      <c r="G7035">
        <v>56329</v>
      </c>
      <c r="H7035">
        <v>7140</v>
      </c>
      <c r="I7035" s="25" t="s">
        <v>2123</v>
      </c>
      <c r="J7035" t="s">
        <v>2329</v>
      </c>
      <c r="M7035" s="49"/>
    </row>
    <row r="7036" spans="6:13" x14ac:dyDescent="0.25">
      <c r="F7036" t="s">
        <v>7245</v>
      </c>
      <c r="G7036">
        <v>56346</v>
      </c>
      <c r="H7036">
        <v>7141</v>
      </c>
      <c r="I7036" s="25" t="s">
        <v>2123</v>
      </c>
      <c r="J7036" t="s">
        <v>2388</v>
      </c>
      <c r="M7036" s="49"/>
    </row>
    <row r="7037" spans="6:13" x14ac:dyDescent="0.25">
      <c r="F7037" t="s">
        <v>7245</v>
      </c>
      <c r="G7037">
        <v>56346</v>
      </c>
      <c r="H7037">
        <v>7141</v>
      </c>
      <c r="I7037" s="25" t="s">
        <v>2123</v>
      </c>
      <c r="J7037" t="s">
        <v>2388</v>
      </c>
      <c r="M7037" s="49"/>
    </row>
    <row r="7038" spans="6:13" x14ac:dyDescent="0.25">
      <c r="F7038" t="s">
        <v>7245</v>
      </c>
      <c r="G7038">
        <v>56346</v>
      </c>
      <c r="H7038">
        <v>7141</v>
      </c>
      <c r="I7038" s="25" t="s">
        <v>2123</v>
      </c>
      <c r="J7038" t="s">
        <v>2388</v>
      </c>
      <c r="M7038" s="49"/>
    </row>
    <row r="7039" spans="6:13" x14ac:dyDescent="0.25">
      <c r="F7039" t="s">
        <v>7245</v>
      </c>
      <c r="G7039">
        <v>56346</v>
      </c>
      <c r="H7039">
        <v>7141</v>
      </c>
      <c r="I7039" s="25" t="s">
        <v>2123</v>
      </c>
      <c r="J7039" t="s">
        <v>2388</v>
      </c>
      <c r="M7039" s="49"/>
    </row>
    <row r="7040" spans="6:13" x14ac:dyDescent="0.25">
      <c r="F7040" t="s">
        <v>7246</v>
      </c>
      <c r="G7040">
        <v>66386</v>
      </c>
      <c r="H7040">
        <v>10045</v>
      </c>
      <c r="I7040" s="25" t="s">
        <v>2849</v>
      </c>
      <c r="J7040" t="s">
        <v>3048</v>
      </c>
      <c r="M7040" s="49"/>
    </row>
    <row r="7041" spans="6:13" x14ac:dyDescent="0.25">
      <c r="F7041" t="s">
        <v>7247</v>
      </c>
      <c r="G7041">
        <v>53562</v>
      </c>
      <c r="H7041">
        <v>7138</v>
      </c>
      <c r="I7041" s="25" t="s">
        <v>2123</v>
      </c>
      <c r="J7041" t="s">
        <v>2489</v>
      </c>
      <c r="M7041" s="49"/>
    </row>
    <row r="7042" spans="6:13" x14ac:dyDescent="0.25">
      <c r="F7042" t="s">
        <v>7248</v>
      </c>
      <c r="G7042">
        <v>68789</v>
      </c>
      <c r="H7042">
        <v>8226</v>
      </c>
      <c r="I7042" s="25" t="s">
        <v>2018</v>
      </c>
      <c r="J7042" t="s">
        <v>2442</v>
      </c>
      <c r="M7042" s="49"/>
    </row>
    <row r="7043" spans="6:13" x14ac:dyDescent="0.25">
      <c r="F7043" t="s">
        <v>7249</v>
      </c>
      <c r="G7043">
        <v>25572</v>
      </c>
      <c r="H7043">
        <v>1061</v>
      </c>
      <c r="I7043" s="25" t="s">
        <v>2085</v>
      </c>
      <c r="J7043" t="s">
        <v>2377</v>
      </c>
      <c r="M7043" s="49"/>
    </row>
    <row r="7044" spans="6:13" x14ac:dyDescent="0.25">
      <c r="F7044" t="s">
        <v>7250</v>
      </c>
      <c r="G7044">
        <v>25693</v>
      </c>
      <c r="H7044">
        <v>1051</v>
      </c>
      <c r="I7044" s="25" t="s">
        <v>2085</v>
      </c>
      <c r="J7044" t="s">
        <v>2097</v>
      </c>
      <c r="M7044" s="49"/>
    </row>
    <row r="7045" spans="6:13" x14ac:dyDescent="0.25">
      <c r="F7045" t="s">
        <v>7251</v>
      </c>
      <c r="G7045">
        <v>94568</v>
      </c>
      <c r="H7045">
        <v>9272</v>
      </c>
      <c r="I7045" s="25" t="s">
        <v>2050</v>
      </c>
      <c r="J7045" t="s">
        <v>2140</v>
      </c>
      <c r="M7045" s="49"/>
    </row>
    <row r="7046" spans="6:13" x14ac:dyDescent="0.25">
      <c r="F7046" t="s">
        <v>7252</v>
      </c>
      <c r="G7046">
        <v>79271</v>
      </c>
      <c r="H7046">
        <v>8315</v>
      </c>
      <c r="I7046" s="25" t="s">
        <v>2018</v>
      </c>
      <c r="J7046" t="s">
        <v>2061</v>
      </c>
      <c r="M7046" s="49"/>
    </row>
    <row r="7047" spans="6:13" x14ac:dyDescent="0.25">
      <c r="F7047" t="s">
        <v>7252</v>
      </c>
      <c r="G7047">
        <v>79271</v>
      </c>
      <c r="H7047">
        <v>8316</v>
      </c>
      <c r="I7047" s="25" t="s">
        <v>2018</v>
      </c>
      <c r="J7047" t="s">
        <v>2764</v>
      </c>
      <c r="M7047" s="49"/>
    </row>
    <row r="7048" spans="6:13" x14ac:dyDescent="0.25">
      <c r="F7048" t="s">
        <v>7253</v>
      </c>
      <c r="G7048">
        <v>25826</v>
      </c>
      <c r="H7048">
        <v>1054</v>
      </c>
      <c r="I7048" s="25" t="s">
        <v>2085</v>
      </c>
      <c r="J7048" t="s">
        <v>2195</v>
      </c>
      <c r="M7048" s="49"/>
    </row>
    <row r="7049" spans="6:13" x14ac:dyDescent="0.25">
      <c r="F7049" t="s">
        <v>7254</v>
      </c>
      <c r="G7049">
        <v>66606</v>
      </c>
      <c r="H7049">
        <v>10046</v>
      </c>
      <c r="I7049" s="25" t="s">
        <v>2849</v>
      </c>
      <c r="J7049" t="s">
        <v>2375</v>
      </c>
      <c r="M7049" s="49"/>
    </row>
    <row r="7050" spans="6:13" x14ac:dyDescent="0.25">
      <c r="F7050" t="s">
        <v>7255</v>
      </c>
      <c r="G7050">
        <v>84427</v>
      </c>
      <c r="H7050">
        <v>9177</v>
      </c>
      <c r="I7050" s="25" t="s">
        <v>2050</v>
      </c>
      <c r="J7050" t="s">
        <v>2915</v>
      </c>
      <c r="M7050" s="49"/>
    </row>
    <row r="7051" spans="6:13" x14ac:dyDescent="0.25">
      <c r="F7051" t="s">
        <v>7256</v>
      </c>
      <c r="G7051">
        <v>23629</v>
      </c>
      <c r="H7051">
        <v>1055</v>
      </c>
      <c r="I7051" s="25" t="s">
        <v>2085</v>
      </c>
      <c r="J7051" t="s">
        <v>2185</v>
      </c>
      <c r="M7051" s="49"/>
    </row>
    <row r="7052" spans="6:13" x14ac:dyDescent="0.25">
      <c r="F7052" t="s">
        <v>7257</v>
      </c>
      <c r="G7052">
        <v>31157</v>
      </c>
      <c r="H7052">
        <v>3254</v>
      </c>
      <c r="I7052" s="25" t="s">
        <v>2074</v>
      </c>
      <c r="J7052" t="s">
        <v>2196</v>
      </c>
      <c r="M7052" s="49"/>
    </row>
    <row r="7053" spans="6:13" x14ac:dyDescent="0.25">
      <c r="F7053" t="s">
        <v>7258</v>
      </c>
      <c r="G7053">
        <v>77880</v>
      </c>
      <c r="H7053">
        <v>8317</v>
      </c>
      <c r="I7053" s="25" t="s">
        <v>2018</v>
      </c>
      <c r="J7053" t="s">
        <v>2071</v>
      </c>
      <c r="M7053" s="49"/>
    </row>
    <row r="7054" spans="6:13" x14ac:dyDescent="0.25">
      <c r="F7054" t="s">
        <v>7258</v>
      </c>
      <c r="G7054">
        <v>77880</v>
      </c>
      <c r="H7054">
        <v>8317</v>
      </c>
      <c r="I7054" s="25" t="s">
        <v>2018</v>
      </c>
      <c r="J7054" t="s">
        <v>2071</v>
      </c>
      <c r="M7054" s="49"/>
    </row>
    <row r="7055" spans="6:13" x14ac:dyDescent="0.25">
      <c r="F7055" t="s">
        <v>7259</v>
      </c>
      <c r="G7055">
        <v>79361</v>
      </c>
      <c r="H7055">
        <v>8316</v>
      </c>
      <c r="I7055" s="25" t="s">
        <v>2018</v>
      </c>
      <c r="J7055" t="s">
        <v>2764</v>
      </c>
      <c r="M7055" s="49"/>
    </row>
    <row r="7056" spans="6:13" x14ac:dyDescent="0.25">
      <c r="F7056" t="s">
        <v>7260</v>
      </c>
      <c r="G7056">
        <v>77887</v>
      </c>
      <c r="H7056">
        <v>8317</v>
      </c>
      <c r="I7056" s="25" t="s">
        <v>2018</v>
      </c>
      <c r="J7056" t="s">
        <v>2071</v>
      </c>
      <c r="M7056" s="49"/>
    </row>
    <row r="7057" spans="6:13" x14ac:dyDescent="0.25">
      <c r="F7057" t="s">
        <v>7261</v>
      </c>
      <c r="G7057">
        <v>48336</v>
      </c>
      <c r="H7057">
        <v>5570</v>
      </c>
      <c r="I7057" s="25" t="s">
        <v>2023</v>
      </c>
      <c r="J7057" t="s">
        <v>2154</v>
      </c>
      <c r="M7057" s="49"/>
    </row>
    <row r="7058" spans="6:13" x14ac:dyDescent="0.25">
      <c r="F7058" t="s">
        <v>7262</v>
      </c>
      <c r="G7058">
        <v>38524</v>
      </c>
      <c r="H7058">
        <v>3151</v>
      </c>
      <c r="I7058" s="25" t="s">
        <v>2074</v>
      </c>
      <c r="J7058" t="s">
        <v>2126</v>
      </c>
      <c r="M7058" s="49"/>
    </row>
    <row r="7059" spans="6:13" x14ac:dyDescent="0.25">
      <c r="F7059" t="s">
        <v>7263</v>
      </c>
      <c r="G7059">
        <v>18546</v>
      </c>
      <c r="H7059">
        <v>13073</v>
      </c>
      <c r="I7059" s="25" t="s">
        <v>2191</v>
      </c>
      <c r="J7059" t="s">
        <v>2192</v>
      </c>
      <c r="M7059" s="49"/>
    </row>
    <row r="7060" spans="6:13" x14ac:dyDescent="0.25">
      <c r="F7060" t="s">
        <v>7264</v>
      </c>
      <c r="G7060">
        <v>26683</v>
      </c>
      <c r="H7060">
        <v>3453</v>
      </c>
      <c r="I7060" s="25" t="s">
        <v>2074</v>
      </c>
      <c r="J7060" t="s">
        <v>2069</v>
      </c>
      <c r="M7060" s="49"/>
    </row>
    <row r="7061" spans="6:13" x14ac:dyDescent="0.25">
      <c r="F7061" t="s">
        <v>7265</v>
      </c>
      <c r="G7061">
        <v>18239</v>
      </c>
      <c r="H7061">
        <v>13072</v>
      </c>
      <c r="I7061" s="25" t="s">
        <v>2191</v>
      </c>
      <c r="J7061" t="s">
        <v>2036</v>
      </c>
      <c r="M7061" s="49"/>
    </row>
    <row r="7062" spans="6:13" x14ac:dyDescent="0.25">
      <c r="F7062" t="s">
        <v>7266</v>
      </c>
      <c r="G7062">
        <v>74589</v>
      </c>
      <c r="H7062">
        <v>8127</v>
      </c>
      <c r="I7062" s="25" t="s">
        <v>2018</v>
      </c>
      <c r="J7062" t="s">
        <v>3126</v>
      </c>
      <c r="M7062" s="49"/>
    </row>
    <row r="7063" spans="6:13" x14ac:dyDescent="0.25">
      <c r="F7063" t="s">
        <v>7267</v>
      </c>
      <c r="G7063">
        <v>21644</v>
      </c>
      <c r="H7063">
        <v>3359</v>
      </c>
      <c r="I7063" s="25" t="s">
        <v>2074</v>
      </c>
      <c r="J7063" t="s">
        <v>2158</v>
      </c>
      <c r="M7063" s="49"/>
    </row>
    <row r="7064" spans="6:13" x14ac:dyDescent="0.25">
      <c r="F7064" t="s">
        <v>7268</v>
      </c>
      <c r="G7064">
        <v>82054</v>
      </c>
      <c r="H7064">
        <v>9184</v>
      </c>
      <c r="I7064" s="25" t="s">
        <v>2050</v>
      </c>
      <c r="J7064" t="s">
        <v>2547</v>
      </c>
      <c r="M7064" s="49"/>
    </row>
    <row r="7065" spans="6:13" x14ac:dyDescent="0.25">
      <c r="F7065" t="s">
        <v>7269</v>
      </c>
      <c r="G7065">
        <v>82442</v>
      </c>
      <c r="H7065">
        <v>9180</v>
      </c>
      <c r="I7065" s="25" t="s">
        <v>2050</v>
      </c>
      <c r="J7065" t="s">
        <v>2147</v>
      </c>
      <c r="M7065" s="49"/>
    </row>
    <row r="7066" spans="6:13" x14ac:dyDescent="0.25">
      <c r="F7066" t="s">
        <v>7270</v>
      </c>
      <c r="G7066">
        <v>55291</v>
      </c>
      <c r="H7066">
        <v>7331</v>
      </c>
      <c r="I7066" s="25" t="s">
        <v>2123</v>
      </c>
      <c r="J7066" t="s">
        <v>2029</v>
      </c>
      <c r="M7066" s="49"/>
    </row>
    <row r="7067" spans="6:13" x14ac:dyDescent="0.25">
      <c r="F7067" t="s">
        <v>7271</v>
      </c>
      <c r="G7067">
        <v>64850</v>
      </c>
      <c r="H7067">
        <v>6432</v>
      </c>
      <c r="I7067" s="25" t="s">
        <v>2046</v>
      </c>
      <c r="J7067" t="s">
        <v>2338</v>
      </c>
      <c r="M7067" s="49"/>
    </row>
    <row r="7068" spans="6:13" x14ac:dyDescent="0.25">
      <c r="F7068" t="s">
        <v>7272</v>
      </c>
      <c r="G7068">
        <v>24882</v>
      </c>
      <c r="H7068">
        <v>1059</v>
      </c>
      <c r="I7068" s="25" t="s">
        <v>2085</v>
      </c>
      <c r="J7068" t="s">
        <v>2354</v>
      </c>
      <c r="M7068" s="49"/>
    </row>
    <row r="7069" spans="6:13" x14ac:dyDescent="0.25">
      <c r="F7069" t="s">
        <v>7273</v>
      </c>
      <c r="G7069">
        <v>24790</v>
      </c>
      <c r="H7069">
        <v>1058</v>
      </c>
      <c r="I7069" s="25" t="s">
        <v>2085</v>
      </c>
      <c r="J7069" t="s">
        <v>2086</v>
      </c>
      <c r="M7069" s="49"/>
    </row>
    <row r="7070" spans="6:13" x14ac:dyDescent="0.25">
      <c r="F7070" t="s">
        <v>7274</v>
      </c>
      <c r="G7070">
        <v>24980</v>
      </c>
      <c r="H7070">
        <v>1059</v>
      </c>
      <c r="I7070" s="25" t="s">
        <v>2085</v>
      </c>
      <c r="J7070" t="s">
        <v>2354</v>
      </c>
      <c r="M7070" s="49"/>
    </row>
    <row r="7071" spans="6:13" x14ac:dyDescent="0.25">
      <c r="F7071" t="s">
        <v>7275</v>
      </c>
      <c r="G7071">
        <v>25725</v>
      </c>
      <c r="H7071">
        <v>1051</v>
      </c>
      <c r="I7071" s="25" t="s">
        <v>2085</v>
      </c>
      <c r="J7071" t="s">
        <v>2097</v>
      </c>
      <c r="M7071" s="49"/>
    </row>
    <row r="7072" spans="6:13" x14ac:dyDescent="0.25">
      <c r="F7072" t="s">
        <v>7275</v>
      </c>
      <c r="G7072">
        <v>25725</v>
      </c>
      <c r="H7072">
        <v>1058</v>
      </c>
      <c r="I7072" s="25" t="s">
        <v>2085</v>
      </c>
      <c r="J7072" t="s">
        <v>2086</v>
      </c>
      <c r="M7072" s="49"/>
    </row>
    <row r="7073" spans="6:13" x14ac:dyDescent="0.25">
      <c r="F7073" t="s">
        <v>7276</v>
      </c>
      <c r="G7073">
        <v>82069</v>
      </c>
      <c r="H7073">
        <v>9184</v>
      </c>
      <c r="I7073" s="25" t="s">
        <v>2050</v>
      </c>
      <c r="J7073" t="s">
        <v>2547</v>
      </c>
      <c r="M7073" s="49"/>
    </row>
    <row r="7074" spans="6:13" x14ac:dyDescent="0.25">
      <c r="F7074" t="s">
        <v>7276</v>
      </c>
      <c r="G7074">
        <v>82067</v>
      </c>
      <c r="H7074">
        <v>9184</v>
      </c>
      <c r="I7074" s="25" t="s">
        <v>2050</v>
      </c>
      <c r="J7074" t="s">
        <v>2547</v>
      </c>
      <c r="M7074" s="49"/>
    </row>
    <row r="7075" spans="6:13" x14ac:dyDescent="0.25">
      <c r="F7075" t="s">
        <v>7277</v>
      </c>
      <c r="G7075">
        <v>53426</v>
      </c>
      <c r="H7075">
        <v>7131</v>
      </c>
      <c r="I7075" s="25" t="s">
        <v>2123</v>
      </c>
      <c r="J7075" t="s">
        <v>2022</v>
      </c>
      <c r="M7075" s="49"/>
    </row>
    <row r="7076" spans="6:13" x14ac:dyDescent="0.25">
      <c r="F7076" t="s">
        <v>7278</v>
      </c>
      <c r="G7076">
        <v>58579</v>
      </c>
      <c r="H7076">
        <v>5962</v>
      </c>
      <c r="I7076" s="25" t="s">
        <v>2023</v>
      </c>
      <c r="J7076" t="s">
        <v>2239</v>
      </c>
      <c r="M7076" s="49"/>
    </row>
    <row r="7077" spans="6:13" x14ac:dyDescent="0.25">
      <c r="F7077" t="s">
        <v>7279</v>
      </c>
      <c r="G7077">
        <v>79597</v>
      </c>
      <c r="H7077">
        <v>8336</v>
      </c>
      <c r="I7077" s="25" t="s">
        <v>2018</v>
      </c>
      <c r="J7077" t="s">
        <v>2227</v>
      </c>
      <c r="M7077" s="49"/>
    </row>
    <row r="7078" spans="6:13" x14ac:dyDescent="0.25">
      <c r="F7078" t="s">
        <v>7280</v>
      </c>
      <c r="G7078">
        <v>67701</v>
      </c>
      <c r="H7078">
        <v>7335</v>
      </c>
      <c r="I7078" s="25" t="s">
        <v>2123</v>
      </c>
      <c r="J7078" t="s">
        <v>2843</v>
      </c>
      <c r="M7078" s="49"/>
    </row>
    <row r="7079" spans="6:13" x14ac:dyDescent="0.25">
      <c r="F7079" t="s">
        <v>7281</v>
      </c>
      <c r="G7079">
        <v>79227</v>
      </c>
      <c r="H7079">
        <v>8315</v>
      </c>
      <c r="I7079" s="25" t="s">
        <v>2018</v>
      </c>
      <c r="J7079" t="s">
        <v>2061</v>
      </c>
      <c r="M7079" s="49"/>
    </row>
    <row r="7080" spans="6:13" x14ac:dyDescent="0.25">
      <c r="F7080" t="s">
        <v>7282</v>
      </c>
      <c r="G7080">
        <v>23683</v>
      </c>
      <c r="H7080">
        <v>1055</v>
      </c>
      <c r="I7080" s="25" t="s">
        <v>2085</v>
      </c>
      <c r="J7080" t="s">
        <v>2185</v>
      </c>
      <c r="M7080" s="49"/>
    </row>
    <row r="7081" spans="6:13" x14ac:dyDescent="0.25">
      <c r="F7081" t="s">
        <v>7283</v>
      </c>
      <c r="G7081">
        <v>23684</v>
      </c>
      <c r="H7081">
        <v>1055</v>
      </c>
      <c r="I7081" s="25" t="s">
        <v>2085</v>
      </c>
      <c r="J7081" t="s">
        <v>2185</v>
      </c>
      <c r="M7081" s="49"/>
    </row>
    <row r="7082" spans="6:13" x14ac:dyDescent="0.25">
      <c r="F7082" t="s">
        <v>7284</v>
      </c>
      <c r="G7082">
        <v>21379</v>
      </c>
      <c r="H7082">
        <v>3355</v>
      </c>
      <c r="I7082" s="25" t="s">
        <v>2074</v>
      </c>
      <c r="J7082" t="s">
        <v>2129</v>
      </c>
      <c r="M7082" s="49"/>
    </row>
    <row r="7083" spans="6:13" x14ac:dyDescent="0.25">
      <c r="F7083" t="s">
        <v>7285</v>
      </c>
      <c r="G7083">
        <v>34270</v>
      </c>
      <c r="H7083">
        <v>6633</v>
      </c>
      <c r="I7083" s="25" t="s">
        <v>2046</v>
      </c>
      <c r="J7083" t="s">
        <v>2162</v>
      </c>
      <c r="M7083" s="49"/>
    </row>
    <row r="7084" spans="6:13" x14ac:dyDescent="0.25">
      <c r="F7084" t="s">
        <v>7286</v>
      </c>
      <c r="G7084">
        <v>95197</v>
      </c>
      <c r="H7084">
        <v>9475</v>
      </c>
      <c r="I7084" s="25" t="s">
        <v>2050</v>
      </c>
      <c r="J7084" t="s">
        <v>2201</v>
      </c>
      <c r="M7084" s="49"/>
    </row>
    <row r="7085" spans="6:13" x14ac:dyDescent="0.25">
      <c r="F7085" t="s">
        <v>7287</v>
      </c>
      <c r="G7085">
        <v>94571</v>
      </c>
      <c r="H7085">
        <v>9271</v>
      </c>
      <c r="I7085" s="25" t="s">
        <v>2050</v>
      </c>
      <c r="J7085" t="s">
        <v>2172</v>
      </c>
      <c r="M7085" s="49"/>
    </row>
    <row r="7086" spans="6:13" x14ac:dyDescent="0.25">
      <c r="F7086" t="s">
        <v>7288</v>
      </c>
      <c r="G7086">
        <v>83135</v>
      </c>
      <c r="H7086">
        <v>9187</v>
      </c>
      <c r="I7086" s="25" t="s">
        <v>2050</v>
      </c>
      <c r="J7086" t="s">
        <v>2245</v>
      </c>
      <c r="M7086" s="49"/>
    </row>
    <row r="7087" spans="6:13" x14ac:dyDescent="0.25">
      <c r="F7087" t="s">
        <v>7289</v>
      </c>
      <c r="G7087">
        <v>73579</v>
      </c>
      <c r="H7087">
        <v>8136</v>
      </c>
      <c r="I7087" s="25" t="s">
        <v>2018</v>
      </c>
      <c r="J7087" t="s">
        <v>2039</v>
      </c>
      <c r="M7087" s="49"/>
    </row>
    <row r="7088" spans="6:13" x14ac:dyDescent="0.25">
      <c r="F7088" t="s">
        <v>7290</v>
      </c>
      <c r="G7088">
        <v>72516</v>
      </c>
      <c r="H7088">
        <v>8437</v>
      </c>
      <c r="I7088" s="25" t="s">
        <v>2018</v>
      </c>
      <c r="J7088" t="s">
        <v>2720</v>
      </c>
      <c r="M7088" s="49"/>
    </row>
    <row r="7089" spans="6:13" x14ac:dyDescent="0.25">
      <c r="F7089" t="s">
        <v>7291</v>
      </c>
      <c r="G7089">
        <v>27383</v>
      </c>
      <c r="H7089">
        <v>3357</v>
      </c>
      <c r="I7089" s="25" t="s">
        <v>2074</v>
      </c>
      <c r="J7089" t="s">
        <v>2339</v>
      </c>
      <c r="M7089" s="49"/>
    </row>
    <row r="7090" spans="6:13" x14ac:dyDescent="0.25">
      <c r="F7090" t="s">
        <v>7292</v>
      </c>
      <c r="G7090">
        <v>74850</v>
      </c>
      <c r="H7090">
        <v>8225</v>
      </c>
      <c r="I7090" s="25" t="s">
        <v>2018</v>
      </c>
      <c r="J7090" t="s">
        <v>2108</v>
      </c>
      <c r="M7090" s="49"/>
    </row>
    <row r="7091" spans="6:13" x14ac:dyDescent="0.25">
      <c r="F7091" t="s">
        <v>7293</v>
      </c>
      <c r="G7091">
        <v>9481</v>
      </c>
      <c r="H7091">
        <v>14521</v>
      </c>
      <c r="I7091" s="25" t="s">
        <v>2135</v>
      </c>
      <c r="J7091" t="s">
        <v>2032</v>
      </c>
      <c r="M7091" s="49"/>
    </row>
    <row r="7092" spans="6:13" x14ac:dyDescent="0.25">
      <c r="F7092" t="s">
        <v>7294</v>
      </c>
      <c r="G7092">
        <v>76779</v>
      </c>
      <c r="H7092">
        <v>7334</v>
      </c>
      <c r="I7092" s="25" t="s">
        <v>2123</v>
      </c>
      <c r="J7092" t="s">
        <v>2873</v>
      </c>
      <c r="M7092" s="49"/>
    </row>
    <row r="7093" spans="6:13" x14ac:dyDescent="0.25">
      <c r="F7093" t="s">
        <v>7295</v>
      </c>
      <c r="G7093">
        <v>88175</v>
      </c>
      <c r="H7093">
        <v>9776</v>
      </c>
      <c r="I7093" s="25" t="s">
        <v>2050</v>
      </c>
      <c r="J7093" t="s">
        <v>4735</v>
      </c>
      <c r="M7093" s="49"/>
    </row>
    <row r="7094" spans="6:13" x14ac:dyDescent="0.25">
      <c r="F7094" t="s">
        <v>7296</v>
      </c>
      <c r="G7094">
        <v>91443</v>
      </c>
      <c r="H7094">
        <v>9575</v>
      </c>
      <c r="I7094" s="25" t="s">
        <v>2050</v>
      </c>
      <c r="J7094" t="s">
        <v>2749</v>
      </c>
      <c r="M7094" s="49"/>
    </row>
    <row r="7095" spans="6:13" x14ac:dyDescent="0.25">
      <c r="F7095" t="s">
        <v>7297</v>
      </c>
      <c r="G7095">
        <v>89601</v>
      </c>
      <c r="H7095">
        <v>8425</v>
      </c>
      <c r="I7095" s="25" t="s">
        <v>2018</v>
      </c>
      <c r="J7095" t="s">
        <v>2027</v>
      </c>
      <c r="M7095" s="49"/>
    </row>
    <row r="7096" spans="6:13" x14ac:dyDescent="0.25">
      <c r="F7096" t="s">
        <v>7298</v>
      </c>
      <c r="G7096">
        <v>31174</v>
      </c>
      <c r="H7096">
        <v>3254</v>
      </c>
      <c r="I7096" s="25" t="s">
        <v>2074</v>
      </c>
      <c r="J7096" t="s">
        <v>2196</v>
      </c>
      <c r="M7096" s="49"/>
    </row>
    <row r="7097" spans="6:13" x14ac:dyDescent="0.25">
      <c r="F7097" t="s">
        <v>7299</v>
      </c>
      <c r="G7097">
        <v>88433</v>
      </c>
      <c r="H7097">
        <v>8426</v>
      </c>
      <c r="I7097" s="25" t="s">
        <v>2018</v>
      </c>
      <c r="J7097" t="s">
        <v>2081</v>
      </c>
      <c r="M7097" s="49"/>
    </row>
    <row r="7098" spans="6:13" x14ac:dyDescent="0.25">
      <c r="F7098" t="s">
        <v>7300</v>
      </c>
      <c r="G7098">
        <v>22869</v>
      </c>
      <c r="H7098">
        <v>1056</v>
      </c>
      <c r="I7098" s="25" t="s">
        <v>2085</v>
      </c>
      <c r="J7098" t="s">
        <v>2311</v>
      </c>
      <c r="M7098" s="49"/>
    </row>
    <row r="7099" spans="6:13" x14ac:dyDescent="0.25">
      <c r="F7099" t="s">
        <v>7300</v>
      </c>
      <c r="G7099">
        <v>25560</v>
      </c>
      <c r="H7099">
        <v>1061</v>
      </c>
      <c r="I7099" s="25" t="s">
        <v>2085</v>
      </c>
      <c r="J7099" t="s">
        <v>2377</v>
      </c>
      <c r="M7099" s="49"/>
    </row>
    <row r="7100" spans="6:13" x14ac:dyDescent="0.25">
      <c r="F7100" t="s">
        <v>7301</v>
      </c>
      <c r="G7100">
        <v>77773</v>
      </c>
      <c r="H7100">
        <v>8325</v>
      </c>
      <c r="I7100" s="25" t="s">
        <v>2018</v>
      </c>
      <c r="J7100" t="s">
        <v>2208</v>
      </c>
      <c r="M7100" s="49"/>
    </row>
    <row r="7101" spans="6:13" x14ac:dyDescent="0.25">
      <c r="F7101" t="s">
        <v>7302</v>
      </c>
      <c r="G7101">
        <v>36277</v>
      </c>
      <c r="H7101">
        <v>6632</v>
      </c>
      <c r="I7101" s="25" t="s">
        <v>2046</v>
      </c>
      <c r="J7101" t="s">
        <v>2303</v>
      </c>
      <c r="M7101" s="49"/>
    </row>
    <row r="7102" spans="6:13" x14ac:dyDescent="0.25">
      <c r="F7102" t="s">
        <v>7303</v>
      </c>
      <c r="G7102">
        <v>46514</v>
      </c>
      <c r="H7102">
        <v>5170</v>
      </c>
      <c r="I7102" s="25" t="s">
        <v>2023</v>
      </c>
      <c r="J7102" t="s">
        <v>2328</v>
      </c>
      <c r="M7102" s="49"/>
    </row>
    <row r="7103" spans="6:13" x14ac:dyDescent="0.25">
      <c r="F7103" t="s">
        <v>7304</v>
      </c>
      <c r="G7103">
        <v>85132</v>
      </c>
      <c r="H7103">
        <v>9176</v>
      </c>
      <c r="I7103" s="25" t="s">
        <v>2050</v>
      </c>
      <c r="J7103" t="s">
        <v>2102</v>
      </c>
      <c r="M7103" s="49"/>
    </row>
    <row r="7104" spans="6:13" x14ac:dyDescent="0.25">
      <c r="F7104" t="s">
        <v>7305</v>
      </c>
      <c r="G7104">
        <v>86872</v>
      </c>
      <c r="H7104">
        <v>9772</v>
      </c>
      <c r="I7104" s="25" t="s">
        <v>2050</v>
      </c>
      <c r="J7104" t="s">
        <v>2117</v>
      </c>
      <c r="M7104" s="49"/>
    </row>
    <row r="7105" spans="6:13" x14ac:dyDescent="0.25">
      <c r="F7105" t="s">
        <v>7306</v>
      </c>
      <c r="G7105">
        <v>96110</v>
      </c>
      <c r="H7105">
        <v>9471</v>
      </c>
      <c r="I7105" s="25" t="s">
        <v>2050</v>
      </c>
      <c r="J7105" t="s">
        <v>2392</v>
      </c>
      <c r="M7105" s="49"/>
    </row>
    <row r="7106" spans="6:13" x14ac:dyDescent="0.25">
      <c r="F7106" t="s">
        <v>7307</v>
      </c>
      <c r="G7106">
        <v>57584</v>
      </c>
      <c r="H7106">
        <v>7132</v>
      </c>
      <c r="I7106" s="25" t="s">
        <v>2123</v>
      </c>
      <c r="J7106" t="s">
        <v>2401</v>
      </c>
      <c r="M7106" s="49"/>
    </row>
    <row r="7107" spans="6:13" x14ac:dyDescent="0.25">
      <c r="F7107" t="s">
        <v>7308</v>
      </c>
      <c r="G7107">
        <v>86937</v>
      </c>
      <c r="H7107">
        <v>9181</v>
      </c>
      <c r="I7107" s="25" t="s">
        <v>2050</v>
      </c>
      <c r="J7107" t="s">
        <v>2505</v>
      </c>
      <c r="M7107" s="49"/>
    </row>
    <row r="7108" spans="6:13" x14ac:dyDescent="0.25">
      <c r="F7108" t="s">
        <v>7309</v>
      </c>
      <c r="G7108">
        <v>85298</v>
      </c>
      <c r="H7108">
        <v>9186</v>
      </c>
      <c r="I7108" s="25" t="s">
        <v>2050</v>
      </c>
      <c r="J7108" t="s">
        <v>2594</v>
      </c>
      <c r="M7108" s="49"/>
    </row>
    <row r="7109" spans="6:13" x14ac:dyDescent="0.25">
      <c r="F7109" t="s">
        <v>7310</v>
      </c>
      <c r="G7109">
        <v>32816</v>
      </c>
      <c r="H7109">
        <v>5766</v>
      </c>
      <c r="I7109" s="25" t="s">
        <v>2023</v>
      </c>
      <c r="J7109" t="s">
        <v>2223</v>
      </c>
      <c r="M7109" s="49"/>
    </row>
    <row r="7110" spans="6:13" x14ac:dyDescent="0.25">
      <c r="F7110" t="s">
        <v>7311</v>
      </c>
      <c r="G7110">
        <v>84069</v>
      </c>
      <c r="H7110">
        <v>9375</v>
      </c>
      <c r="I7110" s="25" t="s">
        <v>2050</v>
      </c>
      <c r="J7110" t="s">
        <v>2365</v>
      </c>
      <c r="M7110" s="49"/>
    </row>
    <row r="7111" spans="6:13" x14ac:dyDescent="0.25">
      <c r="F7111" t="s">
        <v>7312</v>
      </c>
      <c r="G7111">
        <v>27619</v>
      </c>
      <c r="H7111">
        <v>3352</v>
      </c>
      <c r="I7111" s="25" t="s">
        <v>2074</v>
      </c>
      <c r="J7111" t="s">
        <v>2079</v>
      </c>
      <c r="M7111" s="49"/>
    </row>
    <row r="7112" spans="6:13" x14ac:dyDescent="0.25">
      <c r="F7112" t="s">
        <v>7313</v>
      </c>
      <c r="G7112">
        <v>67105</v>
      </c>
      <c r="H7112">
        <v>7338</v>
      </c>
      <c r="I7112" s="25" t="s">
        <v>2123</v>
      </c>
      <c r="J7112" t="s">
        <v>2448</v>
      </c>
      <c r="M7112" s="49"/>
    </row>
    <row r="7113" spans="6:13" x14ac:dyDescent="0.25">
      <c r="F7113" t="s">
        <v>7314</v>
      </c>
      <c r="G7113">
        <v>66578</v>
      </c>
      <c r="H7113">
        <v>10043</v>
      </c>
      <c r="I7113" s="25" t="s">
        <v>2849</v>
      </c>
      <c r="J7113" t="s">
        <v>3883</v>
      </c>
      <c r="M7113" s="49"/>
    </row>
    <row r="7114" spans="6:13" x14ac:dyDescent="0.25">
      <c r="F7114" t="s">
        <v>7315</v>
      </c>
      <c r="G7114">
        <v>16552</v>
      </c>
      <c r="H7114">
        <v>12065</v>
      </c>
      <c r="I7114" s="25" t="s">
        <v>2356</v>
      </c>
      <c r="J7114" t="s">
        <v>2283</v>
      </c>
      <c r="M7114" s="49"/>
    </row>
    <row r="7115" spans="6:13" x14ac:dyDescent="0.25">
      <c r="F7115" t="s">
        <v>7316</v>
      </c>
      <c r="G7115">
        <v>54429</v>
      </c>
      <c r="H7115">
        <v>7235</v>
      </c>
      <c r="I7115" s="25" t="s">
        <v>2123</v>
      </c>
      <c r="J7115" t="s">
        <v>2395</v>
      </c>
      <c r="M7115" s="49"/>
    </row>
    <row r="7116" spans="6:13" x14ac:dyDescent="0.25">
      <c r="F7116" t="s">
        <v>7317</v>
      </c>
      <c r="G7116">
        <v>91583</v>
      </c>
      <c r="H7116">
        <v>9571</v>
      </c>
      <c r="I7116" s="25" t="s">
        <v>2050</v>
      </c>
      <c r="J7116" t="s">
        <v>2113</v>
      </c>
      <c r="M7116" s="49"/>
    </row>
    <row r="7117" spans="6:13" x14ac:dyDescent="0.25">
      <c r="F7117" t="s">
        <v>7318</v>
      </c>
      <c r="G7117">
        <v>24637</v>
      </c>
      <c r="H7117">
        <v>1057</v>
      </c>
      <c r="I7117" s="25" t="s">
        <v>2085</v>
      </c>
      <c r="J7117" t="s">
        <v>2313</v>
      </c>
      <c r="M7117" s="49"/>
    </row>
    <row r="7118" spans="6:13" x14ac:dyDescent="0.25">
      <c r="F7118" t="s">
        <v>7319</v>
      </c>
      <c r="G7118">
        <v>77761</v>
      </c>
      <c r="H7118">
        <v>8325</v>
      </c>
      <c r="I7118" s="25" t="s">
        <v>2018</v>
      </c>
      <c r="J7118" t="s">
        <v>2208</v>
      </c>
      <c r="M7118" s="49"/>
    </row>
    <row r="7119" spans="6:13" x14ac:dyDescent="0.25">
      <c r="F7119" t="s">
        <v>7320</v>
      </c>
      <c r="G7119">
        <v>86576</v>
      </c>
      <c r="H7119">
        <v>9771</v>
      </c>
      <c r="I7119" s="25" t="s">
        <v>2050</v>
      </c>
      <c r="J7119" t="s">
        <v>2120</v>
      </c>
      <c r="M7119" s="49"/>
    </row>
    <row r="7120" spans="6:13" x14ac:dyDescent="0.25">
      <c r="F7120" t="s">
        <v>7321</v>
      </c>
      <c r="G7120">
        <v>1994</v>
      </c>
      <c r="H7120">
        <v>12066</v>
      </c>
      <c r="I7120" s="25" t="s">
        <v>2356</v>
      </c>
      <c r="J7120" t="s">
        <v>2357</v>
      </c>
      <c r="M7120" s="49"/>
    </row>
    <row r="7121" spans="6:13" x14ac:dyDescent="0.25">
      <c r="F7121" t="s">
        <v>7321</v>
      </c>
      <c r="G7121">
        <v>1993</v>
      </c>
      <c r="H7121">
        <v>12066</v>
      </c>
      <c r="I7121" s="25" t="s">
        <v>2356</v>
      </c>
      <c r="J7121" t="s">
        <v>2357</v>
      </c>
      <c r="M7121" s="49"/>
    </row>
    <row r="7122" spans="6:13" x14ac:dyDescent="0.25">
      <c r="F7122" t="s">
        <v>7321</v>
      </c>
      <c r="G7122">
        <v>1998</v>
      </c>
      <c r="H7122">
        <v>12066</v>
      </c>
      <c r="I7122" s="25" t="s">
        <v>2356</v>
      </c>
      <c r="J7122" t="s">
        <v>2357</v>
      </c>
      <c r="M7122" s="49"/>
    </row>
    <row r="7123" spans="6:13" x14ac:dyDescent="0.25">
      <c r="F7123" t="s">
        <v>7322</v>
      </c>
      <c r="G7123">
        <v>92718</v>
      </c>
      <c r="H7123">
        <v>9374</v>
      </c>
      <c r="I7123" s="25" t="s">
        <v>2050</v>
      </c>
      <c r="J7123" t="s">
        <v>2420</v>
      </c>
      <c r="M7123" s="49"/>
    </row>
    <row r="7124" spans="6:13" x14ac:dyDescent="0.25">
      <c r="F7124" t="s">
        <v>7323</v>
      </c>
      <c r="G7124">
        <v>95706</v>
      </c>
      <c r="H7124">
        <v>9479</v>
      </c>
      <c r="I7124" s="25" t="s">
        <v>2050</v>
      </c>
      <c r="J7124" t="s">
        <v>2436</v>
      </c>
      <c r="M7124" s="49"/>
    </row>
    <row r="7125" spans="6:13" x14ac:dyDescent="0.25">
      <c r="F7125" t="s">
        <v>7324</v>
      </c>
      <c r="G7125">
        <v>4435</v>
      </c>
      <c r="H7125">
        <v>14730</v>
      </c>
      <c r="I7125" s="25" t="s">
        <v>2135</v>
      </c>
      <c r="J7125" t="s">
        <v>2083</v>
      </c>
      <c r="M7125" s="49"/>
    </row>
    <row r="7126" spans="6:13" x14ac:dyDescent="0.25">
      <c r="F7126" t="s">
        <v>7325</v>
      </c>
      <c r="G7126">
        <v>7619</v>
      </c>
      <c r="H7126">
        <v>16074</v>
      </c>
      <c r="I7126" s="25" t="s">
        <v>2384</v>
      </c>
      <c r="J7126" t="s">
        <v>2671</v>
      </c>
      <c r="M7126" s="49"/>
    </row>
    <row r="7127" spans="6:13" x14ac:dyDescent="0.25">
      <c r="F7127" t="s">
        <v>7326</v>
      </c>
      <c r="G7127">
        <v>6258</v>
      </c>
      <c r="H7127">
        <v>15088</v>
      </c>
      <c r="I7127" s="25" t="s">
        <v>2241</v>
      </c>
      <c r="J7127" t="s">
        <v>2344</v>
      </c>
      <c r="M7127" s="49"/>
    </row>
    <row r="7128" spans="6:13" x14ac:dyDescent="0.25">
      <c r="F7128" t="s">
        <v>7327</v>
      </c>
      <c r="G7128">
        <v>38315</v>
      </c>
      <c r="H7128">
        <v>3158</v>
      </c>
      <c r="I7128" s="25" t="s">
        <v>2074</v>
      </c>
      <c r="J7128" t="s">
        <v>2434</v>
      </c>
      <c r="M7128" s="49"/>
    </row>
    <row r="7129" spans="6:13" x14ac:dyDescent="0.25">
      <c r="F7129" t="s">
        <v>7328</v>
      </c>
      <c r="G7129">
        <v>72667</v>
      </c>
      <c r="H7129">
        <v>8116</v>
      </c>
      <c r="I7129" s="25" t="s">
        <v>2018</v>
      </c>
      <c r="J7129" t="s">
        <v>2213</v>
      </c>
      <c r="M7129" s="49"/>
    </row>
    <row r="7130" spans="6:13" x14ac:dyDescent="0.25">
      <c r="F7130" t="s">
        <v>7329</v>
      </c>
      <c r="G7130">
        <v>33189</v>
      </c>
      <c r="H7130">
        <v>5766</v>
      </c>
      <c r="I7130" s="25" t="s">
        <v>2023</v>
      </c>
      <c r="J7130" t="s">
        <v>2223</v>
      </c>
      <c r="M7130" s="49"/>
    </row>
    <row r="7131" spans="6:13" x14ac:dyDescent="0.25">
      <c r="F7131" t="s">
        <v>7330</v>
      </c>
      <c r="G7131">
        <v>65388</v>
      </c>
      <c r="H7131">
        <v>6439</v>
      </c>
      <c r="I7131" s="25" t="s">
        <v>2046</v>
      </c>
      <c r="J7131" t="s">
        <v>2047</v>
      </c>
      <c r="M7131" s="49"/>
    </row>
    <row r="7132" spans="6:13" x14ac:dyDescent="0.25">
      <c r="F7132" t="s">
        <v>7331</v>
      </c>
      <c r="G7132">
        <v>73114</v>
      </c>
      <c r="H7132">
        <v>8117</v>
      </c>
      <c r="I7132" s="25" t="s">
        <v>2018</v>
      </c>
      <c r="J7132" t="s">
        <v>2089</v>
      </c>
      <c r="M7132" s="49"/>
    </row>
    <row r="7133" spans="6:13" x14ac:dyDescent="0.25">
      <c r="F7133" t="s">
        <v>7332</v>
      </c>
      <c r="G7133">
        <v>83259</v>
      </c>
      <c r="H7133">
        <v>9189</v>
      </c>
      <c r="I7133" s="25" t="s">
        <v>2050</v>
      </c>
      <c r="J7133" t="s">
        <v>2407</v>
      </c>
      <c r="M7133" s="49"/>
    </row>
    <row r="7134" spans="6:13" x14ac:dyDescent="0.25">
      <c r="F7134" t="s">
        <v>7333</v>
      </c>
      <c r="G7134">
        <v>82444</v>
      </c>
      <c r="H7134">
        <v>9173</v>
      </c>
      <c r="I7134" s="25" t="s">
        <v>2050</v>
      </c>
      <c r="J7134" t="s">
        <v>2659</v>
      </c>
      <c r="M7134" s="49"/>
    </row>
    <row r="7135" spans="6:13" x14ac:dyDescent="0.25">
      <c r="F7135" t="s">
        <v>7334</v>
      </c>
      <c r="G7135">
        <v>53937</v>
      </c>
      <c r="H7135">
        <v>5366</v>
      </c>
      <c r="I7135" s="25" t="s">
        <v>2023</v>
      </c>
      <c r="J7135" t="s">
        <v>2127</v>
      </c>
      <c r="M7135" s="49"/>
    </row>
    <row r="7136" spans="6:13" x14ac:dyDescent="0.25">
      <c r="F7136" t="s">
        <v>7335</v>
      </c>
      <c r="G7136">
        <v>2959</v>
      </c>
      <c r="H7136">
        <v>14626</v>
      </c>
      <c r="I7136" s="25" t="s">
        <v>2135</v>
      </c>
      <c r="J7136" t="s">
        <v>2150</v>
      </c>
      <c r="M7136" s="49"/>
    </row>
    <row r="7137" spans="6:13" x14ac:dyDescent="0.25">
      <c r="F7137" t="s">
        <v>7336</v>
      </c>
      <c r="G7137">
        <v>7907</v>
      </c>
      <c r="H7137">
        <v>16075</v>
      </c>
      <c r="I7137" s="25" t="s">
        <v>2384</v>
      </c>
      <c r="J7137" t="s">
        <v>4221</v>
      </c>
      <c r="M7137" s="49"/>
    </row>
    <row r="7138" spans="6:13" x14ac:dyDescent="0.25">
      <c r="F7138" t="s">
        <v>7337</v>
      </c>
      <c r="G7138">
        <v>8301</v>
      </c>
      <c r="H7138">
        <v>14521</v>
      </c>
      <c r="I7138" s="25" t="s">
        <v>2135</v>
      </c>
      <c r="J7138" t="s">
        <v>2032</v>
      </c>
      <c r="M7138" s="49"/>
    </row>
    <row r="7139" spans="6:13" x14ac:dyDescent="0.25">
      <c r="F7139" t="s">
        <v>1499</v>
      </c>
      <c r="G7139">
        <v>24837</v>
      </c>
      <c r="H7139">
        <v>1059</v>
      </c>
      <c r="I7139" s="25" t="s">
        <v>2085</v>
      </c>
      <c r="J7139" t="s">
        <v>2354</v>
      </c>
      <c r="M7139" s="49"/>
    </row>
    <row r="7140" spans="6:13" x14ac:dyDescent="0.25">
      <c r="F7140" t="s">
        <v>7338</v>
      </c>
      <c r="G7140">
        <v>9487</v>
      </c>
      <c r="H7140">
        <v>14521</v>
      </c>
      <c r="I7140" s="25" t="s">
        <v>2135</v>
      </c>
      <c r="J7140" t="s">
        <v>2032</v>
      </c>
      <c r="M7140" s="49"/>
    </row>
    <row r="7141" spans="6:13" x14ac:dyDescent="0.25">
      <c r="F7141" t="s">
        <v>7339</v>
      </c>
      <c r="G7141">
        <v>98667</v>
      </c>
      <c r="H7141">
        <v>16069</v>
      </c>
      <c r="I7141" s="25" t="s">
        <v>2384</v>
      </c>
      <c r="J7141" t="s">
        <v>2631</v>
      </c>
      <c r="M7141" s="49"/>
    </row>
    <row r="7142" spans="6:13" x14ac:dyDescent="0.25">
      <c r="F7142" t="s">
        <v>7340</v>
      </c>
      <c r="G7142">
        <v>98553</v>
      </c>
      <c r="H7142">
        <v>16069</v>
      </c>
      <c r="I7142" s="25" t="s">
        <v>2384</v>
      </c>
      <c r="J7142" t="s">
        <v>2631</v>
      </c>
      <c r="M7142" s="49"/>
    </row>
    <row r="7143" spans="6:13" x14ac:dyDescent="0.25">
      <c r="F7143" t="s">
        <v>7341</v>
      </c>
      <c r="G7143">
        <v>4936</v>
      </c>
      <c r="H7143">
        <v>12062</v>
      </c>
      <c r="I7143" s="25" t="s">
        <v>2356</v>
      </c>
      <c r="J7143" t="s">
        <v>2689</v>
      </c>
      <c r="M7143" s="49"/>
    </row>
    <row r="7144" spans="6:13" x14ac:dyDescent="0.25">
      <c r="F7144" t="s">
        <v>7342</v>
      </c>
      <c r="G7144">
        <v>79418</v>
      </c>
      <c r="H7144">
        <v>8336</v>
      </c>
      <c r="I7144" s="25" t="s">
        <v>2018</v>
      </c>
      <c r="J7144" t="s">
        <v>2227</v>
      </c>
      <c r="M7144" s="49"/>
    </row>
    <row r="7145" spans="6:13" x14ac:dyDescent="0.25">
      <c r="F7145" t="s">
        <v>7343</v>
      </c>
      <c r="G7145">
        <v>88281</v>
      </c>
      <c r="H7145">
        <v>8436</v>
      </c>
      <c r="I7145" s="25" t="s">
        <v>2018</v>
      </c>
      <c r="J7145" t="s">
        <v>2068</v>
      </c>
      <c r="M7145" s="49"/>
    </row>
    <row r="7146" spans="6:13" x14ac:dyDescent="0.25">
      <c r="F7146" t="s">
        <v>7344</v>
      </c>
      <c r="G7146">
        <v>73278</v>
      </c>
      <c r="H7146">
        <v>8117</v>
      </c>
      <c r="I7146" s="25" t="s">
        <v>2018</v>
      </c>
      <c r="J7146" t="s">
        <v>2089</v>
      </c>
      <c r="M7146" s="49"/>
    </row>
    <row r="7147" spans="6:13" x14ac:dyDescent="0.25">
      <c r="F7147" t="s">
        <v>7345</v>
      </c>
      <c r="G7147">
        <v>83727</v>
      </c>
      <c r="H7147">
        <v>9182</v>
      </c>
      <c r="I7147" s="25" t="s">
        <v>2050</v>
      </c>
      <c r="J7147" t="s">
        <v>2254</v>
      </c>
      <c r="M7147" s="49"/>
    </row>
    <row r="7148" spans="6:13" x14ac:dyDescent="0.25">
      <c r="F7148" t="s">
        <v>7346</v>
      </c>
      <c r="G7148">
        <v>36110</v>
      </c>
      <c r="H7148">
        <v>6535</v>
      </c>
      <c r="I7148" s="25" t="s">
        <v>2046</v>
      </c>
      <c r="J7148" t="s">
        <v>2346</v>
      </c>
      <c r="M7148" s="49"/>
    </row>
    <row r="7149" spans="6:13" x14ac:dyDescent="0.25">
      <c r="F7149" t="s">
        <v>7347</v>
      </c>
      <c r="G7149">
        <v>33758</v>
      </c>
      <c r="H7149">
        <v>5754</v>
      </c>
      <c r="I7149" s="25" t="s">
        <v>2023</v>
      </c>
      <c r="J7149" t="s">
        <v>2165</v>
      </c>
      <c r="M7149" s="49"/>
    </row>
    <row r="7150" spans="6:13" x14ac:dyDescent="0.25">
      <c r="F7150" t="s">
        <v>7348</v>
      </c>
      <c r="G7150">
        <v>99994</v>
      </c>
      <c r="H7150">
        <v>16064</v>
      </c>
      <c r="I7150" s="25" t="s">
        <v>2384</v>
      </c>
      <c r="J7150" t="s">
        <v>2405</v>
      </c>
      <c r="M7150" s="49"/>
    </row>
    <row r="7151" spans="6:13" x14ac:dyDescent="0.25">
      <c r="F7151" t="s">
        <v>7349</v>
      </c>
      <c r="G7151">
        <v>79859</v>
      </c>
      <c r="H7151">
        <v>8315</v>
      </c>
      <c r="I7151" s="25" t="s">
        <v>2018</v>
      </c>
      <c r="J7151" t="s">
        <v>2061</v>
      </c>
      <c r="M7151" s="49"/>
    </row>
    <row r="7152" spans="6:13" x14ac:dyDescent="0.25">
      <c r="F7152" t="s">
        <v>7350</v>
      </c>
      <c r="G7152">
        <v>36381</v>
      </c>
      <c r="H7152">
        <v>6435</v>
      </c>
      <c r="I7152" s="25" t="s">
        <v>2046</v>
      </c>
      <c r="J7152" t="s">
        <v>2703</v>
      </c>
      <c r="M7152" s="49"/>
    </row>
    <row r="7153" spans="6:13" x14ac:dyDescent="0.25">
      <c r="F7153" t="s">
        <v>7351</v>
      </c>
      <c r="G7153">
        <v>96132</v>
      </c>
      <c r="H7153">
        <v>9471</v>
      </c>
      <c r="I7153" s="25" t="s">
        <v>2050</v>
      </c>
      <c r="J7153" t="s">
        <v>2392</v>
      </c>
      <c r="M7153" s="49"/>
    </row>
    <row r="7154" spans="6:13" x14ac:dyDescent="0.25">
      <c r="F7154" t="s">
        <v>7352</v>
      </c>
      <c r="G7154">
        <v>67718</v>
      </c>
      <c r="H7154">
        <v>7340</v>
      </c>
      <c r="I7154" s="25" t="s">
        <v>2123</v>
      </c>
      <c r="J7154" t="s">
        <v>2826</v>
      </c>
      <c r="M7154" s="49"/>
    </row>
    <row r="7155" spans="6:13" x14ac:dyDescent="0.25">
      <c r="F7155" t="s">
        <v>7353</v>
      </c>
      <c r="G7155">
        <v>24638</v>
      </c>
      <c r="H7155">
        <v>1060</v>
      </c>
      <c r="I7155" s="25" t="s">
        <v>2085</v>
      </c>
      <c r="J7155" t="s">
        <v>2363</v>
      </c>
      <c r="M7155" s="49"/>
    </row>
    <row r="7156" spans="6:13" x14ac:dyDescent="0.25">
      <c r="F7156" t="s">
        <v>7354</v>
      </c>
      <c r="G7156">
        <v>24640</v>
      </c>
      <c r="H7156">
        <v>1060</v>
      </c>
      <c r="I7156" s="25" t="s">
        <v>2085</v>
      </c>
      <c r="J7156" t="s">
        <v>2363</v>
      </c>
      <c r="M7156" s="49"/>
    </row>
    <row r="7157" spans="6:13" x14ac:dyDescent="0.25">
      <c r="F7157" t="s">
        <v>7355</v>
      </c>
      <c r="G7157">
        <v>98574</v>
      </c>
      <c r="H7157">
        <v>16066</v>
      </c>
      <c r="I7157" s="25" t="s">
        <v>2384</v>
      </c>
      <c r="J7157" t="s">
        <v>2358</v>
      </c>
      <c r="M7157" s="49"/>
    </row>
    <row r="7158" spans="6:13" x14ac:dyDescent="0.25">
      <c r="F7158" t="s">
        <v>7356</v>
      </c>
      <c r="G7158">
        <v>57392</v>
      </c>
      <c r="H7158">
        <v>5958</v>
      </c>
      <c r="I7158" s="25" t="s">
        <v>2023</v>
      </c>
      <c r="J7158" t="s">
        <v>2199</v>
      </c>
      <c r="M7158" s="49"/>
    </row>
    <row r="7159" spans="6:13" x14ac:dyDescent="0.25">
      <c r="F7159" t="s">
        <v>7357</v>
      </c>
      <c r="G7159">
        <v>66839</v>
      </c>
      <c r="H7159">
        <v>10044</v>
      </c>
      <c r="I7159" s="25" t="s">
        <v>2849</v>
      </c>
      <c r="J7159" t="s">
        <v>3222</v>
      </c>
      <c r="M7159" s="49"/>
    </row>
    <row r="7160" spans="6:13" x14ac:dyDescent="0.25">
      <c r="F7160" t="s">
        <v>7358</v>
      </c>
      <c r="G7160">
        <v>92546</v>
      </c>
      <c r="H7160">
        <v>9376</v>
      </c>
      <c r="I7160" s="25" t="s">
        <v>2050</v>
      </c>
      <c r="J7160" t="s">
        <v>2390</v>
      </c>
      <c r="M7160" s="49"/>
    </row>
    <row r="7161" spans="6:13" x14ac:dyDescent="0.25">
      <c r="F7161" t="s">
        <v>7359</v>
      </c>
      <c r="G7161">
        <v>92287</v>
      </c>
      <c r="H7161">
        <v>9371</v>
      </c>
      <c r="I7161" s="25" t="s">
        <v>2050</v>
      </c>
      <c r="J7161" t="s">
        <v>2469</v>
      </c>
      <c r="M7161" s="49"/>
    </row>
    <row r="7162" spans="6:13" x14ac:dyDescent="0.25">
      <c r="F7162" t="s">
        <v>7360</v>
      </c>
      <c r="G7162">
        <v>86511</v>
      </c>
      <c r="H7162">
        <v>9771</v>
      </c>
      <c r="I7162" s="25" t="s">
        <v>2050</v>
      </c>
      <c r="J7162" t="s">
        <v>2120</v>
      </c>
      <c r="M7162" s="49"/>
    </row>
    <row r="7163" spans="6:13" x14ac:dyDescent="0.25">
      <c r="F7163" t="s">
        <v>7361</v>
      </c>
      <c r="G7163">
        <v>61389</v>
      </c>
      <c r="H7163">
        <v>6434</v>
      </c>
      <c r="I7163" s="25" t="s">
        <v>2046</v>
      </c>
      <c r="J7163" t="s">
        <v>2664</v>
      </c>
      <c r="M7163" s="49"/>
    </row>
    <row r="7164" spans="6:13" x14ac:dyDescent="0.25">
      <c r="F7164" t="s">
        <v>7362</v>
      </c>
      <c r="G7164">
        <v>4626</v>
      </c>
      <c r="H7164">
        <v>16077</v>
      </c>
      <c r="I7164" s="25" t="s">
        <v>2384</v>
      </c>
      <c r="J7164" t="s">
        <v>2385</v>
      </c>
      <c r="M7164" s="49"/>
    </row>
    <row r="7165" spans="6:13" x14ac:dyDescent="0.25">
      <c r="F7165" t="s">
        <v>7363</v>
      </c>
      <c r="G7165">
        <v>91289</v>
      </c>
      <c r="H7165">
        <v>9472</v>
      </c>
      <c r="I7165" s="25" t="s">
        <v>2050</v>
      </c>
      <c r="J7165" t="s">
        <v>2180</v>
      </c>
      <c r="M7165" s="49"/>
    </row>
    <row r="7166" spans="6:13" x14ac:dyDescent="0.25">
      <c r="F7166" t="s">
        <v>7364</v>
      </c>
      <c r="G7166">
        <v>29493</v>
      </c>
      <c r="H7166">
        <v>3354</v>
      </c>
      <c r="I7166" s="25" t="s">
        <v>2074</v>
      </c>
      <c r="J7166" t="s">
        <v>2232</v>
      </c>
      <c r="M7166" s="49"/>
    </row>
    <row r="7167" spans="6:13" x14ac:dyDescent="0.25">
      <c r="F7167" t="s">
        <v>7365</v>
      </c>
      <c r="G7167">
        <v>83530</v>
      </c>
      <c r="H7167">
        <v>9189</v>
      </c>
      <c r="I7167" s="25" t="s">
        <v>2050</v>
      </c>
      <c r="J7167" t="s">
        <v>2407</v>
      </c>
      <c r="M7167" s="49"/>
    </row>
    <row r="7168" spans="6:13" x14ac:dyDescent="0.25">
      <c r="F7168" t="s">
        <v>7366</v>
      </c>
      <c r="G7168">
        <v>91220</v>
      </c>
      <c r="H7168">
        <v>9574</v>
      </c>
      <c r="I7168" s="25" t="s">
        <v>2050</v>
      </c>
      <c r="J7168" t="s">
        <v>2291</v>
      </c>
      <c r="M7168" s="49"/>
    </row>
    <row r="7169" spans="6:13" x14ac:dyDescent="0.25">
      <c r="F7169" t="s">
        <v>7367</v>
      </c>
      <c r="G7169">
        <v>92253</v>
      </c>
      <c r="H7169">
        <v>9371</v>
      </c>
      <c r="I7169" s="25" t="s">
        <v>2050</v>
      </c>
      <c r="J7169" t="s">
        <v>2469</v>
      </c>
      <c r="M7169" s="49"/>
    </row>
    <row r="7170" spans="6:13" x14ac:dyDescent="0.25">
      <c r="F7170" t="s">
        <v>7368</v>
      </c>
      <c r="G7170">
        <v>67699</v>
      </c>
      <c r="H7170">
        <v>7335</v>
      </c>
      <c r="I7170" s="25" t="s">
        <v>2123</v>
      </c>
      <c r="J7170" t="s">
        <v>2843</v>
      </c>
      <c r="M7170" s="49"/>
    </row>
    <row r="7171" spans="6:13" x14ac:dyDescent="0.25">
      <c r="F7171" t="s">
        <v>7369</v>
      </c>
      <c r="G7171">
        <v>96277</v>
      </c>
      <c r="H7171">
        <v>9476</v>
      </c>
      <c r="I7171" s="25" t="s">
        <v>2050</v>
      </c>
      <c r="J7171" t="s">
        <v>5435</v>
      </c>
      <c r="M7171" s="49"/>
    </row>
    <row r="7172" spans="6:13" x14ac:dyDescent="0.25">
      <c r="F7172" t="s">
        <v>7370</v>
      </c>
      <c r="G7172">
        <v>63936</v>
      </c>
      <c r="H7172">
        <v>9676</v>
      </c>
      <c r="I7172" s="25" t="s">
        <v>2050</v>
      </c>
      <c r="J7172" t="s">
        <v>2381</v>
      </c>
      <c r="M7172" s="49"/>
    </row>
    <row r="7173" spans="6:13" x14ac:dyDescent="0.25">
      <c r="F7173" t="s">
        <v>7370</v>
      </c>
      <c r="G7173">
        <v>63936</v>
      </c>
      <c r="H7173">
        <v>9676</v>
      </c>
      <c r="I7173" s="25" t="s">
        <v>2050</v>
      </c>
      <c r="J7173" t="s">
        <v>2381</v>
      </c>
      <c r="M7173" s="49"/>
    </row>
    <row r="7174" spans="6:13" x14ac:dyDescent="0.25">
      <c r="F7174" t="s">
        <v>7370</v>
      </c>
      <c r="G7174">
        <v>8289</v>
      </c>
      <c r="H7174">
        <v>14521</v>
      </c>
      <c r="I7174" s="25" t="s">
        <v>2135</v>
      </c>
      <c r="J7174" t="s">
        <v>2032</v>
      </c>
      <c r="M7174" s="49"/>
    </row>
    <row r="7175" spans="6:13" x14ac:dyDescent="0.25">
      <c r="F7175" t="s">
        <v>7371</v>
      </c>
      <c r="G7175">
        <v>29465</v>
      </c>
      <c r="H7175">
        <v>3354</v>
      </c>
      <c r="I7175" s="25" t="s">
        <v>2074</v>
      </c>
      <c r="J7175" t="s">
        <v>2232</v>
      </c>
      <c r="M7175" s="49"/>
    </row>
    <row r="7176" spans="6:13" x14ac:dyDescent="0.25">
      <c r="F7176" t="s">
        <v>7372</v>
      </c>
      <c r="G7176">
        <v>83458</v>
      </c>
      <c r="H7176">
        <v>9172</v>
      </c>
      <c r="I7176" s="25" t="s">
        <v>2050</v>
      </c>
      <c r="J7176" t="s">
        <v>2042</v>
      </c>
      <c r="M7176" s="49"/>
    </row>
    <row r="7177" spans="6:13" x14ac:dyDescent="0.25">
      <c r="F7177" t="s">
        <v>7373</v>
      </c>
      <c r="G7177">
        <v>91625</v>
      </c>
      <c r="H7177">
        <v>9571</v>
      </c>
      <c r="I7177" s="25" t="s">
        <v>2050</v>
      </c>
      <c r="J7177" t="s">
        <v>2113</v>
      </c>
      <c r="M7177" s="49"/>
    </row>
    <row r="7178" spans="6:13" x14ac:dyDescent="0.25">
      <c r="F7178" t="s">
        <v>7374</v>
      </c>
      <c r="G7178">
        <v>29640</v>
      </c>
      <c r="H7178">
        <v>3353</v>
      </c>
      <c r="I7178" s="25" t="s">
        <v>2074</v>
      </c>
      <c r="J7178" t="s">
        <v>2176</v>
      </c>
      <c r="M7178" s="49"/>
    </row>
    <row r="7179" spans="6:13" x14ac:dyDescent="0.25">
      <c r="F7179" t="s">
        <v>7374</v>
      </c>
      <c r="G7179">
        <v>29640</v>
      </c>
      <c r="H7179">
        <v>3358</v>
      </c>
      <c r="I7179" s="25" t="s">
        <v>2074</v>
      </c>
      <c r="J7179" t="s">
        <v>2371</v>
      </c>
      <c r="M7179" s="49"/>
    </row>
    <row r="7180" spans="6:13" x14ac:dyDescent="0.25">
      <c r="F7180" t="s">
        <v>7375</v>
      </c>
      <c r="G7180">
        <v>89194</v>
      </c>
      <c r="H7180">
        <v>8425</v>
      </c>
      <c r="I7180" s="25" t="s">
        <v>2018</v>
      </c>
      <c r="J7180" t="s">
        <v>2027</v>
      </c>
      <c r="M7180" s="49"/>
    </row>
    <row r="7181" spans="6:13" x14ac:dyDescent="0.25">
      <c r="F7181" t="s">
        <v>7376</v>
      </c>
      <c r="G7181">
        <v>35641</v>
      </c>
      <c r="H7181">
        <v>6532</v>
      </c>
      <c r="I7181" s="25" t="s">
        <v>2046</v>
      </c>
      <c r="J7181" t="s">
        <v>2555</v>
      </c>
      <c r="M7181" s="49"/>
    </row>
    <row r="7182" spans="6:13" x14ac:dyDescent="0.25">
      <c r="F7182" t="s">
        <v>7377</v>
      </c>
      <c r="G7182">
        <v>94572</v>
      </c>
      <c r="H7182">
        <v>9272</v>
      </c>
      <c r="I7182" s="25" t="s">
        <v>2050</v>
      </c>
      <c r="J7182" t="s">
        <v>2140</v>
      </c>
      <c r="M7182" s="49"/>
    </row>
    <row r="7183" spans="6:13" x14ac:dyDescent="0.25">
      <c r="F7183" t="s">
        <v>7378</v>
      </c>
      <c r="G7183">
        <v>97852</v>
      </c>
      <c r="H7183">
        <v>9677</v>
      </c>
      <c r="I7183" s="25" t="s">
        <v>2050</v>
      </c>
      <c r="J7183" t="s">
        <v>2527</v>
      </c>
      <c r="M7183" s="49"/>
    </row>
    <row r="7184" spans="6:13" x14ac:dyDescent="0.25">
      <c r="F7184" t="s">
        <v>7379</v>
      </c>
      <c r="G7184">
        <v>63825</v>
      </c>
      <c r="H7184">
        <v>9671</v>
      </c>
      <c r="I7184" s="25" t="s">
        <v>2050</v>
      </c>
      <c r="J7184" t="s">
        <v>2453</v>
      </c>
      <c r="M7184" s="49"/>
    </row>
    <row r="7185" spans="6:13" x14ac:dyDescent="0.25">
      <c r="F7185" t="s">
        <v>7380</v>
      </c>
      <c r="G7185">
        <v>94508</v>
      </c>
      <c r="H7185">
        <v>9271</v>
      </c>
      <c r="I7185" s="25" t="s">
        <v>2050</v>
      </c>
      <c r="J7185" t="s">
        <v>2172</v>
      </c>
      <c r="M7185" s="49"/>
    </row>
    <row r="7186" spans="6:13" x14ac:dyDescent="0.25">
      <c r="F7186" t="s">
        <v>7381</v>
      </c>
      <c r="G7186">
        <v>75328</v>
      </c>
      <c r="H7186">
        <v>8235</v>
      </c>
      <c r="I7186" s="25" t="s">
        <v>2018</v>
      </c>
      <c r="J7186" t="s">
        <v>2422</v>
      </c>
      <c r="M7186" s="49"/>
    </row>
    <row r="7187" spans="6:13" x14ac:dyDescent="0.25">
      <c r="F7187" t="s">
        <v>7381</v>
      </c>
      <c r="G7187">
        <v>72355</v>
      </c>
      <c r="H7187">
        <v>8417</v>
      </c>
      <c r="I7187" s="25" t="s">
        <v>2018</v>
      </c>
      <c r="J7187" t="s">
        <v>2269</v>
      </c>
      <c r="M7187" s="49"/>
    </row>
    <row r="7188" spans="6:13" x14ac:dyDescent="0.25">
      <c r="F7188" t="s">
        <v>7382</v>
      </c>
      <c r="G7188">
        <v>78136</v>
      </c>
      <c r="H7188">
        <v>8326</v>
      </c>
      <c r="I7188" s="25" t="s">
        <v>2018</v>
      </c>
      <c r="J7188" t="s">
        <v>2638</v>
      </c>
      <c r="M7188" s="49"/>
    </row>
    <row r="7189" spans="6:13" x14ac:dyDescent="0.25">
      <c r="F7189" t="s">
        <v>7383</v>
      </c>
      <c r="G7189">
        <v>71101</v>
      </c>
      <c r="H7189">
        <v>8115</v>
      </c>
      <c r="I7189" s="25" t="s">
        <v>2018</v>
      </c>
      <c r="J7189" t="s">
        <v>2222</v>
      </c>
      <c r="M7189" s="49"/>
    </row>
    <row r="7190" spans="6:13" x14ac:dyDescent="0.25">
      <c r="F7190" t="s">
        <v>7384</v>
      </c>
      <c r="G7190">
        <v>69250</v>
      </c>
      <c r="H7190">
        <v>8226</v>
      </c>
      <c r="I7190" s="25" t="s">
        <v>2018</v>
      </c>
      <c r="J7190" t="s">
        <v>2442</v>
      </c>
      <c r="M7190" s="49"/>
    </row>
    <row r="7191" spans="6:13" x14ac:dyDescent="0.25">
      <c r="F7191" t="s">
        <v>7384</v>
      </c>
      <c r="G7191">
        <v>84337</v>
      </c>
      <c r="H7191">
        <v>9277</v>
      </c>
      <c r="I7191" s="25" t="s">
        <v>2050</v>
      </c>
      <c r="J7191" t="s">
        <v>2529</v>
      </c>
      <c r="M7191" s="49"/>
    </row>
    <row r="7192" spans="6:13" x14ac:dyDescent="0.25">
      <c r="F7192" t="s">
        <v>7385</v>
      </c>
      <c r="G7192">
        <v>97659</v>
      </c>
      <c r="H7192">
        <v>9673</v>
      </c>
      <c r="I7192" s="25" t="s">
        <v>2050</v>
      </c>
      <c r="J7192" t="s">
        <v>2676</v>
      </c>
      <c r="M7192" s="49"/>
    </row>
    <row r="7193" spans="6:13" x14ac:dyDescent="0.25">
      <c r="F7193" t="s">
        <v>7386</v>
      </c>
      <c r="G7193">
        <v>79677</v>
      </c>
      <c r="H7193">
        <v>8336</v>
      </c>
      <c r="I7193" s="25" t="s">
        <v>2018</v>
      </c>
      <c r="J7193" t="s">
        <v>2227</v>
      </c>
      <c r="M7193" s="49"/>
    </row>
    <row r="7194" spans="6:13" x14ac:dyDescent="0.25">
      <c r="F7194" t="s">
        <v>7387</v>
      </c>
      <c r="G7194">
        <v>84573</v>
      </c>
      <c r="H7194">
        <v>9183</v>
      </c>
      <c r="I7194" s="25" t="s">
        <v>2050</v>
      </c>
      <c r="J7194" t="s">
        <v>2474</v>
      </c>
      <c r="M7194" s="49"/>
    </row>
    <row r="7195" spans="6:13" x14ac:dyDescent="0.25">
      <c r="F7195" t="s">
        <v>7387</v>
      </c>
      <c r="G7195">
        <v>94513</v>
      </c>
      <c r="H7195">
        <v>9272</v>
      </c>
      <c r="I7195" s="25" t="s">
        <v>2050</v>
      </c>
      <c r="J7195" t="s">
        <v>2140</v>
      </c>
      <c r="M7195" s="49"/>
    </row>
    <row r="7196" spans="6:13" x14ac:dyDescent="0.25">
      <c r="F7196" t="s">
        <v>7387</v>
      </c>
      <c r="G7196">
        <v>23923</v>
      </c>
      <c r="H7196">
        <v>13074</v>
      </c>
      <c r="I7196" s="25" t="s">
        <v>2191</v>
      </c>
      <c r="J7196" t="s">
        <v>2275</v>
      </c>
      <c r="M7196" s="49"/>
    </row>
    <row r="7197" spans="6:13" x14ac:dyDescent="0.25">
      <c r="F7197" t="s">
        <v>7388</v>
      </c>
      <c r="G7197">
        <v>24217</v>
      </c>
      <c r="H7197">
        <v>1057</v>
      </c>
      <c r="I7197" s="25" t="s">
        <v>2085</v>
      </c>
      <c r="J7197" t="s">
        <v>2313</v>
      </c>
      <c r="M7197" s="49"/>
    </row>
    <row r="7198" spans="6:13" x14ac:dyDescent="0.25">
      <c r="F7198" t="s">
        <v>7389</v>
      </c>
      <c r="G7198">
        <v>56370</v>
      </c>
      <c r="H7198">
        <v>7141</v>
      </c>
      <c r="I7198" s="25" t="s">
        <v>2123</v>
      </c>
      <c r="J7198" t="s">
        <v>2388</v>
      </c>
      <c r="M7198" s="49"/>
    </row>
    <row r="7199" spans="6:13" x14ac:dyDescent="0.25">
      <c r="F7199" t="s">
        <v>7389</v>
      </c>
      <c r="G7199">
        <v>56370</v>
      </c>
      <c r="H7199">
        <v>7141</v>
      </c>
      <c r="I7199" s="25" t="s">
        <v>2123</v>
      </c>
      <c r="J7199" t="s">
        <v>2388</v>
      </c>
      <c r="M7199" s="49"/>
    </row>
    <row r="7200" spans="6:13" x14ac:dyDescent="0.25">
      <c r="F7200" t="s">
        <v>7389</v>
      </c>
      <c r="G7200">
        <v>56370</v>
      </c>
      <c r="H7200">
        <v>7141</v>
      </c>
      <c r="I7200" s="25" t="s">
        <v>2123</v>
      </c>
      <c r="J7200" t="s">
        <v>2388</v>
      </c>
      <c r="M7200" s="49"/>
    </row>
    <row r="7201" spans="6:13" x14ac:dyDescent="0.25">
      <c r="F7201" t="s">
        <v>7390</v>
      </c>
      <c r="G7201">
        <v>69436</v>
      </c>
      <c r="H7201">
        <v>8226</v>
      </c>
      <c r="I7201" s="25" t="s">
        <v>2018</v>
      </c>
      <c r="J7201" t="s">
        <v>2442</v>
      </c>
      <c r="M7201" s="49"/>
    </row>
    <row r="7202" spans="6:13" x14ac:dyDescent="0.25">
      <c r="F7202" t="s">
        <v>7391</v>
      </c>
      <c r="G7202">
        <v>96185</v>
      </c>
      <c r="H7202">
        <v>9471</v>
      </c>
      <c r="I7202" s="25" t="s">
        <v>2050</v>
      </c>
      <c r="J7202" t="s">
        <v>2392</v>
      </c>
      <c r="M7202" s="49"/>
    </row>
    <row r="7203" spans="6:13" x14ac:dyDescent="0.25">
      <c r="F7203" t="s">
        <v>7392</v>
      </c>
      <c r="G7203">
        <v>86938</v>
      </c>
      <c r="H7203">
        <v>9181</v>
      </c>
      <c r="I7203" s="25" t="s">
        <v>2050</v>
      </c>
      <c r="J7203" t="s">
        <v>2505</v>
      </c>
      <c r="M7203" s="49"/>
    </row>
    <row r="7204" spans="6:13" x14ac:dyDescent="0.25">
      <c r="F7204" t="s">
        <v>7393</v>
      </c>
      <c r="G7204">
        <v>97795</v>
      </c>
      <c r="H7204">
        <v>9672</v>
      </c>
      <c r="I7204" s="25" t="s">
        <v>2050</v>
      </c>
      <c r="J7204" t="s">
        <v>2620</v>
      </c>
      <c r="M7204" s="49"/>
    </row>
    <row r="7205" spans="6:13" x14ac:dyDescent="0.25">
      <c r="F7205" t="s">
        <v>7394</v>
      </c>
      <c r="G7205">
        <v>39218</v>
      </c>
      <c r="H7205">
        <v>15089</v>
      </c>
      <c r="I7205" s="25" t="s">
        <v>2241</v>
      </c>
      <c r="J7205" t="s">
        <v>2351</v>
      </c>
      <c r="M7205" s="49"/>
    </row>
    <row r="7206" spans="6:13" x14ac:dyDescent="0.25">
      <c r="F7206" t="s">
        <v>7395</v>
      </c>
      <c r="G7206">
        <v>39217</v>
      </c>
      <c r="H7206">
        <v>15089</v>
      </c>
      <c r="I7206" s="25" t="s">
        <v>2241</v>
      </c>
      <c r="J7206" t="s">
        <v>2351</v>
      </c>
      <c r="M7206" s="49"/>
    </row>
    <row r="7207" spans="6:13" x14ac:dyDescent="0.25">
      <c r="F7207" t="s">
        <v>7395</v>
      </c>
      <c r="G7207">
        <v>39217</v>
      </c>
      <c r="H7207">
        <v>15089</v>
      </c>
      <c r="I7207" s="25" t="s">
        <v>2241</v>
      </c>
      <c r="J7207" t="s">
        <v>2351</v>
      </c>
      <c r="M7207" s="49"/>
    </row>
    <row r="7208" spans="6:13" x14ac:dyDescent="0.25">
      <c r="F7208" t="s">
        <v>7396</v>
      </c>
      <c r="G7208">
        <v>61137</v>
      </c>
      <c r="H7208">
        <v>6435</v>
      </c>
      <c r="I7208" s="25" t="s">
        <v>2046</v>
      </c>
      <c r="J7208" t="s">
        <v>2703</v>
      </c>
      <c r="M7208" s="49"/>
    </row>
    <row r="7209" spans="6:13" x14ac:dyDescent="0.25">
      <c r="F7209" t="s">
        <v>7397</v>
      </c>
      <c r="G7209">
        <v>8261</v>
      </c>
      <c r="H7209">
        <v>14523</v>
      </c>
      <c r="I7209" s="25" t="s">
        <v>2135</v>
      </c>
      <c r="J7209" t="s">
        <v>2136</v>
      </c>
      <c r="M7209" s="49"/>
    </row>
    <row r="7210" spans="6:13" x14ac:dyDescent="0.25">
      <c r="F7210" t="s">
        <v>7398</v>
      </c>
      <c r="G7210">
        <v>54614</v>
      </c>
      <c r="H7210">
        <v>7232</v>
      </c>
      <c r="I7210" s="25" t="s">
        <v>2123</v>
      </c>
      <c r="J7210" t="s">
        <v>2112</v>
      </c>
      <c r="M7210" s="49"/>
    </row>
    <row r="7211" spans="6:13" x14ac:dyDescent="0.25">
      <c r="F7211" t="s">
        <v>7399</v>
      </c>
      <c r="G7211">
        <v>12529</v>
      </c>
      <c r="H7211">
        <v>12061</v>
      </c>
      <c r="I7211" s="25" t="s">
        <v>2356</v>
      </c>
      <c r="J7211" t="s">
        <v>3033</v>
      </c>
      <c r="M7211" s="49"/>
    </row>
    <row r="7212" spans="6:13" x14ac:dyDescent="0.25">
      <c r="F7212" t="s">
        <v>7400</v>
      </c>
      <c r="G7212">
        <v>15566</v>
      </c>
      <c r="H7212">
        <v>12067</v>
      </c>
      <c r="I7212" s="25" t="s">
        <v>2356</v>
      </c>
      <c r="J7212" t="s">
        <v>2711</v>
      </c>
      <c r="M7212" s="49"/>
    </row>
    <row r="7213" spans="6:13" x14ac:dyDescent="0.25">
      <c r="F7213" t="s">
        <v>7401</v>
      </c>
      <c r="G7213">
        <v>66901</v>
      </c>
      <c r="H7213">
        <v>7336</v>
      </c>
      <c r="I7213" s="25" t="s">
        <v>2123</v>
      </c>
      <c r="J7213" t="s">
        <v>2216</v>
      </c>
      <c r="M7213" s="49"/>
    </row>
    <row r="7214" spans="6:13" x14ac:dyDescent="0.25">
      <c r="F7214" t="s">
        <v>7402</v>
      </c>
      <c r="G7214">
        <v>29396</v>
      </c>
      <c r="H7214">
        <v>3151</v>
      </c>
      <c r="I7214" s="25" t="s">
        <v>2074</v>
      </c>
      <c r="J7214" t="s">
        <v>2126</v>
      </c>
      <c r="M7214" s="49"/>
    </row>
    <row r="7215" spans="6:13" x14ac:dyDescent="0.25">
      <c r="F7215" t="s">
        <v>7402</v>
      </c>
      <c r="G7215">
        <v>29396</v>
      </c>
      <c r="H7215">
        <v>3151</v>
      </c>
      <c r="I7215" s="25" t="s">
        <v>2074</v>
      </c>
      <c r="J7215" t="s">
        <v>2126</v>
      </c>
      <c r="M7215" s="49"/>
    </row>
    <row r="7216" spans="6:13" x14ac:dyDescent="0.25">
      <c r="F7216" t="s">
        <v>7403</v>
      </c>
      <c r="G7216">
        <v>86956</v>
      </c>
      <c r="H7216">
        <v>9190</v>
      </c>
      <c r="I7216" s="25" t="s">
        <v>2050</v>
      </c>
      <c r="J7216" t="s">
        <v>2417</v>
      </c>
      <c r="M7216" s="49"/>
    </row>
    <row r="7217" spans="6:13" x14ac:dyDescent="0.25">
      <c r="F7217" t="s">
        <v>7404</v>
      </c>
      <c r="G7217">
        <v>82296</v>
      </c>
      <c r="H7217">
        <v>9179</v>
      </c>
      <c r="I7217" s="25" t="s">
        <v>2050</v>
      </c>
      <c r="J7217" t="s">
        <v>2111</v>
      </c>
      <c r="M7217" s="49"/>
    </row>
    <row r="7218" spans="6:13" x14ac:dyDescent="0.25">
      <c r="F7218" t="s">
        <v>7405</v>
      </c>
      <c r="G7218">
        <v>8304</v>
      </c>
      <c r="H7218">
        <v>14521</v>
      </c>
      <c r="I7218" s="25" t="s">
        <v>2135</v>
      </c>
      <c r="J7218" t="s">
        <v>2032</v>
      </c>
      <c r="M7218" s="49"/>
    </row>
    <row r="7219" spans="6:13" x14ac:dyDescent="0.25">
      <c r="F7219" t="s">
        <v>7406</v>
      </c>
      <c r="G7219">
        <v>38364</v>
      </c>
      <c r="H7219">
        <v>3154</v>
      </c>
      <c r="I7219" s="25" t="s">
        <v>2074</v>
      </c>
      <c r="J7219" t="s">
        <v>2186</v>
      </c>
      <c r="M7219" s="49"/>
    </row>
    <row r="7220" spans="6:13" x14ac:dyDescent="0.25">
      <c r="F7220" t="s">
        <v>7407</v>
      </c>
      <c r="G7220">
        <v>24232</v>
      </c>
      <c r="H7220">
        <v>1057</v>
      </c>
      <c r="I7220" s="25" t="s">
        <v>2085</v>
      </c>
      <c r="J7220" t="s">
        <v>2313</v>
      </c>
      <c r="M7220" s="49"/>
    </row>
    <row r="7221" spans="6:13" x14ac:dyDescent="0.25">
      <c r="F7221" t="s">
        <v>7408</v>
      </c>
      <c r="G7221">
        <v>92539</v>
      </c>
      <c r="H7221">
        <v>9376</v>
      </c>
      <c r="I7221" s="25" t="s">
        <v>2050</v>
      </c>
      <c r="J7221" t="s">
        <v>2390</v>
      </c>
      <c r="M7221" s="49"/>
    </row>
    <row r="7222" spans="6:13" x14ac:dyDescent="0.25">
      <c r="F7222" t="s">
        <v>7409</v>
      </c>
      <c r="G7222">
        <v>83137</v>
      </c>
      <c r="H7222">
        <v>9187</v>
      </c>
      <c r="I7222" s="25" t="s">
        <v>2050</v>
      </c>
      <c r="J7222" t="s">
        <v>2245</v>
      </c>
      <c r="M7222" s="49"/>
    </row>
    <row r="7223" spans="6:13" x14ac:dyDescent="0.25">
      <c r="F7223" t="s">
        <v>7410</v>
      </c>
      <c r="G7223">
        <v>74214</v>
      </c>
      <c r="H7223">
        <v>8126</v>
      </c>
      <c r="I7223" s="25" t="s">
        <v>2018</v>
      </c>
      <c r="J7223" t="s">
        <v>3280</v>
      </c>
      <c r="M7223" s="49"/>
    </row>
    <row r="7224" spans="6:13" x14ac:dyDescent="0.25">
      <c r="F7224" t="s">
        <v>7411</v>
      </c>
      <c r="G7224">
        <v>93488</v>
      </c>
      <c r="H7224">
        <v>9372</v>
      </c>
      <c r="I7224" s="25" t="s">
        <v>2050</v>
      </c>
      <c r="J7224" t="s">
        <v>2523</v>
      </c>
      <c r="M7224" s="49"/>
    </row>
    <row r="7225" spans="6:13" x14ac:dyDescent="0.25">
      <c r="F7225" t="s">
        <v>7412</v>
      </c>
      <c r="G7225">
        <v>97453</v>
      </c>
      <c r="H7225">
        <v>9678</v>
      </c>
      <c r="I7225" s="25" t="s">
        <v>2050</v>
      </c>
      <c r="J7225" t="s">
        <v>2918</v>
      </c>
      <c r="M7225" s="49"/>
    </row>
    <row r="7226" spans="6:13" x14ac:dyDescent="0.25">
      <c r="F7226" t="s">
        <v>7413</v>
      </c>
      <c r="G7226">
        <v>95173</v>
      </c>
      <c r="H7226">
        <v>9479</v>
      </c>
      <c r="I7226" s="25" t="s">
        <v>2050</v>
      </c>
      <c r="J7226" t="s">
        <v>2436</v>
      </c>
      <c r="M7226" s="49"/>
    </row>
    <row r="7227" spans="6:13" x14ac:dyDescent="0.25">
      <c r="F7227" t="s">
        <v>7414</v>
      </c>
      <c r="G7227">
        <v>78141</v>
      </c>
      <c r="H7227">
        <v>8326</v>
      </c>
      <c r="I7227" s="25" t="s">
        <v>2018</v>
      </c>
      <c r="J7227" t="s">
        <v>2638</v>
      </c>
      <c r="M7227" s="49"/>
    </row>
    <row r="7228" spans="6:13" x14ac:dyDescent="0.25">
      <c r="F7228" t="s">
        <v>7415</v>
      </c>
      <c r="G7228">
        <v>15910</v>
      </c>
      <c r="H7228">
        <v>12061</v>
      </c>
      <c r="I7228" s="25" t="s">
        <v>2356</v>
      </c>
      <c r="J7228" t="s">
        <v>3033</v>
      </c>
      <c r="M7228" s="49"/>
    </row>
    <row r="7229" spans="6:13" x14ac:dyDescent="0.25">
      <c r="F7229" t="s">
        <v>7415</v>
      </c>
      <c r="G7229">
        <v>14621</v>
      </c>
      <c r="H7229">
        <v>12063</v>
      </c>
      <c r="I7229" s="25" t="s">
        <v>2356</v>
      </c>
      <c r="J7229" t="s">
        <v>2181</v>
      </c>
      <c r="M7229" s="49"/>
    </row>
    <row r="7230" spans="6:13" x14ac:dyDescent="0.25">
      <c r="F7230" t="s">
        <v>7416</v>
      </c>
      <c r="G7230">
        <v>23744</v>
      </c>
      <c r="H7230">
        <v>1055</v>
      </c>
      <c r="I7230" s="25" t="s">
        <v>2085</v>
      </c>
      <c r="J7230" t="s">
        <v>2185</v>
      </c>
      <c r="M7230" s="49"/>
    </row>
    <row r="7231" spans="6:13" x14ac:dyDescent="0.25">
      <c r="F7231" t="s">
        <v>7417</v>
      </c>
      <c r="G7231">
        <v>79650</v>
      </c>
      <c r="H7231">
        <v>8336</v>
      </c>
      <c r="I7231" s="25" t="s">
        <v>2018</v>
      </c>
      <c r="J7231" t="s">
        <v>2227</v>
      </c>
      <c r="M7231" s="49"/>
    </row>
    <row r="7232" spans="6:13" x14ac:dyDescent="0.25">
      <c r="F7232" t="s">
        <v>7418</v>
      </c>
      <c r="G7232">
        <v>72296</v>
      </c>
      <c r="H7232">
        <v>8237</v>
      </c>
      <c r="I7232" s="25" t="s">
        <v>2018</v>
      </c>
      <c r="J7232" t="s">
        <v>2336</v>
      </c>
      <c r="M7232" s="49"/>
    </row>
    <row r="7233" spans="6:13" x14ac:dyDescent="0.25">
      <c r="F7233" t="s">
        <v>7418</v>
      </c>
      <c r="G7233">
        <v>72296</v>
      </c>
      <c r="H7233">
        <v>8237</v>
      </c>
      <c r="I7233" s="25" t="s">
        <v>2018</v>
      </c>
      <c r="J7233" t="s">
        <v>2336</v>
      </c>
      <c r="M7233" s="49"/>
    </row>
    <row r="7234" spans="6:13" x14ac:dyDescent="0.25">
      <c r="F7234" t="s">
        <v>7418</v>
      </c>
      <c r="G7234">
        <v>91626</v>
      </c>
      <c r="H7234">
        <v>9571</v>
      </c>
      <c r="I7234" s="25" t="s">
        <v>2050</v>
      </c>
      <c r="J7234" t="s">
        <v>2113</v>
      </c>
      <c r="M7234" s="49"/>
    </row>
    <row r="7235" spans="6:13" x14ac:dyDescent="0.25">
      <c r="F7235" t="s">
        <v>7419</v>
      </c>
      <c r="G7235">
        <v>67707</v>
      </c>
      <c r="H7235">
        <v>7335</v>
      </c>
      <c r="I7235" s="25" t="s">
        <v>2123</v>
      </c>
      <c r="J7235" t="s">
        <v>2843</v>
      </c>
      <c r="M7235" s="49"/>
    </row>
    <row r="7236" spans="6:13" x14ac:dyDescent="0.25">
      <c r="F7236" t="s">
        <v>7420</v>
      </c>
      <c r="G7236">
        <v>38170</v>
      </c>
      <c r="H7236">
        <v>3158</v>
      </c>
      <c r="I7236" s="25" t="s">
        <v>2074</v>
      </c>
      <c r="J7236" t="s">
        <v>2434</v>
      </c>
      <c r="M7236" s="49"/>
    </row>
    <row r="7237" spans="6:13" x14ac:dyDescent="0.25">
      <c r="F7237" t="s">
        <v>7421</v>
      </c>
      <c r="G7237">
        <v>48624</v>
      </c>
      <c r="H7237">
        <v>5554</v>
      </c>
      <c r="I7237" s="25" t="s">
        <v>2023</v>
      </c>
      <c r="J7237" t="s">
        <v>2055</v>
      </c>
      <c r="M7237" s="49"/>
    </row>
    <row r="7238" spans="6:13" x14ac:dyDescent="0.25">
      <c r="F7238" t="s">
        <v>7422</v>
      </c>
      <c r="G7238">
        <v>16244</v>
      </c>
      <c r="H7238">
        <v>12060</v>
      </c>
      <c r="I7238" s="25" t="s">
        <v>2356</v>
      </c>
      <c r="J7238" t="s">
        <v>2040</v>
      </c>
      <c r="M7238" s="49"/>
    </row>
    <row r="7239" spans="6:13" x14ac:dyDescent="0.25">
      <c r="F7239" t="s">
        <v>7423</v>
      </c>
      <c r="G7239">
        <v>73614</v>
      </c>
      <c r="H7239">
        <v>8119</v>
      </c>
      <c r="I7239" s="25" t="s">
        <v>2018</v>
      </c>
      <c r="J7239" t="s">
        <v>2287</v>
      </c>
      <c r="M7239" s="49"/>
    </row>
    <row r="7240" spans="6:13" x14ac:dyDescent="0.25">
      <c r="F7240" t="s">
        <v>7423</v>
      </c>
      <c r="G7240">
        <v>93489</v>
      </c>
      <c r="H7240">
        <v>9372</v>
      </c>
      <c r="I7240" s="25" t="s">
        <v>2050</v>
      </c>
      <c r="J7240" t="s">
        <v>2523</v>
      </c>
      <c r="M7240" s="49"/>
    </row>
    <row r="7241" spans="6:13" x14ac:dyDescent="0.25">
      <c r="F7241" t="s">
        <v>7424</v>
      </c>
      <c r="G7241">
        <v>26419</v>
      </c>
      <c r="H7241">
        <v>3455</v>
      </c>
      <c r="I7241" s="25" t="s">
        <v>2074</v>
      </c>
      <c r="J7241" t="s">
        <v>2143</v>
      </c>
      <c r="M7241" s="49"/>
    </row>
    <row r="7242" spans="6:13" x14ac:dyDescent="0.25">
      <c r="F7242" t="s">
        <v>7425</v>
      </c>
      <c r="G7242">
        <v>63679</v>
      </c>
      <c r="H7242">
        <v>6535</v>
      </c>
      <c r="I7242" s="25" t="s">
        <v>2046</v>
      </c>
      <c r="J7242" t="s">
        <v>2346</v>
      </c>
      <c r="M7242" s="49"/>
    </row>
    <row r="7243" spans="6:13" x14ac:dyDescent="0.25">
      <c r="F7243" t="s">
        <v>7426</v>
      </c>
      <c r="G7243">
        <v>78144</v>
      </c>
      <c r="H7243">
        <v>8325</v>
      </c>
      <c r="I7243" s="25" t="s">
        <v>2018</v>
      </c>
      <c r="J7243" t="s">
        <v>2208</v>
      </c>
      <c r="M7243" s="49"/>
    </row>
    <row r="7244" spans="6:13" x14ac:dyDescent="0.25">
      <c r="F7244" t="s">
        <v>7426</v>
      </c>
      <c r="G7244">
        <v>78713</v>
      </c>
      <c r="H7244">
        <v>8325</v>
      </c>
      <c r="I7244" s="25" t="s">
        <v>2018</v>
      </c>
      <c r="J7244" t="s">
        <v>2208</v>
      </c>
      <c r="M7244" s="49"/>
    </row>
    <row r="7245" spans="6:13" x14ac:dyDescent="0.25">
      <c r="F7245" t="s">
        <v>7427</v>
      </c>
      <c r="G7245">
        <v>6279</v>
      </c>
      <c r="H7245">
        <v>15088</v>
      </c>
      <c r="I7245" s="25" t="s">
        <v>2241</v>
      </c>
      <c r="J7245" t="s">
        <v>2344</v>
      </c>
      <c r="M7245" s="49"/>
    </row>
    <row r="7246" spans="6:13" x14ac:dyDescent="0.25">
      <c r="F7246" t="s">
        <v>7428</v>
      </c>
      <c r="G7246">
        <v>34637</v>
      </c>
      <c r="H7246">
        <v>6634</v>
      </c>
      <c r="I7246" s="25" t="s">
        <v>2046</v>
      </c>
      <c r="J7246" t="s">
        <v>2360</v>
      </c>
      <c r="M7246" s="49"/>
    </row>
    <row r="7247" spans="6:13" x14ac:dyDescent="0.25">
      <c r="F7247" t="s">
        <v>7429</v>
      </c>
      <c r="G7247">
        <v>69198</v>
      </c>
      <c r="H7247">
        <v>8226</v>
      </c>
      <c r="I7247" s="25" t="s">
        <v>2018</v>
      </c>
      <c r="J7247" t="s">
        <v>2442</v>
      </c>
      <c r="M7247" s="49"/>
    </row>
    <row r="7248" spans="6:13" x14ac:dyDescent="0.25">
      <c r="F7248" t="s">
        <v>7430</v>
      </c>
      <c r="G7248">
        <v>86529</v>
      </c>
      <c r="H7248">
        <v>9185</v>
      </c>
      <c r="I7248" s="25" t="s">
        <v>2050</v>
      </c>
      <c r="J7248" t="s">
        <v>2515</v>
      </c>
      <c r="M7248" s="49"/>
    </row>
    <row r="7249" spans="6:13" x14ac:dyDescent="0.25">
      <c r="F7249" t="s">
        <v>7431</v>
      </c>
      <c r="G7249">
        <v>74575</v>
      </c>
      <c r="H7249">
        <v>8127</v>
      </c>
      <c r="I7249" s="25" t="s">
        <v>2018</v>
      </c>
      <c r="J7249" t="s">
        <v>3126</v>
      </c>
      <c r="M7249" s="49"/>
    </row>
    <row r="7250" spans="6:13" x14ac:dyDescent="0.25">
      <c r="F7250" t="s">
        <v>7432</v>
      </c>
      <c r="G7250">
        <v>24850</v>
      </c>
      <c r="H7250">
        <v>1059</v>
      </c>
      <c r="I7250" s="25" t="s">
        <v>2085</v>
      </c>
      <c r="J7250" t="s">
        <v>2354</v>
      </c>
      <c r="M7250" s="49"/>
    </row>
    <row r="7251" spans="6:13" x14ac:dyDescent="0.25">
      <c r="F7251" t="s">
        <v>7433</v>
      </c>
      <c r="G7251">
        <v>54586</v>
      </c>
      <c r="H7251">
        <v>7233</v>
      </c>
      <c r="I7251" s="25" t="s">
        <v>2123</v>
      </c>
      <c r="J7251" t="s">
        <v>2416</v>
      </c>
      <c r="M7251" s="49"/>
    </row>
    <row r="7252" spans="6:13" x14ac:dyDescent="0.25">
      <c r="F7252" t="s">
        <v>7434</v>
      </c>
      <c r="G7252">
        <v>24813</v>
      </c>
      <c r="H7252">
        <v>1058</v>
      </c>
      <c r="I7252" s="25" t="s">
        <v>2085</v>
      </c>
      <c r="J7252" t="s">
        <v>2086</v>
      </c>
      <c r="M7252" s="49"/>
    </row>
    <row r="7253" spans="6:13" x14ac:dyDescent="0.25">
      <c r="F7253" t="s">
        <v>7435</v>
      </c>
      <c r="G7253">
        <v>15732</v>
      </c>
      <c r="H7253">
        <v>12061</v>
      </c>
      <c r="I7253" s="25" t="s">
        <v>2356</v>
      </c>
      <c r="J7253" t="s">
        <v>3033</v>
      </c>
      <c r="M7253" s="49"/>
    </row>
    <row r="7254" spans="6:13" x14ac:dyDescent="0.25">
      <c r="F7254" t="s">
        <v>7436</v>
      </c>
      <c r="G7254">
        <v>77978</v>
      </c>
      <c r="H7254">
        <v>8317</v>
      </c>
      <c r="I7254" s="25" t="s">
        <v>2018</v>
      </c>
      <c r="J7254" t="s">
        <v>2071</v>
      </c>
      <c r="M7254" s="49"/>
    </row>
    <row r="7255" spans="6:13" x14ac:dyDescent="0.25">
      <c r="F7255" t="s">
        <v>7437</v>
      </c>
      <c r="G7255">
        <v>77746</v>
      </c>
      <c r="H7255">
        <v>8317</v>
      </c>
      <c r="I7255" s="25" t="s">
        <v>2018</v>
      </c>
      <c r="J7255" t="s">
        <v>2071</v>
      </c>
      <c r="M7255" s="49"/>
    </row>
    <row r="7256" spans="6:13" x14ac:dyDescent="0.25">
      <c r="F7256" t="s">
        <v>7438</v>
      </c>
      <c r="G7256">
        <v>18258</v>
      </c>
      <c r="H7256">
        <v>13072</v>
      </c>
      <c r="I7256" s="25" t="s">
        <v>2191</v>
      </c>
      <c r="J7256" t="s">
        <v>2036</v>
      </c>
      <c r="M7256" s="49"/>
    </row>
    <row r="7257" spans="6:13" x14ac:dyDescent="0.25">
      <c r="F7257" t="s">
        <v>7439</v>
      </c>
      <c r="G7257">
        <v>91126</v>
      </c>
      <c r="H7257">
        <v>9565</v>
      </c>
      <c r="I7257" s="25" t="s">
        <v>2050</v>
      </c>
      <c r="J7257" t="s">
        <v>7440</v>
      </c>
      <c r="M7257" s="49"/>
    </row>
    <row r="7258" spans="6:13" x14ac:dyDescent="0.25">
      <c r="F7258" t="s">
        <v>7439</v>
      </c>
      <c r="G7258">
        <v>91126</v>
      </c>
      <c r="H7258">
        <v>9576</v>
      </c>
      <c r="I7258" s="25" t="s">
        <v>2050</v>
      </c>
      <c r="J7258" t="s">
        <v>2051</v>
      </c>
      <c r="M7258" s="49"/>
    </row>
    <row r="7259" spans="6:13" x14ac:dyDescent="0.25">
      <c r="F7259" t="s">
        <v>7441</v>
      </c>
      <c r="G7259">
        <v>86986</v>
      </c>
      <c r="H7259">
        <v>9190</v>
      </c>
      <c r="I7259" s="25" t="s">
        <v>2050</v>
      </c>
      <c r="J7259" t="s">
        <v>2417</v>
      </c>
      <c r="M7259" s="49"/>
    </row>
    <row r="7260" spans="6:13" x14ac:dyDescent="0.25">
      <c r="F7260" t="s">
        <v>7442</v>
      </c>
      <c r="G7260">
        <v>85247</v>
      </c>
      <c r="H7260">
        <v>9174</v>
      </c>
      <c r="I7260" s="25" t="s">
        <v>2050</v>
      </c>
      <c r="J7260" t="s">
        <v>2445</v>
      </c>
      <c r="M7260" s="49"/>
    </row>
    <row r="7261" spans="6:13" x14ac:dyDescent="0.25">
      <c r="F7261" t="s">
        <v>7443</v>
      </c>
      <c r="G7261">
        <v>73527</v>
      </c>
      <c r="H7261">
        <v>8136</v>
      </c>
      <c r="I7261" s="25" t="s">
        <v>2018</v>
      </c>
      <c r="J7261" t="s">
        <v>2039</v>
      </c>
      <c r="M7261" s="49"/>
    </row>
    <row r="7262" spans="6:13" x14ac:dyDescent="0.25">
      <c r="F7262" t="s">
        <v>3126</v>
      </c>
      <c r="G7262">
        <v>74523</v>
      </c>
      <c r="H7262">
        <v>8127</v>
      </c>
      <c r="I7262" s="25" t="s">
        <v>2018</v>
      </c>
      <c r="J7262" t="s">
        <v>3126</v>
      </c>
      <c r="M7262" s="49"/>
    </row>
    <row r="7263" spans="6:13" x14ac:dyDescent="0.25">
      <c r="F7263" t="s">
        <v>7444</v>
      </c>
      <c r="G7263">
        <v>86830</v>
      </c>
      <c r="H7263">
        <v>9772</v>
      </c>
      <c r="I7263" s="25" t="s">
        <v>2050</v>
      </c>
      <c r="J7263" t="s">
        <v>2117</v>
      </c>
      <c r="M7263" s="49"/>
    </row>
    <row r="7264" spans="6:13" x14ac:dyDescent="0.25">
      <c r="F7264" t="s">
        <v>7445</v>
      </c>
      <c r="G7264">
        <v>86987</v>
      </c>
      <c r="H7264">
        <v>9190</v>
      </c>
      <c r="I7264" s="25" t="s">
        <v>2050</v>
      </c>
      <c r="J7264" t="s">
        <v>2417</v>
      </c>
      <c r="M7264" s="49"/>
    </row>
    <row r="7265" spans="6:13" x14ac:dyDescent="0.25">
      <c r="F7265" t="s">
        <v>7446</v>
      </c>
      <c r="G7265">
        <v>25876</v>
      </c>
      <c r="H7265">
        <v>1054</v>
      </c>
      <c r="I7265" s="25" t="s">
        <v>2085</v>
      </c>
      <c r="J7265" t="s">
        <v>2195</v>
      </c>
      <c r="M7265" s="49"/>
    </row>
    <row r="7266" spans="6:13" x14ac:dyDescent="0.25">
      <c r="F7266" t="s">
        <v>7447</v>
      </c>
      <c r="G7266">
        <v>27252</v>
      </c>
      <c r="H7266">
        <v>3251</v>
      </c>
      <c r="I7266" s="25" t="s">
        <v>2074</v>
      </c>
      <c r="J7266" t="s">
        <v>2094</v>
      </c>
      <c r="M7266" s="49"/>
    </row>
    <row r="7267" spans="6:13" x14ac:dyDescent="0.25">
      <c r="F7267" t="s">
        <v>7448</v>
      </c>
      <c r="G7267">
        <v>90571</v>
      </c>
      <c r="H7267">
        <v>9574</v>
      </c>
      <c r="I7267" s="25" t="s">
        <v>2050</v>
      </c>
      <c r="J7267" t="s">
        <v>2291</v>
      </c>
      <c r="M7267" s="49"/>
    </row>
    <row r="7268" spans="6:13" x14ac:dyDescent="0.25">
      <c r="F7268" t="s">
        <v>7449</v>
      </c>
      <c r="G7268">
        <v>82445</v>
      </c>
      <c r="H7268">
        <v>9180</v>
      </c>
      <c r="I7268" s="25" t="s">
        <v>2050</v>
      </c>
      <c r="J7268" t="s">
        <v>2147</v>
      </c>
      <c r="M7268" s="49"/>
    </row>
    <row r="7269" spans="6:13" x14ac:dyDescent="0.25">
      <c r="F7269" t="s">
        <v>7450</v>
      </c>
      <c r="G7269">
        <v>74193</v>
      </c>
      <c r="H7269">
        <v>8125</v>
      </c>
      <c r="I7269" s="25" t="s">
        <v>2018</v>
      </c>
      <c r="J7269" t="s">
        <v>2060</v>
      </c>
      <c r="M7269" s="49"/>
    </row>
    <row r="7270" spans="6:13" x14ac:dyDescent="0.25">
      <c r="F7270" t="s">
        <v>7451</v>
      </c>
      <c r="G7270">
        <v>71409</v>
      </c>
      <c r="H7270">
        <v>8119</v>
      </c>
      <c r="I7270" s="25" t="s">
        <v>2018</v>
      </c>
      <c r="J7270" t="s">
        <v>2287</v>
      </c>
      <c r="M7270" s="49"/>
    </row>
    <row r="7271" spans="6:13" x14ac:dyDescent="0.25">
      <c r="F7271" t="s">
        <v>7452</v>
      </c>
      <c r="G7271">
        <v>66773</v>
      </c>
      <c r="H7271">
        <v>10044</v>
      </c>
      <c r="I7271" s="25" t="s">
        <v>2849</v>
      </c>
      <c r="J7271" t="s">
        <v>3222</v>
      </c>
      <c r="M7271" s="49"/>
    </row>
    <row r="7272" spans="6:13" x14ac:dyDescent="0.25">
      <c r="F7272" t="s">
        <v>7453</v>
      </c>
      <c r="G7272">
        <v>65824</v>
      </c>
      <c r="H7272">
        <v>6436</v>
      </c>
      <c r="I7272" s="25" t="s">
        <v>2046</v>
      </c>
      <c r="J7272" t="s">
        <v>2730</v>
      </c>
      <c r="M7272" s="49"/>
    </row>
    <row r="7273" spans="6:13" x14ac:dyDescent="0.25">
      <c r="F7273" t="s">
        <v>7454</v>
      </c>
      <c r="G7273">
        <v>98590</v>
      </c>
      <c r="H7273">
        <v>16066</v>
      </c>
      <c r="I7273" s="25" t="s">
        <v>2384</v>
      </c>
      <c r="J7273" t="s">
        <v>2358</v>
      </c>
      <c r="M7273" s="49"/>
    </row>
    <row r="7274" spans="6:13" x14ac:dyDescent="0.25">
      <c r="F7274" t="s">
        <v>7455</v>
      </c>
      <c r="G7274">
        <v>34613</v>
      </c>
      <c r="H7274">
        <v>6634</v>
      </c>
      <c r="I7274" s="25" t="s">
        <v>2046</v>
      </c>
      <c r="J7274" t="s">
        <v>2360</v>
      </c>
      <c r="M7274" s="49"/>
    </row>
    <row r="7275" spans="6:13" x14ac:dyDescent="0.25">
      <c r="F7275" t="s">
        <v>7456</v>
      </c>
      <c r="G7275">
        <v>41366</v>
      </c>
      <c r="H7275">
        <v>5166</v>
      </c>
      <c r="I7275" s="25" t="s">
        <v>2023</v>
      </c>
      <c r="J7275" t="s">
        <v>2412</v>
      </c>
      <c r="M7275" s="49"/>
    </row>
    <row r="7276" spans="6:13" x14ac:dyDescent="0.25">
      <c r="F7276" t="s">
        <v>7456</v>
      </c>
      <c r="G7276">
        <v>36318</v>
      </c>
      <c r="H7276">
        <v>6535</v>
      </c>
      <c r="I7276" s="25" t="s">
        <v>2046</v>
      </c>
      <c r="J7276" t="s">
        <v>2346</v>
      </c>
      <c r="M7276" s="49"/>
    </row>
    <row r="7277" spans="6:13" x14ac:dyDescent="0.25">
      <c r="F7277" t="s">
        <v>7457</v>
      </c>
      <c r="G7277">
        <v>77963</v>
      </c>
      <c r="H7277">
        <v>8317</v>
      </c>
      <c r="I7277" s="25" t="s">
        <v>2018</v>
      </c>
      <c r="J7277" t="s">
        <v>2071</v>
      </c>
      <c r="M7277" s="49"/>
    </row>
    <row r="7278" spans="6:13" x14ac:dyDescent="0.25">
      <c r="F7278" t="s">
        <v>2390</v>
      </c>
      <c r="G7278">
        <v>92421</v>
      </c>
      <c r="H7278">
        <v>9376</v>
      </c>
      <c r="I7278" s="25" t="s">
        <v>2050</v>
      </c>
      <c r="J7278" t="s">
        <v>2390</v>
      </c>
      <c r="M7278" s="49"/>
    </row>
    <row r="7279" spans="6:13" x14ac:dyDescent="0.25">
      <c r="F7279" t="s">
        <v>7458</v>
      </c>
      <c r="G7279">
        <v>39397</v>
      </c>
      <c r="H7279">
        <v>15083</v>
      </c>
      <c r="I7279" s="25" t="s">
        <v>2241</v>
      </c>
      <c r="J7279" t="s">
        <v>2052</v>
      </c>
      <c r="M7279" s="49"/>
    </row>
    <row r="7280" spans="6:13" x14ac:dyDescent="0.25">
      <c r="F7280" t="s">
        <v>7458</v>
      </c>
      <c r="G7280">
        <v>39397</v>
      </c>
      <c r="H7280">
        <v>15085</v>
      </c>
      <c r="I7280" s="25" t="s">
        <v>2241</v>
      </c>
      <c r="J7280" t="s">
        <v>2178</v>
      </c>
      <c r="M7280" s="49"/>
    </row>
    <row r="7281" spans="6:13" x14ac:dyDescent="0.25">
      <c r="F7281" t="s">
        <v>7459</v>
      </c>
      <c r="G7281">
        <v>28790</v>
      </c>
      <c r="H7281">
        <v>3356</v>
      </c>
      <c r="I7281" s="25" t="s">
        <v>2074</v>
      </c>
      <c r="J7281" t="s">
        <v>2295</v>
      </c>
      <c r="M7281" s="49"/>
    </row>
    <row r="7282" spans="6:13" x14ac:dyDescent="0.25">
      <c r="F7282" t="s">
        <v>7460</v>
      </c>
      <c r="G7282">
        <v>97523</v>
      </c>
      <c r="H7282">
        <v>9678</v>
      </c>
      <c r="I7282" s="25" t="s">
        <v>2050</v>
      </c>
      <c r="J7282" t="s">
        <v>2918</v>
      </c>
      <c r="M7282" s="49"/>
    </row>
    <row r="7283" spans="6:13" x14ac:dyDescent="0.25">
      <c r="F7283" t="s">
        <v>7461</v>
      </c>
      <c r="G7283">
        <v>87645</v>
      </c>
      <c r="H7283">
        <v>9777</v>
      </c>
      <c r="I7283" s="25" t="s">
        <v>2050</v>
      </c>
      <c r="J7283" t="s">
        <v>2237</v>
      </c>
      <c r="M7283" s="49"/>
    </row>
    <row r="7284" spans="6:13" x14ac:dyDescent="0.25">
      <c r="F7284" t="s">
        <v>7462</v>
      </c>
      <c r="G7284">
        <v>90596</v>
      </c>
      <c r="H7284">
        <v>9576</v>
      </c>
      <c r="I7284" s="25" t="s">
        <v>2050</v>
      </c>
      <c r="J7284" t="s">
        <v>2051</v>
      </c>
      <c r="M7284" s="49"/>
    </row>
    <row r="7285" spans="6:13" x14ac:dyDescent="0.25">
      <c r="F7285" t="s">
        <v>7463</v>
      </c>
      <c r="G7285">
        <v>29690</v>
      </c>
      <c r="H7285">
        <v>3358</v>
      </c>
      <c r="I7285" s="25" t="s">
        <v>2074</v>
      </c>
      <c r="J7285" t="s">
        <v>2371</v>
      </c>
      <c r="M7285" s="49"/>
    </row>
    <row r="7286" spans="6:13" x14ac:dyDescent="0.25">
      <c r="F7286" t="s">
        <v>7464</v>
      </c>
      <c r="G7286">
        <v>74869</v>
      </c>
      <c r="H7286">
        <v>8225</v>
      </c>
      <c r="I7286" s="25" t="s">
        <v>2018</v>
      </c>
      <c r="J7286" t="s">
        <v>2108</v>
      </c>
      <c r="M7286" s="49"/>
    </row>
    <row r="7287" spans="6:13" x14ac:dyDescent="0.25">
      <c r="F7287" t="s">
        <v>7464</v>
      </c>
      <c r="G7287">
        <v>94374</v>
      </c>
      <c r="H7287">
        <v>9278</v>
      </c>
      <c r="I7287" s="25" t="s">
        <v>2050</v>
      </c>
      <c r="J7287" t="s">
        <v>2170</v>
      </c>
      <c r="M7287" s="49"/>
    </row>
    <row r="7288" spans="6:13" x14ac:dyDescent="0.25">
      <c r="F7288" t="s">
        <v>7465</v>
      </c>
      <c r="G7288">
        <v>97359</v>
      </c>
      <c r="H7288">
        <v>9675</v>
      </c>
      <c r="I7288" s="25" t="s">
        <v>2050</v>
      </c>
      <c r="J7288" t="s">
        <v>2259</v>
      </c>
      <c r="M7288" s="49"/>
    </row>
    <row r="7289" spans="6:13" x14ac:dyDescent="0.25">
      <c r="F7289" t="s">
        <v>7466</v>
      </c>
      <c r="G7289">
        <v>92548</v>
      </c>
      <c r="H7289">
        <v>9376</v>
      </c>
      <c r="I7289" s="25" t="s">
        <v>2050</v>
      </c>
      <c r="J7289" t="s">
        <v>2390</v>
      </c>
      <c r="M7289" s="49"/>
    </row>
    <row r="7290" spans="6:13" x14ac:dyDescent="0.25">
      <c r="F7290" t="s">
        <v>7467</v>
      </c>
      <c r="G7290">
        <v>7427</v>
      </c>
      <c r="H7290">
        <v>16073</v>
      </c>
      <c r="I7290" s="25" t="s">
        <v>2384</v>
      </c>
      <c r="J7290" t="s">
        <v>2618</v>
      </c>
      <c r="M7290" s="49"/>
    </row>
    <row r="7291" spans="6:13" x14ac:dyDescent="0.25">
      <c r="F7291" t="s">
        <v>7468</v>
      </c>
      <c r="G7291">
        <v>92720</v>
      </c>
      <c r="H7291">
        <v>9374</v>
      </c>
      <c r="I7291" s="25" t="s">
        <v>2050</v>
      </c>
      <c r="J7291" t="s">
        <v>2420</v>
      </c>
      <c r="M7291" s="49"/>
    </row>
    <row r="7292" spans="6:13" x14ac:dyDescent="0.25">
      <c r="F7292" t="s">
        <v>7469</v>
      </c>
      <c r="G7292">
        <v>95131</v>
      </c>
      <c r="H7292">
        <v>9475</v>
      </c>
      <c r="I7292" s="25" t="s">
        <v>2050</v>
      </c>
      <c r="J7292" t="s">
        <v>2201</v>
      </c>
      <c r="M7292" s="49"/>
    </row>
    <row r="7293" spans="6:13" x14ac:dyDescent="0.25">
      <c r="F7293" t="s">
        <v>7470</v>
      </c>
      <c r="G7293">
        <v>95126</v>
      </c>
      <c r="H7293">
        <v>9475</v>
      </c>
      <c r="I7293" s="25" t="s">
        <v>2050</v>
      </c>
      <c r="J7293" t="s">
        <v>2201</v>
      </c>
      <c r="M7293" s="49"/>
    </row>
    <row r="7294" spans="6:13" x14ac:dyDescent="0.25">
      <c r="F7294" t="s">
        <v>7471</v>
      </c>
      <c r="G7294">
        <v>8340</v>
      </c>
      <c r="H7294">
        <v>14521</v>
      </c>
      <c r="I7294" s="25" t="s">
        <v>2135</v>
      </c>
      <c r="J7294" t="s">
        <v>2032</v>
      </c>
      <c r="M7294" s="49"/>
    </row>
    <row r="7295" spans="6:13" x14ac:dyDescent="0.25">
      <c r="F7295" t="s">
        <v>7472</v>
      </c>
      <c r="G7295">
        <v>34639</v>
      </c>
      <c r="H7295">
        <v>6634</v>
      </c>
      <c r="I7295" s="25" t="s">
        <v>2046</v>
      </c>
      <c r="J7295" t="s">
        <v>2360</v>
      </c>
      <c r="M7295" s="49"/>
    </row>
    <row r="7296" spans="6:13" x14ac:dyDescent="0.25">
      <c r="F7296" t="s">
        <v>7473</v>
      </c>
      <c r="G7296">
        <v>90592</v>
      </c>
      <c r="H7296">
        <v>9574</v>
      </c>
      <c r="I7296" s="25" t="s">
        <v>2050</v>
      </c>
      <c r="J7296" t="s">
        <v>2291</v>
      </c>
      <c r="M7296" s="49"/>
    </row>
    <row r="7297" spans="6:13" x14ac:dyDescent="0.25">
      <c r="F7297" t="s">
        <v>7474</v>
      </c>
      <c r="G7297">
        <v>92521</v>
      </c>
      <c r="H7297">
        <v>9376</v>
      </c>
      <c r="I7297" s="25" t="s">
        <v>2050</v>
      </c>
      <c r="J7297" t="s">
        <v>2390</v>
      </c>
      <c r="M7297" s="49"/>
    </row>
    <row r="7298" spans="6:13" x14ac:dyDescent="0.25">
      <c r="F7298" t="s">
        <v>7475</v>
      </c>
      <c r="G7298">
        <v>67813</v>
      </c>
      <c r="H7298">
        <v>7333</v>
      </c>
      <c r="I7298" s="25" t="s">
        <v>2123</v>
      </c>
      <c r="J7298" t="s">
        <v>2103</v>
      </c>
      <c r="M7298" s="49"/>
    </row>
    <row r="7299" spans="6:13" x14ac:dyDescent="0.25">
      <c r="F7299" t="s">
        <v>7476</v>
      </c>
      <c r="G7299">
        <v>1987</v>
      </c>
      <c r="H7299">
        <v>12066</v>
      </c>
      <c r="I7299" s="25" t="s">
        <v>2356</v>
      </c>
      <c r="J7299" t="s">
        <v>2357</v>
      </c>
      <c r="M7299" s="49"/>
    </row>
    <row r="7300" spans="6:13" x14ac:dyDescent="0.25">
      <c r="F7300" t="s">
        <v>7477</v>
      </c>
      <c r="G7300">
        <v>92447</v>
      </c>
      <c r="H7300">
        <v>9376</v>
      </c>
      <c r="I7300" s="25" t="s">
        <v>2050</v>
      </c>
      <c r="J7300" t="s">
        <v>2390</v>
      </c>
      <c r="M7300" s="49"/>
    </row>
    <row r="7301" spans="6:13" x14ac:dyDescent="0.25">
      <c r="F7301" t="s">
        <v>7478</v>
      </c>
      <c r="G7301">
        <v>97525</v>
      </c>
      <c r="H7301">
        <v>9678</v>
      </c>
      <c r="I7301" s="25" t="s">
        <v>2050</v>
      </c>
      <c r="J7301" t="s">
        <v>2918</v>
      </c>
      <c r="M7301" s="49"/>
    </row>
    <row r="7302" spans="6:13" x14ac:dyDescent="0.25">
      <c r="F7302" t="s">
        <v>7479</v>
      </c>
      <c r="G7302">
        <v>16303</v>
      </c>
      <c r="H7302">
        <v>12073</v>
      </c>
      <c r="I7302" s="25" t="s">
        <v>2356</v>
      </c>
      <c r="J7302" t="s">
        <v>2397</v>
      </c>
      <c r="M7302" s="49"/>
    </row>
    <row r="7303" spans="6:13" x14ac:dyDescent="0.25">
      <c r="F7303" t="s">
        <v>7480</v>
      </c>
      <c r="G7303">
        <v>67365</v>
      </c>
      <c r="H7303">
        <v>7334</v>
      </c>
      <c r="I7303" s="25" t="s">
        <v>2123</v>
      </c>
      <c r="J7303" t="s">
        <v>2873</v>
      </c>
      <c r="M7303" s="49"/>
    </row>
    <row r="7304" spans="6:13" x14ac:dyDescent="0.25">
      <c r="F7304" t="s">
        <v>7481</v>
      </c>
      <c r="G7304">
        <v>54338</v>
      </c>
      <c r="H7304">
        <v>7235</v>
      </c>
      <c r="I7304" s="25" t="s">
        <v>2123</v>
      </c>
      <c r="J7304" t="s">
        <v>2395</v>
      </c>
      <c r="M7304" s="49"/>
    </row>
    <row r="7305" spans="6:13" x14ac:dyDescent="0.25">
      <c r="F7305" t="s">
        <v>2918</v>
      </c>
      <c r="G7305">
        <v>97424</v>
      </c>
      <c r="H7305">
        <v>9662</v>
      </c>
      <c r="I7305" s="25" t="s">
        <v>2050</v>
      </c>
      <c r="J7305" t="s">
        <v>7482</v>
      </c>
      <c r="M7305" s="49"/>
    </row>
    <row r="7306" spans="6:13" x14ac:dyDescent="0.25">
      <c r="F7306" t="s">
        <v>2918</v>
      </c>
      <c r="G7306">
        <v>97421</v>
      </c>
      <c r="H7306">
        <v>9662</v>
      </c>
      <c r="I7306" s="25" t="s">
        <v>2050</v>
      </c>
      <c r="J7306" t="s">
        <v>7482</v>
      </c>
      <c r="M7306" s="49"/>
    </row>
    <row r="7307" spans="6:13" x14ac:dyDescent="0.25">
      <c r="F7307" t="s">
        <v>2918</v>
      </c>
      <c r="G7307">
        <v>97422</v>
      </c>
      <c r="H7307">
        <v>9662</v>
      </c>
      <c r="I7307" s="25" t="s">
        <v>2050</v>
      </c>
      <c r="J7307" t="s">
        <v>7482</v>
      </c>
      <c r="M7307" s="49"/>
    </row>
    <row r="7308" spans="6:13" x14ac:dyDescent="0.25">
      <c r="F7308" t="s">
        <v>7483</v>
      </c>
      <c r="G7308">
        <v>85301</v>
      </c>
      <c r="H7308">
        <v>9186</v>
      </c>
      <c r="I7308" s="25" t="s">
        <v>2050</v>
      </c>
      <c r="J7308" t="s">
        <v>2594</v>
      </c>
      <c r="M7308" s="49"/>
    </row>
    <row r="7309" spans="6:13" x14ac:dyDescent="0.25">
      <c r="F7309" t="s">
        <v>7484</v>
      </c>
      <c r="G7309">
        <v>58332</v>
      </c>
      <c r="H7309">
        <v>5954</v>
      </c>
      <c r="I7309" s="25" t="s">
        <v>2023</v>
      </c>
      <c r="J7309" t="s">
        <v>2124</v>
      </c>
      <c r="M7309" s="49"/>
    </row>
    <row r="7310" spans="6:13" x14ac:dyDescent="0.25">
      <c r="F7310" t="s">
        <v>7485</v>
      </c>
      <c r="G7310">
        <v>88477</v>
      </c>
      <c r="H7310">
        <v>8426</v>
      </c>
      <c r="I7310" s="25" t="s">
        <v>2018</v>
      </c>
      <c r="J7310" t="s">
        <v>2081</v>
      </c>
      <c r="M7310" s="49"/>
    </row>
    <row r="7311" spans="6:13" x14ac:dyDescent="0.25">
      <c r="F7311" t="s">
        <v>7486</v>
      </c>
      <c r="G7311">
        <v>72477</v>
      </c>
      <c r="H7311">
        <v>8437</v>
      </c>
      <c r="I7311" s="25" t="s">
        <v>2018</v>
      </c>
      <c r="J7311" t="s">
        <v>2720</v>
      </c>
      <c r="M7311" s="49"/>
    </row>
    <row r="7312" spans="6:13" x14ac:dyDescent="0.25">
      <c r="F7312" t="s">
        <v>7486</v>
      </c>
      <c r="G7312">
        <v>89443</v>
      </c>
      <c r="H7312">
        <v>9773</v>
      </c>
      <c r="I7312" s="25" t="s">
        <v>2050</v>
      </c>
      <c r="J7312" t="s">
        <v>2231</v>
      </c>
      <c r="M7312" s="49"/>
    </row>
    <row r="7313" spans="6:13" x14ac:dyDescent="0.25">
      <c r="F7313" t="s">
        <v>7487</v>
      </c>
      <c r="G7313">
        <v>24222</v>
      </c>
      <c r="H7313">
        <v>1057</v>
      </c>
      <c r="I7313" s="25" t="s">
        <v>2085</v>
      </c>
      <c r="J7313" t="s">
        <v>2313</v>
      </c>
      <c r="M7313" s="49"/>
    </row>
    <row r="7314" spans="6:13" x14ac:dyDescent="0.25">
      <c r="F7314" t="s">
        <v>7488</v>
      </c>
      <c r="G7314">
        <v>24223</v>
      </c>
      <c r="H7314">
        <v>1057</v>
      </c>
      <c r="I7314" s="25" t="s">
        <v>2085</v>
      </c>
      <c r="J7314" t="s">
        <v>2313</v>
      </c>
      <c r="M7314" s="49"/>
    </row>
    <row r="7315" spans="6:13" x14ac:dyDescent="0.25">
      <c r="F7315" t="s">
        <v>1503</v>
      </c>
      <c r="G7315">
        <v>19053</v>
      </c>
      <c r="H7315">
        <v>13004</v>
      </c>
      <c r="I7315" s="25" t="s">
        <v>2191</v>
      </c>
      <c r="J7315" t="s">
        <v>2361</v>
      </c>
      <c r="M7315" s="49"/>
    </row>
    <row r="7316" spans="6:13" x14ac:dyDescent="0.25">
      <c r="F7316" t="s">
        <v>1503</v>
      </c>
      <c r="G7316">
        <v>19061</v>
      </c>
      <c r="H7316">
        <v>13004</v>
      </c>
      <c r="I7316" s="25" t="s">
        <v>2191</v>
      </c>
      <c r="J7316" t="s">
        <v>2361</v>
      </c>
      <c r="M7316" s="49"/>
    </row>
    <row r="7317" spans="6:13" x14ac:dyDescent="0.25">
      <c r="F7317" t="s">
        <v>1503</v>
      </c>
      <c r="G7317">
        <v>19055</v>
      </c>
      <c r="H7317">
        <v>13004</v>
      </c>
      <c r="I7317" s="25" t="s">
        <v>2191</v>
      </c>
      <c r="J7317" t="s">
        <v>2361</v>
      </c>
      <c r="M7317" s="49"/>
    </row>
    <row r="7318" spans="6:13" x14ac:dyDescent="0.25">
      <c r="F7318" t="s">
        <v>1503</v>
      </c>
      <c r="G7318">
        <v>19059</v>
      </c>
      <c r="H7318">
        <v>13004</v>
      </c>
      <c r="I7318" s="25" t="s">
        <v>2191</v>
      </c>
      <c r="J7318" t="s">
        <v>2361</v>
      </c>
      <c r="M7318" s="49"/>
    </row>
    <row r="7319" spans="6:13" x14ac:dyDescent="0.25">
      <c r="F7319" t="s">
        <v>1503</v>
      </c>
      <c r="G7319">
        <v>19063</v>
      </c>
      <c r="H7319">
        <v>13004</v>
      </c>
      <c r="I7319" s="25" t="s">
        <v>2191</v>
      </c>
      <c r="J7319" t="s">
        <v>2361</v>
      </c>
      <c r="M7319" s="49"/>
    </row>
    <row r="7320" spans="6:13" x14ac:dyDescent="0.25">
      <c r="F7320" t="s">
        <v>1503</v>
      </c>
      <c r="G7320">
        <v>19055</v>
      </c>
      <c r="H7320">
        <v>13004</v>
      </c>
      <c r="I7320" s="25" t="s">
        <v>2191</v>
      </c>
      <c r="J7320" t="s">
        <v>2361</v>
      </c>
      <c r="M7320" s="49"/>
    </row>
    <row r="7321" spans="6:13" x14ac:dyDescent="0.25">
      <c r="F7321" t="s">
        <v>1503</v>
      </c>
      <c r="G7321">
        <v>19057</v>
      </c>
      <c r="H7321">
        <v>13004</v>
      </c>
      <c r="I7321" s="25" t="s">
        <v>2191</v>
      </c>
      <c r="J7321" t="s">
        <v>2361</v>
      </c>
      <c r="M7321" s="49"/>
    </row>
    <row r="7322" spans="6:13" x14ac:dyDescent="0.25">
      <c r="F7322" t="s">
        <v>7489</v>
      </c>
      <c r="G7322">
        <v>27333</v>
      </c>
      <c r="H7322">
        <v>3256</v>
      </c>
      <c r="I7322" s="25" t="s">
        <v>2074</v>
      </c>
      <c r="J7322" t="s">
        <v>2271</v>
      </c>
      <c r="M7322" s="49"/>
    </row>
    <row r="7323" spans="6:13" x14ac:dyDescent="0.25">
      <c r="F7323" t="s">
        <v>7490</v>
      </c>
      <c r="G7323">
        <v>58239</v>
      </c>
      <c r="H7323">
        <v>5978</v>
      </c>
      <c r="I7323" s="25" t="s">
        <v>2023</v>
      </c>
      <c r="J7323" t="s">
        <v>2402</v>
      </c>
      <c r="M7323" s="49"/>
    </row>
    <row r="7324" spans="6:13" x14ac:dyDescent="0.25">
      <c r="F7324" t="s">
        <v>7491</v>
      </c>
      <c r="G7324">
        <v>68723</v>
      </c>
      <c r="H7324">
        <v>8226</v>
      </c>
      <c r="I7324" s="25" t="s">
        <v>2018</v>
      </c>
      <c r="J7324" t="s">
        <v>2442</v>
      </c>
      <c r="M7324" s="49"/>
    </row>
    <row r="7325" spans="6:13" x14ac:dyDescent="0.25">
      <c r="F7325" t="s">
        <v>7492</v>
      </c>
      <c r="G7325">
        <v>71701</v>
      </c>
      <c r="H7325">
        <v>8118</v>
      </c>
      <c r="I7325" s="25" t="s">
        <v>2018</v>
      </c>
      <c r="J7325" t="s">
        <v>2142</v>
      </c>
      <c r="M7325" s="49"/>
    </row>
    <row r="7326" spans="6:13" x14ac:dyDescent="0.25">
      <c r="F7326" t="s">
        <v>7493</v>
      </c>
      <c r="G7326">
        <v>14548</v>
      </c>
      <c r="H7326">
        <v>12069</v>
      </c>
      <c r="I7326" s="25" t="s">
        <v>2356</v>
      </c>
      <c r="J7326" t="s">
        <v>2857</v>
      </c>
      <c r="M7326" s="49"/>
    </row>
    <row r="7327" spans="6:13" x14ac:dyDescent="0.25">
      <c r="F7327" t="s">
        <v>7494</v>
      </c>
      <c r="G7327">
        <v>29593</v>
      </c>
      <c r="H7327">
        <v>3360</v>
      </c>
      <c r="I7327" s="25" t="s">
        <v>2074</v>
      </c>
      <c r="J7327" t="s">
        <v>2400</v>
      </c>
      <c r="M7327" s="49"/>
    </row>
    <row r="7328" spans="6:13" x14ac:dyDescent="0.25">
      <c r="F7328" t="s">
        <v>7495</v>
      </c>
      <c r="G7328">
        <v>86940</v>
      </c>
      <c r="H7328">
        <v>9181</v>
      </c>
      <c r="I7328" s="25" t="s">
        <v>2050</v>
      </c>
      <c r="J7328" t="s">
        <v>2505</v>
      </c>
      <c r="M7328" s="49"/>
    </row>
    <row r="7329" spans="6:13" x14ac:dyDescent="0.25">
      <c r="F7329" t="s">
        <v>7496</v>
      </c>
      <c r="G7329">
        <v>84419</v>
      </c>
      <c r="H7329">
        <v>9183</v>
      </c>
      <c r="I7329" s="25" t="s">
        <v>2050</v>
      </c>
      <c r="J7329" t="s">
        <v>2474</v>
      </c>
      <c r="M7329" s="49"/>
    </row>
    <row r="7330" spans="6:13" x14ac:dyDescent="0.25">
      <c r="F7330" t="s">
        <v>7497</v>
      </c>
      <c r="G7330">
        <v>79739</v>
      </c>
      <c r="H7330">
        <v>8336</v>
      </c>
      <c r="I7330" s="25" t="s">
        <v>2018</v>
      </c>
      <c r="J7330" t="s">
        <v>2227</v>
      </c>
      <c r="M7330" s="49"/>
    </row>
    <row r="7331" spans="6:13" x14ac:dyDescent="0.25">
      <c r="F7331" t="s">
        <v>7498</v>
      </c>
      <c r="G7331">
        <v>38179</v>
      </c>
      <c r="H7331">
        <v>3151</v>
      </c>
      <c r="I7331" s="25" t="s">
        <v>2074</v>
      </c>
      <c r="J7331" t="s">
        <v>2126</v>
      </c>
      <c r="M7331" s="49"/>
    </row>
    <row r="7332" spans="6:13" x14ac:dyDescent="0.25">
      <c r="F7332" t="s">
        <v>7499</v>
      </c>
      <c r="G7332">
        <v>1855</v>
      </c>
      <c r="H7332">
        <v>14628</v>
      </c>
      <c r="I7332" s="25" t="s">
        <v>2135</v>
      </c>
      <c r="J7332" t="s">
        <v>2347</v>
      </c>
      <c r="M7332" s="49"/>
    </row>
    <row r="7333" spans="6:13" x14ac:dyDescent="0.25">
      <c r="F7333" t="s">
        <v>7499</v>
      </c>
      <c r="G7333">
        <v>1855</v>
      </c>
      <c r="H7333">
        <v>14628</v>
      </c>
      <c r="I7333" s="25" t="s">
        <v>2135</v>
      </c>
      <c r="J7333" t="s">
        <v>2347</v>
      </c>
      <c r="M7333" s="49"/>
    </row>
    <row r="7334" spans="6:13" x14ac:dyDescent="0.25">
      <c r="F7334" t="s">
        <v>7500</v>
      </c>
      <c r="G7334">
        <v>74743</v>
      </c>
      <c r="H7334">
        <v>8225</v>
      </c>
      <c r="I7334" s="25" t="s">
        <v>2018</v>
      </c>
      <c r="J7334" t="s">
        <v>2108</v>
      </c>
      <c r="M7334" s="49"/>
    </row>
    <row r="7335" spans="6:13" x14ac:dyDescent="0.25">
      <c r="F7335" t="s">
        <v>7501</v>
      </c>
      <c r="G7335">
        <v>14554</v>
      </c>
      <c r="H7335">
        <v>12069</v>
      </c>
      <c r="I7335" s="25" t="s">
        <v>2356</v>
      </c>
      <c r="J7335" t="s">
        <v>2857</v>
      </c>
      <c r="M7335" s="49"/>
    </row>
    <row r="7336" spans="6:13" x14ac:dyDescent="0.25">
      <c r="F7336" t="s">
        <v>7502</v>
      </c>
      <c r="G7336">
        <v>77889</v>
      </c>
      <c r="H7336">
        <v>8317</v>
      </c>
      <c r="I7336" s="25" t="s">
        <v>2018</v>
      </c>
      <c r="J7336" t="s">
        <v>2071</v>
      </c>
      <c r="M7336" s="49"/>
    </row>
    <row r="7337" spans="6:13" x14ac:dyDescent="0.25">
      <c r="F7337" t="s">
        <v>7502</v>
      </c>
      <c r="G7337">
        <v>99846</v>
      </c>
      <c r="H7337">
        <v>16063</v>
      </c>
      <c r="I7337" s="25" t="s">
        <v>2384</v>
      </c>
      <c r="J7337" t="s">
        <v>2687</v>
      </c>
      <c r="M7337" s="49"/>
    </row>
    <row r="7338" spans="6:13" x14ac:dyDescent="0.25">
      <c r="F7338" t="s">
        <v>7503</v>
      </c>
      <c r="G7338">
        <v>17419</v>
      </c>
      <c r="H7338">
        <v>13075</v>
      </c>
      <c r="I7338" s="25" t="s">
        <v>2191</v>
      </c>
      <c r="J7338" t="s">
        <v>2160</v>
      </c>
      <c r="M7338" s="49"/>
    </row>
    <row r="7339" spans="6:13" x14ac:dyDescent="0.25">
      <c r="F7339" t="s">
        <v>7504</v>
      </c>
      <c r="G7339">
        <v>23823</v>
      </c>
      <c r="H7339">
        <v>1060</v>
      </c>
      <c r="I7339" s="25" t="s">
        <v>2085</v>
      </c>
      <c r="J7339" t="s">
        <v>2363</v>
      </c>
      <c r="M7339" s="49"/>
    </row>
    <row r="7340" spans="6:13" x14ac:dyDescent="0.25">
      <c r="F7340" t="s">
        <v>7505</v>
      </c>
      <c r="G7340">
        <v>82229</v>
      </c>
      <c r="H7340">
        <v>9188</v>
      </c>
      <c r="I7340" s="25" t="s">
        <v>2050</v>
      </c>
      <c r="J7340" t="s">
        <v>2481</v>
      </c>
      <c r="M7340" s="49"/>
    </row>
    <row r="7341" spans="6:13" x14ac:dyDescent="0.25">
      <c r="F7341" t="s">
        <v>7506</v>
      </c>
      <c r="G7341">
        <v>87637</v>
      </c>
      <c r="H7341">
        <v>9777</v>
      </c>
      <c r="I7341" s="25" t="s">
        <v>2050</v>
      </c>
      <c r="J7341" t="s">
        <v>2237</v>
      </c>
      <c r="M7341" s="49"/>
    </row>
    <row r="7342" spans="6:13" x14ac:dyDescent="0.25">
      <c r="F7342" t="s">
        <v>7507</v>
      </c>
      <c r="G7342">
        <v>6317</v>
      </c>
      <c r="H7342">
        <v>15087</v>
      </c>
      <c r="I7342" s="25" t="s">
        <v>2241</v>
      </c>
      <c r="J7342" t="s">
        <v>2324</v>
      </c>
      <c r="M7342" s="49"/>
    </row>
    <row r="7343" spans="6:13" x14ac:dyDescent="0.25">
      <c r="F7343" t="s">
        <v>7508</v>
      </c>
      <c r="G7343">
        <v>39615</v>
      </c>
      <c r="H7343">
        <v>15090</v>
      </c>
      <c r="I7343" s="25" t="s">
        <v>2241</v>
      </c>
      <c r="J7343" t="s">
        <v>2382</v>
      </c>
      <c r="M7343" s="49"/>
    </row>
    <row r="7344" spans="6:13" x14ac:dyDescent="0.25">
      <c r="F7344" t="s">
        <v>7509</v>
      </c>
      <c r="G7344">
        <v>64342</v>
      </c>
      <c r="H7344">
        <v>6432</v>
      </c>
      <c r="I7344" s="25" t="s">
        <v>2046</v>
      </c>
      <c r="J7344" t="s">
        <v>2338</v>
      </c>
      <c r="M7344" s="49"/>
    </row>
    <row r="7345" spans="6:13" x14ac:dyDescent="0.25">
      <c r="F7345" t="s">
        <v>7510</v>
      </c>
      <c r="G7345">
        <v>6467</v>
      </c>
      <c r="H7345">
        <v>15089</v>
      </c>
      <c r="I7345" s="25" t="s">
        <v>2241</v>
      </c>
      <c r="J7345" t="s">
        <v>2351</v>
      </c>
      <c r="M7345" s="49"/>
    </row>
    <row r="7346" spans="6:13" x14ac:dyDescent="0.25">
      <c r="F7346" t="s">
        <v>7510</v>
      </c>
      <c r="G7346">
        <v>6469</v>
      </c>
      <c r="H7346">
        <v>15089</v>
      </c>
      <c r="I7346" s="25" t="s">
        <v>2241</v>
      </c>
      <c r="J7346" t="s">
        <v>2351</v>
      </c>
      <c r="M7346" s="49"/>
    </row>
    <row r="7347" spans="6:13" x14ac:dyDescent="0.25">
      <c r="F7347" t="s">
        <v>7510</v>
      </c>
      <c r="G7347">
        <v>6464</v>
      </c>
      <c r="H7347">
        <v>15089</v>
      </c>
      <c r="I7347" s="25" t="s">
        <v>2241</v>
      </c>
      <c r="J7347" t="s">
        <v>2351</v>
      </c>
      <c r="M7347" s="49"/>
    </row>
    <row r="7348" spans="6:13" x14ac:dyDescent="0.25">
      <c r="F7348" t="s">
        <v>7510</v>
      </c>
      <c r="G7348">
        <v>6466</v>
      </c>
      <c r="H7348">
        <v>15089</v>
      </c>
      <c r="I7348" s="25" t="s">
        <v>2241</v>
      </c>
      <c r="J7348" t="s">
        <v>2351</v>
      </c>
      <c r="M7348" s="49"/>
    </row>
    <row r="7349" spans="6:13" x14ac:dyDescent="0.25">
      <c r="F7349" t="s">
        <v>7511</v>
      </c>
      <c r="G7349">
        <v>77960</v>
      </c>
      <c r="H7349">
        <v>8317</v>
      </c>
      <c r="I7349" s="25" t="s">
        <v>2018</v>
      </c>
      <c r="J7349" t="s">
        <v>2071</v>
      </c>
      <c r="M7349" s="49"/>
    </row>
    <row r="7350" spans="6:13" x14ac:dyDescent="0.25">
      <c r="F7350" t="s">
        <v>7512</v>
      </c>
      <c r="G7350">
        <v>15306</v>
      </c>
      <c r="H7350">
        <v>12064</v>
      </c>
      <c r="I7350" s="25" t="s">
        <v>2356</v>
      </c>
      <c r="J7350" t="s">
        <v>2243</v>
      </c>
      <c r="M7350" s="49"/>
    </row>
    <row r="7351" spans="6:13" x14ac:dyDescent="0.25">
      <c r="F7351" t="s">
        <v>7513</v>
      </c>
      <c r="G7351">
        <v>30926</v>
      </c>
      <c r="H7351">
        <v>3241</v>
      </c>
      <c r="I7351" s="25" t="s">
        <v>2074</v>
      </c>
      <c r="J7351" t="s">
        <v>2321</v>
      </c>
      <c r="M7351" s="49"/>
    </row>
    <row r="7352" spans="6:13" x14ac:dyDescent="0.25">
      <c r="F7352" t="s">
        <v>7514</v>
      </c>
      <c r="G7352">
        <v>83358</v>
      </c>
      <c r="H7352">
        <v>9189</v>
      </c>
      <c r="I7352" s="25" t="s">
        <v>2050</v>
      </c>
      <c r="J7352" t="s">
        <v>2407</v>
      </c>
      <c r="M7352" s="49"/>
    </row>
    <row r="7353" spans="6:13" x14ac:dyDescent="0.25">
      <c r="F7353" t="s">
        <v>7514</v>
      </c>
      <c r="G7353">
        <v>83376</v>
      </c>
      <c r="H7353">
        <v>9189</v>
      </c>
      <c r="I7353" s="25" t="s">
        <v>2050</v>
      </c>
      <c r="J7353" t="s">
        <v>2407</v>
      </c>
      <c r="M7353" s="49"/>
    </row>
    <row r="7354" spans="6:13" x14ac:dyDescent="0.25">
      <c r="F7354" t="s">
        <v>7514</v>
      </c>
      <c r="G7354">
        <v>83370</v>
      </c>
      <c r="H7354">
        <v>9189</v>
      </c>
      <c r="I7354" s="25" t="s">
        <v>2050</v>
      </c>
      <c r="J7354" t="s">
        <v>2407</v>
      </c>
      <c r="M7354" s="49"/>
    </row>
    <row r="7355" spans="6:13" x14ac:dyDescent="0.25">
      <c r="F7355" t="s">
        <v>7515</v>
      </c>
      <c r="G7355">
        <v>55629</v>
      </c>
      <c r="H7355">
        <v>7133</v>
      </c>
      <c r="I7355" s="25" t="s">
        <v>2123</v>
      </c>
      <c r="J7355" t="s">
        <v>2037</v>
      </c>
      <c r="M7355" s="49"/>
    </row>
    <row r="7356" spans="6:13" x14ac:dyDescent="0.25">
      <c r="F7356" t="s">
        <v>7516</v>
      </c>
      <c r="G7356">
        <v>38723</v>
      </c>
      <c r="H7356">
        <v>3153</v>
      </c>
      <c r="I7356" s="25" t="s">
        <v>2074</v>
      </c>
      <c r="J7356" t="s">
        <v>2152</v>
      </c>
      <c r="M7356" s="49"/>
    </row>
    <row r="7357" spans="6:13" x14ac:dyDescent="0.25">
      <c r="F7357" t="s">
        <v>7517</v>
      </c>
      <c r="G7357">
        <v>82402</v>
      </c>
      <c r="H7357">
        <v>9190</v>
      </c>
      <c r="I7357" s="25" t="s">
        <v>2050</v>
      </c>
      <c r="J7357" t="s">
        <v>2417</v>
      </c>
      <c r="M7357" s="49"/>
    </row>
    <row r="7358" spans="6:13" x14ac:dyDescent="0.25">
      <c r="F7358" t="s">
        <v>7518</v>
      </c>
      <c r="G7358">
        <v>25370</v>
      </c>
      <c r="H7358">
        <v>1056</v>
      </c>
      <c r="I7358" s="25" t="s">
        <v>2085</v>
      </c>
      <c r="J7358" t="s">
        <v>2311</v>
      </c>
      <c r="M7358" s="49"/>
    </row>
    <row r="7359" spans="6:13" x14ac:dyDescent="0.25">
      <c r="F7359" t="s">
        <v>7519</v>
      </c>
      <c r="G7359">
        <v>25371</v>
      </c>
      <c r="H7359">
        <v>1056</v>
      </c>
      <c r="I7359" s="25" t="s">
        <v>2085</v>
      </c>
      <c r="J7359" t="s">
        <v>2311</v>
      </c>
      <c r="M7359" s="49"/>
    </row>
    <row r="7360" spans="6:13" x14ac:dyDescent="0.25">
      <c r="F7360" t="s">
        <v>7520</v>
      </c>
      <c r="G7360">
        <v>21218</v>
      </c>
      <c r="H7360">
        <v>3353</v>
      </c>
      <c r="I7360" s="25" t="s">
        <v>2074</v>
      </c>
      <c r="J7360" t="s">
        <v>2176</v>
      </c>
      <c r="M7360" s="49"/>
    </row>
    <row r="7361" spans="6:13" x14ac:dyDescent="0.25">
      <c r="F7361" t="s">
        <v>7520</v>
      </c>
      <c r="G7361">
        <v>21220</v>
      </c>
      <c r="H7361">
        <v>3353</v>
      </c>
      <c r="I7361" s="25" t="s">
        <v>2074</v>
      </c>
      <c r="J7361" t="s">
        <v>2176</v>
      </c>
      <c r="M7361" s="49"/>
    </row>
    <row r="7362" spans="6:13" x14ac:dyDescent="0.25">
      <c r="F7362" t="s">
        <v>7520</v>
      </c>
      <c r="G7362">
        <v>21217</v>
      </c>
      <c r="H7362">
        <v>3353</v>
      </c>
      <c r="I7362" s="25" t="s">
        <v>2074</v>
      </c>
      <c r="J7362" t="s">
        <v>2176</v>
      </c>
      <c r="M7362" s="49"/>
    </row>
    <row r="7363" spans="6:13" x14ac:dyDescent="0.25">
      <c r="F7363" t="s">
        <v>7521</v>
      </c>
      <c r="G7363">
        <v>72297</v>
      </c>
      <c r="H7363">
        <v>8237</v>
      </c>
      <c r="I7363" s="25" t="s">
        <v>2018</v>
      </c>
      <c r="J7363" t="s">
        <v>2336</v>
      </c>
      <c r="M7363" s="49"/>
    </row>
    <row r="7364" spans="6:13" x14ac:dyDescent="0.25">
      <c r="F7364" t="s">
        <v>7522</v>
      </c>
      <c r="G7364">
        <v>24814</v>
      </c>
      <c r="H7364">
        <v>1058</v>
      </c>
      <c r="I7364" s="25" t="s">
        <v>2085</v>
      </c>
      <c r="J7364" t="s">
        <v>2086</v>
      </c>
      <c r="M7364" s="49"/>
    </row>
    <row r="7365" spans="6:13" x14ac:dyDescent="0.25">
      <c r="F7365" t="s">
        <v>7523</v>
      </c>
      <c r="G7365">
        <v>38279</v>
      </c>
      <c r="H7365">
        <v>3158</v>
      </c>
      <c r="I7365" s="25" t="s">
        <v>2074</v>
      </c>
      <c r="J7365" t="s">
        <v>2434</v>
      </c>
      <c r="M7365" s="49"/>
    </row>
    <row r="7366" spans="6:13" x14ac:dyDescent="0.25">
      <c r="F7366" t="s">
        <v>7524</v>
      </c>
      <c r="G7366">
        <v>9465</v>
      </c>
      <c r="H7366">
        <v>14521</v>
      </c>
      <c r="I7366" s="25" t="s">
        <v>2135</v>
      </c>
      <c r="J7366" t="s">
        <v>2032</v>
      </c>
      <c r="M7366" s="49"/>
    </row>
    <row r="7367" spans="6:13" x14ac:dyDescent="0.25">
      <c r="F7367" t="s">
        <v>7525</v>
      </c>
      <c r="G7367">
        <v>31319</v>
      </c>
      <c r="H7367">
        <v>3241</v>
      </c>
      <c r="I7367" s="25" t="s">
        <v>2074</v>
      </c>
      <c r="J7367" t="s">
        <v>2321</v>
      </c>
      <c r="M7367" s="49"/>
    </row>
    <row r="7368" spans="6:13" x14ac:dyDescent="0.25">
      <c r="F7368" t="s">
        <v>7526</v>
      </c>
      <c r="G7368">
        <v>55444</v>
      </c>
      <c r="H7368">
        <v>7133</v>
      </c>
      <c r="I7368" s="25" t="s">
        <v>2123</v>
      </c>
      <c r="J7368" t="s">
        <v>2037</v>
      </c>
      <c r="M7368" s="49"/>
    </row>
    <row r="7369" spans="6:13" x14ac:dyDescent="0.25">
      <c r="F7369" t="s">
        <v>7527</v>
      </c>
      <c r="G7369">
        <v>9548</v>
      </c>
      <c r="H7369">
        <v>14521</v>
      </c>
      <c r="I7369" s="25" t="s">
        <v>2135</v>
      </c>
      <c r="J7369" t="s">
        <v>2032</v>
      </c>
      <c r="M7369" s="49"/>
    </row>
    <row r="7370" spans="6:13" x14ac:dyDescent="0.25">
      <c r="F7370" t="s">
        <v>7528</v>
      </c>
      <c r="G7370">
        <v>2782</v>
      </c>
      <c r="H7370">
        <v>14626</v>
      </c>
      <c r="I7370" s="25" t="s">
        <v>2135</v>
      </c>
      <c r="J7370" t="s">
        <v>2150</v>
      </c>
      <c r="M7370" s="49"/>
    </row>
    <row r="7371" spans="6:13" x14ac:dyDescent="0.25">
      <c r="F7371" t="s">
        <v>7529</v>
      </c>
      <c r="G7371">
        <v>78606</v>
      </c>
      <c r="H7371">
        <v>8327</v>
      </c>
      <c r="I7371" s="25" t="s">
        <v>2018</v>
      </c>
      <c r="J7371" t="s">
        <v>2277</v>
      </c>
      <c r="M7371" s="49"/>
    </row>
    <row r="7372" spans="6:13" x14ac:dyDescent="0.25">
      <c r="F7372" t="s">
        <v>7530</v>
      </c>
      <c r="G7372">
        <v>95100</v>
      </c>
      <c r="H7372">
        <v>9479</v>
      </c>
      <c r="I7372" s="25" t="s">
        <v>2050</v>
      </c>
      <c r="J7372" t="s">
        <v>2436</v>
      </c>
      <c r="M7372" s="49"/>
    </row>
    <row r="7373" spans="6:13" x14ac:dyDescent="0.25">
      <c r="F7373" t="s">
        <v>7531</v>
      </c>
      <c r="G7373">
        <v>95152</v>
      </c>
      <c r="H7373">
        <v>9475</v>
      </c>
      <c r="I7373" s="25" t="s">
        <v>2050</v>
      </c>
      <c r="J7373" t="s">
        <v>2201</v>
      </c>
      <c r="M7373" s="49"/>
    </row>
    <row r="7374" spans="6:13" x14ac:dyDescent="0.25">
      <c r="F7374" t="s">
        <v>7532</v>
      </c>
      <c r="G7374">
        <v>24238</v>
      </c>
      <c r="H7374">
        <v>1057</v>
      </c>
      <c r="I7374" s="25" t="s">
        <v>2085</v>
      </c>
      <c r="J7374" t="s">
        <v>2313</v>
      </c>
      <c r="M7374" s="49"/>
    </row>
    <row r="7375" spans="6:13" x14ac:dyDescent="0.25">
      <c r="F7375" t="s">
        <v>7533</v>
      </c>
      <c r="G7375">
        <v>63500</v>
      </c>
      <c r="H7375">
        <v>6438</v>
      </c>
      <c r="I7375" s="25" t="s">
        <v>2046</v>
      </c>
      <c r="J7375" t="s">
        <v>3567</v>
      </c>
      <c r="M7375" s="49"/>
    </row>
    <row r="7376" spans="6:13" x14ac:dyDescent="0.25">
      <c r="F7376" t="s">
        <v>7534</v>
      </c>
      <c r="G7376">
        <v>24884</v>
      </c>
      <c r="H7376">
        <v>1059</v>
      </c>
      <c r="I7376" s="25" t="s">
        <v>2085</v>
      </c>
      <c r="J7376" t="s">
        <v>2354</v>
      </c>
      <c r="M7376" s="49"/>
    </row>
    <row r="7377" spans="6:13" x14ac:dyDescent="0.25">
      <c r="F7377" t="s">
        <v>7535</v>
      </c>
      <c r="G7377">
        <v>18586</v>
      </c>
      <c r="H7377">
        <v>13073</v>
      </c>
      <c r="I7377" s="25" t="s">
        <v>2191</v>
      </c>
      <c r="J7377" t="s">
        <v>2192</v>
      </c>
      <c r="M7377" s="49"/>
    </row>
    <row r="7378" spans="6:13" x14ac:dyDescent="0.25">
      <c r="F7378" t="s">
        <v>7536</v>
      </c>
      <c r="G7378">
        <v>59379</v>
      </c>
      <c r="H7378">
        <v>5978</v>
      </c>
      <c r="I7378" s="25" t="s">
        <v>2023</v>
      </c>
      <c r="J7378" t="s">
        <v>2402</v>
      </c>
      <c r="M7378" s="49"/>
    </row>
    <row r="7379" spans="6:13" x14ac:dyDescent="0.25">
      <c r="F7379" t="s">
        <v>7537</v>
      </c>
      <c r="G7379">
        <v>27446</v>
      </c>
      <c r="H7379">
        <v>3357</v>
      </c>
      <c r="I7379" s="25" t="s">
        <v>2074</v>
      </c>
      <c r="J7379" t="s">
        <v>2339</v>
      </c>
      <c r="M7379" s="49"/>
    </row>
    <row r="7380" spans="6:13" x14ac:dyDescent="0.25">
      <c r="F7380" t="s">
        <v>7538</v>
      </c>
      <c r="G7380">
        <v>65618</v>
      </c>
      <c r="H7380">
        <v>6533</v>
      </c>
      <c r="I7380" s="25" t="s">
        <v>2046</v>
      </c>
      <c r="J7380" t="s">
        <v>2629</v>
      </c>
      <c r="M7380" s="49"/>
    </row>
    <row r="7381" spans="6:13" x14ac:dyDescent="0.25">
      <c r="F7381" t="s">
        <v>7539</v>
      </c>
      <c r="G7381">
        <v>56242</v>
      </c>
      <c r="H7381">
        <v>7143</v>
      </c>
      <c r="I7381" s="25" t="s">
        <v>2123</v>
      </c>
      <c r="J7381" t="s">
        <v>2331</v>
      </c>
      <c r="M7381" s="49"/>
    </row>
    <row r="7382" spans="6:13" x14ac:dyDescent="0.25">
      <c r="F7382" t="s">
        <v>7539</v>
      </c>
      <c r="G7382">
        <v>56242</v>
      </c>
      <c r="H7382">
        <v>7143</v>
      </c>
      <c r="I7382" s="25" t="s">
        <v>2123</v>
      </c>
      <c r="J7382" t="s">
        <v>2331</v>
      </c>
      <c r="M7382" s="49"/>
    </row>
    <row r="7383" spans="6:13" x14ac:dyDescent="0.25">
      <c r="F7383" t="s">
        <v>7540</v>
      </c>
      <c r="G7383">
        <v>67681</v>
      </c>
      <c r="H7383">
        <v>7333</v>
      </c>
      <c r="I7383" s="25" t="s">
        <v>2123</v>
      </c>
      <c r="J7383" t="s">
        <v>2103</v>
      </c>
      <c r="M7383" s="49"/>
    </row>
    <row r="7384" spans="6:13" x14ac:dyDescent="0.25">
      <c r="F7384" t="s">
        <v>7540</v>
      </c>
      <c r="G7384">
        <v>67681</v>
      </c>
      <c r="H7384">
        <v>7335</v>
      </c>
      <c r="I7384" s="25" t="s">
        <v>2123</v>
      </c>
      <c r="J7384" t="s">
        <v>2843</v>
      </c>
      <c r="M7384" s="49"/>
    </row>
    <row r="7385" spans="6:13" x14ac:dyDescent="0.25">
      <c r="F7385" t="s">
        <v>7541</v>
      </c>
      <c r="G7385">
        <v>38327</v>
      </c>
      <c r="H7385">
        <v>3158</v>
      </c>
      <c r="I7385" s="25" t="s">
        <v>2074</v>
      </c>
      <c r="J7385" t="s">
        <v>2434</v>
      </c>
      <c r="M7385" s="49"/>
    </row>
    <row r="7386" spans="6:13" x14ac:dyDescent="0.25">
      <c r="F7386" t="s">
        <v>7542</v>
      </c>
      <c r="G7386">
        <v>48308</v>
      </c>
      <c r="H7386">
        <v>5558</v>
      </c>
      <c r="I7386" s="25" t="s">
        <v>2023</v>
      </c>
      <c r="J7386" t="s">
        <v>2076</v>
      </c>
      <c r="M7386" s="49"/>
    </row>
    <row r="7387" spans="6:13" x14ac:dyDescent="0.25">
      <c r="F7387" t="s">
        <v>7542</v>
      </c>
      <c r="G7387">
        <v>89250</v>
      </c>
      <c r="H7387">
        <v>9775</v>
      </c>
      <c r="I7387" s="25" t="s">
        <v>2050</v>
      </c>
      <c r="J7387" t="s">
        <v>2418</v>
      </c>
      <c r="M7387" s="49"/>
    </row>
    <row r="7388" spans="6:13" x14ac:dyDescent="0.25">
      <c r="F7388" t="s">
        <v>7543</v>
      </c>
      <c r="G7388">
        <v>48324</v>
      </c>
      <c r="H7388">
        <v>5570</v>
      </c>
      <c r="I7388" s="25" t="s">
        <v>2023</v>
      </c>
      <c r="J7388" t="s">
        <v>2154</v>
      </c>
      <c r="M7388" s="49"/>
    </row>
    <row r="7389" spans="6:13" x14ac:dyDescent="0.25">
      <c r="F7389" t="s">
        <v>7544</v>
      </c>
      <c r="G7389">
        <v>1996</v>
      </c>
      <c r="H7389">
        <v>12066</v>
      </c>
      <c r="I7389" s="25" t="s">
        <v>2356</v>
      </c>
      <c r="J7389" t="s">
        <v>2357</v>
      </c>
      <c r="M7389" s="49"/>
    </row>
    <row r="7390" spans="6:13" x14ac:dyDescent="0.25">
      <c r="F7390" t="s">
        <v>7544</v>
      </c>
      <c r="G7390">
        <v>1968</v>
      </c>
      <c r="H7390">
        <v>12066</v>
      </c>
      <c r="I7390" s="25" t="s">
        <v>2356</v>
      </c>
      <c r="J7390" t="s">
        <v>2357</v>
      </c>
      <c r="M7390" s="49"/>
    </row>
    <row r="7391" spans="6:13" x14ac:dyDescent="0.25">
      <c r="F7391" t="s">
        <v>7545</v>
      </c>
      <c r="G7391">
        <v>92369</v>
      </c>
      <c r="H7391">
        <v>9373</v>
      </c>
      <c r="I7391" s="25" t="s">
        <v>2050</v>
      </c>
      <c r="J7391" t="s">
        <v>2891</v>
      </c>
      <c r="M7391" s="49"/>
    </row>
    <row r="7392" spans="6:13" x14ac:dyDescent="0.25">
      <c r="F7392" t="s">
        <v>7546</v>
      </c>
      <c r="G7392">
        <v>56820</v>
      </c>
      <c r="H7392">
        <v>7135</v>
      </c>
      <c r="I7392" s="25" t="s">
        <v>2123</v>
      </c>
      <c r="J7392" t="s">
        <v>2072</v>
      </c>
      <c r="M7392" s="49"/>
    </row>
    <row r="7393" spans="6:13" x14ac:dyDescent="0.25">
      <c r="F7393" t="s">
        <v>7547</v>
      </c>
      <c r="G7393">
        <v>97526</v>
      </c>
      <c r="H7393">
        <v>9678</v>
      </c>
      <c r="I7393" s="25" t="s">
        <v>2050</v>
      </c>
      <c r="J7393" t="s">
        <v>2918</v>
      </c>
      <c r="M7393" s="49"/>
    </row>
    <row r="7394" spans="6:13" x14ac:dyDescent="0.25">
      <c r="F7394" t="s">
        <v>7548</v>
      </c>
      <c r="G7394">
        <v>54455</v>
      </c>
      <c r="H7394">
        <v>7235</v>
      </c>
      <c r="I7394" s="25" t="s">
        <v>2123</v>
      </c>
      <c r="J7394" t="s">
        <v>2395</v>
      </c>
      <c r="M7394" s="49"/>
    </row>
    <row r="7395" spans="6:13" x14ac:dyDescent="0.25">
      <c r="F7395" t="s">
        <v>7549</v>
      </c>
      <c r="G7395">
        <v>74372</v>
      </c>
      <c r="H7395">
        <v>8118</v>
      </c>
      <c r="I7395" s="25" t="s">
        <v>2018</v>
      </c>
      <c r="J7395" t="s">
        <v>2142</v>
      </c>
      <c r="M7395" s="49"/>
    </row>
    <row r="7396" spans="6:13" x14ac:dyDescent="0.25">
      <c r="F7396" t="s">
        <v>7550</v>
      </c>
      <c r="G7396">
        <v>96145</v>
      </c>
      <c r="H7396">
        <v>9473</v>
      </c>
      <c r="I7396" s="25" t="s">
        <v>2050</v>
      </c>
      <c r="J7396" t="s">
        <v>2177</v>
      </c>
      <c r="M7396" s="49"/>
    </row>
    <row r="7397" spans="6:13" x14ac:dyDescent="0.25">
      <c r="F7397" t="s">
        <v>7551</v>
      </c>
      <c r="G7397">
        <v>23845</v>
      </c>
      <c r="H7397">
        <v>1060</v>
      </c>
      <c r="I7397" s="25" t="s">
        <v>2085</v>
      </c>
      <c r="J7397" t="s">
        <v>2363</v>
      </c>
      <c r="M7397" s="49"/>
    </row>
    <row r="7398" spans="6:13" x14ac:dyDescent="0.25">
      <c r="F7398" t="s">
        <v>7551</v>
      </c>
      <c r="G7398">
        <v>23845</v>
      </c>
      <c r="H7398">
        <v>1060</v>
      </c>
      <c r="I7398" s="25" t="s">
        <v>2085</v>
      </c>
      <c r="J7398" t="s">
        <v>2363</v>
      </c>
      <c r="M7398" s="49"/>
    </row>
    <row r="7399" spans="6:13" x14ac:dyDescent="0.25">
      <c r="F7399" t="s">
        <v>7551</v>
      </c>
      <c r="G7399">
        <v>23845</v>
      </c>
      <c r="H7399">
        <v>1060</v>
      </c>
      <c r="I7399" s="25" t="s">
        <v>2085</v>
      </c>
      <c r="J7399" t="s">
        <v>2363</v>
      </c>
      <c r="M7399" s="49"/>
    </row>
    <row r="7400" spans="6:13" x14ac:dyDescent="0.25">
      <c r="F7400" t="s">
        <v>7551</v>
      </c>
      <c r="G7400">
        <v>23845</v>
      </c>
      <c r="H7400">
        <v>1062</v>
      </c>
      <c r="I7400" s="25" t="s">
        <v>2085</v>
      </c>
      <c r="J7400" t="s">
        <v>2188</v>
      </c>
      <c r="M7400" s="49"/>
    </row>
    <row r="7401" spans="6:13" x14ac:dyDescent="0.25">
      <c r="F7401" t="s">
        <v>7551</v>
      </c>
      <c r="G7401">
        <v>23845</v>
      </c>
      <c r="H7401">
        <v>1062</v>
      </c>
      <c r="I7401" s="25" t="s">
        <v>2085</v>
      </c>
      <c r="J7401" t="s">
        <v>2188</v>
      </c>
      <c r="M7401" s="49"/>
    </row>
    <row r="7402" spans="6:13" x14ac:dyDescent="0.25">
      <c r="F7402" t="s">
        <v>7551</v>
      </c>
      <c r="G7402">
        <v>23845</v>
      </c>
      <c r="H7402">
        <v>1062</v>
      </c>
      <c r="I7402" s="25" t="s">
        <v>2085</v>
      </c>
      <c r="J7402" t="s">
        <v>2188</v>
      </c>
      <c r="M7402" s="49"/>
    </row>
    <row r="7403" spans="6:13" x14ac:dyDescent="0.25">
      <c r="F7403" t="s">
        <v>7552</v>
      </c>
      <c r="G7403">
        <v>92358</v>
      </c>
      <c r="H7403">
        <v>9373</v>
      </c>
      <c r="I7403" s="25" t="s">
        <v>2050</v>
      </c>
      <c r="J7403" t="s">
        <v>2891</v>
      </c>
      <c r="M7403" s="49"/>
    </row>
    <row r="7404" spans="6:13" x14ac:dyDescent="0.25">
      <c r="F7404" t="s">
        <v>7553</v>
      </c>
      <c r="G7404">
        <v>37136</v>
      </c>
      <c r="H7404">
        <v>3159</v>
      </c>
      <c r="I7404" s="25" t="s">
        <v>2074</v>
      </c>
      <c r="J7404" t="s">
        <v>2093</v>
      </c>
      <c r="M7404" s="49"/>
    </row>
    <row r="7405" spans="6:13" x14ac:dyDescent="0.25">
      <c r="F7405" t="s">
        <v>7554</v>
      </c>
      <c r="G7405">
        <v>79350</v>
      </c>
      <c r="H7405">
        <v>8316</v>
      </c>
      <c r="I7405" s="25" t="s">
        <v>2018</v>
      </c>
      <c r="J7405" t="s">
        <v>2764</v>
      </c>
      <c r="M7405" s="49"/>
    </row>
    <row r="7406" spans="6:13" x14ac:dyDescent="0.25">
      <c r="F7406" t="s">
        <v>7555</v>
      </c>
      <c r="G7406">
        <v>31079</v>
      </c>
      <c r="H7406">
        <v>3254</v>
      </c>
      <c r="I7406" s="25" t="s">
        <v>2074</v>
      </c>
      <c r="J7406" t="s">
        <v>2196</v>
      </c>
      <c r="M7406" s="49"/>
    </row>
    <row r="7407" spans="6:13" x14ac:dyDescent="0.25">
      <c r="F7407" t="s">
        <v>7555</v>
      </c>
      <c r="G7407">
        <v>31079</v>
      </c>
      <c r="H7407">
        <v>3254</v>
      </c>
      <c r="I7407" s="25" t="s">
        <v>2074</v>
      </c>
      <c r="J7407" t="s">
        <v>2196</v>
      </c>
      <c r="M7407" s="49"/>
    </row>
    <row r="7408" spans="6:13" x14ac:dyDescent="0.25">
      <c r="F7408" t="s">
        <v>7556</v>
      </c>
      <c r="G7408">
        <v>38173</v>
      </c>
      <c r="H7408">
        <v>3158</v>
      </c>
      <c r="I7408" s="25" t="s">
        <v>2074</v>
      </c>
      <c r="J7408" t="s">
        <v>2434</v>
      </c>
      <c r="M7408" s="49"/>
    </row>
    <row r="7409" spans="6:13" x14ac:dyDescent="0.25">
      <c r="F7409" t="s">
        <v>7557</v>
      </c>
      <c r="G7409">
        <v>27254</v>
      </c>
      <c r="H7409">
        <v>3251</v>
      </c>
      <c r="I7409" s="25" t="s">
        <v>2074</v>
      </c>
      <c r="J7409" t="s">
        <v>2094</v>
      </c>
      <c r="M7409" s="49"/>
    </row>
    <row r="7410" spans="6:13" x14ac:dyDescent="0.25">
      <c r="F7410" t="s">
        <v>7558</v>
      </c>
      <c r="G7410">
        <v>35768</v>
      </c>
      <c r="H7410">
        <v>6532</v>
      </c>
      <c r="I7410" s="25" t="s">
        <v>2046</v>
      </c>
      <c r="J7410" t="s">
        <v>2555</v>
      </c>
      <c r="M7410" s="49"/>
    </row>
    <row r="7411" spans="6:13" x14ac:dyDescent="0.25">
      <c r="F7411" t="s">
        <v>7559</v>
      </c>
      <c r="G7411">
        <v>53721</v>
      </c>
      <c r="H7411">
        <v>5382</v>
      </c>
      <c r="I7411" s="25" t="s">
        <v>2023</v>
      </c>
      <c r="J7411" t="s">
        <v>2298</v>
      </c>
      <c r="M7411" s="49"/>
    </row>
    <row r="7412" spans="6:13" x14ac:dyDescent="0.25">
      <c r="F7412" t="s">
        <v>7560</v>
      </c>
      <c r="G7412">
        <v>74936</v>
      </c>
      <c r="H7412">
        <v>8125</v>
      </c>
      <c r="I7412" s="25" t="s">
        <v>2018</v>
      </c>
      <c r="J7412" t="s">
        <v>2060</v>
      </c>
      <c r="M7412" s="49"/>
    </row>
    <row r="7413" spans="6:13" x14ac:dyDescent="0.25">
      <c r="F7413" t="s">
        <v>7561</v>
      </c>
      <c r="G7413">
        <v>57074</v>
      </c>
      <c r="H7413">
        <v>5970</v>
      </c>
      <c r="I7413" s="25" t="s">
        <v>2023</v>
      </c>
      <c r="J7413" t="s">
        <v>2366</v>
      </c>
      <c r="M7413" s="49"/>
    </row>
    <row r="7414" spans="6:13" x14ac:dyDescent="0.25">
      <c r="F7414" t="s">
        <v>7561</v>
      </c>
      <c r="G7414">
        <v>57078</v>
      </c>
      <c r="H7414">
        <v>5970</v>
      </c>
      <c r="I7414" s="25" t="s">
        <v>2023</v>
      </c>
      <c r="J7414" t="s">
        <v>2366</v>
      </c>
      <c r="M7414" s="49"/>
    </row>
    <row r="7415" spans="6:13" x14ac:dyDescent="0.25">
      <c r="F7415" t="s">
        <v>7561</v>
      </c>
      <c r="G7415">
        <v>57076</v>
      </c>
      <c r="H7415">
        <v>5970</v>
      </c>
      <c r="I7415" s="25" t="s">
        <v>2023</v>
      </c>
      <c r="J7415" t="s">
        <v>2366</v>
      </c>
      <c r="M7415" s="49"/>
    </row>
    <row r="7416" spans="6:13" x14ac:dyDescent="0.25">
      <c r="F7416" t="s">
        <v>7561</v>
      </c>
      <c r="G7416">
        <v>57072</v>
      </c>
      <c r="H7416">
        <v>5970</v>
      </c>
      <c r="I7416" s="25" t="s">
        <v>2023</v>
      </c>
      <c r="J7416" t="s">
        <v>2366</v>
      </c>
      <c r="M7416" s="49"/>
    </row>
    <row r="7417" spans="6:13" x14ac:dyDescent="0.25">
      <c r="F7417" t="s">
        <v>7561</v>
      </c>
      <c r="G7417">
        <v>57080</v>
      </c>
      <c r="H7417">
        <v>5970</v>
      </c>
      <c r="I7417" s="25" t="s">
        <v>2023</v>
      </c>
      <c r="J7417" t="s">
        <v>2366</v>
      </c>
      <c r="M7417" s="49"/>
    </row>
    <row r="7418" spans="6:13" x14ac:dyDescent="0.25">
      <c r="F7418" t="s">
        <v>7562</v>
      </c>
      <c r="G7418">
        <v>93354</v>
      </c>
      <c r="H7418">
        <v>9273</v>
      </c>
      <c r="I7418" s="25" t="s">
        <v>2050</v>
      </c>
      <c r="J7418" t="s">
        <v>2054</v>
      </c>
      <c r="M7418" s="49"/>
    </row>
    <row r="7419" spans="6:13" x14ac:dyDescent="0.25">
      <c r="F7419" t="s">
        <v>7563</v>
      </c>
      <c r="G7419">
        <v>83313</v>
      </c>
      <c r="H7419">
        <v>9189</v>
      </c>
      <c r="I7419" s="25" t="s">
        <v>2050</v>
      </c>
      <c r="J7419" t="s">
        <v>2407</v>
      </c>
      <c r="M7419" s="49"/>
    </row>
    <row r="7420" spans="6:13" x14ac:dyDescent="0.25">
      <c r="F7420" t="s">
        <v>7564</v>
      </c>
      <c r="G7420">
        <v>22962</v>
      </c>
      <c r="H7420">
        <v>1062</v>
      </c>
      <c r="I7420" s="25" t="s">
        <v>2085</v>
      </c>
      <c r="J7420" t="s">
        <v>2188</v>
      </c>
      <c r="M7420" s="49"/>
    </row>
    <row r="7421" spans="6:13" x14ac:dyDescent="0.25">
      <c r="F7421" t="s">
        <v>7565</v>
      </c>
      <c r="G7421">
        <v>86577</v>
      </c>
      <c r="H7421">
        <v>9771</v>
      </c>
      <c r="I7421" s="25" t="s">
        <v>2050</v>
      </c>
      <c r="J7421" t="s">
        <v>2120</v>
      </c>
      <c r="M7421" s="49"/>
    </row>
    <row r="7422" spans="6:13" x14ac:dyDescent="0.25">
      <c r="F7422" t="s">
        <v>7566</v>
      </c>
      <c r="G7422">
        <v>56427</v>
      </c>
      <c r="H7422">
        <v>7143</v>
      </c>
      <c r="I7422" s="25" t="s">
        <v>2123</v>
      </c>
      <c r="J7422" t="s">
        <v>2331</v>
      </c>
      <c r="M7422" s="49"/>
    </row>
    <row r="7423" spans="6:13" x14ac:dyDescent="0.25">
      <c r="F7423" t="s">
        <v>7567</v>
      </c>
      <c r="G7423">
        <v>24641</v>
      </c>
      <c r="H7423">
        <v>1060</v>
      </c>
      <c r="I7423" s="25" t="s">
        <v>2085</v>
      </c>
      <c r="J7423" t="s">
        <v>2363</v>
      </c>
      <c r="M7423" s="49"/>
    </row>
    <row r="7424" spans="6:13" x14ac:dyDescent="0.25">
      <c r="F7424" t="s">
        <v>7568</v>
      </c>
      <c r="G7424">
        <v>24885</v>
      </c>
      <c r="H7424">
        <v>1059</v>
      </c>
      <c r="I7424" s="25" t="s">
        <v>2085</v>
      </c>
      <c r="J7424" t="s">
        <v>2354</v>
      </c>
      <c r="M7424" s="49"/>
    </row>
    <row r="7425" spans="6:13" x14ac:dyDescent="0.25">
      <c r="F7425" t="s">
        <v>2720</v>
      </c>
      <c r="G7425">
        <v>72488</v>
      </c>
      <c r="H7425">
        <v>8437</v>
      </c>
      <c r="I7425" s="25" t="s">
        <v>2018</v>
      </c>
      <c r="J7425" t="s">
        <v>2720</v>
      </c>
      <c r="M7425" s="49"/>
    </row>
    <row r="7426" spans="6:13" x14ac:dyDescent="0.25">
      <c r="F7426" t="s">
        <v>7569</v>
      </c>
      <c r="G7426">
        <v>72517</v>
      </c>
      <c r="H7426">
        <v>8437</v>
      </c>
      <c r="I7426" s="25" t="s">
        <v>2018</v>
      </c>
      <c r="J7426" t="s">
        <v>2720</v>
      </c>
      <c r="M7426" s="49"/>
    </row>
    <row r="7427" spans="6:13" x14ac:dyDescent="0.25">
      <c r="F7427" t="s">
        <v>7570</v>
      </c>
      <c r="G7427">
        <v>88138</v>
      </c>
      <c r="H7427">
        <v>9776</v>
      </c>
      <c r="I7427" s="25" t="s">
        <v>2050</v>
      </c>
      <c r="J7427" t="s">
        <v>4735</v>
      </c>
      <c r="M7427" s="49"/>
    </row>
    <row r="7428" spans="6:13" x14ac:dyDescent="0.25">
      <c r="F7428" t="s">
        <v>7571</v>
      </c>
      <c r="G7428">
        <v>24887</v>
      </c>
      <c r="H7428">
        <v>1059</v>
      </c>
      <c r="I7428" s="25" t="s">
        <v>2085</v>
      </c>
      <c r="J7428" t="s">
        <v>2354</v>
      </c>
      <c r="M7428" s="49"/>
    </row>
    <row r="7429" spans="6:13" x14ac:dyDescent="0.25">
      <c r="F7429" t="s">
        <v>7572</v>
      </c>
      <c r="G7429">
        <v>94436</v>
      </c>
      <c r="H7429">
        <v>9279</v>
      </c>
      <c r="I7429" s="25" t="s">
        <v>2050</v>
      </c>
      <c r="J7429" t="s">
        <v>3574</v>
      </c>
      <c r="M7429" s="49"/>
    </row>
    <row r="7430" spans="6:13" x14ac:dyDescent="0.25">
      <c r="F7430" t="s">
        <v>7573</v>
      </c>
      <c r="G7430">
        <v>84359</v>
      </c>
      <c r="H7430">
        <v>9277</v>
      </c>
      <c r="I7430" s="25" t="s">
        <v>2050</v>
      </c>
      <c r="J7430" t="s">
        <v>2529</v>
      </c>
      <c r="M7430" s="49"/>
    </row>
    <row r="7431" spans="6:13" x14ac:dyDescent="0.25">
      <c r="F7431" t="s">
        <v>7574</v>
      </c>
      <c r="G7431">
        <v>91245</v>
      </c>
      <c r="H7431">
        <v>9574</v>
      </c>
      <c r="I7431" s="25" t="s">
        <v>2050</v>
      </c>
      <c r="J7431" t="s">
        <v>2291</v>
      </c>
      <c r="M7431" s="49"/>
    </row>
    <row r="7432" spans="6:13" x14ac:dyDescent="0.25">
      <c r="F7432" t="s">
        <v>7575</v>
      </c>
      <c r="G7432">
        <v>52152</v>
      </c>
      <c r="H7432">
        <v>5334</v>
      </c>
      <c r="I7432" s="25" t="s">
        <v>2023</v>
      </c>
      <c r="J7432" t="s">
        <v>2341</v>
      </c>
      <c r="M7432" s="49"/>
    </row>
    <row r="7433" spans="6:13" x14ac:dyDescent="0.25">
      <c r="F7433" t="s">
        <v>7575</v>
      </c>
      <c r="G7433">
        <v>52152</v>
      </c>
      <c r="H7433">
        <v>5334</v>
      </c>
      <c r="I7433" s="25" t="s">
        <v>2023</v>
      </c>
      <c r="J7433" t="s">
        <v>2341</v>
      </c>
      <c r="M7433" s="49"/>
    </row>
    <row r="7434" spans="6:13" x14ac:dyDescent="0.25">
      <c r="F7434" t="s">
        <v>7576</v>
      </c>
      <c r="G7434">
        <v>55469</v>
      </c>
      <c r="H7434">
        <v>7140</v>
      </c>
      <c r="I7434" s="25" t="s">
        <v>2123</v>
      </c>
      <c r="J7434" t="s">
        <v>2329</v>
      </c>
      <c r="M7434" s="49"/>
    </row>
    <row r="7435" spans="6:13" x14ac:dyDescent="0.25">
      <c r="F7435" t="s">
        <v>7577</v>
      </c>
      <c r="G7435">
        <v>72226</v>
      </c>
      <c r="H7435">
        <v>8235</v>
      </c>
      <c r="I7435" s="25" t="s">
        <v>2018</v>
      </c>
      <c r="J7435" t="s">
        <v>2422</v>
      </c>
      <c r="M7435" s="49"/>
    </row>
    <row r="7436" spans="6:13" x14ac:dyDescent="0.25">
      <c r="F7436" t="s">
        <v>7578</v>
      </c>
      <c r="G7436">
        <v>55618</v>
      </c>
      <c r="H7436">
        <v>7133</v>
      </c>
      <c r="I7436" s="25" t="s">
        <v>2123</v>
      </c>
      <c r="J7436" t="s">
        <v>2037</v>
      </c>
      <c r="M7436" s="49"/>
    </row>
    <row r="7437" spans="6:13" x14ac:dyDescent="0.25">
      <c r="F7437" t="s">
        <v>7579</v>
      </c>
      <c r="G7437">
        <v>75397</v>
      </c>
      <c r="H7437">
        <v>8235</v>
      </c>
      <c r="I7437" s="25" t="s">
        <v>2018</v>
      </c>
      <c r="J7437" t="s">
        <v>2422</v>
      </c>
      <c r="M7437" s="49"/>
    </row>
    <row r="7438" spans="6:13" x14ac:dyDescent="0.25">
      <c r="F7438" t="s">
        <v>7579</v>
      </c>
      <c r="G7438">
        <v>75397</v>
      </c>
      <c r="H7438">
        <v>8235</v>
      </c>
      <c r="I7438" s="25" t="s">
        <v>2018</v>
      </c>
      <c r="J7438" t="s">
        <v>2422</v>
      </c>
      <c r="M7438" s="49"/>
    </row>
    <row r="7439" spans="6:13" x14ac:dyDescent="0.25">
      <c r="F7439" t="s">
        <v>7580</v>
      </c>
      <c r="G7439">
        <v>79263</v>
      </c>
      <c r="H7439">
        <v>8316</v>
      </c>
      <c r="I7439" s="25" t="s">
        <v>2018</v>
      </c>
      <c r="J7439" t="s">
        <v>2764</v>
      </c>
      <c r="M7439" s="49"/>
    </row>
    <row r="7440" spans="6:13" x14ac:dyDescent="0.25">
      <c r="F7440" t="s">
        <v>7581</v>
      </c>
      <c r="G7440">
        <v>71069</v>
      </c>
      <c r="H7440">
        <v>8115</v>
      </c>
      <c r="I7440" s="25" t="s">
        <v>2018</v>
      </c>
      <c r="J7440" t="s">
        <v>2222</v>
      </c>
      <c r="M7440" s="49"/>
    </row>
    <row r="7441" spans="6:13" x14ac:dyDescent="0.25">
      <c r="F7441" t="s">
        <v>7581</v>
      </c>
      <c r="G7441">
        <v>71069</v>
      </c>
      <c r="H7441">
        <v>8115</v>
      </c>
      <c r="I7441" s="25" t="s">
        <v>2018</v>
      </c>
      <c r="J7441" t="s">
        <v>2222</v>
      </c>
      <c r="M7441" s="49"/>
    </row>
    <row r="7442" spans="6:13" x14ac:dyDescent="0.25">
      <c r="F7442" t="s">
        <v>7581</v>
      </c>
      <c r="G7442">
        <v>71063</v>
      </c>
      <c r="H7442">
        <v>8115</v>
      </c>
      <c r="I7442" s="25" t="s">
        <v>2018</v>
      </c>
      <c r="J7442" t="s">
        <v>2222</v>
      </c>
      <c r="M7442" s="49"/>
    </row>
    <row r="7443" spans="6:13" x14ac:dyDescent="0.25">
      <c r="F7443" t="s">
        <v>7581</v>
      </c>
      <c r="G7443">
        <v>71065</v>
      </c>
      <c r="H7443">
        <v>8115</v>
      </c>
      <c r="I7443" s="25" t="s">
        <v>2018</v>
      </c>
      <c r="J7443" t="s">
        <v>2222</v>
      </c>
      <c r="M7443" s="49"/>
    </row>
    <row r="7444" spans="6:13" x14ac:dyDescent="0.25">
      <c r="F7444" t="s">
        <v>7581</v>
      </c>
      <c r="G7444">
        <v>71063</v>
      </c>
      <c r="H7444">
        <v>8115</v>
      </c>
      <c r="I7444" s="25" t="s">
        <v>2018</v>
      </c>
      <c r="J7444" t="s">
        <v>2222</v>
      </c>
      <c r="M7444" s="49"/>
    </row>
    <row r="7445" spans="6:13" x14ac:dyDescent="0.25">
      <c r="F7445" t="s">
        <v>7581</v>
      </c>
      <c r="G7445">
        <v>71067</v>
      </c>
      <c r="H7445">
        <v>8115</v>
      </c>
      <c r="I7445" s="25" t="s">
        <v>2018</v>
      </c>
      <c r="J7445" t="s">
        <v>2222</v>
      </c>
      <c r="M7445" s="49"/>
    </row>
    <row r="7446" spans="6:13" x14ac:dyDescent="0.25">
      <c r="F7446" t="s">
        <v>7582</v>
      </c>
      <c r="G7446">
        <v>82404</v>
      </c>
      <c r="H7446">
        <v>9190</v>
      </c>
      <c r="I7446" s="25" t="s">
        <v>2050</v>
      </c>
      <c r="J7446" t="s">
        <v>2417</v>
      </c>
      <c r="M7446" s="49"/>
    </row>
    <row r="7447" spans="6:13" x14ac:dyDescent="0.25">
      <c r="F7447" t="s">
        <v>7583</v>
      </c>
      <c r="G7447">
        <v>78224</v>
      </c>
      <c r="H7447">
        <v>8335</v>
      </c>
      <c r="I7447" s="25" t="s">
        <v>2018</v>
      </c>
      <c r="J7447" t="s">
        <v>2019</v>
      </c>
      <c r="M7447" s="49"/>
    </row>
    <row r="7448" spans="6:13" x14ac:dyDescent="0.25">
      <c r="F7448" t="s">
        <v>7584</v>
      </c>
      <c r="G7448">
        <v>56379</v>
      </c>
      <c r="H7448">
        <v>7141</v>
      </c>
      <c r="I7448" s="25" t="s">
        <v>2123</v>
      </c>
      <c r="J7448" t="s">
        <v>2388</v>
      </c>
      <c r="M7448" s="49"/>
    </row>
    <row r="7449" spans="6:13" x14ac:dyDescent="0.25">
      <c r="F7449" t="s">
        <v>7584</v>
      </c>
      <c r="G7449">
        <v>56379</v>
      </c>
      <c r="H7449">
        <v>7141</v>
      </c>
      <c r="I7449" s="25" t="s">
        <v>2123</v>
      </c>
      <c r="J7449" t="s">
        <v>2388</v>
      </c>
      <c r="M7449" s="49"/>
    </row>
    <row r="7450" spans="6:13" x14ac:dyDescent="0.25">
      <c r="F7450" t="s">
        <v>7584</v>
      </c>
      <c r="G7450">
        <v>56379</v>
      </c>
      <c r="H7450">
        <v>7141</v>
      </c>
      <c r="I7450" s="25" t="s">
        <v>2123</v>
      </c>
      <c r="J7450" t="s">
        <v>2388</v>
      </c>
      <c r="M7450" s="49"/>
    </row>
    <row r="7451" spans="6:13" x14ac:dyDescent="0.25">
      <c r="F7451" t="s">
        <v>7584</v>
      </c>
      <c r="G7451">
        <v>56379</v>
      </c>
      <c r="H7451">
        <v>7141</v>
      </c>
      <c r="I7451" s="25" t="s">
        <v>2123</v>
      </c>
      <c r="J7451" t="s">
        <v>2388</v>
      </c>
      <c r="M7451" s="49"/>
    </row>
    <row r="7452" spans="6:13" x14ac:dyDescent="0.25">
      <c r="F7452" t="s">
        <v>7584</v>
      </c>
      <c r="G7452">
        <v>56379</v>
      </c>
      <c r="H7452">
        <v>7141</v>
      </c>
      <c r="I7452" s="25" t="s">
        <v>2123</v>
      </c>
      <c r="J7452" t="s">
        <v>2388</v>
      </c>
      <c r="M7452" s="49"/>
    </row>
    <row r="7453" spans="6:13" x14ac:dyDescent="0.25">
      <c r="F7453" t="s">
        <v>7585</v>
      </c>
      <c r="G7453">
        <v>35764</v>
      </c>
      <c r="H7453">
        <v>6532</v>
      </c>
      <c r="I7453" s="25" t="s">
        <v>2046</v>
      </c>
      <c r="J7453" t="s">
        <v>2555</v>
      </c>
      <c r="M7453" s="49"/>
    </row>
    <row r="7454" spans="6:13" x14ac:dyDescent="0.25">
      <c r="F7454" t="s">
        <v>7586</v>
      </c>
      <c r="G7454">
        <v>36391</v>
      </c>
      <c r="H7454">
        <v>6435</v>
      </c>
      <c r="I7454" s="25" t="s">
        <v>2046</v>
      </c>
      <c r="J7454" t="s">
        <v>2703</v>
      </c>
      <c r="M7454" s="49"/>
    </row>
    <row r="7455" spans="6:13" x14ac:dyDescent="0.25">
      <c r="F7455" t="s">
        <v>7587</v>
      </c>
      <c r="G7455">
        <v>74889</v>
      </c>
      <c r="H7455">
        <v>8226</v>
      </c>
      <c r="I7455" s="25" t="s">
        <v>2018</v>
      </c>
      <c r="J7455" t="s">
        <v>2442</v>
      </c>
      <c r="M7455" s="49"/>
    </row>
    <row r="7456" spans="6:13" x14ac:dyDescent="0.25">
      <c r="F7456" t="s">
        <v>7588</v>
      </c>
      <c r="G7456">
        <v>76547</v>
      </c>
      <c r="H7456">
        <v>8216</v>
      </c>
      <c r="I7456" s="25" t="s">
        <v>2018</v>
      </c>
      <c r="J7456" t="s">
        <v>2564</v>
      </c>
      <c r="M7456" s="49"/>
    </row>
    <row r="7457" spans="6:13" x14ac:dyDescent="0.25">
      <c r="F7457" t="s">
        <v>7589</v>
      </c>
      <c r="G7457">
        <v>53489</v>
      </c>
      <c r="H7457">
        <v>7131</v>
      </c>
      <c r="I7457" s="25" t="s">
        <v>2123</v>
      </c>
      <c r="J7457" t="s">
        <v>2022</v>
      </c>
      <c r="M7457" s="49"/>
    </row>
    <row r="7458" spans="6:13" x14ac:dyDescent="0.25">
      <c r="F7458" t="s">
        <v>7590</v>
      </c>
      <c r="G7458">
        <v>93161</v>
      </c>
      <c r="H7458">
        <v>9375</v>
      </c>
      <c r="I7458" s="25" t="s">
        <v>2050</v>
      </c>
      <c r="J7458" t="s">
        <v>2365</v>
      </c>
      <c r="M7458" s="49"/>
    </row>
    <row r="7459" spans="6:13" x14ac:dyDescent="0.25">
      <c r="F7459" t="s">
        <v>7591</v>
      </c>
      <c r="G7459">
        <v>67729</v>
      </c>
      <c r="H7459">
        <v>7333</v>
      </c>
      <c r="I7459" s="25" t="s">
        <v>2123</v>
      </c>
      <c r="J7459" t="s">
        <v>2103</v>
      </c>
      <c r="M7459" s="49"/>
    </row>
    <row r="7460" spans="6:13" x14ac:dyDescent="0.25">
      <c r="F7460" t="s">
        <v>7592</v>
      </c>
      <c r="G7460">
        <v>78354</v>
      </c>
      <c r="H7460">
        <v>8435</v>
      </c>
      <c r="I7460" s="25" t="s">
        <v>2018</v>
      </c>
      <c r="J7460" t="s">
        <v>3011</v>
      </c>
      <c r="M7460" s="49"/>
    </row>
    <row r="7461" spans="6:13" x14ac:dyDescent="0.25">
      <c r="F7461" t="s">
        <v>7593</v>
      </c>
      <c r="G7461">
        <v>27419</v>
      </c>
      <c r="H7461">
        <v>3357</v>
      </c>
      <c r="I7461" s="25" t="s">
        <v>2074</v>
      </c>
      <c r="J7461" t="s">
        <v>2339</v>
      </c>
      <c r="M7461" s="49"/>
    </row>
    <row r="7462" spans="6:13" x14ac:dyDescent="0.25">
      <c r="F7462" t="s">
        <v>7594</v>
      </c>
      <c r="G7462">
        <v>55566</v>
      </c>
      <c r="H7462">
        <v>7133</v>
      </c>
      <c r="I7462" s="25" t="s">
        <v>2123</v>
      </c>
      <c r="J7462" t="s">
        <v>2037</v>
      </c>
      <c r="M7462" s="49"/>
    </row>
    <row r="7463" spans="6:13" x14ac:dyDescent="0.25">
      <c r="F7463" t="s">
        <v>7594</v>
      </c>
      <c r="G7463">
        <v>55566</v>
      </c>
      <c r="H7463">
        <v>7133</v>
      </c>
      <c r="I7463" s="25" t="s">
        <v>2123</v>
      </c>
      <c r="J7463" t="s">
        <v>2037</v>
      </c>
      <c r="M7463" s="49"/>
    </row>
    <row r="7464" spans="6:13" x14ac:dyDescent="0.25">
      <c r="F7464" t="s">
        <v>7595</v>
      </c>
      <c r="G7464">
        <v>83139</v>
      </c>
      <c r="H7464">
        <v>9187</v>
      </c>
      <c r="I7464" s="25" t="s">
        <v>2050</v>
      </c>
      <c r="J7464" t="s">
        <v>2245</v>
      </c>
      <c r="M7464" s="49"/>
    </row>
    <row r="7465" spans="6:13" x14ac:dyDescent="0.25">
      <c r="F7465" t="s">
        <v>7596</v>
      </c>
      <c r="G7465">
        <v>21388</v>
      </c>
      <c r="H7465">
        <v>3355</v>
      </c>
      <c r="I7465" s="25" t="s">
        <v>2074</v>
      </c>
      <c r="J7465" t="s">
        <v>2129</v>
      </c>
      <c r="M7465" s="49"/>
    </row>
    <row r="7466" spans="6:13" x14ac:dyDescent="0.25">
      <c r="F7466" t="s">
        <v>2368</v>
      </c>
      <c r="G7466">
        <v>59494</v>
      </c>
      <c r="H7466">
        <v>5974</v>
      </c>
      <c r="I7466" s="25" t="s">
        <v>2023</v>
      </c>
      <c r="J7466" t="s">
        <v>2368</v>
      </c>
      <c r="M7466" s="49"/>
    </row>
    <row r="7467" spans="6:13" x14ac:dyDescent="0.25">
      <c r="F7467" t="s">
        <v>7597</v>
      </c>
      <c r="G7467">
        <v>49751</v>
      </c>
      <c r="H7467">
        <v>3454</v>
      </c>
      <c r="I7467" s="25" t="s">
        <v>2074</v>
      </c>
      <c r="J7467" t="s">
        <v>2118</v>
      </c>
      <c r="M7467" s="49"/>
    </row>
    <row r="7468" spans="6:13" x14ac:dyDescent="0.25">
      <c r="F7468" t="s">
        <v>7598</v>
      </c>
      <c r="G7468">
        <v>2689</v>
      </c>
      <c r="H7468">
        <v>14625</v>
      </c>
      <c r="I7468" s="25" t="s">
        <v>2135</v>
      </c>
      <c r="J7468" t="s">
        <v>2041</v>
      </c>
      <c r="M7468" s="49"/>
    </row>
    <row r="7469" spans="6:13" x14ac:dyDescent="0.25">
      <c r="F7469" t="s">
        <v>7599</v>
      </c>
      <c r="G7469">
        <v>31185</v>
      </c>
      <c r="H7469">
        <v>3254</v>
      </c>
      <c r="I7469" s="25" t="s">
        <v>2074</v>
      </c>
      <c r="J7469" t="s">
        <v>2196</v>
      </c>
      <c r="M7469" s="49"/>
    </row>
    <row r="7470" spans="6:13" x14ac:dyDescent="0.25">
      <c r="F7470" t="s">
        <v>7600</v>
      </c>
      <c r="G7470">
        <v>55487</v>
      </c>
      <c r="H7470">
        <v>7140</v>
      </c>
      <c r="I7470" s="25" t="s">
        <v>2123</v>
      </c>
      <c r="J7470" t="s">
        <v>2329</v>
      </c>
      <c r="M7470" s="49"/>
    </row>
    <row r="7471" spans="6:13" x14ac:dyDescent="0.25">
      <c r="F7471" t="s">
        <v>7601</v>
      </c>
      <c r="G7471">
        <v>34320</v>
      </c>
      <c r="H7471">
        <v>6633</v>
      </c>
      <c r="I7471" s="25" t="s">
        <v>2046</v>
      </c>
      <c r="J7471" t="s">
        <v>2162</v>
      </c>
      <c r="M7471" s="49"/>
    </row>
    <row r="7472" spans="6:13" x14ac:dyDescent="0.25">
      <c r="F7472" t="s">
        <v>7602</v>
      </c>
      <c r="G7472">
        <v>79294</v>
      </c>
      <c r="H7472">
        <v>8315</v>
      </c>
      <c r="I7472" s="25" t="s">
        <v>2018</v>
      </c>
      <c r="J7472" t="s">
        <v>2061</v>
      </c>
      <c r="M7472" s="49"/>
    </row>
    <row r="7473" spans="6:13" x14ac:dyDescent="0.25">
      <c r="F7473" t="s">
        <v>7603</v>
      </c>
      <c r="G7473">
        <v>42655</v>
      </c>
      <c r="H7473">
        <v>5122</v>
      </c>
      <c r="I7473" s="25" t="s">
        <v>2023</v>
      </c>
      <c r="J7473" t="s">
        <v>7604</v>
      </c>
      <c r="M7473" s="49"/>
    </row>
    <row r="7474" spans="6:13" x14ac:dyDescent="0.25">
      <c r="F7474" t="s">
        <v>7603</v>
      </c>
      <c r="G7474">
        <v>42659</v>
      </c>
      <c r="H7474">
        <v>5122</v>
      </c>
      <c r="I7474" s="25" t="s">
        <v>2023</v>
      </c>
      <c r="J7474" t="s">
        <v>7604</v>
      </c>
      <c r="M7474" s="49"/>
    </row>
    <row r="7475" spans="6:13" x14ac:dyDescent="0.25">
      <c r="F7475" t="s">
        <v>7603</v>
      </c>
      <c r="G7475">
        <v>42651</v>
      </c>
      <c r="H7475">
        <v>5122</v>
      </c>
      <c r="I7475" s="25" t="s">
        <v>2023</v>
      </c>
      <c r="J7475" t="s">
        <v>7604</v>
      </c>
      <c r="M7475" s="49"/>
    </row>
    <row r="7476" spans="6:13" x14ac:dyDescent="0.25">
      <c r="F7476" t="s">
        <v>7603</v>
      </c>
      <c r="G7476">
        <v>42719</v>
      </c>
      <c r="H7476">
        <v>5122</v>
      </c>
      <c r="I7476" s="25" t="s">
        <v>2023</v>
      </c>
      <c r="J7476" t="s">
        <v>7604</v>
      </c>
      <c r="M7476" s="49"/>
    </row>
    <row r="7477" spans="6:13" x14ac:dyDescent="0.25">
      <c r="F7477" t="s">
        <v>7603</v>
      </c>
      <c r="G7477">
        <v>42653</v>
      </c>
      <c r="H7477">
        <v>5122</v>
      </c>
      <c r="I7477" s="25" t="s">
        <v>2023</v>
      </c>
      <c r="J7477" t="s">
        <v>7604</v>
      </c>
      <c r="M7477" s="49"/>
    </row>
    <row r="7478" spans="6:13" x14ac:dyDescent="0.25">
      <c r="F7478" t="s">
        <v>7603</v>
      </c>
      <c r="G7478">
        <v>42699</v>
      </c>
      <c r="H7478">
        <v>5122</v>
      </c>
      <c r="I7478" s="25" t="s">
        <v>2023</v>
      </c>
      <c r="J7478" t="s">
        <v>7604</v>
      </c>
      <c r="M7478" s="49"/>
    </row>
    <row r="7479" spans="6:13" x14ac:dyDescent="0.25">
      <c r="F7479" t="s">
        <v>7603</v>
      </c>
      <c r="G7479">
        <v>42657</v>
      </c>
      <c r="H7479">
        <v>5122</v>
      </c>
      <c r="I7479" s="25" t="s">
        <v>2023</v>
      </c>
      <c r="J7479" t="s">
        <v>7604</v>
      </c>
      <c r="M7479" s="49"/>
    </row>
    <row r="7480" spans="6:13" x14ac:dyDescent="0.25">
      <c r="F7480" t="s">
        <v>7603</v>
      </c>
      <c r="G7480">
        <v>42697</v>
      </c>
      <c r="H7480">
        <v>5122</v>
      </c>
      <c r="I7480" s="25" t="s">
        <v>2023</v>
      </c>
      <c r="J7480" t="s">
        <v>7604</v>
      </c>
      <c r="M7480" s="49"/>
    </row>
    <row r="7481" spans="6:13" x14ac:dyDescent="0.25">
      <c r="F7481" t="s">
        <v>7605</v>
      </c>
      <c r="G7481">
        <v>38387</v>
      </c>
      <c r="H7481">
        <v>3154</v>
      </c>
      <c r="I7481" s="25" t="s">
        <v>2074</v>
      </c>
      <c r="J7481" t="s">
        <v>2186</v>
      </c>
      <c r="M7481" s="49"/>
    </row>
    <row r="7482" spans="6:13" x14ac:dyDescent="0.25">
      <c r="F7482" t="s">
        <v>7606</v>
      </c>
      <c r="G7482">
        <v>99759</v>
      </c>
      <c r="H7482">
        <v>16062</v>
      </c>
      <c r="I7482" s="25" t="s">
        <v>2384</v>
      </c>
      <c r="J7482" t="s">
        <v>1489</v>
      </c>
      <c r="M7482" s="49"/>
    </row>
    <row r="7483" spans="6:13" x14ac:dyDescent="0.25">
      <c r="F7483" t="s">
        <v>7607</v>
      </c>
      <c r="G7483">
        <v>35606</v>
      </c>
      <c r="H7483">
        <v>6532</v>
      </c>
      <c r="I7483" s="25" t="s">
        <v>2046</v>
      </c>
      <c r="J7483" t="s">
        <v>2555</v>
      </c>
      <c r="M7483" s="49"/>
    </row>
    <row r="7484" spans="6:13" x14ac:dyDescent="0.25">
      <c r="F7484" t="s">
        <v>7608</v>
      </c>
      <c r="G7484">
        <v>91807</v>
      </c>
      <c r="H7484">
        <v>9577</v>
      </c>
      <c r="I7484" s="25" t="s">
        <v>2050</v>
      </c>
      <c r="J7484" t="s">
        <v>2057</v>
      </c>
      <c r="M7484" s="49"/>
    </row>
    <row r="7485" spans="6:13" x14ac:dyDescent="0.25">
      <c r="F7485" t="s">
        <v>7609</v>
      </c>
      <c r="G7485">
        <v>29614</v>
      </c>
      <c r="H7485">
        <v>3358</v>
      </c>
      <c r="I7485" s="25" t="s">
        <v>2074</v>
      </c>
      <c r="J7485" t="s">
        <v>2371</v>
      </c>
      <c r="M7485" s="49"/>
    </row>
    <row r="7486" spans="6:13" x14ac:dyDescent="0.25">
      <c r="F7486" t="s">
        <v>7610</v>
      </c>
      <c r="G7486">
        <v>29594</v>
      </c>
      <c r="H7486">
        <v>3360</v>
      </c>
      <c r="I7486" s="25" t="s">
        <v>2074</v>
      </c>
      <c r="J7486" t="s">
        <v>2400</v>
      </c>
      <c r="M7486" s="49"/>
    </row>
    <row r="7487" spans="6:13" x14ac:dyDescent="0.25">
      <c r="F7487" t="s">
        <v>7611</v>
      </c>
      <c r="G7487">
        <v>97334</v>
      </c>
      <c r="H7487">
        <v>9675</v>
      </c>
      <c r="I7487" s="25" t="s">
        <v>2050</v>
      </c>
      <c r="J7487" t="s">
        <v>2259</v>
      </c>
      <c r="M7487" s="49"/>
    </row>
    <row r="7488" spans="6:13" x14ac:dyDescent="0.25">
      <c r="F7488" t="s">
        <v>3075</v>
      </c>
      <c r="G7488">
        <v>99610</v>
      </c>
      <c r="H7488">
        <v>16068</v>
      </c>
      <c r="I7488" s="25" t="s">
        <v>2384</v>
      </c>
      <c r="J7488" t="s">
        <v>3075</v>
      </c>
      <c r="M7488" s="49"/>
    </row>
    <row r="7489" spans="6:13" x14ac:dyDescent="0.25">
      <c r="F7489" t="s">
        <v>7612</v>
      </c>
      <c r="G7489">
        <v>99706</v>
      </c>
      <c r="H7489">
        <v>16065</v>
      </c>
      <c r="I7489" s="25" t="s">
        <v>2384</v>
      </c>
      <c r="J7489" t="s">
        <v>2532</v>
      </c>
      <c r="M7489" s="49"/>
    </row>
    <row r="7490" spans="6:13" x14ac:dyDescent="0.25">
      <c r="F7490" t="s">
        <v>2373</v>
      </c>
      <c r="G7490">
        <v>96515</v>
      </c>
      <c r="H7490">
        <v>16072</v>
      </c>
      <c r="I7490" s="25" t="s">
        <v>2384</v>
      </c>
      <c r="J7490" t="s">
        <v>2373</v>
      </c>
      <c r="M7490" s="49"/>
    </row>
    <row r="7491" spans="6:13" x14ac:dyDescent="0.25">
      <c r="F7491" t="s">
        <v>7613</v>
      </c>
      <c r="G7491">
        <v>96242</v>
      </c>
      <c r="H7491">
        <v>9473</v>
      </c>
      <c r="I7491" s="25" t="s">
        <v>2050</v>
      </c>
      <c r="J7491" t="s">
        <v>2177</v>
      </c>
      <c r="M7491" s="49"/>
    </row>
    <row r="7492" spans="6:13" x14ac:dyDescent="0.25">
      <c r="F7492" t="s">
        <v>7614</v>
      </c>
      <c r="G7492">
        <v>94164</v>
      </c>
      <c r="H7492">
        <v>9275</v>
      </c>
      <c r="I7492" s="25" t="s">
        <v>2050</v>
      </c>
      <c r="J7492" t="s">
        <v>2198</v>
      </c>
      <c r="M7492" s="49"/>
    </row>
    <row r="7493" spans="6:13" x14ac:dyDescent="0.25">
      <c r="F7493" t="s">
        <v>7615</v>
      </c>
      <c r="G7493">
        <v>72820</v>
      </c>
      <c r="H7493">
        <v>8415</v>
      </c>
      <c r="I7493" s="25" t="s">
        <v>2018</v>
      </c>
      <c r="J7493" t="s">
        <v>2325</v>
      </c>
      <c r="M7493" s="49"/>
    </row>
    <row r="7494" spans="6:13" x14ac:dyDescent="0.25">
      <c r="F7494" t="s">
        <v>7616</v>
      </c>
      <c r="G7494">
        <v>3249</v>
      </c>
      <c r="H7494">
        <v>12062</v>
      </c>
      <c r="I7494" s="25" t="s">
        <v>2356</v>
      </c>
      <c r="J7494" t="s">
        <v>2689</v>
      </c>
      <c r="M7494" s="49"/>
    </row>
    <row r="7495" spans="6:13" x14ac:dyDescent="0.25">
      <c r="F7495" t="s">
        <v>7617</v>
      </c>
      <c r="G7495">
        <v>47665</v>
      </c>
      <c r="H7495">
        <v>5170</v>
      </c>
      <c r="I7495" s="25" t="s">
        <v>2023</v>
      </c>
      <c r="J7495" t="s">
        <v>2328</v>
      </c>
      <c r="M7495" s="49"/>
    </row>
    <row r="7496" spans="6:13" x14ac:dyDescent="0.25">
      <c r="F7496" t="s">
        <v>7618</v>
      </c>
      <c r="G7496">
        <v>87776</v>
      </c>
      <c r="H7496">
        <v>9778</v>
      </c>
      <c r="I7496" s="25" t="s">
        <v>2050</v>
      </c>
      <c r="J7496" t="s">
        <v>2460</v>
      </c>
      <c r="M7496" s="49"/>
    </row>
    <row r="7497" spans="6:13" x14ac:dyDescent="0.25">
      <c r="F7497" t="s">
        <v>7619</v>
      </c>
      <c r="G7497">
        <v>89567</v>
      </c>
      <c r="H7497">
        <v>8135</v>
      </c>
      <c r="I7497" s="25" t="s">
        <v>2018</v>
      </c>
      <c r="J7497" t="s">
        <v>2816</v>
      </c>
      <c r="M7497" s="49"/>
    </row>
    <row r="7498" spans="6:13" x14ac:dyDescent="0.25">
      <c r="F7498" t="s">
        <v>7620</v>
      </c>
      <c r="G7498">
        <v>87527</v>
      </c>
      <c r="H7498">
        <v>9780</v>
      </c>
      <c r="I7498" s="25" t="s">
        <v>2050</v>
      </c>
      <c r="J7498" t="s">
        <v>2278</v>
      </c>
      <c r="M7498" s="49"/>
    </row>
    <row r="7499" spans="6:13" x14ac:dyDescent="0.25">
      <c r="F7499" t="s">
        <v>7621</v>
      </c>
      <c r="G7499">
        <v>36205</v>
      </c>
      <c r="H7499">
        <v>6636</v>
      </c>
      <c r="I7499" s="25" t="s">
        <v>2046</v>
      </c>
      <c r="J7499" t="s">
        <v>2733</v>
      </c>
      <c r="M7499" s="49"/>
    </row>
    <row r="7500" spans="6:13" x14ac:dyDescent="0.25">
      <c r="F7500" t="s">
        <v>7622</v>
      </c>
      <c r="G7500">
        <v>24966</v>
      </c>
      <c r="H7500">
        <v>1059</v>
      </c>
      <c r="I7500" s="25" t="s">
        <v>2085</v>
      </c>
      <c r="J7500" t="s">
        <v>2354</v>
      </c>
      <c r="M7500" s="49"/>
    </row>
    <row r="7501" spans="6:13" x14ac:dyDescent="0.25">
      <c r="F7501" t="s">
        <v>7623</v>
      </c>
      <c r="G7501">
        <v>27367</v>
      </c>
      <c r="H7501">
        <v>3357</v>
      </c>
      <c r="I7501" s="25" t="s">
        <v>2074</v>
      </c>
      <c r="J7501" t="s">
        <v>2339</v>
      </c>
      <c r="M7501" s="49"/>
    </row>
    <row r="7502" spans="6:13" x14ac:dyDescent="0.25">
      <c r="F7502" t="s">
        <v>7624</v>
      </c>
      <c r="G7502">
        <v>83564</v>
      </c>
      <c r="H7502">
        <v>9187</v>
      </c>
      <c r="I7502" s="25" t="s">
        <v>2050</v>
      </c>
      <c r="J7502" t="s">
        <v>2245</v>
      </c>
      <c r="M7502" s="49"/>
    </row>
    <row r="7503" spans="6:13" x14ac:dyDescent="0.25">
      <c r="F7503" t="s">
        <v>7625</v>
      </c>
      <c r="G7503">
        <v>78549</v>
      </c>
      <c r="H7503">
        <v>8327</v>
      </c>
      <c r="I7503" s="25" t="s">
        <v>2018</v>
      </c>
      <c r="J7503" t="s">
        <v>2277</v>
      </c>
      <c r="M7503" s="49"/>
    </row>
    <row r="7504" spans="6:13" x14ac:dyDescent="0.25">
      <c r="F7504" t="s">
        <v>7626</v>
      </c>
      <c r="G7504">
        <v>91174</v>
      </c>
      <c r="H7504">
        <v>9576</v>
      </c>
      <c r="I7504" s="25" t="s">
        <v>2050</v>
      </c>
      <c r="J7504" t="s">
        <v>2051</v>
      </c>
      <c r="M7504" s="49"/>
    </row>
    <row r="7505" spans="6:13" x14ac:dyDescent="0.25">
      <c r="F7505" t="s">
        <v>7627</v>
      </c>
      <c r="G7505">
        <v>54529</v>
      </c>
      <c r="H7505">
        <v>7232</v>
      </c>
      <c r="I7505" s="25" t="s">
        <v>2123</v>
      </c>
      <c r="J7505" t="s">
        <v>2112</v>
      </c>
      <c r="M7505" s="49"/>
    </row>
    <row r="7506" spans="6:13" x14ac:dyDescent="0.25">
      <c r="F7506" t="s">
        <v>7628</v>
      </c>
      <c r="G7506">
        <v>34286</v>
      </c>
      <c r="H7506">
        <v>6634</v>
      </c>
      <c r="I7506" s="25" t="s">
        <v>2046</v>
      </c>
      <c r="J7506" t="s">
        <v>2360</v>
      </c>
      <c r="M7506" s="49"/>
    </row>
    <row r="7507" spans="6:13" x14ac:dyDescent="0.25">
      <c r="F7507" t="s">
        <v>7629</v>
      </c>
      <c r="G7507">
        <v>17392</v>
      </c>
      <c r="H7507">
        <v>13075</v>
      </c>
      <c r="I7507" s="25" t="s">
        <v>2191</v>
      </c>
      <c r="J7507" t="s">
        <v>2160</v>
      </c>
      <c r="M7507" s="49"/>
    </row>
    <row r="7508" spans="6:13" x14ac:dyDescent="0.25">
      <c r="F7508" t="s">
        <v>7630</v>
      </c>
      <c r="G7508">
        <v>95234</v>
      </c>
      <c r="H7508">
        <v>9475</v>
      </c>
      <c r="I7508" s="25" t="s">
        <v>2050</v>
      </c>
      <c r="J7508" t="s">
        <v>2201</v>
      </c>
      <c r="M7508" s="49"/>
    </row>
    <row r="7509" spans="6:13" x14ac:dyDescent="0.25">
      <c r="F7509" t="s">
        <v>7631</v>
      </c>
      <c r="G7509">
        <v>82447</v>
      </c>
      <c r="H7509">
        <v>9180</v>
      </c>
      <c r="I7509" s="25" t="s">
        <v>2050</v>
      </c>
      <c r="J7509" t="s">
        <v>2147</v>
      </c>
      <c r="M7509" s="49"/>
    </row>
    <row r="7510" spans="6:13" x14ac:dyDescent="0.25">
      <c r="F7510" t="s">
        <v>7632</v>
      </c>
      <c r="G7510">
        <v>56322</v>
      </c>
      <c r="H7510">
        <v>7137</v>
      </c>
      <c r="I7510" s="25" t="s">
        <v>2123</v>
      </c>
      <c r="J7510" t="s">
        <v>2246</v>
      </c>
      <c r="M7510" s="49"/>
    </row>
    <row r="7511" spans="6:13" x14ac:dyDescent="0.25">
      <c r="F7511" t="s">
        <v>7633</v>
      </c>
      <c r="G7511">
        <v>74937</v>
      </c>
      <c r="H7511">
        <v>8226</v>
      </c>
      <c r="I7511" s="25" t="s">
        <v>2018</v>
      </c>
      <c r="J7511" t="s">
        <v>2442</v>
      </c>
      <c r="M7511" s="49"/>
    </row>
    <row r="7512" spans="6:13" x14ac:dyDescent="0.25">
      <c r="F7512" t="s">
        <v>7634</v>
      </c>
      <c r="G7512">
        <v>54662</v>
      </c>
      <c r="H7512">
        <v>7232</v>
      </c>
      <c r="I7512" s="25" t="s">
        <v>2123</v>
      </c>
      <c r="J7512" t="s">
        <v>2112</v>
      </c>
      <c r="M7512" s="49"/>
    </row>
    <row r="7513" spans="6:13" x14ac:dyDescent="0.25">
      <c r="F7513" t="s">
        <v>7635</v>
      </c>
      <c r="G7513">
        <v>95469</v>
      </c>
      <c r="H7513">
        <v>9472</v>
      </c>
      <c r="I7513" s="25" t="s">
        <v>2050</v>
      </c>
      <c r="J7513" t="s">
        <v>2180</v>
      </c>
      <c r="M7513" s="49"/>
    </row>
    <row r="7514" spans="6:13" x14ac:dyDescent="0.25">
      <c r="F7514" t="s">
        <v>7636</v>
      </c>
      <c r="G7514">
        <v>32139</v>
      </c>
      <c r="H7514">
        <v>5758</v>
      </c>
      <c r="I7514" s="25" t="s">
        <v>2023</v>
      </c>
      <c r="J7514" t="s">
        <v>2189</v>
      </c>
      <c r="M7514" s="49"/>
    </row>
    <row r="7515" spans="6:13" x14ac:dyDescent="0.25">
      <c r="F7515" t="s">
        <v>7637</v>
      </c>
      <c r="G7515">
        <v>67346</v>
      </c>
      <c r="H7515">
        <v>7318</v>
      </c>
      <c r="I7515" s="25" t="s">
        <v>2123</v>
      </c>
      <c r="J7515" t="s">
        <v>7638</v>
      </c>
      <c r="M7515" s="49"/>
    </row>
    <row r="7516" spans="6:13" x14ac:dyDescent="0.25">
      <c r="F7516" t="s">
        <v>7639</v>
      </c>
      <c r="G7516">
        <v>94518</v>
      </c>
      <c r="H7516">
        <v>9272</v>
      </c>
      <c r="I7516" s="25" t="s">
        <v>2050</v>
      </c>
      <c r="J7516" t="s">
        <v>2140</v>
      </c>
      <c r="M7516" s="49"/>
    </row>
    <row r="7517" spans="6:13" x14ac:dyDescent="0.25">
      <c r="F7517" t="s">
        <v>7640</v>
      </c>
      <c r="G7517">
        <v>71579</v>
      </c>
      <c r="H7517">
        <v>8119</v>
      </c>
      <c r="I7517" s="25" t="s">
        <v>2018</v>
      </c>
      <c r="J7517" t="s">
        <v>2287</v>
      </c>
      <c r="M7517" s="49"/>
    </row>
    <row r="7518" spans="6:13" x14ac:dyDescent="0.25">
      <c r="F7518" t="s">
        <v>7641</v>
      </c>
      <c r="G7518">
        <v>26474</v>
      </c>
      <c r="H7518">
        <v>3462</v>
      </c>
      <c r="I7518" s="25" t="s">
        <v>2074</v>
      </c>
      <c r="J7518" t="s">
        <v>2433</v>
      </c>
      <c r="M7518" s="49"/>
    </row>
    <row r="7519" spans="6:13" x14ac:dyDescent="0.25">
      <c r="F7519" t="s">
        <v>7642</v>
      </c>
      <c r="G7519">
        <v>66583</v>
      </c>
      <c r="H7519">
        <v>10043</v>
      </c>
      <c r="I7519" s="25" t="s">
        <v>2849</v>
      </c>
      <c r="J7519" t="s">
        <v>3883</v>
      </c>
      <c r="M7519" s="49"/>
    </row>
    <row r="7520" spans="6:13" x14ac:dyDescent="0.25">
      <c r="F7520" t="s">
        <v>7643</v>
      </c>
      <c r="G7520">
        <v>17039</v>
      </c>
      <c r="H7520">
        <v>13071</v>
      </c>
      <c r="I7520" s="25" t="s">
        <v>2191</v>
      </c>
      <c r="J7520" t="s">
        <v>2091</v>
      </c>
      <c r="M7520" s="49"/>
    </row>
    <row r="7521" spans="6:13" x14ac:dyDescent="0.25">
      <c r="F7521" t="s">
        <v>7643</v>
      </c>
      <c r="G7521">
        <v>17039</v>
      </c>
      <c r="H7521">
        <v>13071</v>
      </c>
      <c r="I7521" s="25" t="s">
        <v>2191</v>
      </c>
      <c r="J7521" t="s">
        <v>2091</v>
      </c>
      <c r="M7521" s="49"/>
    </row>
    <row r="7522" spans="6:13" x14ac:dyDescent="0.25">
      <c r="F7522" t="s">
        <v>7644</v>
      </c>
      <c r="G7522">
        <v>19372</v>
      </c>
      <c r="H7522">
        <v>13076</v>
      </c>
      <c r="I7522" s="25" t="s">
        <v>2191</v>
      </c>
      <c r="J7522" t="s">
        <v>2234</v>
      </c>
      <c r="M7522" s="49"/>
    </row>
    <row r="7523" spans="6:13" x14ac:dyDescent="0.25">
      <c r="F7523" t="s">
        <v>7644</v>
      </c>
      <c r="G7523">
        <v>19372</v>
      </c>
      <c r="H7523">
        <v>13076</v>
      </c>
      <c r="I7523" s="25" t="s">
        <v>2191</v>
      </c>
      <c r="J7523" t="s">
        <v>2234</v>
      </c>
      <c r="M7523" s="49"/>
    </row>
    <row r="7524" spans="6:13" x14ac:dyDescent="0.25">
      <c r="F7524" t="s">
        <v>7645</v>
      </c>
      <c r="G7524">
        <v>73565</v>
      </c>
      <c r="H7524">
        <v>8136</v>
      </c>
      <c r="I7524" s="25" t="s">
        <v>2018</v>
      </c>
      <c r="J7524" t="s">
        <v>2039</v>
      </c>
      <c r="M7524" s="49"/>
    </row>
    <row r="7525" spans="6:13" x14ac:dyDescent="0.25">
      <c r="F7525" t="s">
        <v>7646</v>
      </c>
      <c r="G7525">
        <v>29365</v>
      </c>
      <c r="H7525">
        <v>3151</v>
      </c>
      <c r="I7525" s="25" t="s">
        <v>2074</v>
      </c>
      <c r="J7525" t="s">
        <v>2126</v>
      </c>
      <c r="M7525" s="49"/>
    </row>
    <row r="7526" spans="6:13" x14ac:dyDescent="0.25">
      <c r="F7526" t="s">
        <v>7647</v>
      </c>
      <c r="G7526">
        <v>15528</v>
      </c>
      <c r="H7526">
        <v>12067</v>
      </c>
      <c r="I7526" s="25" t="s">
        <v>2356</v>
      </c>
      <c r="J7526" t="s">
        <v>2711</v>
      </c>
      <c r="M7526" s="49"/>
    </row>
    <row r="7527" spans="6:13" x14ac:dyDescent="0.25">
      <c r="F7527" t="s">
        <v>7648</v>
      </c>
      <c r="G7527">
        <v>2979</v>
      </c>
      <c r="H7527">
        <v>14625</v>
      </c>
      <c r="I7527" s="25" t="s">
        <v>2135</v>
      </c>
      <c r="J7527" t="s">
        <v>2041</v>
      </c>
      <c r="M7527" s="49"/>
    </row>
    <row r="7528" spans="6:13" x14ac:dyDescent="0.25">
      <c r="F7528" t="s">
        <v>7649</v>
      </c>
      <c r="G7528">
        <v>3130</v>
      </c>
      <c r="H7528">
        <v>12071</v>
      </c>
      <c r="I7528" s="25" t="s">
        <v>2356</v>
      </c>
      <c r="J7528" t="s">
        <v>3364</v>
      </c>
      <c r="M7528" s="49"/>
    </row>
    <row r="7529" spans="6:13" x14ac:dyDescent="0.25">
      <c r="F7529" t="s">
        <v>7650</v>
      </c>
      <c r="G7529">
        <v>55576</v>
      </c>
      <c r="H7529">
        <v>7133</v>
      </c>
      <c r="I7529" s="25" t="s">
        <v>2123</v>
      </c>
      <c r="J7529" t="s">
        <v>2037</v>
      </c>
      <c r="M7529" s="49"/>
    </row>
    <row r="7530" spans="6:13" x14ac:dyDescent="0.25">
      <c r="F7530" t="s">
        <v>7650</v>
      </c>
      <c r="G7530">
        <v>55576</v>
      </c>
      <c r="H7530">
        <v>7339</v>
      </c>
      <c r="I7530" s="25" t="s">
        <v>2123</v>
      </c>
      <c r="J7530" t="s">
        <v>2238</v>
      </c>
      <c r="M7530" s="49"/>
    </row>
    <row r="7531" spans="6:13" x14ac:dyDescent="0.25">
      <c r="F7531" t="s">
        <v>7651</v>
      </c>
      <c r="G7531">
        <v>31832</v>
      </c>
      <c r="H7531">
        <v>3241</v>
      </c>
      <c r="I7531" s="25" t="s">
        <v>2074</v>
      </c>
      <c r="J7531" t="s">
        <v>2321</v>
      </c>
      <c r="M7531" s="49"/>
    </row>
    <row r="7532" spans="6:13" x14ac:dyDescent="0.25">
      <c r="F7532" t="s">
        <v>7652</v>
      </c>
      <c r="G7532">
        <v>45549</v>
      </c>
      <c r="H7532">
        <v>5954</v>
      </c>
      <c r="I7532" s="25" t="s">
        <v>2023</v>
      </c>
      <c r="J7532" t="s">
        <v>2124</v>
      </c>
      <c r="M7532" s="49"/>
    </row>
    <row r="7533" spans="6:13" x14ac:dyDescent="0.25">
      <c r="F7533" t="s">
        <v>7653</v>
      </c>
      <c r="G7533">
        <v>79837</v>
      </c>
      <c r="H7533">
        <v>8337</v>
      </c>
      <c r="I7533" s="25" t="s">
        <v>2018</v>
      </c>
      <c r="J7533" t="s">
        <v>2248</v>
      </c>
      <c r="M7533" s="49"/>
    </row>
    <row r="7534" spans="6:13" x14ac:dyDescent="0.25">
      <c r="F7534" t="s">
        <v>7654</v>
      </c>
      <c r="G7534">
        <v>9356</v>
      </c>
      <c r="H7534">
        <v>14524</v>
      </c>
      <c r="I7534" s="25" t="s">
        <v>2135</v>
      </c>
      <c r="J7534" t="s">
        <v>3424</v>
      </c>
      <c r="M7534" s="49"/>
    </row>
    <row r="7535" spans="6:13" x14ac:dyDescent="0.25">
      <c r="F7535" t="s">
        <v>7655</v>
      </c>
      <c r="G7535">
        <v>78112</v>
      </c>
      <c r="H7535">
        <v>8326</v>
      </c>
      <c r="I7535" s="25" t="s">
        <v>2018</v>
      </c>
      <c r="J7535" t="s">
        <v>2638</v>
      </c>
      <c r="M7535" s="49"/>
    </row>
    <row r="7536" spans="6:13" x14ac:dyDescent="0.25">
      <c r="F7536" t="s">
        <v>7655</v>
      </c>
      <c r="G7536">
        <v>83368</v>
      </c>
      <c r="H7536">
        <v>9189</v>
      </c>
      <c r="I7536" s="25" t="s">
        <v>2050</v>
      </c>
      <c r="J7536" t="s">
        <v>2407</v>
      </c>
      <c r="M7536" s="49"/>
    </row>
    <row r="7537" spans="6:13" x14ac:dyDescent="0.25">
      <c r="F7537" t="s">
        <v>7656</v>
      </c>
      <c r="G7537">
        <v>72813</v>
      </c>
      <c r="H7537">
        <v>8415</v>
      </c>
      <c r="I7537" s="25" t="s">
        <v>2018</v>
      </c>
      <c r="J7537" t="s">
        <v>2325</v>
      </c>
      <c r="M7537" s="49"/>
    </row>
    <row r="7538" spans="6:13" x14ac:dyDescent="0.25">
      <c r="F7538" t="s">
        <v>7657</v>
      </c>
      <c r="G7538">
        <v>79274</v>
      </c>
      <c r="H7538">
        <v>8315</v>
      </c>
      <c r="I7538" s="25" t="s">
        <v>2018</v>
      </c>
      <c r="J7538" t="s">
        <v>2061</v>
      </c>
      <c r="M7538" s="49"/>
    </row>
    <row r="7539" spans="6:13" x14ac:dyDescent="0.25">
      <c r="F7539" t="s">
        <v>7658</v>
      </c>
      <c r="G7539">
        <v>18198</v>
      </c>
      <c r="H7539">
        <v>13072</v>
      </c>
      <c r="I7539" s="25" t="s">
        <v>2191</v>
      </c>
      <c r="J7539" t="s">
        <v>2036</v>
      </c>
      <c r="M7539" s="49"/>
    </row>
    <row r="7540" spans="6:13" x14ac:dyDescent="0.25">
      <c r="F7540" t="s">
        <v>2158</v>
      </c>
      <c r="G7540">
        <v>21680</v>
      </c>
      <c r="H7540">
        <v>3359</v>
      </c>
      <c r="I7540" s="25" t="s">
        <v>2074</v>
      </c>
      <c r="J7540" t="s">
        <v>2158</v>
      </c>
      <c r="M7540" s="49"/>
    </row>
    <row r="7541" spans="6:13" x14ac:dyDescent="0.25">
      <c r="F7541" t="s">
        <v>2158</v>
      </c>
      <c r="G7541">
        <v>21683</v>
      </c>
      <c r="H7541">
        <v>3359</v>
      </c>
      <c r="I7541" s="25" t="s">
        <v>2074</v>
      </c>
      <c r="J7541" t="s">
        <v>2158</v>
      </c>
      <c r="M7541" s="49"/>
    </row>
    <row r="7542" spans="6:13" x14ac:dyDescent="0.25">
      <c r="F7542" t="s">
        <v>2158</v>
      </c>
      <c r="G7542">
        <v>21684</v>
      </c>
      <c r="H7542">
        <v>3359</v>
      </c>
      <c r="I7542" s="25" t="s">
        <v>2074</v>
      </c>
      <c r="J7542" t="s">
        <v>2158</v>
      </c>
      <c r="M7542" s="49"/>
    </row>
    <row r="7543" spans="6:13" x14ac:dyDescent="0.25">
      <c r="F7543" t="s">
        <v>2158</v>
      </c>
      <c r="G7543">
        <v>21682</v>
      </c>
      <c r="H7543">
        <v>3359</v>
      </c>
      <c r="I7543" s="25" t="s">
        <v>2074</v>
      </c>
      <c r="J7543" t="s">
        <v>2158</v>
      </c>
      <c r="M7543" s="49"/>
    </row>
    <row r="7544" spans="6:13" x14ac:dyDescent="0.25">
      <c r="F7544" t="s">
        <v>7659</v>
      </c>
      <c r="G7544">
        <v>55271</v>
      </c>
      <c r="H7544">
        <v>7339</v>
      </c>
      <c r="I7544" s="25" t="s">
        <v>2123</v>
      </c>
      <c r="J7544" t="s">
        <v>2238</v>
      </c>
      <c r="M7544" s="49"/>
    </row>
    <row r="7545" spans="6:13" x14ac:dyDescent="0.25">
      <c r="F7545" t="s">
        <v>7660</v>
      </c>
      <c r="G7545">
        <v>96187</v>
      </c>
      <c r="H7545">
        <v>9471</v>
      </c>
      <c r="I7545" s="25" t="s">
        <v>2050</v>
      </c>
      <c r="J7545" t="s">
        <v>2392</v>
      </c>
      <c r="M7545" s="49"/>
    </row>
    <row r="7546" spans="6:13" x14ac:dyDescent="0.25">
      <c r="F7546" t="s">
        <v>7661</v>
      </c>
      <c r="G7546">
        <v>26936</v>
      </c>
      <c r="H7546">
        <v>3461</v>
      </c>
      <c r="I7546" s="25" t="s">
        <v>2074</v>
      </c>
      <c r="J7546" t="s">
        <v>2426</v>
      </c>
      <c r="M7546" s="49"/>
    </row>
    <row r="7547" spans="6:13" x14ac:dyDescent="0.25">
      <c r="F7547" t="s">
        <v>7661</v>
      </c>
      <c r="G7547">
        <v>26935</v>
      </c>
      <c r="H7547">
        <v>3461</v>
      </c>
      <c r="I7547" s="25" t="s">
        <v>2074</v>
      </c>
      <c r="J7547" t="s">
        <v>2426</v>
      </c>
      <c r="M7547" s="49"/>
    </row>
    <row r="7548" spans="6:13" x14ac:dyDescent="0.25">
      <c r="F7548" t="s">
        <v>7661</v>
      </c>
      <c r="G7548">
        <v>26937</v>
      </c>
      <c r="H7548">
        <v>3461</v>
      </c>
      <c r="I7548" s="25" t="s">
        <v>2074</v>
      </c>
      <c r="J7548" t="s">
        <v>2426</v>
      </c>
      <c r="M7548" s="49"/>
    </row>
    <row r="7549" spans="6:13" x14ac:dyDescent="0.25">
      <c r="F7549" t="s">
        <v>7662</v>
      </c>
      <c r="G7549">
        <v>92549</v>
      </c>
      <c r="H7549">
        <v>9376</v>
      </c>
      <c r="I7549" s="25" t="s">
        <v>2050</v>
      </c>
      <c r="J7549" t="s">
        <v>2390</v>
      </c>
      <c r="M7549" s="49"/>
    </row>
    <row r="7550" spans="6:13" x14ac:dyDescent="0.25">
      <c r="F7550" t="s">
        <v>7663</v>
      </c>
      <c r="G7550">
        <v>73529</v>
      </c>
      <c r="H7550">
        <v>8117</v>
      </c>
      <c r="I7550" s="25" t="s">
        <v>2018</v>
      </c>
      <c r="J7550" t="s">
        <v>2089</v>
      </c>
      <c r="M7550" s="49"/>
    </row>
    <row r="7551" spans="6:13" x14ac:dyDescent="0.25">
      <c r="F7551" t="s">
        <v>7663</v>
      </c>
      <c r="G7551">
        <v>73529</v>
      </c>
      <c r="H7551">
        <v>8136</v>
      </c>
      <c r="I7551" s="25" t="s">
        <v>2018</v>
      </c>
      <c r="J7551" t="s">
        <v>2039</v>
      </c>
      <c r="M7551" s="49"/>
    </row>
    <row r="7552" spans="6:13" x14ac:dyDescent="0.25">
      <c r="F7552" t="s">
        <v>7663</v>
      </c>
      <c r="G7552">
        <v>73525</v>
      </c>
      <c r="H7552">
        <v>8136</v>
      </c>
      <c r="I7552" s="25" t="s">
        <v>2018</v>
      </c>
      <c r="J7552" t="s">
        <v>2039</v>
      </c>
      <c r="M7552" s="49"/>
    </row>
    <row r="7553" spans="6:13" x14ac:dyDescent="0.25">
      <c r="F7553" t="s">
        <v>7664</v>
      </c>
      <c r="G7553">
        <v>35260</v>
      </c>
      <c r="H7553">
        <v>6534</v>
      </c>
      <c r="I7553" s="25" t="s">
        <v>2046</v>
      </c>
      <c r="J7553" t="s">
        <v>2471</v>
      </c>
      <c r="M7553" s="49"/>
    </row>
    <row r="7554" spans="6:13" x14ac:dyDescent="0.25">
      <c r="F7554" t="s">
        <v>7665</v>
      </c>
      <c r="G7554">
        <v>86391</v>
      </c>
      <c r="H7554">
        <v>9772</v>
      </c>
      <c r="I7554" s="25" t="s">
        <v>2050</v>
      </c>
      <c r="J7554" t="s">
        <v>2117</v>
      </c>
      <c r="M7554" s="49"/>
    </row>
    <row r="7555" spans="6:13" x14ac:dyDescent="0.25">
      <c r="F7555" t="s">
        <v>7666</v>
      </c>
      <c r="G7555">
        <v>31655</v>
      </c>
      <c r="H7555">
        <v>3257</v>
      </c>
      <c r="I7555" s="25" t="s">
        <v>2074</v>
      </c>
      <c r="J7555" t="s">
        <v>2167</v>
      </c>
      <c r="M7555" s="49"/>
    </row>
    <row r="7556" spans="6:13" x14ac:dyDescent="0.25">
      <c r="F7556" t="s">
        <v>7667</v>
      </c>
      <c r="G7556">
        <v>99326</v>
      </c>
      <c r="H7556">
        <v>16070</v>
      </c>
      <c r="I7556" s="25" t="s">
        <v>2384</v>
      </c>
      <c r="J7556" t="s">
        <v>2206</v>
      </c>
      <c r="M7556" s="49"/>
    </row>
    <row r="7557" spans="6:13" x14ac:dyDescent="0.25">
      <c r="F7557" t="s">
        <v>7668</v>
      </c>
      <c r="G7557">
        <v>54589</v>
      </c>
      <c r="H7557">
        <v>7233</v>
      </c>
      <c r="I7557" s="25" t="s">
        <v>2123</v>
      </c>
      <c r="J7557" t="s">
        <v>2416</v>
      </c>
      <c r="M7557" s="49"/>
    </row>
    <row r="7558" spans="6:13" x14ac:dyDescent="0.25">
      <c r="F7558" t="s">
        <v>7669</v>
      </c>
      <c r="G7558">
        <v>97488</v>
      </c>
      <c r="H7558">
        <v>9678</v>
      </c>
      <c r="I7558" s="25" t="s">
        <v>2050</v>
      </c>
      <c r="J7558" t="s">
        <v>2918</v>
      </c>
      <c r="M7558" s="49"/>
    </row>
    <row r="7559" spans="6:13" x14ac:dyDescent="0.25">
      <c r="F7559" t="s">
        <v>7670</v>
      </c>
      <c r="G7559">
        <v>36457</v>
      </c>
      <c r="H7559">
        <v>16063</v>
      </c>
      <c r="I7559" s="25" t="s">
        <v>2384</v>
      </c>
      <c r="J7559" t="s">
        <v>2687</v>
      </c>
      <c r="M7559" s="49"/>
    </row>
    <row r="7560" spans="6:13" x14ac:dyDescent="0.25">
      <c r="F7560" t="s">
        <v>7671</v>
      </c>
      <c r="G7560">
        <v>48703</v>
      </c>
      <c r="H7560">
        <v>5554</v>
      </c>
      <c r="I7560" s="25" t="s">
        <v>2023</v>
      </c>
      <c r="J7560" t="s">
        <v>2055</v>
      </c>
      <c r="M7560" s="49"/>
    </row>
    <row r="7561" spans="6:13" x14ac:dyDescent="0.25">
      <c r="F7561" t="s">
        <v>7672</v>
      </c>
      <c r="G7561">
        <v>37627</v>
      </c>
      <c r="H7561">
        <v>3255</v>
      </c>
      <c r="I7561" s="25" t="s">
        <v>2074</v>
      </c>
      <c r="J7561" t="s">
        <v>3044</v>
      </c>
      <c r="M7561" s="49"/>
    </row>
    <row r="7562" spans="6:13" x14ac:dyDescent="0.25">
      <c r="F7562" t="s">
        <v>7673</v>
      </c>
      <c r="G7562">
        <v>97909</v>
      </c>
      <c r="H7562">
        <v>9676</v>
      </c>
      <c r="I7562" s="25" t="s">
        <v>2050</v>
      </c>
      <c r="J7562" t="s">
        <v>2381</v>
      </c>
      <c r="M7562" s="49"/>
    </row>
    <row r="7563" spans="6:13" x14ac:dyDescent="0.25">
      <c r="F7563" t="s">
        <v>7674</v>
      </c>
      <c r="G7563">
        <v>7646</v>
      </c>
      <c r="H7563">
        <v>16074</v>
      </c>
      <c r="I7563" s="25" t="s">
        <v>2384</v>
      </c>
      <c r="J7563" t="s">
        <v>2671</v>
      </c>
      <c r="M7563" s="49"/>
    </row>
    <row r="7564" spans="6:13" x14ac:dyDescent="0.25">
      <c r="F7564" t="s">
        <v>7675</v>
      </c>
      <c r="G7564">
        <v>95346</v>
      </c>
      <c r="H7564">
        <v>9477</v>
      </c>
      <c r="I7564" s="25" t="s">
        <v>2050</v>
      </c>
      <c r="J7564" t="s">
        <v>4385</v>
      </c>
      <c r="M7564" s="49"/>
    </row>
    <row r="7565" spans="6:13" x14ac:dyDescent="0.25">
      <c r="F7565" t="s">
        <v>7676</v>
      </c>
      <c r="G7565">
        <v>96231</v>
      </c>
      <c r="H7565">
        <v>9478</v>
      </c>
      <c r="I7565" s="25" t="s">
        <v>2050</v>
      </c>
      <c r="J7565" t="s">
        <v>2404</v>
      </c>
      <c r="M7565" s="49"/>
    </row>
    <row r="7566" spans="6:13" x14ac:dyDescent="0.25">
      <c r="F7566" t="s">
        <v>7677</v>
      </c>
      <c r="G7566">
        <v>89195</v>
      </c>
      <c r="H7566">
        <v>8425</v>
      </c>
      <c r="I7566" s="25" t="s">
        <v>2018</v>
      </c>
      <c r="J7566" t="s">
        <v>2027</v>
      </c>
      <c r="M7566" s="49"/>
    </row>
    <row r="7567" spans="6:13" x14ac:dyDescent="0.25">
      <c r="F7567" t="s">
        <v>7678</v>
      </c>
      <c r="G7567">
        <v>94375</v>
      </c>
      <c r="H7567">
        <v>9278</v>
      </c>
      <c r="I7567" s="25" t="s">
        <v>2050</v>
      </c>
      <c r="J7567" t="s">
        <v>2170</v>
      </c>
      <c r="M7567" s="49"/>
    </row>
    <row r="7568" spans="6:13" x14ac:dyDescent="0.25">
      <c r="F7568" t="s">
        <v>7679</v>
      </c>
      <c r="G7568">
        <v>95236</v>
      </c>
      <c r="H7568">
        <v>9475</v>
      </c>
      <c r="I7568" s="25" t="s">
        <v>2050</v>
      </c>
      <c r="J7568" t="s">
        <v>2201</v>
      </c>
      <c r="M7568" s="49"/>
    </row>
    <row r="7569" spans="6:13" x14ac:dyDescent="0.25">
      <c r="F7569" t="s">
        <v>7680</v>
      </c>
      <c r="G7569">
        <v>85134</v>
      </c>
      <c r="H7569">
        <v>9176</v>
      </c>
      <c r="I7569" s="25" t="s">
        <v>2050</v>
      </c>
      <c r="J7569" t="s">
        <v>2102</v>
      </c>
      <c r="M7569" s="49"/>
    </row>
    <row r="7570" spans="6:13" x14ac:dyDescent="0.25">
      <c r="F7570" t="s">
        <v>7681</v>
      </c>
      <c r="G7570">
        <v>93491</v>
      </c>
      <c r="H7570">
        <v>9372</v>
      </c>
      <c r="I7570" s="25" t="s">
        <v>2050</v>
      </c>
      <c r="J7570" t="s">
        <v>2523</v>
      </c>
      <c r="M7570" s="49"/>
    </row>
    <row r="7571" spans="6:13" x14ac:dyDescent="0.25">
      <c r="F7571" t="s">
        <v>7682</v>
      </c>
      <c r="G7571">
        <v>25879</v>
      </c>
      <c r="H7571">
        <v>1059</v>
      </c>
      <c r="I7571" s="25" t="s">
        <v>2085</v>
      </c>
      <c r="J7571" t="s">
        <v>2354</v>
      </c>
      <c r="M7571" s="49"/>
    </row>
    <row r="7572" spans="6:13" x14ac:dyDescent="0.25">
      <c r="F7572" t="s">
        <v>2481</v>
      </c>
      <c r="G7572">
        <v>82319</v>
      </c>
      <c r="H7572">
        <v>9188</v>
      </c>
      <c r="I7572" s="25" t="s">
        <v>2050</v>
      </c>
      <c r="J7572" t="s">
        <v>2481</v>
      </c>
      <c r="M7572" s="49"/>
    </row>
    <row r="7573" spans="6:13" x14ac:dyDescent="0.25">
      <c r="F7573" t="s">
        <v>7683</v>
      </c>
      <c r="G7573">
        <v>72181</v>
      </c>
      <c r="H7573">
        <v>8416</v>
      </c>
      <c r="I7573" s="25" t="s">
        <v>2018</v>
      </c>
      <c r="J7573" t="s">
        <v>2464</v>
      </c>
      <c r="M7573" s="49"/>
    </row>
    <row r="7574" spans="6:13" x14ac:dyDescent="0.25">
      <c r="F7574" t="s">
        <v>7684</v>
      </c>
      <c r="G7574">
        <v>39418</v>
      </c>
      <c r="H7574">
        <v>15089</v>
      </c>
      <c r="I7574" s="25" t="s">
        <v>2241</v>
      </c>
      <c r="J7574" t="s">
        <v>2351</v>
      </c>
      <c r="M7574" s="49"/>
    </row>
    <row r="7575" spans="6:13" x14ac:dyDescent="0.25">
      <c r="F7575" t="s">
        <v>7684</v>
      </c>
      <c r="G7575">
        <v>39443</v>
      </c>
      <c r="H7575">
        <v>15089</v>
      </c>
      <c r="I7575" s="25" t="s">
        <v>2241</v>
      </c>
      <c r="J7575" t="s">
        <v>2351</v>
      </c>
      <c r="M7575" s="49"/>
    </row>
    <row r="7576" spans="6:13" x14ac:dyDescent="0.25">
      <c r="F7576" t="s">
        <v>7684</v>
      </c>
      <c r="G7576">
        <v>39446</v>
      </c>
      <c r="H7576">
        <v>15089</v>
      </c>
      <c r="I7576" s="25" t="s">
        <v>2241</v>
      </c>
      <c r="J7576" t="s">
        <v>2351</v>
      </c>
      <c r="M7576" s="49"/>
    </row>
    <row r="7577" spans="6:13" x14ac:dyDescent="0.25">
      <c r="F7577" t="s">
        <v>7685</v>
      </c>
      <c r="G7577">
        <v>55568</v>
      </c>
      <c r="H7577">
        <v>7133</v>
      </c>
      <c r="I7577" s="25" t="s">
        <v>2123</v>
      </c>
      <c r="J7577" t="s">
        <v>2037</v>
      </c>
      <c r="M7577" s="49"/>
    </row>
    <row r="7578" spans="6:13" x14ac:dyDescent="0.25">
      <c r="F7578" t="s">
        <v>7686</v>
      </c>
      <c r="G7578">
        <v>79219</v>
      </c>
      <c r="H7578">
        <v>8315</v>
      </c>
      <c r="I7578" s="25" t="s">
        <v>2018</v>
      </c>
      <c r="J7578" t="s">
        <v>2061</v>
      </c>
      <c r="M7578" s="49"/>
    </row>
    <row r="7579" spans="6:13" x14ac:dyDescent="0.25">
      <c r="F7579" t="s">
        <v>7687</v>
      </c>
      <c r="G7579">
        <v>34355</v>
      </c>
      <c r="H7579">
        <v>3159</v>
      </c>
      <c r="I7579" s="25" t="s">
        <v>2074</v>
      </c>
      <c r="J7579" t="s">
        <v>2093</v>
      </c>
      <c r="M7579" s="49"/>
    </row>
    <row r="7580" spans="6:13" x14ac:dyDescent="0.25">
      <c r="F7580" t="s">
        <v>7687</v>
      </c>
      <c r="G7580">
        <v>35460</v>
      </c>
      <c r="H7580">
        <v>6531</v>
      </c>
      <c r="I7580" s="25" t="s">
        <v>2046</v>
      </c>
      <c r="J7580" t="s">
        <v>2306</v>
      </c>
      <c r="M7580" s="49"/>
    </row>
    <row r="7581" spans="6:13" x14ac:dyDescent="0.25">
      <c r="F7581" t="s">
        <v>7687</v>
      </c>
      <c r="G7581">
        <v>34355</v>
      </c>
      <c r="H7581">
        <v>6611</v>
      </c>
      <c r="I7581" s="25" t="s">
        <v>2046</v>
      </c>
      <c r="J7581" t="s">
        <v>5202</v>
      </c>
      <c r="M7581" s="49"/>
    </row>
    <row r="7582" spans="6:13" x14ac:dyDescent="0.25">
      <c r="F7582" t="s">
        <v>7688</v>
      </c>
      <c r="G7582">
        <v>17153</v>
      </c>
      <c r="H7582">
        <v>13071</v>
      </c>
      <c r="I7582" s="25" t="s">
        <v>2191</v>
      </c>
      <c r="J7582" t="s">
        <v>2091</v>
      </c>
      <c r="M7582" s="49"/>
    </row>
    <row r="7583" spans="6:13" x14ac:dyDescent="0.25">
      <c r="F7583" t="s">
        <v>7689</v>
      </c>
      <c r="G7583">
        <v>49777</v>
      </c>
      <c r="H7583">
        <v>3454</v>
      </c>
      <c r="I7583" s="25" t="s">
        <v>2074</v>
      </c>
      <c r="J7583" t="s">
        <v>2118</v>
      </c>
      <c r="M7583" s="49"/>
    </row>
    <row r="7584" spans="6:13" x14ac:dyDescent="0.25">
      <c r="F7584" t="s">
        <v>7690</v>
      </c>
      <c r="G7584">
        <v>35239</v>
      </c>
      <c r="H7584">
        <v>6534</v>
      </c>
      <c r="I7584" s="25" t="s">
        <v>2046</v>
      </c>
      <c r="J7584" t="s">
        <v>2471</v>
      </c>
      <c r="M7584" s="49"/>
    </row>
    <row r="7585" spans="6:13" x14ac:dyDescent="0.25">
      <c r="F7585" t="s">
        <v>7691</v>
      </c>
      <c r="G7585">
        <v>96135</v>
      </c>
      <c r="H7585">
        <v>9471</v>
      </c>
      <c r="I7585" s="25" t="s">
        <v>2050</v>
      </c>
      <c r="J7585" t="s">
        <v>2392</v>
      </c>
      <c r="M7585" s="49"/>
    </row>
    <row r="7586" spans="6:13" x14ac:dyDescent="0.25">
      <c r="F7586" t="s">
        <v>7692</v>
      </c>
      <c r="G7586">
        <v>79252</v>
      </c>
      <c r="H7586">
        <v>8315</v>
      </c>
      <c r="I7586" s="25" t="s">
        <v>2018</v>
      </c>
      <c r="J7586" t="s">
        <v>2061</v>
      </c>
      <c r="M7586" s="49"/>
    </row>
    <row r="7587" spans="6:13" x14ac:dyDescent="0.25">
      <c r="F7587" t="s">
        <v>7693</v>
      </c>
      <c r="G7587">
        <v>31634</v>
      </c>
      <c r="H7587">
        <v>3256</v>
      </c>
      <c r="I7587" s="25" t="s">
        <v>2074</v>
      </c>
      <c r="J7587" t="s">
        <v>2271</v>
      </c>
      <c r="M7587" s="49"/>
    </row>
    <row r="7588" spans="6:13" x14ac:dyDescent="0.25">
      <c r="F7588" t="s">
        <v>7694</v>
      </c>
      <c r="G7588">
        <v>57614</v>
      </c>
      <c r="H7588">
        <v>7132</v>
      </c>
      <c r="I7588" s="25" t="s">
        <v>2123</v>
      </c>
      <c r="J7588" t="s">
        <v>2401</v>
      </c>
      <c r="M7588" s="49"/>
    </row>
    <row r="7589" spans="6:13" x14ac:dyDescent="0.25">
      <c r="F7589" t="s">
        <v>7694</v>
      </c>
      <c r="G7589">
        <v>57614</v>
      </c>
      <c r="H7589">
        <v>7138</v>
      </c>
      <c r="I7589" s="25" t="s">
        <v>2123</v>
      </c>
      <c r="J7589" t="s">
        <v>2489</v>
      </c>
      <c r="M7589" s="49"/>
    </row>
    <row r="7590" spans="6:13" x14ac:dyDescent="0.25">
      <c r="F7590" t="s">
        <v>7694</v>
      </c>
      <c r="G7590">
        <v>57614</v>
      </c>
      <c r="H7590">
        <v>7143</v>
      </c>
      <c r="I7590" s="25" t="s">
        <v>2123</v>
      </c>
      <c r="J7590" t="s">
        <v>2331</v>
      </c>
      <c r="M7590" s="49"/>
    </row>
    <row r="7591" spans="6:13" x14ac:dyDescent="0.25">
      <c r="F7591" t="s">
        <v>7695</v>
      </c>
      <c r="G7591">
        <v>90547</v>
      </c>
      <c r="H7591">
        <v>9573</v>
      </c>
      <c r="I7591" s="25" t="s">
        <v>2050</v>
      </c>
      <c r="J7591" t="s">
        <v>2466</v>
      </c>
      <c r="M7591" s="49"/>
    </row>
    <row r="7592" spans="6:13" x14ac:dyDescent="0.25">
      <c r="F7592" t="s">
        <v>7696</v>
      </c>
      <c r="G7592">
        <v>83371</v>
      </c>
      <c r="H7592">
        <v>9189</v>
      </c>
      <c r="I7592" s="25" t="s">
        <v>2050</v>
      </c>
      <c r="J7592" t="s">
        <v>2407</v>
      </c>
      <c r="M7592" s="49"/>
    </row>
    <row r="7593" spans="6:13" x14ac:dyDescent="0.25">
      <c r="F7593" t="s">
        <v>7697</v>
      </c>
      <c r="G7593">
        <v>77790</v>
      </c>
      <c r="H7593">
        <v>8317</v>
      </c>
      <c r="I7593" s="25" t="s">
        <v>2018</v>
      </c>
      <c r="J7593" t="s">
        <v>2071</v>
      </c>
      <c r="M7593" s="49"/>
    </row>
    <row r="7594" spans="6:13" x14ac:dyDescent="0.25">
      <c r="F7594" t="s">
        <v>7697</v>
      </c>
      <c r="G7594">
        <v>94377</v>
      </c>
      <c r="H7594">
        <v>9278</v>
      </c>
      <c r="I7594" s="25" t="s">
        <v>2050</v>
      </c>
      <c r="J7594" t="s">
        <v>2170</v>
      </c>
      <c r="M7594" s="49"/>
    </row>
    <row r="7595" spans="6:13" x14ac:dyDescent="0.25">
      <c r="F7595" t="s">
        <v>7697</v>
      </c>
      <c r="G7595">
        <v>96523</v>
      </c>
      <c r="H7595">
        <v>16072</v>
      </c>
      <c r="I7595" s="25" t="s">
        <v>2384</v>
      </c>
      <c r="J7595" t="s">
        <v>2373</v>
      </c>
      <c r="M7595" s="49"/>
    </row>
    <row r="7596" spans="6:13" x14ac:dyDescent="0.25">
      <c r="F7596" t="s">
        <v>7698</v>
      </c>
      <c r="G7596">
        <v>36396</v>
      </c>
      <c r="H7596">
        <v>6435</v>
      </c>
      <c r="I7596" s="25" t="s">
        <v>2046</v>
      </c>
      <c r="J7596" t="s">
        <v>2703</v>
      </c>
      <c r="M7596" s="49"/>
    </row>
    <row r="7597" spans="6:13" x14ac:dyDescent="0.25">
      <c r="F7597" t="s">
        <v>7699</v>
      </c>
      <c r="G7597">
        <v>61449</v>
      </c>
      <c r="H7597">
        <v>6434</v>
      </c>
      <c r="I7597" s="25" t="s">
        <v>2046</v>
      </c>
      <c r="J7597" t="s">
        <v>2664</v>
      </c>
      <c r="M7597" s="49"/>
    </row>
    <row r="7598" spans="6:13" x14ac:dyDescent="0.25">
      <c r="F7598" t="s">
        <v>7700</v>
      </c>
      <c r="G7598">
        <v>96361</v>
      </c>
      <c r="H7598">
        <v>9476</v>
      </c>
      <c r="I7598" s="25" t="s">
        <v>2050</v>
      </c>
      <c r="J7598" t="s">
        <v>5435</v>
      </c>
      <c r="M7598" s="49"/>
    </row>
    <row r="7599" spans="6:13" x14ac:dyDescent="0.25">
      <c r="F7599" t="s">
        <v>7701</v>
      </c>
      <c r="G7599">
        <v>67808</v>
      </c>
      <c r="H7599">
        <v>7333</v>
      </c>
      <c r="I7599" s="25" t="s">
        <v>2123</v>
      </c>
      <c r="J7599" t="s">
        <v>2103</v>
      </c>
      <c r="M7599" s="49"/>
    </row>
    <row r="7600" spans="6:13" x14ac:dyDescent="0.25">
      <c r="F7600" t="s">
        <v>7701</v>
      </c>
      <c r="G7600">
        <v>67808</v>
      </c>
      <c r="H7600">
        <v>7333</v>
      </c>
      <c r="I7600" s="25" t="s">
        <v>2123</v>
      </c>
      <c r="J7600" t="s">
        <v>2103</v>
      </c>
      <c r="M7600" s="49"/>
    </row>
    <row r="7601" spans="6:13" x14ac:dyDescent="0.25">
      <c r="F7601" t="s">
        <v>7701</v>
      </c>
      <c r="G7601">
        <v>67808</v>
      </c>
      <c r="H7601">
        <v>7333</v>
      </c>
      <c r="I7601" s="25" t="s">
        <v>2123</v>
      </c>
      <c r="J7601" t="s">
        <v>2103</v>
      </c>
      <c r="M7601" s="49"/>
    </row>
    <row r="7602" spans="6:13" x14ac:dyDescent="0.25">
      <c r="F7602" t="s">
        <v>7701</v>
      </c>
      <c r="G7602">
        <v>67808</v>
      </c>
      <c r="H7602">
        <v>7333</v>
      </c>
      <c r="I7602" s="25" t="s">
        <v>2123</v>
      </c>
      <c r="J7602" t="s">
        <v>2103</v>
      </c>
      <c r="M7602" s="49"/>
    </row>
    <row r="7603" spans="6:13" x14ac:dyDescent="0.25">
      <c r="F7603" t="s">
        <v>7701</v>
      </c>
      <c r="G7603">
        <v>67808</v>
      </c>
      <c r="H7603">
        <v>7333</v>
      </c>
      <c r="I7603" s="25" t="s">
        <v>2123</v>
      </c>
      <c r="J7603" t="s">
        <v>2103</v>
      </c>
      <c r="M7603" s="49"/>
    </row>
    <row r="7604" spans="6:13" x14ac:dyDescent="0.25">
      <c r="F7604" t="s">
        <v>7702</v>
      </c>
      <c r="G7604">
        <v>98587</v>
      </c>
      <c r="H7604">
        <v>16066</v>
      </c>
      <c r="I7604" s="25" t="s">
        <v>2384</v>
      </c>
      <c r="J7604" t="s">
        <v>2358</v>
      </c>
      <c r="M7604" s="49"/>
    </row>
    <row r="7605" spans="6:13" x14ac:dyDescent="0.25">
      <c r="F7605" t="s">
        <v>7703</v>
      </c>
      <c r="G7605">
        <v>92449</v>
      </c>
      <c r="H7605">
        <v>9376</v>
      </c>
      <c r="I7605" s="25" t="s">
        <v>2050</v>
      </c>
      <c r="J7605" t="s">
        <v>2390</v>
      </c>
      <c r="M7605" s="49"/>
    </row>
    <row r="7606" spans="6:13" x14ac:dyDescent="0.25">
      <c r="F7606" t="s">
        <v>7703</v>
      </c>
      <c r="G7606">
        <v>8237</v>
      </c>
      <c r="H7606">
        <v>14523</v>
      </c>
      <c r="I7606" s="25" t="s">
        <v>2135</v>
      </c>
      <c r="J7606" t="s">
        <v>2136</v>
      </c>
      <c r="M7606" s="49"/>
    </row>
    <row r="7607" spans="6:13" x14ac:dyDescent="0.25">
      <c r="F7607" t="s">
        <v>7704</v>
      </c>
      <c r="G7607">
        <v>24972</v>
      </c>
      <c r="H7607">
        <v>1059</v>
      </c>
      <c r="I7607" s="25" t="s">
        <v>2085</v>
      </c>
      <c r="J7607" t="s">
        <v>2354</v>
      </c>
      <c r="M7607" s="49"/>
    </row>
    <row r="7608" spans="6:13" x14ac:dyDescent="0.25">
      <c r="F7608" t="s">
        <v>2377</v>
      </c>
      <c r="G7608">
        <v>22964</v>
      </c>
      <c r="H7608">
        <v>1062</v>
      </c>
      <c r="I7608" s="25" t="s">
        <v>2085</v>
      </c>
      <c r="J7608" t="s">
        <v>2188</v>
      </c>
      <c r="M7608" s="49"/>
    </row>
    <row r="7609" spans="6:13" x14ac:dyDescent="0.25">
      <c r="F7609" t="s">
        <v>7705</v>
      </c>
      <c r="G7609">
        <v>82297</v>
      </c>
      <c r="H7609">
        <v>9771</v>
      </c>
      <c r="I7609" s="25" t="s">
        <v>2050</v>
      </c>
      <c r="J7609" t="s">
        <v>2120</v>
      </c>
      <c r="M7609" s="49"/>
    </row>
    <row r="7610" spans="6:13" x14ac:dyDescent="0.25">
      <c r="F7610" t="s">
        <v>7706</v>
      </c>
      <c r="G7610">
        <v>79585</v>
      </c>
      <c r="H7610">
        <v>8336</v>
      </c>
      <c r="I7610" s="25" t="s">
        <v>2018</v>
      </c>
      <c r="J7610" t="s">
        <v>2227</v>
      </c>
      <c r="M7610" s="49"/>
    </row>
    <row r="7611" spans="6:13" x14ac:dyDescent="0.25">
      <c r="F7611" t="s">
        <v>7707</v>
      </c>
      <c r="G7611">
        <v>71144</v>
      </c>
      <c r="H7611">
        <v>8115</v>
      </c>
      <c r="I7611" s="25" t="s">
        <v>2018</v>
      </c>
      <c r="J7611" t="s">
        <v>2222</v>
      </c>
      <c r="M7611" s="49"/>
    </row>
    <row r="7612" spans="6:13" x14ac:dyDescent="0.25">
      <c r="F7612" t="s">
        <v>7708</v>
      </c>
      <c r="G7612">
        <v>24888</v>
      </c>
      <c r="H7612">
        <v>1059</v>
      </c>
      <c r="I7612" s="25" t="s">
        <v>2085</v>
      </c>
      <c r="J7612" t="s">
        <v>2354</v>
      </c>
      <c r="M7612" s="49"/>
    </row>
    <row r="7613" spans="6:13" x14ac:dyDescent="0.25">
      <c r="F7613" t="s">
        <v>7708</v>
      </c>
      <c r="G7613">
        <v>49439</v>
      </c>
      <c r="H7613">
        <v>3460</v>
      </c>
      <c r="I7613" s="25" t="s">
        <v>2074</v>
      </c>
      <c r="J7613" t="s">
        <v>2408</v>
      </c>
      <c r="M7613" s="49"/>
    </row>
    <row r="7614" spans="6:13" x14ac:dyDescent="0.25">
      <c r="F7614" t="s">
        <v>7708</v>
      </c>
      <c r="G7614">
        <v>97854</v>
      </c>
      <c r="H7614">
        <v>9677</v>
      </c>
      <c r="I7614" s="25" t="s">
        <v>2050</v>
      </c>
      <c r="J7614" t="s">
        <v>2527</v>
      </c>
      <c r="M7614" s="49"/>
    </row>
    <row r="7615" spans="6:13" x14ac:dyDescent="0.25">
      <c r="F7615" t="s">
        <v>2379</v>
      </c>
      <c r="G7615">
        <v>48565</v>
      </c>
      <c r="H7615">
        <v>5566</v>
      </c>
      <c r="I7615" s="25" t="s">
        <v>2023</v>
      </c>
      <c r="J7615" t="s">
        <v>2379</v>
      </c>
      <c r="M7615" s="49"/>
    </row>
    <row r="7616" spans="6:13" x14ac:dyDescent="0.25">
      <c r="F7616" t="s">
        <v>7709</v>
      </c>
      <c r="G7616">
        <v>86989</v>
      </c>
      <c r="H7616">
        <v>9190</v>
      </c>
      <c r="I7616" s="25" t="s">
        <v>2050</v>
      </c>
      <c r="J7616" t="s">
        <v>2417</v>
      </c>
      <c r="M7616" s="49"/>
    </row>
    <row r="7617" spans="6:13" x14ac:dyDescent="0.25">
      <c r="F7617" t="s">
        <v>7710</v>
      </c>
      <c r="G7617">
        <v>33803</v>
      </c>
      <c r="H7617">
        <v>5754</v>
      </c>
      <c r="I7617" s="25" t="s">
        <v>2023</v>
      </c>
      <c r="J7617" t="s">
        <v>2165</v>
      </c>
      <c r="M7617" s="49"/>
    </row>
    <row r="7618" spans="6:13" x14ac:dyDescent="0.25">
      <c r="F7618" t="s">
        <v>7711</v>
      </c>
      <c r="G7618">
        <v>32839</v>
      </c>
      <c r="H7618">
        <v>5762</v>
      </c>
      <c r="I7618" s="25" t="s">
        <v>2023</v>
      </c>
      <c r="J7618" t="s">
        <v>2203</v>
      </c>
      <c r="M7618" s="49"/>
    </row>
    <row r="7619" spans="6:13" x14ac:dyDescent="0.25">
      <c r="F7619" t="s">
        <v>7712</v>
      </c>
      <c r="G7619">
        <v>89555</v>
      </c>
      <c r="H7619">
        <v>8135</v>
      </c>
      <c r="I7619" s="25" t="s">
        <v>2018</v>
      </c>
      <c r="J7619" t="s">
        <v>2816</v>
      </c>
      <c r="M7619" s="49"/>
    </row>
    <row r="7620" spans="6:13" x14ac:dyDescent="0.25">
      <c r="F7620" t="s">
        <v>7713</v>
      </c>
      <c r="G7620">
        <v>71711</v>
      </c>
      <c r="H7620">
        <v>8118</v>
      </c>
      <c r="I7620" s="25" t="s">
        <v>2018</v>
      </c>
      <c r="J7620" t="s">
        <v>2142</v>
      </c>
      <c r="M7620" s="49"/>
    </row>
    <row r="7621" spans="6:13" x14ac:dyDescent="0.25">
      <c r="F7621" t="s">
        <v>7714</v>
      </c>
      <c r="G7621">
        <v>85643</v>
      </c>
      <c r="H7621">
        <v>9175</v>
      </c>
      <c r="I7621" s="25" t="s">
        <v>2050</v>
      </c>
      <c r="J7621" t="s">
        <v>2500</v>
      </c>
      <c r="M7621" s="49"/>
    </row>
    <row r="7622" spans="6:13" x14ac:dyDescent="0.25">
      <c r="F7622" t="s">
        <v>7715</v>
      </c>
      <c r="G7622">
        <v>29367</v>
      </c>
      <c r="H7622">
        <v>3151</v>
      </c>
      <c r="I7622" s="25" t="s">
        <v>2074</v>
      </c>
      <c r="J7622" t="s">
        <v>2126</v>
      </c>
      <c r="M7622" s="49"/>
    </row>
    <row r="7623" spans="6:13" x14ac:dyDescent="0.25">
      <c r="F7623" t="s">
        <v>7716</v>
      </c>
      <c r="G7623">
        <v>84439</v>
      </c>
      <c r="H7623">
        <v>9177</v>
      </c>
      <c r="I7623" s="25" t="s">
        <v>2050</v>
      </c>
      <c r="J7623" t="s">
        <v>2915</v>
      </c>
      <c r="M7623" s="49"/>
    </row>
    <row r="7624" spans="6:13" x14ac:dyDescent="0.25">
      <c r="F7624" t="s">
        <v>7717</v>
      </c>
      <c r="G7624">
        <v>76479</v>
      </c>
      <c r="H7624">
        <v>8216</v>
      </c>
      <c r="I7624" s="25" t="s">
        <v>2018</v>
      </c>
      <c r="J7624" t="s">
        <v>2564</v>
      </c>
      <c r="M7624" s="49"/>
    </row>
    <row r="7625" spans="6:13" x14ac:dyDescent="0.25">
      <c r="F7625" t="s">
        <v>7718</v>
      </c>
      <c r="G7625">
        <v>91628</v>
      </c>
      <c r="H7625">
        <v>9571</v>
      </c>
      <c r="I7625" s="25" t="s">
        <v>2050</v>
      </c>
      <c r="J7625" t="s">
        <v>2113</v>
      </c>
      <c r="M7625" s="49"/>
    </row>
    <row r="7626" spans="6:13" x14ac:dyDescent="0.25">
      <c r="F7626" t="s">
        <v>7719</v>
      </c>
      <c r="G7626">
        <v>76872</v>
      </c>
      <c r="H7626">
        <v>7334</v>
      </c>
      <c r="I7626" s="25" t="s">
        <v>2123</v>
      </c>
      <c r="J7626" t="s">
        <v>2873</v>
      </c>
      <c r="M7626" s="49"/>
    </row>
    <row r="7627" spans="6:13" x14ac:dyDescent="0.25">
      <c r="F7627" t="s">
        <v>7719</v>
      </c>
      <c r="G7627">
        <v>76872</v>
      </c>
      <c r="H7627">
        <v>7337</v>
      </c>
      <c r="I7627" s="25" t="s">
        <v>2123</v>
      </c>
      <c r="J7627" t="s">
        <v>2256</v>
      </c>
      <c r="M7627" s="49"/>
    </row>
    <row r="7628" spans="6:13" x14ac:dyDescent="0.25">
      <c r="F7628" t="s">
        <v>7720</v>
      </c>
      <c r="G7628">
        <v>66879</v>
      </c>
      <c r="H7628">
        <v>7335</v>
      </c>
      <c r="I7628" s="25" t="s">
        <v>2123</v>
      </c>
      <c r="J7628" t="s">
        <v>2843</v>
      </c>
      <c r="M7628" s="49"/>
    </row>
    <row r="7629" spans="6:13" x14ac:dyDescent="0.25">
      <c r="F7629" t="s">
        <v>7720</v>
      </c>
      <c r="G7629">
        <v>66879</v>
      </c>
      <c r="H7629">
        <v>7336</v>
      </c>
      <c r="I7629" s="25" t="s">
        <v>2123</v>
      </c>
      <c r="J7629" t="s">
        <v>2216</v>
      </c>
      <c r="M7629" s="49"/>
    </row>
    <row r="7630" spans="6:13" x14ac:dyDescent="0.25">
      <c r="F7630" t="s">
        <v>7721</v>
      </c>
      <c r="G7630">
        <v>96349</v>
      </c>
      <c r="H7630">
        <v>9476</v>
      </c>
      <c r="I7630" s="25" t="s">
        <v>2050</v>
      </c>
      <c r="J7630" t="s">
        <v>5435</v>
      </c>
      <c r="M7630" s="49"/>
    </row>
    <row r="7631" spans="6:13" x14ac:dyDescent="0.25">
      <c r="F7631" t="s">
        <v>7722</v>
      </c>
      <c r="G7631">
        <v>78256</v>
      </c>
      <c r="H7631">
        <v>8335</v>
      </c>
      <c r="I7631" s="25" t="s">
        <v>2018</v>
      </c>
      <c r="J7631" t="s">
        <v>2019</v>
      </c>
      <c r="M7631" s="49"/>
    </row>
    <row r="7632" spans="6:13" x14ac:dyDescent="0.25">
      <c r="F7632" t="s">
        <v>7723</v>
      </c>
      <c r="G7632">
        <v>21435</v>
      </c>
      <c r="H7632">
        <v>3353</v>
      </c>
      <c r="I7632" s="25" t="s">
        <v>2074</v>
      </c>
      <c r="J7632" t="s">
        <v>2176</v>
      </c>
      <c r="M7632" s="49"/>
    </row>
    <row r="7633" spans="6:13" x14ac:dyDescent="0.25">
      <c r="F7633" t="s">
        <v>7724</v>
      </c>
      <c r="G7633">
        <v>32351</v>
      </c>
      <c r="H7633">
        <v>5770</v>
      </c>
      <c r="I7633" s="25" t="s">
        <v>2023</v>
      </c>
      <c r="J7633" t="s">
        <v>2257</v>
      </c>
      <c r="M7633" s="49"/>
    </row>
    <row r="7634" spans="6:13" x14ac:dyDescent="0.25">
      <c r="F7634" t="s">
        <v>2382</v>
      </c>
      <c r="G7634">
        <v>39576</v>
      </c>
      <c r="H7634">
        <v>15090</v>
      </c>
      <c r="I7634" s="25" t="s">
        <v>2241</v>
      </c>
      <c r="J7634" t="s">
        <v>2382</v>
      </c>
      <c r="M7634" s="49"/>
    </row>
    <row r="7635" spans="6:13" x14ac:dyDescent="0.25">
      <c r="F7635" t="s">
        <v>7725</v>
      </c>
      <c r="G7635">
        <v>83071</v>
      </c>
      <c r="H7635">
        <v>9187</v>
      </c>
      <c r="I7635" s="25" t="s">
        <v>2050</v>
      </c>
      <c r="J7635" t="s">
        <v>2245</v>
      </c>
      <c r="M7635" s="49"/>
    </row>
    <row r="7636" spans="6:13" x14ac:dyDescent="0.25">
      <c r="F7636" t="s">
        <v>7726</v>
      </c>
      <c r="G7636">
        <v>94569</v>
      </c>
      <c r="H7636">
        <v>9271</v>
      </c>
      <c r="I7636" s="25" t="s">
        <v>2050</v>
      </c>
      <c r="J7636" t="s">
        <v>2172</v>
      </c>
      <c r="M7636" s="49"/>
    </row>
    <row r="7637" spans="6:13" x14ac:dyDescent="0.25">
      <c r="F7637" t="s">
        <v>7727</v>
      </c>
      <c r="G7637">
        <v>23883</v>
      </c>
      <c r="H7637">
        <v>1053</v>
      </c>
      <c r="I7637" s="25" t="s">
        <v>2085</v>
      </c>
      <c r="J7637" t="s">
        <v>2193</v>
      </c>
      <c r="M7637" s="49"/>
    </row>
    <row r="7638" spans="6:13" x14ac:dyDescent="0.25">
      <c r="F7638" t="s">
        <v>7728</v>
      </c>
      <c r="G7638">
        <v>19406</v>
      </c>
      <c r="H7638">
        <v>13076</v>
      </c>
      <c r="I7638" s="25" t="s">
        <v>2191</v>
      </c>
      <c r="J7638" t="s">
        <v>2234</v>
      </c>
      <c r="M7638" s="49"/>
    </row>
    <row r="7639" spans="6:13" x14ac:dyDescent="0.25">
      <c r="F7639" t="s">
        <v>7729</v>
      </c>
      <c r="G7639">
        <v>75447</v>
      </c>
      <c r="H7639">
        <v>8236</v>
      </c>
      <c r="I7639" s="25" t="s">
        <v>2018</v>
      </c>
      <c r="J7639" t="s">
        <v>3087</v>
      </c>
      <c r="M7639" s="49"/>
    </row>
    <row r="7640" spans="6:13" x14ac:dyDescent="0.25">
      <c r="F7640" t="s">
        <v>7730</v>
      </c>
      <c r="G7640">
        <v>24996</v>
      </c>
      <c r="H7640">
        <v>1059</v>
      </c>
      <c r="I7640" s="25" t="s">
        <v>2085</v>
      </c>
      <c r="J7640" t="s">
        <v>2354</v>
      </c>
      <c r="M7640" s="49"/>
    </row>
    <row r="7641" spans="6:13" x14ac:dyDescent="0.25">
      <c r="F7641" t="s">
        <v>7731</v>
      </c>
      <c r="G7641">
        <v>88719</v>
      </c>
      <c r="H7641">
        <v>8435</v>
      </c>
      <c r="I7641" s="25" t="s">
        <v>2018</v>
      </c>
      <c r="J7641" t="s">
        <v>3011</v>
      </c>
      <c r="M7641" s="49"/>
    </row>
    <row r="7642" spans="6:13" x14ac:dyDescent="0.25">
      <c r="F7642" t="s">
        <v>7731</v>
      </c>
      <c r="G7642">
        <v>87778</v>
      </c>
      <c r="H7642">
        <v>9778</v>
      </c>
      <c r="I7642" s="25" t="s">
        <v>2050</v>
      </c>
      <c r="J7642" t="s">
        <v>2460</v>
      </c>
      <c r="M7642" s="49"/>
    </row>
    <row r="7643" spans="6:13" x14ac:dyDescent="0.25">
      <c r="F7643" t="s">
        <v>7732</v>
      </c>
      <c r="G7643">
        <v>72510</v>
      </c>
      <c r="H7643">
        <v>8437</v>
      </c>
      <c r="I7643" s="25" t="s">
        <v>2018</v>
      </c>
      <c r="J7643" t="s">
        <v>2720</v>
      </c>
      <c r="M7643" s="49"/>
    </row>
    <row r="7644" spans="6:13" x14ac:dyDescent="0.25">
      <c r="F7644" t="s">
        <v>7733</v>
      </c>
      <c r="G7644">
        <v>96188</v>
      </c>
      <c r="H7644">
        <v>9674</v>
      </c>
      <c r="I7644" s="25" t="s">
        <v>2050</v>
      </c>
      <c r="J7644" t="s">
        <v>2218</v>
      </c>
      <c r="M7644" s="49"/>
    </row>
    <row r="7645" spans="6:13" x14ac:dyDescent="0.25">
      <c r="F7645" t="s">
        <v>7734</v>
      </c>
      <c r="G7645">
        <v>31595</v>
      </c>
      <c r="H7645">
        <v>3256</v>
      </c>
      <c r="I7645" s="25" t="s">
        <v>2074</v>
      </c>
      <c r="J7645" t="s">
        <v>2271</v>
      </c>
      <c r="M7645" s="49"/>
    </row>
    <row r="7646" spans="6:13" x14ac:dyDescent="0.25">
      <c r="F7646" t="s">
        <v>7735</v>
      </c>
      <c r="G7646">
        <v>74597</v>
      </c>
      <c r="H7646">
        <v>8127</v>
      </c>
      <c r="I7646" s="25" t="s">
        <v>2018</v>
      </c>
      <c r="J7646" t="s">
        <v>3126</v>
      </c>
      <c r="M7646" s="49"/>
    </row>
    <row r="7647" spans="6:13" x14ac:dyDescent="0.25">
      <c r="F7647" t="s">
        <v>7735</v>
      </c>
      <c r="G7647">
        <v>74597</v>
      </c>
      <c r="H7647">
        <v>8127</v>
      </c>
      <c r="I7647" s="25" t="s">
        <v>2018</v>
      </c>
      <c r="J7647" t="s">
        <v>3126</v>
      </c>
      <c r="M7647" s="49"/>
    </row>
    <row r="7648" spans="6:13" x14ac:dyDescent="0.25">
      <c r="F7648" t="s">
        <v>7736</v>
      </c>
      <c r="G7648">
        <v>21772</v>
      </c>
      <c r="H7648">
        <v>3352</v>
      </c>
      <c r="I7648" s="25" t="s">
        <v>2074</v>
      </c>
      <c r="J7648" t="s">
        <v>2079</v>
      </c>
      <c r="M7648" s="49"/>
    </row>
    <row r="7649" spans="6:13" x14ac:dyDescent="0.25">
      <c r="F7649" t="s">
        <v>7737</v>
      </c>
      <c r="G7649">
        <v>78333</v>
      </c>
      <c r="H7649">
        <v>8335</v>
      </c>
      <c r="I7649" s="25" t="s">
        <v>2018</v>
      </c>
      <c r="J7649" t="s">
        <v>2019</v>
      </c>
      <c r="M7649" s="49"/>
    </row>
    <row r="7650" spans="6:13" x14ac:dyDescent="0.25">
      <c r="F7650" t="s">
        <v>7737</v>
      </c>
      <c r="G7650">
        <v>78333</v>
      </c>
      <c r="H7650">
        <v>8335</v>
      </c>
      <c r="I7650" s="25" t="s">
        <v>2018</v>
      </c>
      <c r="J7650" t="s">
        <v>2019</v>
      </c>
      <c r="M7650" s="49"/>
    </row>
    <row r="7651" spans="6:13" x14ac:dyDescent="0.25">
      <c r="F7651" t="s">
        <v>7738</v>
      </c>
      <c r="G7651">
        <v>23617</v>
      </c>
      <c r="H7651">
        <v>1055</v>
      </c>
      <c r="I7651" s="25" t="s">
        <v>2085</v>
      </c>
      <c r="J7651" t="s">
        <v>2185</v>
      </c>
      <c r="M7651" s="49"/>
    </row>
    <row r="7652" spans="6:13" x14ac:dyDescent="0.25">
      <c r="F7652" t="s">
        <v>7739</v>
      </c>
      <c r="G7652">
        <v>96342</v>
      </c>
      <c r="H7652">
        <v>9476</v>
      </c>
      <c r="I7652" s="25" t="s">
        <v>2050</v>
      </c>
      <c r="J7652" t="s">
        <v>5435</v>
      </c>
      <c r="M7652" s="49"/>
    </row>
    <row r="7653" spans="6:13" x14ac:dyDescent="0.25">
      <c r="F7653" t="s">
        <v>7740</v>
      </c>
      <c r="G7653">
        <v>31638</v>
      </c>
      <c r="H7653">
        <v>3256</v>
      </c>
      <c r="I7653" s="25" t="s">
        <v>2074</v>
      </c>
      <c r="J7653" t="s">
        <v>2271</v>
      </c>
      <c r="M7653" s="49"/>
    </row>
    <row r="7654" spans="6:13" x14ac:dyDescent="0.25">
      <c r="F7654" t="s">
        <v>7741</v>
      </c>
      <c r="G7654">
        <v>63811</v>
      </c>
      <c r="H7654">
        <v>9671</v>
      </c>
      <c r="I7654" s="25" t="s">
        <v>2050</v>
      </c>
      <c r="J7654" t="s">
        <v>2453</v>
      </c>
      <c r="M7654" s="49"/>
    </row>
    <row r="7655" spans="6:13" x14ac:dyDescent="0.25">
      <c r="F7655" t="s">
        <v>7742</v>
      </c>
      <c r="G7655">
        <v>64589</v>
      </c>
      <c r="H7655">
        <v>6433</v>
      </c>
      <c r="I7655" s="25" t="s">
        <v>2046</v>
      </c>
      <c r="J7655" t="s">
        <v>3061</v>
      </c>
      <c r="M7655" s="49"/>
    </row>
    <row r="7656" spans="6:13" x14ac:dyDescent="0.25">
      <c r="F7656" t="s">
        <v>7743</v>
      </c>
      <c r="G7656">
        <v>73495</v>
      </c>
      <c r="H7656">
        <v>8136</v>
      </c>
      <c r="I7656" s="25" t="s">
        <v>2018</v>
      </c>
      <c r="J7656" t="s">
        <v>2039</v>
      </c>
      <c r="M7656" s="49"/>
    </row>
    <row r="7657" spans="6:13" x14ac:dyDescent="0.25">
      <c r="F7657" t="s">
        <v>7744</v>
      </c>
      <c r="G7657">
        <v>29597</v>
      </c>
      <c r="H7657">
        <v>3360</v>
      </c>
      <c r="I7657" s="25" t="s">
        <v>2074</v>
      </c>
      <c r="J7657" t="s">
        <v>2400</v>
      </c>
      <c r="M7657" s="49"/>
    </row>
    <row r="7658" spans="6:13" x14ac:dyDescent="0.25">
      <c r="F7658" t="s">
        <v>7745</v>
      </c>
      <c r="G7658">
        <v>52224</v>
      </c>
      <c r="H7658">
        <v>5334</v>
      </c>
      <c r="I7658" s="25" t="s">
        <v>2023</v>
      </c>
      <c r="J7658" t="s">
        <v>2341</v>
      </c>
      <c r="M7658" s="49"/>
    </row>
    <row r="7659" spans="6:13" x14ac:dyDescent="0.25">
      <c r="F7659" t="s">
        <v>7746</v>
      </c>
      <c r="G7659">
        <v>52223</v>
      </c>
      <c r="H7659">
        <v>5334</v>
      </c>
      <c r="I7659" s="25" t="s">
        <v>2023</v>
      </c>
      <c r="J7659" t="s">
        <v>2341</v>
      </c>
      <c r="M7659" s="49"/>
    </row>
    <row r="7660" spans="6:13" x14ac:dyDescent="0.25">
      <c r="F7660" t="s">
        <v>7746</v>
      </c>
      <c r="G7660">
        <v>52222</v>
      </c>
      <c r="H7660">
        <v>5334</v>
      </c>
      <c r="I7660" s="25" t="s">
        <v>2023</v>
      </c>
      <c r="J7660" t="s">
        <v>2341</v>
      </c>
      <c r="M7660" s="49"/>
    </row>
    <row r="7661" spans="6:13" x14ac:dyDescent="0.25">
      <c r="F7661" t="s">
        <v>7746</v>
      </c>
      <c r="G7661">
        <v>52222</v>
      </c>
      <c r="H7661">
        <v>5334</v>
      </c>
      <c r="I7661" s="25" t="s">
        <v>2023</v>
      </c>
      <c r="J7661" t="s">
        <v>2341</v>
      </c>
      <c r="M7661" s="49"/>
    </row>
    <row r="7662" spans="6:13" x14ac:dyDescent="0.25">
      <c r="F7662" t="s">
        <v>7747</v>
      </c>
      <c r="G7662">
        <v>24890</v>
      </c>
      <c r="H7662">
        <v>1059</v>
      </c>
      <c r="I7662" s="25" t="s">
        <v>2085</v>
      </c>
      <c r="J7662" t="s">
        <v>2354</v>
      </c>
      <c r="M7662" s="49"/>
    </row>
    <row r="7663" spans="6:13" x14ac:dyDescent="0.25">
      <c r="F7663" t="s">
        <v>7748</v>
      </c>
      <c r="G7663">
        <v>9366</v>
      </c>
      <c r="H7663">
        <v>14521</v>
      </c>
      <c r="I7663" s="25" t="s">
        <v>2135</v>
      </c>
      <c r="J7663" t="s">
        <v>2032</v>
      </c>
      <c r="M7663" s="49"/>
    </row>
    <row r="7664" spans="6:13" x14ac:dyDescent="0.25">
      <c r="F7664" t="s">
        <v>7749</v>
      </c>
      <c r="G7664">
        <v>1833</v>
      </c>
      <c r="H7664">
        <v>14628</v>
      </c>
      <c r="I7664" s="25" t="s">
        <v>2135</v>
      </c>
      <c r="J7664" t="s">
        <v>2347</v>
      </c>
      <c r="M7664" s="49"/>
    </row>
    <row r="7665" spans="6:13" x14ac:dyDescent="0.25">
      <c r="F7665" t="s">
        <v>7750</v>
      </c>
      <c r="G7665">
        <v>24409</v>
      </c>
      <c r="H7665">
        <v>1059</v>
      </c>
      <c r="I7665" s="25" t="s">
        <v>2085</v>
      </c>
      <c r="J7665" t="s">
        <v>2354</v>
      </c>
      <c r="M7665" s="49"/>
    </row>
    <row r="7666" spans="6:13" x14ac:dyDescent="0.25">
      <c r="F7666" t="s">
        <v>7751</v>
      </c>
      <c r="G7666">
        <v>31592</v>
      </c>
      <c r="H7666">
        <v>3256</v>
      </c>
      <c r="I7666" s="25" t="s">
        <v>2074</v>
      </c>
      <c r="J7666" t="s">
        <v>2271</v>
      </c>
      <c r="M7666" s="49"/>
    </row>
    <row r="7667" spans="6:13" x14ac:dyDescent="0.25">
      <c r="F7667" t="s">
        <v>7752</v>
      </c>
      <c r="G7667">
        <v>15859</v>
      </c>
      <c r="H7667">
        <v>12067</v>
      </c>
      <c r="I7667" s="25" t="s">
        <v>2356</v>
      </c>
      <c r="J7667" t="s">
        <v>2711</v>
      </c>
      <c r="M7667" s="49"/>
    </row>
    <row r="7668" spans="6:13" x14ac:dyDescent="0.25">
      <c r="F7668" t="s">
        <v>7753</v>
      </c>
      <c r="G7668">
        <v>92721</v>
      </c>
      <c r="H7668">
        <v>9374</v>
      </c>
      <c r="I7668" s="25" t="s">
        <v>2050</v>
      </c>
      <c r="J7668" t="s">
        <v>2420</v>
      </c>
      <c r="M7668" s="49"/>
    </row>
    <row r="7669" spans="6:13" x14ac:dyDescent="0.25">
      <c r="F7669" t="s">
        <v>7754</v>
      </c>
      <c r="G7669">
        <v>87675</v>
      </c>
      <c r="H7669">
        <v>9777</v>
      </c>
      <c r="I7669" s="25" t="s">
        <v>2050</v>
      </c>
      <c r="J7669" t="s">
        <v>2237</v>
      </c>
      <c r="M7669" s="49"/>
    </row>
    <row r="7670" spans="6:13" x14ac:dyDescent="0.25">
      <c r="F7670" t="s">
        <v>7755</v>
      </c>
      <c r="G7670">
        <v>87677</v>
      </c>
      <c r="H7670">
        <v>9777</v>
      </c>
      <c r="I7670" s="25" t="s">
        <v>2050</v>
      </c>
      <c r="J7670" t="s">
        <v>2237</v>
      </c>
      <c r="M7670" s="49"/>
    </row>
    <row r="7671" spans="6:13" x14ac:dyDescent="0.25">
      <c r="F7671" t="s">
        <v>7756</v>
      </c>
      <c r="G7671">
        <v>47638</v>
      </c>
      <c r="H7671">
        <v>5154</v>
      </c>
      <c r="I7671" s="25" t="s">
        <v>2023</v>
      </c>
      <c r="J7671" t="s">
        <v>2214</v>
      </c>
      <c r="M7671" s="49"/>
    </row>
    <row r="7672" spans="6:13" x14ac:dyDescent="0.25">
      <c r="F7672" t="s">
        <v>2391</v>
      </c>
      <c r="G7672">
        <v>18439</v>
      </c>
      <c r="H7672">
        <v>13073</v>
      </c>
      <c r="I7672" s="25" t="s">
        <v>2191</v>
      </c>
      <c r="J7672" t="s">
        <v>2192</v>
      </c>
      <c r="M7672" s="49"/>
    </row>
    <row r="7673" spans="6:13" x14ac:dyDescent="0.25">
      <c r="F7673" t="s">
        <v>2391</v>
      </c>
      <c r="G7673">
        <v>18439</v>
      </c>
      <c r="H7673">
        <v>13073</v>
      </c>
      <c r="I7673" s="25" t="s">
        <v>2191</v>
      </c>
      <c r="J7673" t="s">
        <v>2192</v>
      </c>
      <c r="M7673" s="49"/>
    </row>
    <row r="7674" spans="6:13" x14ac:dyDescent="0.25">
      <c r="F7674" t="s">
        <v>2391</v>
      </c>
      <c r="G7674">
        <v>18435</v>
      </c>
      <c r="H7674">
        <v>13073</v>
      </c>
      <c r="I7674" s="25" t="s">
        <v>2191</v>
      </c>
      <c r="J7674" t="s">
        <v>2192</v>
      </c>
      <c r="M7674" s="49"/>
    </row>
    <row r="7675" spans="6:13" x14ac:dyDescent="0.25">
      <c r="F7675" t="s">
        <v>2391</v>
      </c>
      <c r="G7675">
        <v>18439</v>
      </c>
      <c r="H7675">
        <v>13073</v>
      </c>
      <c r="I7675" s="25" t="s">
        <v>2191</v>
      </c>
      <c r="J7675" t="s">
        <v>2192</v>
      </c>
      <c r="M7675" s="49"/>
    </row>
    <row r="7676" spans="6:13" x14ac:dyDescent="0.25">
      <c r="F7676" t="s">
        <v>2391</v>
      </c>
      <c r="G7676">
        <v>18437</v>
      </c>
      <c r="H7676">
        <v>13073</v>
      </c>
      <c r="I7676" s="25" t="s">
        <v>2191</v>
      </c>
      <c r="J7676" t="s">
        <v>2192</v>
      </c>
      <c r="M7676" s="49"/>
    </row>
    <row r="7677" spans="6:13" x14ac:dyDescent="0.25">
      <c r="F7677" t="s">
        <v>7757</v>
      </c>
      <c r="G7677">
        <v>17335</v>
      </c>
      <c r="H7677">
        <v>13075</v>
      </c>
      <c r="I7677" s="25" t="s">
        <v>2191</v>
      </c>
      <c r="J7677" t="s">
        <v>2160</v>
      </c>
      <c r="M7677" s="49"/>
    </row>
    <row r="7678" spans="6:13" x14ac:dyDescent="0.25">
      <c r="F7678" t="s">
        <v>7758</v>
      </c>
      <c r="G7678">
        <v>72479</v>
      </c>
      <c r="H7678">
        <v>8417</v>
      </c>
      <c r="I7678" s="25" t="s">
        <v>2018</v>
      </c>
      <c r="J7678" t="s">
        <v>2269</v>
      </c>
      <c r="M7678" s="49"/>
    </row>
    <row r="7679" spans="6:13" x14ac:dyDescent="0.25">
      <c r="F7679" t="s">
        <v>7759</v>
      </c>
      <c r="G7679">
        <v>56587</v>
      </c>
      <c r="H7679">
        <v>7138</v>
      </c>
      <c r="I7679" s="25" t="s">
        <v>2123</v>
      </c>
      <c r="J7679" t="s">
        <v>2489</v>
      </c>
      <c r="M7679" s="49"/>
    </row>
    <row r="7680" spans="6:13" x14ac:dyDescent="0.25">
      <c r="F7680" t="s">
        <v>7760</v>
      </c>
      <c r="G7680">
        <v>94342</v>
      </c>
      <c r="H7680">
        <v>9278</v>
      </c>
      <c r="I7680" s="25" t="s">
        <v>2050</v>
      </c>
      <c r="J7680" t="s">
        <v>2170</v>
      </c>
      <c r="M7680" s="49"/>
    </row>
    <row r="7681" spans="6:13" x14ac:dyDescent="0.25">
      <c r="F7681" t="s">
        <v>7761</v>
      </c>
      <c r="G7681">
        <v>82064</v>
      </c>
      <c r="H7681">
        <v>9184</v>
      </c>
      <c r="I7681" s="25" t="s">
        <v>2050</v>
      </c>
      <c r="J7681" t="s">
        <v>2547</v>
      </c>
      <c r="M7681" s="49"/>
    </row>
    <row r="7682" spans="6:13" x14ac:dyDescent="0.25">
      <c r="F7682" t="s">
        <v>7762</v>
      </c>
      <c r="G7682">
        <v>75334</v>
      </c>
      <c r="H7682">
        <v>8236</v>
      </c>
      <c r="I7682" s="25" t="s">
        <v>2018</v>
      </c>
      <c r="J7682" t="s">
        <v>3087</v>
      </c>
      <c r="M7682" s="49"/>
    </row>
    <row r="7683" spans="6:13" x14ac:dyDescent="0.25">
      <c r="F7683" t="s">
        <v>7763</v>
      </c>
      <c r="G7683">
        <v>94315</v>
      </c>
      <c r="H7683">
        <v>9263</v>
      </c>
      <c r="I7683" s="25" t="s">
        <v>2050</v>
      </c>
      <c r="J7683" t="s">
        <v>7764</v>
      </c>
      <c r="M7683" s="49"/>
    </row>
    <row r="7684" spans="6:13" x14ac:dyDescent="0.25">
      <c r="F7684" t="s">
        <v>7765</v>
      </c>
      <c r="G7684">
        <v>15913</v>
      </c>
      <c r="H7684">
        <v>12061</v>
      </c>
      <c r="I7684" s="25" t="s">
        <v>2356</v>
      </c>
      <c r="J7684" t="s">
        <v>3033</v>
      </c>
      <c r="M7684" s="49"/>
    </row>
    <row r="7685" spans="6:13" x14ac:dyDescent="0.25">
      <c r="F7685" t="s">
        <v>7766</v>
      </c>
      <c r="G7685">
        <v>15344</v>
      </c>
      <c r="H7685">
        <v>12064</v>
      </c>
      <c r="I7685" s="25" t="s">
        <v>2356</v>
      </c>
      <c r="J7685" t="s">
        <v>2243</v>
      </c>
      <c r="M7685" s="49"/>
    </row>
    <row r="7686" spans="6:13" x14ac:dyDescent="0.25">
      <c r="F7686" t="s">
        <v>7767</v>
      </c>
      <c r="G7686">
        <v>99634</v>
      </c>
      <c r="H7686">
        <v>16068</v>
      </c>
      <c r="I7686" s="25" t="s">
        <v>2384</v>
      </c>
      <c r="J7686" t="s">
        <v>3075</v>
      </c>
      <c r="M7686" s="49"/>
    </row>
    <row r="7687" spans="6:13" x14ac:dyDescent="0.25">
      <c r="F7687" t="s">
        <v>7768</v>
      </c>
      <c r="G7687">
        <v>1616</v>
      </c>
      <c r="H7687">
        <v>14627</v>
      </c>
      <c r="I7687" s="25" t="s">
        <v>2135</v>
      </c>
      <c r="J7687" t="s">
        <v>2251</v>
      </c>
      <c r="M7687" s="49"/>
    </row>
    <row r="7688" spans="6:13" x14ac:dyDescent="0.25">
      <c r="F7688" t="s">
        <v>7769</v>
      </c>
      <c r="G7688">
        <v>55442</v>
      </c>
      <c r="H7688">
        <v>7133</v>
      </c>
      <c r="I7688" s="25" t="s">
        <v>2123</v>
      </c>
      <c r="J7688" t="s">
        <v>2037</v>
      </c>
      <c r="M7688" s="49"/>
    </row>
    <row r="7689" spans="6:13" x14ac:dyDescent="0.25">
      <c r="F7689" t="s">
        <v>7770</v>
      </c>
      <c r="G7689">
        <v>96129</v>
      </c>
      <c r="H7689">
        <v>9471</v>
      </c>
      <c r="I7689" s="25" t="s">
        <v>2050</v>
      </c>
      <c r="J7689" t="s">
        <v>2392</v>
      </c>
      <c r="M7689" s="49"/>
    </row>
    <row r="7690" spans="6:13" x14ac:dyDescent="0.25">
      <c r="F7690" t="s">
        <v>7771</v>
      </c>
      <c r="G7690">
        <v>24643</v>
      </c>
      <c r="H7690">
        <v>1060</v>
      </c>
      <c r="I7690" s="25" t="s">
        <v>2085</v>
      </c>
      <c r="J7690" t="s">
        <v>2363</v>
      </c>
      <c r="M7690" s="49"/>
    </row>
    <row r="7691" spans="6:13" x14ac:dyDescent="0.25">
      <c r="F7691" t="s">
        <v>7772</v>
      </c>
      <c r="G7691">
        <v>24891</v>
      </c>
      <c r="H7691">
        <v>1059</v>
      </c>
      <c r="I7691" s="25" t="s">
        <v>2085</v>
      </c>
      <c r="J7691" t="s">
        <v>2354</v>
      </c>
      <c r="M7691" s="49"/>
    </row>
    <row r="7692" spans="6:13" x14ac:dyDescent="0.25">
      <c r="F7692" t="s">
        <v>7773</v>
      </c>
      <c r="G7692">
        <v>94166</v>
      </c>
      <c r="H7692">
        <v>9277</v>
      </c>
      <c r="I7692" s="25" t="s">
        <v>2050</v>
      </c>
      <c r="J7692" t="s">
        <v>2529</v>
      </c>
      <c r="M7692" s="49"/>
    </row>
    <row r="7693" spans="6:13" x14ac:dyDescent="0.25">
      <c r="F7693" t="s">
        <v>7774</v>
      </c>
      <c r="G7693">
        <v>79780</v>
      </c>
      <c r="H7693">
        <v>8337</v>
      </c>
      <c r="I7693" s="25" t="s">
        <v>2018</v>
      </c>
      <c r="J7693" t="s">
        <v>2248</v>
      </c>
      <c r="M7693" s="49"/>
    </row>
    <row r="7694" spans="6:13" x14ac:dyDescent="0.25">
      <c r="F7694" t="s">
        <v>7775</v>
      </c>
      <c r="G7694">
        <v>28816</v>
      </c>
      <c r="H7694">
        <v>3251</v>
      </c>
      <c r="I7694" s="25" t="s">
        <v>2074</v>
      </c>
      <c r="J7694" t="s">
        <v>2094</v>
      </c>
      <c r="M7694" s="49"/>
    </row>
    <row r="7695" spans="6:13" x14ac:dyDescent="0.25">
      <c r="F7695" t="s">
        <v>7776</v>
      </c>
      <c r="G7695">
        <v>92551</v>
      </c>
      <c r="H7695">
        <v>9376</v>
      </c>
      <c r="I7695" s="25" t="s">
        <v>2050</v>
      </c>
      <c r="J7695" t="s">
        <v>2390</v>
      </c>
      <c r="M7695" s="49"/>
    </row>
    <row r="7696" spans="6:13" x14ac:dyDescent="0.25">
      <c r="F7696" t="s">
        <v>7777</v>
      </c>
      <c r="G7696">
        <v>76297</v>
      </c>
      <c r="H7696">
        <v>8215</v>
      </c>
      <c r="I7696" s="25" t="s">
        <v>2018</v>
      </c>
      <c r="J7696" t="s">
        <v>2724</v>
      </c>
      <c r="M7696" s="49"/>
    </row>
    <row r="7697" spans="6:13" x14ac:dyDescent="0.25">
      <c r="F7697" t="s">
        <v>7778</v>
      </c>
      <c r="G7697">
        <v>70197</v>
      </c>
      <c r="H7697">
        <v>8111</v>
      </c>
      <c r="I7697" s="25" t="s">
        <v>2018</v>
      </c>
      <c r="J7697" t="s">
        <v>7779</v>
      </c>
      <c r="M7697" s="49"/>
    </row>
    <row r="7698" spans="6:13" x14ac:dyDescent="0.25">
      <c r="F7698" t="s">
        <v>7778</v>
      </c>
      <c r="G7698">
        <v>70469</v>
      </c>
      <c r="H7698">
        <v>8111</v>
      </c>
      <c r="I7698" s="25" t="s">
        <v>2018</v>
      </c>
      <c r="J7698" t="s">
        <v>7779</v>
      </c>
      <c r="M7698" s="49"/>
    </row>
    <row r="7699" spans="6:13" x14ac:dyDescent="0.25">
      <c r="F7699" t="s">
        <v>7778</v>
      </c>
      <c r="G7699">
        <v>70439</v>
      </c>
      <c r="H7699">
        <v>8111</v>
      </c>
      <c r="I7699" s="25" t="s">
        <v>2018</v>
      </c>
      <c r="J7699" t="s">
        <v>7779</v>
      </c>
      <c r="M7699" s="49"/>
    </row>
    <row r="7700" spans="6:13" x14ac:dyDescent="0.25">
      <c r="F7700" t="s">
        <v>7778</v>
      </c>
      <c r="G7700">
        <v>70176</v>
      </c>
      <c r="H7700">
        <v>8111</v>
      </c>
      <c r="I7700" s="25" t="s">
        <v>2018</v>
      </c>
      <c r="J7700" t="s">
        <v>7779</v>
      </c>
      <c r="M7700" s="49"/>
    </row>
    <row r="7701" spans="6:13" x14ac:dyDescent="0.25">
      <c r="F7701" t="s">
        <v>7778</v>
      </c>
      <c r="G7701">
        <v>70374</v>
      </c>
      <c r="H7701">
        <v>8111</v>
      </c>
      <c r="I7701" s="25" t="s">
        <v>2018</v>
      </c>
      <c r="J7701" t="s">
        <v>7779</v>
      </c>
      <c r="M7701" s="49"/>
    </row>
    <row r="7702" spans="6:13" x14ac:dyDescent="0.25">
      <c r="F7702" t="s">
        <v>7778</v>
      </c>
      <c r="G7702">
        <v>70563</v>
      </c>
      <c r="H7702">
        <v>8111</v>
      </c>
      <c r="I7702" s="25" t="s">
        <v>2018</v>
      </c>
      <c r="J7702" t="s">
        <v>7779</v>
      </c>
      <c r="M7702" s="49"/>
    </row>
    <row r="7703" spans="6:13" x14ac:dyDescent="0.25">
      <c r="F7703" t="s">
        <v>7778</v>
      </c>
      <c r="G7703">
        <v>70188</v>
      </c>
      <c r="H7703">
        <v>8111</v>
      </c>
      <c r="I7703" s="25" t="s">
        <v>2018</v>
      </c>
      <c r="J7703" t="s">
        <v>7779</v>
      </c>
      <c r="M7703" s="49"/>
    </row>
    <row r="7704" spans="6:13" x14ac:dyDescent="0.25">
      <c r="F7704" t="s">
        <v>7778</v>
      </c>
      <c r="G7704">
        <v>70190</v>
      </c>
      <c r="H7704">
        <v>8111</v>
      </c>
      <c r="I7704" s="25" t="s">
        <v>2018</v>
      </c>
      <c r="J7704" t="s">
        <v>7779</v>
      </c>
      <c r="M7704" s="49"/>
    </row>
    <row r="7705" spans="6:13" x14ac:dyDescent="0.25">
      <c r="F7705" t="s">
        <v>7778</v>
      </c>
      <c r="G7705">
        <v>70439</v>
      </c>
      <c r="H7705">
        <v>8111</v>
      </c>
      <c r="I7705" s="25" t="s">
        <v>2018</v>
      </c>
      <c r="J7705" t="s">
        <v>7779</v>
      </c>
      <c r="M7705" s="49"/>
    </row>
    <row r="7706" spans="6:13" x14ac:dyDescent="0.25">
      <c r="F7706" t="s">
        <v>7778</v>
      </c>
      <c r="G7706">
        <v>70178</v>
      </c>
      <c r="H7706">
        <v>8111</v>
      </c>
      <c r="I7706" s="25" t="s">
        <v>2018</v>
      </c>
      <c r="J7706" t="s">
        <v>7779</v>
      </c>
      <c r="M7706" s="49"/>
    </row>
    <row r="7707" spans="6:13" x14ac:dyDescent="0.25">
      <c r="F7707" t="s">
        <v>7778</v>
      </c>
      <c r="G7707">
        <v>70192</v>
      </c>
      <c r="H7707">
        <v>8111</v>
      </c>
      <c r="I7707" s="25" t="s">
        <v>2018</v>
      </c>
      <c r="J7707" t="s">
        <v>7779</v>
      </c>
      <c r="M7707" s="49"/>
    </row>
    <row r="7708" spans="6:13" x14ac:dyDescent="0.25">
      <c r="F7708" t="s">
        <v>7778</v>
      </c>
      <c r="G7708">
        <v>70174</v>
      </c>
      <c r="H7708">
        <v>8111</v>
      </c>
      <c r="I7708" s="25" t="s">
        <v>2018</v>
      </c>
      <c r="J7708" t="s">
        <v>7779</v>
      </c>
      <c r="M7708" s="49"/>
    </row>
    <row r="7709" spans="6:13" x14ac:dyDescent="0.25">
      <c r="F7709" t="s">
        <v>7778</v>
      </c>
      <c r="G7709">
        <v>70599</v>
      </c>
      <c r="H7709">
        <v>8111</v>
      </c>
      <c r="I7709" s="25" t="s">
        <v>2018</v>
      </c>
      <c r="J7709" t="s">
        <v>7779</v>
      </c>
      <c r="M7709" s="49"/>
    </row>
    <row r="7710" spans="6:13" x14ac:dyDescent="0.25">
      <c r="F7710" t="s">
        <v>7778</v>
      </c>
      <c r="G7710">
        <v>70376</v>
      </c>
      <c r="H7710">
        <v>8111</v>
      </c>
      <c r="I7710" s="25" t="s">
        <v>2018</v>
      </c>
      <c r="J7710" t="s">
        <v>7779</v>
      </c>
      <c r="M7710" s="49"/>
    </row>
    <row r="7711" spans="6:13" x14ac:dyDescent="0.25">
      <c r="F7711" t="s">
        <v>7778</v>
      </c>
      <c r="G7711">
        <v>70199</v>
      </c>
      <c r="H7711">
        <v>8111</v>
      </c>
      <c r="I7711" s="25" t="s">
        <v>2018</v>
      </c>
      <c r="J7711" t="s">
        <v>7779</v>
      </c>
      <c r="M7711" s="49"/>
    </row>
    <row r="7712" spans="6:13" x14ac:dyDescent="0.25">
      <c r="F7712" t="s">
        <v>7778</v>
      </c>
      <c r="G7712">
        <v>70193</v>
      </c>
      <c r="H7712">
        <v>8111</v>
      </c>
      <c r="I7712" s="25" t="s">
        <v>2018</v>
      </c>
      <c r="J7712" t="s">
        <v>7779</v>
      </c>
      <c r="M7712" s="49"/>
    </row>
    <row r="7713" spans="6:13" x14ac:dyDescent="0.25">
      <c r="F7713" t="s">
        <v>7778</v>
      </c>
      <c r="G7713">
        <v>70565</v>
      </c>
      <c r="H7713">
        <v>8111</v>
      </c>
      <c r="I7713" s="25" t="s">
        <v>2018</v>
      </c>
      <c r="J7713" t="s">
        <v>7779</v>
      </c>
      <c r="M7713" s="49"/>
    </row>
    <row r="7714" spans="6:13" x14ac:dyDescent="0.25">
      <c r="F7714" t="s">
        <v>7778</v>
      </c>
      <c r="G7714">
        <v>70184</v>
      </c>
      <c r="H7714">
        <v>8111</v>
      </c>
      <c r="I7714" s="25" t="s">
        <v>2018</v>
      </c>
      <c r="J7714" t="s">
        <v>7779</v>
      </c>
      <c r="M7714" s="49"/>
    </row>
    <row r="7715" spans="6:13" x14ac:dyDescent="0.25">
      <c r="F7715" t="s">
        <v>7778</v>
      </c>
      <c r="G7715">
        <v>70327</v>
      </c>
      <c r="H7715">
        <v>8111</v>
      </c>
      <c r="I7715" s="25" t="s">
        <v>2018</v>
      </c>
      <c r="J7715" t="s">
        <v>7779</v>
      </c>
      <c r="M7715" s="49"/>
    </row>
    <row r="7716" spans="6:13" x14ac:dyDescent="0.25">
      <c r="F7716" t="s">
        <v>7778</v>
      </c>
      <c r="G7716">
        <v>70372</v>
      </c>
      <c r="H7716">
        <v>8111</v>
      </c>
      <c r="I7716" s="25" t="s">
        <v>2018</v>
      </c>
      <c r="J7716" t="s">
        <v>7779</v>
      </c>
      <c r="M7716" s="49"/>
    </row>
    <row r="7717" spans="6:13" x14ac:dyDescent="0.25">
      <c r="F7717" t="s">
        <v>7778</v>
      </c>
      <c r="G7717">
        <v>70569</v>
      </c>
      <c r="H7717">
        <v>8111</v>
      </c>
      <c r="I7717" s="25" t="s">
        <v>2018</v>
      </c>
      <c r="J7717" t="s">
        <v>7779</v>
      </c>
      <c r="M7717" s="49"/>
    </row>
    <row r="7718" spans="6:13" x14ac:dyDescent="0.25">
      <c r="F7718" t="s">
        <v>7778</v>
      </c>
      <c r="G7718">
        <v>70499</v>
      </c>
      <c r="H7718">
        <v>8111</v>
      </c>
      <c r="I7718" s="25" t="s">
        <v>2018</v>
      </c>
      <c r="J7718" t="s">
        <v>7779</v>
      </c>
      <c r="M7718" s="49"/>
    </row>
    <row r="7719" spans="6:13" x14ac:dyDescent="0.25">
      <c r="F7719" t="s">
        <v>7778</v>
      </c>
      <c r="G7719">
        <v>70435</v>
      </c>
      <c r="H7719">
        <v>8111</v>
      </c>
      <c r="I7719" s="25" t="s">
        <v>2018</v>
      </c>
      <c r="J7719" t="s">
        <v>7779</v>
      </c>
      <c r="M7719" s="49"/>
    </row>
    <row r="7720" spans="6:13" x14ac:dyDescent="0.25">
      <c r="F7720" t="s">
        <v>7778</v>
      </c>
      <c r="G7720">
        <v>70437</v>
      </c>
      <c r="H7720">
        <v>8111</v>
      </c>
      <c r="I7720" s="25" t="s">
        <v>2018</v>
      </c>
      <c r="J7720" t="s">
        <v>7779</v>
      </c>
      <c r="M7720" s="49"/>
    </row>
    <row r="7721" spans="6:13" x14ac:dyDescent="0.25">
      <c r="F7721" t="s">
        <v>7778</v>
      </c>
      <c r="G7721">
        <v>70186</v>
      </c>
      <c r="H7721">
        <v>8111</v>
      </c>
      <c r="I7721" s="25" t="s">
        <v>2018</v>
      </c>
      <c r="J7721" t="s">
        <v>7779</v>
      </c>
      <c r="M7721" s="49"/>
    </row>
    <row r="7722" spans="6:13" x14ac:dyDescent="0.25">
      <c r="F7722" t="s">
        <v>7778</v>
      </c>
      <c r="G7722">
        <v>70378</v>
      </c>
      <c r="H7722">
        <v>8111</v>
      </c>
      <c r="I7722" s="25" t="s">
        <v>2018</v>
      </c>
      <c r="J7722" t="s">
        <v>7779</v>
      </c>
      <c r="M7722" s="49"/>
    </row>
    <row r="7723" spans="6:13" x14ac:dyDescent="0.25">
      <c r="F7723" t="s">
        <v>7778</v>
      </c>
      <c r="G7723">
        <v>70597</v>
      </c>
      <c r="H7723">
        <v>8111</v>
      </c>
      <c r="I7723" s="25" t="s">
        <v>2018</v>
      </c>
      <c r="J7723" t="s">
        <v>7779</v>
      </c>
      <c r="M7723" s="49"/>
    </row>
    <row r="7724" spans="6:13" x14ac:dyDescent="0.25">
      <c r="F7724" t="s">
        <v>7778</v>
      </c>
      <c r="G7724">
        <v>70173</v>
      </c>
      <c r="H7724">
        <v>8111</v>
      </c>
      <c r="I7724" s="25" t="s">
        <v>2018</v>
      </c>
      <c r="J7724" t="s">
        <v>7779</v>
      </c>
      <c r="M7724" s="49"/>
    </row>
    <row r="7725" spans="6:13" x14ac:dyDescent="0.25">
      <c r="F7725" t="s">
        <v>7778</v>
      </c>
      <c r="G7725">
        <v>70191</v>
      </c>
      <c r="H7725">
        <v>8111</v>
      </c>
      <c r="I7725" s="25" t="s">
        <v>2018</v>
      </c>
      <c r="J7725" t="s">
        <v>7779</v>
      </c>
      <c r="M7725" s="49"/>
    </row>
    <row r="7726" spans="6:13" x14ac:dyDescent="0.25">
      <c r="F7726" t="s">
        <v>7778</v>
      </c>
      <c r="G7726">
        <v>70619</v>
      </c>
      <c r="H7726">
        <v>8111</v>
      </c>
      <c r="I7726" s="25" t="s">
        <v>2018</v>
      </c>
      <c r="J7726" t="s">
        <v>7779</v>
      </c>
      <c r="M7726" s="49"/>
    </row>
    <row r="7727" spans="6:13" x14ac:dyDescent="0.25">
      <c r="F7727" t="s">
        <v>7778</v>
      </c>
      <c r="G7727">
        <v>70195</v>
      </c>
      <c r="H7727">
        <v>8111</v>
      </c>
      <c r="I7727" s="25" t="s">
        <v>2018</v>
      </c>
      <c r="J7727" t="s">
        <v>7779</v>
      </c>
      <c r="M7727" s="49"/>
    </row>
    <row r="7728" spans="6:13" x14ac:dyDescent="0.25">
      <c r="F7728" t="s">
        <v>7778</v>
      </c>
      <c r="G7728">
        <v>70567</v>
      </c>
      <c r="H7728">
        <v>8111</v>
      </c>
      <c r="I7728" s="25" t="s">
        <v>2018</v>
      </c>
      <c r="J7728" t="s">
        <v>7779</v>
      </c>
      <c r="M7728" s="49"/>
    </row>
    <row r="7729" spans="6:13" x14ac:dyDescent="0.25">
      <c r="F7729" t="s">
        <v>7778</v>
      </c>
      <c r="G7729">
        <v>70180</v>
      </c>
      <c r="H7729">
        <v>8111</v>
      </c>
      <c r="I7729" s="25" t="s">
        <v>2018</v>
      </c>
      <c r="J7729" t="s">
        <v>7779</v>
      </c>
      <c r="M7729" s="49"/>
    </row>
    <row r="7730" spans="6:13" x14ac:dyDescent="0.25">
      <c r="F7730" t="s">
        <v>7778</v>
      </c>
      <c r="G7730">
        <v>70182</v>
      </c>
      <c r="H7730">
        <v>8111</v>
      </c>
      <c r="I7730" s="25" t="s">
        <v>2018</v>
      </c>
      <c r="J7730" t="s">
        <v>7779</v>
      </c>
      <c r="M7730" s="49"/>
    </row>
    <row r="7731" spans="6:13" x14ac:dyDescent="0.25">
      <c r="F7731" t="s">
        <v>7778</v>
      </c>
      <c r="G7731">
        <v>70329</v>
      </c>
      <c r="H7731">
        <v>8111</v>
      </c>
      <c r="I7731" s="25" t="s">
        <v>2018</v>
      </c>
      <c r="J7731" t="s">
        <v>7779</v>
      </c>
      <c r="M7731" s="49"/>
    </row>
    <row r="7732" spans="6:13" x14ac:dyDescent="0.25">
      <c r="F7732" t="s">
        <v>7780</v>
      </c>
      <c r="G7732">
        <v>70629</v>
      </c>
      <c r="H7732">
        <v>8111</v>
      </c>
      <c r="I7732" s="25" t="s">
        <v>2018</v>
      </c>
      <c r="J7732" t="s">
        <v>7779</v>
      </c>
      <c r="M7732" s="49"/>
    </row>
    <row r="7733" spans="6:13" x14ac:dyDescent="0.25">
      <c r="F7733" t="s">
        <v>7781</v>
      </c>
      <c r="G7733">
        <v>8328</v>
      </c>
      <c r="H7733">
        <v>14521</v>
      </c>
      <c r="I7733" s="25" t="s">
        <v>2135</v>
      </c>
      <c r="J7733" t="s">
        <v>2032</v>
      </c>
      <c r="M7733" s="49"/>
    </row>
    <row r="7734" spans="6:13" x14ac:dyDescent="0.25">
      <c r="F7734" t="s">
        <v>7782</v>
      </c>
      <c r="G7734">
        <v>26624</v>
      </c>
      <c r="H7734">
        <v>3452</v>
      </c>
      <c r="I7734" s="25" t="s">
        <v>2074</v>
      </c>
      <c r="J7734" t="s">
        <v>2034</v>
      </c>
      <c r="M7734" s="49"/>
    </row>
    <row r="7735" spans="6:13" x14ac:dyDescent="0.25">
      <c r="F7735" t="s">
        <v>7783</v>
      </c>
      <c r="G7735">
        <v>99988</v>
      </c>
      <c r="H7735">
        <v>16064</v>
      </c>
      <c r="I7735" s="25" t="s">
        <v>2384</v>
      </c>
      <c r="J7735" t="s">
        <v>2405</v>
      </c>
      <c r="M7735" s="49"/>
    </row>
    <row r="7736" spans="6:13" x14ac:dyDescent="0.25">
      <c r="F7736" t="s">
        <v>7784</v>
      </c>
      <c r="G7736">
        <v>24392</v>
      </c>
      <c r="H7736">
        <v>1059</v>
      </c>
      <c r="I7736" s="25" t="s">
        <v>2085</v>
      </c>
      <c r="J7736" t="s">
        <v>2354</v>
      </c>
      <c r="M7736" s="49"/>
    </row>
    <row r="7737" spans="6:13" x14ac:dyDescent="0.25">
      <c r="F7737" t="s">
        <v>7785</v>
      </c>
      <c r="G7737">
        <v>29556</v>
      </c>
      <c r="H7737">
        <v>3360</v>
      </c>
      <c r="I7737" s="25" t="s">
        <v>2074</v>
      </c>
      <c r="J7737" t="s">
        <v>2400</v>
      </c>
      <c r="M7737" s="49"/>
    </row>
    <row r="7738" spans="6:13" x14ac:dyDescent="0.25">
      <c r="F7738" t="s">
        <v>7786</v>
      </c>
      <c r="G7738">
        <v>25727</v>
      </c>
      <c r="H7738">
        <v>1051</v>
      </c>
      <c r="I7738" s="25" t="s">
        <v>2085</v>
      </c>
      <c r="J7738" t="s">
        <v>2097</v>
      </c>
      <c r="M7738" s="49"/>
    </row>
    <row r="7739" spans="6:13" x14ac:dyDescent="0.25">
      <c r="F7739" t="s">
        <v>7787</v>
      </c>
      <c r="G7739">
        <v>25923</v>
      </c>
      <c r="H7739">
        <v>1054</v>
      </c>
      <c r="I7739" s="25" t="s">
        <v>2085</v>
      </c>
      <c r="J7739" t="s">
        <v>2195</v>
      </c>
      <c r="M7739" s="49"/>
    </row>
    <row r="7740" spans="6:13" x14ac:dyDescent="0.25">
      <c r="F7740" t="s">
        <v>7788</v>
      </c>
      <c r="G7740">
        <v>25849</v>
      </c>
      <c r="H7740">
        <v>1054</v>
      </c>
      <c r="I7740" s="25" t="s">
        <v>2085</v>
      </c>
      <c r="J7740" t="s">
        <v>2195</v>
      </c>
      <c r="M7740" s="49"/>
    </row>
    <row r="7741" spans="6:13" x14ac:dyDescent="0.25">
      <c r="F7741" t="s">
        <v>7788</v>
      </c>
      <c r="G7741">
        <v>25849</v>
      </c>
      <c r="H7741">
        <v>1054</v>
      </c>
      <c r="I7741" s="25" t="s">
        <v>2085</v>
      </c>
      <c r="J7741" t="s">
        <v>2195</v>
      </c>
      <c r="M7741" s="49"/>
    </row>
    <row r="7742" spans="6:13" x14ac:dyDescent="0.25">
      <c r="F7742" t="s">
        <v>7789</v>
      </c>
      <c r="G7742">
        <v>6536</v>
      </c>
      <c r="H7742">
        <v>15087</v>
      </c>
      <c r="I7742" s="25" t="s">
        <v>2241</v>
      </c>
      <c r="J7742" t="s">
        <v>2324</v>
      </c>
      <c r="M7742" s="49"/>
    </row>
    <row r="7743" spans="6:13" x14ac:dyDescent="0.25">
      <c r="F7743" t="s">
        <v>7789</v>
      </c>
      <c r="G7743">
        <v>6536</v>
      </c>
      <c r="H7743">
        <v>15087</v>
      </c>
      <c r="I7743" s="25" t="s">
        <v>2241</v>
      </c>
      <c r="J7743" t="s">
        <v>2324</v>
      </c>
      <c r="M7743" s="49"/>
    </row>
    <row r="7744" spans="6:13" x14ac:dyDescent="0.25">
      <c r="F7744" t="s">
        <v>7789</v>
      </c>
      <c r="G7744">
        <v>6536</v>
      </c>
      <c r="H7744">
        <v>15087</v>
      </c>
      <c r="I7744" s="25" t="s">
        <v>2241</v>
      </c>
      <c r="J7744" t="s">
        <v>2324</v>
      </c>
      <c r="M7744" s="49"/>
    </row>
    <row r="7745" spans="6:13" x14ac:dyDescent="0.25">
      <c r="F7745" t="s">
        <v>7790</v>
      </c>
      <c r="G7745">
        <v>6369</v>
      </c>
      <c r="H7745">
        <v>15082</v>
      </c>
      <c r="I7745" s="25" t="s">
        <v>2241</v>
      </c>
      <c r="J7745" t="s">
        <v>2242</v>
      </c>
      <c r="M7745" s="49"/>
    </row>
    <row r="7746" spans="6:13" x14ac:dyDescent="0.25">
      <c r="F7746" t="s">
        <v>7790</v>
      </c>
      <c r="G7746">
        <v>6369</v>
      </c>
      <c r="H7746">
        <v>15082</v>
      </c>
      <c r="I7746" s="25" t="s">
        <v>2241</v>
      </c>
      <c r="J7746" t="s">
        <v>2242</v>
      </c>
      <c r="M7746" s="49"/>
    </row>
    <row r="7747" spans="6:13" x14ac:dyDescent="0.25">
      <c r="F7747" t="s">
        <v>7791</v>
      </c>
      <c r="G7747">
        <v>6388</v>
      </c>
      <c r="H7747">
        <v>15082</v>
      </c>
      <c r="I7747" s="25" t="s">
        <v>2241</v>
      </c>
      <c r="J7747" t="s">
        <v>2242</v>
      </c>
      <c r="M7747" s="49"/>
    </row>
    <row r="7748" spans="6:13" x14ac:dyDescent="0.25">
      <c r="F7748" t="s">
        <v>7792</v>
      </c>
      <c r="G7748">
        <v>46354</v>
      </c>
      <c r="H7748">
        <v>5554</v>
      </c>
      <c r="I7748" s="25" t="s">
        <v>2023</v>
      </c>
      <c r="J7748" t="s">
        <v>2055</v>
      </c>
      <c r="M7748" s="49"/>
    </row>
    <row r="7749" spans="6:13" x14ac:dyDescent="0.25">
      <c r="F7749" t="s">
        <v>7793</v>
      </c>
      <c r="G7749">
        <v>91484</v>
      </c>
      <c r="H7749">
        <v>9575</v>
      </c>
      <c r="I7749" s="25" t="s">
        <v>2050</v>
      </c>
      <c r="J7749" t="s">
        <v>2749</v>
      </c>
      <c r="M7749" s="49"/>
    </row>
    <row r="7750" spans="6:13" x14ac:dyDescent="0.25">
      <c r="F7750" t="s">
        <v>7794</v>
      </c>
      <c r="G7750">
        <v>98528</v>
      </c>
      <c r="H7750">
        <v>16054</v>
      </c>
      <c r="I7750" s="25" t="s">
        <v>2384</v>
      </c>
      <c r="J7750" t="s">
        <v>6475</v>
      </c>
      <c r="M7750" s="49"/>
    </row>
    <row r="7751" spans="6:13" x14ac:dyDescent="0.25">
      <c r="F7751" t="s">
        <v>7794</v>
      </c>
      <c r="G7751">
        <v>98529</v>
      </c>
      <c r="H7751">
        <v>16054</v>
      </c>
      <c r="I7751" s="25" t="s">
        <v>2384</v>
      </c>
      <c r="J7751" t="s">
        <v>6475</v>
      </c>
      <c r="M7751" s="49"/>
    </row>
    <row r="7752" spans="6:13" x14ac:dyDescent="0.25">
      <c r="F7752" t="s">
        <v>7794</v>
      </c>
      <c r="G7752">
        <v>98527</v>
      </c>
      <c r="H7752">
        <v>16054</v>
      </c>
      <c r="I7752" s="25" t="s">
        <v>2384</v>
      </c>
      <c r="J7752" t="s">
        <v>6475</v>
      </c>
      <c r="M7752" s="49"/>
    </row>
    <row r="7753" spans="6:13" x14ac:dyDescent="0.25">
      <c r="F7753" t="s">
        <v>7794</v>
      </c>
      <c r="G7753">
        <v>98711</v>
      </c>
      <c r="H7753">
        <v>16054</v>
      </c>
      <c r="I7753" s="25" t="s">
        <v>2384</v>
      </c>
      <c r="J7753" t="s">
        <v>6475</v>
      </c>
      <c r="M7753" s="49"/>
    </row>
    <row r="7754" spans="6:13" x14ac:dyDescent="0.25">
      <c r="F7754" t="s">
        <v>7795</v>
      </c>
      <c r="G7754">
        <v>98530</v>
      </c>
      <c r="H7754">
        <v>16054</v>
      </c>
      <c r="I7754" s="25" t="s">
        <v>2384</v>
      </c>
      <c r="J7754" t="s">
        <v>6475</v>
      </c>
      <c r="M7754" s="49"/>
    </row>
    <row r="7755" spans="6:13" x14ac:dyDescent="0.25">
      <c r="F7755" t="s">
        <v>7795</v>
      </c>
      <c r="G7755">
        <v>98530</v>
      </c>
      <c r="H7755">
        <v>16066</v>
      </c>
      <c r="I7755" s="25" t="s">
        <v>2384</v>
      </c>
      <c r="J7755" t="s">
        <v>2358</v>
      </c>
      <c r="M7755" s="49"/>
    </row>
    <row r="7756" spans="6:13" x14ac:dyDescent="0.25">
      <c r="F7756" t="s">
        <v>7795</v>
      </c>
      <c r="G7756">
        <v>98530</v>
      </c>
      <c r="H7756">
        <v>16069</v>
      </c>
      <c r="I7756" s="25" t="s">
        <v>2384</v>
      </c>
      <c r="J7756" t="s">
        <v>2631</v>
      </c>
      <c r="M7756" s="49"/>
    </row>
    <row r="7757" spans="6:13" x14ac:dyDescent="0.25">
      <c r="F7757" t="s">
        <v>7796</v>
      </c>
      <c r="G7757">
        <v>29562</v>
      </c>
      <c r="H7757">
        <v>3360</v>
      </c>
      <c r="I7757" s="25" t="s">
        <v>2074</v>
      </c>
      <c r="J7757" t="s">
        <v>2400</v>
      </c>
      <c r="M7757" s="49"/>
    </row>
    <row r="7758" spans="6:13" x14ac:dyDescent="0.25">
      <c r="F7758" t="s">
        <v>7797</v>
      </c>
      <c r="G7758">
        <v>23867</v>
      </c>
      <c r="H7758">
        <v>1060</v>
      </c>
      <c r="I7758" s="25" t="s">
        <v>2085</v>
      </c>
      <c r="J7758" t="s">
        <v>2363</v>
      </c>
      <c r="M7758" s="49"/>
    </row>
    <row r="7759" spans="6:13" x14ac:dyDescent="0.25">
      <c r="F7759" t="s">
        <v>7798</v>
      </c>
      <c r="G7759">
        <v>27232</v>
      </c>
      <c r="H7759">
        <v>3251</v>
      </c>
      <c r="I7759" s="25" t="s">
        <v>2074</v>
      </c>
      <c r="J7759" t="s">
        <v>2094</v>
      </c>
      <c r="M7759" s="49"/>
    </row>
    <row r="7760" spans="6:13" x14ac:dyDescent="0.25">
      <c r="F7760" t="s">
        <v>7799</v>
      </c>
      <c r="G7760">
        <v>72172</v>
      </c>
      <c r="H7760">
        <v>8325</v>
      </c>
      <c r="I7760" s="25" t="s">
        <v>2018</v>
      </c>
      <c r="J7760" t="s">
        <v>2208</v>
      </c>
      <c r="M7760" s="49"/>
    </row>
    <row r="7761" spans="6:13" x14ac:dyDescent="0.25">
      <c r="F7761" t="s">
        <v>7800</v>
      </c>
      <c r="G7761">
        <v>65843</v>
      </c>
      <c r="H7761">
        <v>6436</v>
      </c>
      <c r="I7761" s="25" t="s">
        <v>2046</v>
      </c>
      <c r="J7761" t="s">
        <v>2730</v>
      </c>
      <c r="M7761" s="49"/>
    </row>
    <row r="7762" spans="6:13" x14ac:dyDescent="0.25">
      <c r="F7762" t="s">
        <v>7801</v>
      </c>
      <c r="G7762">
        <v>63834</v>
      </c>
      <c r="H7762">
        <v>9676</v>
      </c>
      <c r="I7762" s="25" t="s">
        <v>2050</v>
      </c>
      <c r="J7762" t="s">
        <v>2381</v>
      </c>
      <c r="M7762" s="49"/>
    </row>
    <row r="7763" spans="6:13" x14ac:dyDescent="0.25">
      <c r="F7763" t="s">
        <v>7802</v>
      </c>
      <c r="G7763">
        <v>71560</v>
      </c>
      <c r="H7763">
        <v>8119</v>
      </c>
      <c r="I7763" s="25" t="s">
        <v>2018</v>
      </c>
      <c r="J7763" t="s">
        <v>2287</v>
      </c>
      <c r="M7763" s="49"/>
    </row>
    <row r="7764" spans="6:13" x14ac:dyDescent="0.25">
      <c r="F7764" t="s">
        <v>7803</v>
      </c>
      <c r="G7764">
        <v>66280</v>
      </c>
      <c r="H7764">
        <v>10041</v>
      </c>
      <c r="I7764" s="25" t="s">
        <v>2849</v>
      </c>
      <c r="J7764" t="s">
        <v>4138</v>
      </c>
      <c r="M7764" s="49"/>
    </row>
    <row r="7765" spans="6:13" x14ac:dyDescent="0.25">
      <c r="F7765" t="s">
        <v>7804</v>
      </c>
      <c r="G7765">
        <v>74429</v>
      </c>
      <c r="H7765">
        <v>8127</v>
      </c>
      <c r="I7765" s="25" t="s">
        <v>2018</v>
      </c>
      <c r="J7765" t="s">
        <v>3126</v>
      </c>
      <c r="M7765" s="49"/>
    </row>
    <row r="7766" spans="6:13" x14ac:dyDescent="0.25">
      <c r="F7766" t="s">
        <v>7805</v>
      </c>
      <c r="G7766">
        <v>92237</v>
      </c>
      <c r="H7766">
        <v>9371</v>
      </c>
      <c r="I7766" s="25" t="s">
        <v>2050</v>
      </c>
      <c r="J7766" t="s">
        <v>2469</v>
      </c>
      <c r="M7766" s="49"/>
    </row>
    <row r="7767" spans="6:13" x14ac:dyDescent="0.25">
      <c r="F7767" t="s">
        <v>7806</v>
      </c>
      <c r="G7767">
        <v>87477</v>
      </c>
      <c r="H7767">
        <v>9780</v>
      </c>
      <c r="I7767" s="25" t="s">
        <v>2050</v>
      </c>
      <c r="J7767" t="s">
        <v>2278</v>
      </c>
      <c r="M7767" s="49"/>
    </row>
    <row r="7768" spans="6:13" x14ac:dyDescent="0.25">
      <c r="F7768" t="s">
        <v>7807</v>
      </c>
      <c r="G7768">
        <v>79295</v>
      </c>
      <c r="H7768">
        <v>8315</v>
      </c>
      <c r="I7768" s="25" t="s">
        <v>2018</v>
      </c>
      <c r="J7768" t="s">
        <v>2061</v>
      </c>
      <c r="M7768" s="49"/>
    </row>
    <row r="7769" spans="6:13" x14ac:dyDescent="0.25">
      <c r="F7769" t="s">
        <v>7808</v>
      </c>
      <c r="G7769">
        <v>97528</v>
      </c>
      <c r="H7769">
        <v>9673</v>
      </c>
      <c r="I7769" s="25" t="s">
        <v>2050</v>
      </c>
      <c r="J7769" t="s">
        <v>2676</v>
      </c>
      <c r="M7769" s="49"/>
    </row>
    <row r="7770" spans="6:13" x14ac:dyDescent="0.25">
      <c r="F7770" t="s">
        <v>7809</v>
      </c>
      <c r="G7770">
        <v>85254</v>
      </c>
      <c r="H7770">
        <v>9174</v>
      </c>
      <c r="I7770" s="25" t="s">
        <v>2050</v>
      </c>
      <c r="J7770" t="s">
        <v>2445</v>
      </c>
      <c r="M7770" s="49"/>
    </row>
    <row r="7771" spans="6:13" x14ac:dyDescent="0.25">
      <c r="F7771" t="s">
        <v>7809</v>
      </c>
      <c r="G7771">
        <v>85259</v>
      </c>
      <c r="H7771">
        <v>9174</v>
      </c>
      <c r="I7771" s="25" t="s">
        <v>2050</v>
      </c>
      <c r="J7771" t="s">
        <v>2445</v>
      </c>
      <c r="M7771" s="49"/>
    </row>
    <row r="7772" spans="6:13" x14ac:dyDescent="0.25">
      <c r="F7772" t="s">
        <v>7810</v>
      </c>
      <c r="G7772">
        <v>39171</v>
      </c>
      <c r="H7772">
        <v>15083</v>
      </c>
      <c r="I7772" s="25" t="s">
        <v>2241</v>
      </c>
      <c r="J7772" t="s">
        <v>2052</v>
      </c>
      <c r="M7772" s="49"/>
    </row>
    <row r="7773" spans="6:13" x14ac:dyDescent="0.25">
      <c r="F7773" t="s">
        <v>7811</v>
      </c>
      <c r="G7773">
        <v>75056</v>
      </c>
      <c r="H7773">
        <v>8215</v>
      </c>
      <c r="I7773" s="25" t="s">
        <v>2018</v>
      </c>
      <c r="J7773" t="s">
        <v>2724</v>
      </c>
      <c r="M7773" s="49"/>
    </row>
    <row r="7774" spans="6:13" x14ac:dyDescent="0.25">
      <c r="F7774" t="s">
        <v>7811</v>
      </c>
      <c r="G7774">
        <v>97633</v>
      </c>
      <c r="H7774">
        <v>9673</v>
      </c>
      <c r="I7774" s="25" t="s">
        <v>2050</v>
      </c>
      <c r="J7774" t="s">
        <v>2676</v>
      </c>
      <c r="M7774" s="49"/>
    </row>
    <row r="7775" spans="6:13" x14ac:dyDescent="0.25">
      <c r="F7775" t="s">
        <v>7812</v>
      </c>
      <c r="G7775">
        <v>97529</v>
      </c>
      <c r="H7775">
        <v>9678</v>
      </c>
      <c r="I7775" s="25" t="s">
        <v>2050</v>
      </c>
      <c r="J7775" t="s">
        <v>2918</v>
      </c>
      <c r="M7775" s="49"/>
    </row>
    <row r="7776" spans="6:13" x14ac:dyDescent="0.25">
      <c r="F7776" t="s">
        <v>7813</v>
      </c>
      <c r="G7776">
        <v>93104</v>
      </c>
      <c r="H7776">
        <v>9375</v>
      </c>
      <c r="I7776" s="25" t="s">
        <v>2050</v>
      </c>
      <c r="J7776" t="s">
        <v>2365</v>
      </c>
      <c r="M7776" s="49"/>
    </row>
    <row r="7777" spans="6:13" x14ac:dyDescent="0.25">
      <c r="F7777" t="s">
        <v>7814</v>
      </c>
      <c r="G7777">
        <v>59846</v>
      </c>
      <c r="H7777">
        <v>5958</v>
      </c>
      <c r="I7777" s="25" t="s">
        <v>2023</v>
      </c>
      <c r="J7777" t="s">
        <v>2199</v>
      </c>
      <c r="M7777" s="49"/>
    </row>
    <row r="7778" spans="6:13" x14ac:dyDescent="0.25">
      <c r="F7778" t="s">
        <v>7815</v>
      </c>
      <c r="G7778">
        <v>38373</v>
      </c>
      <c r="H7778">
        <v>3154</v>
      </c>
      <c r="I7778" s="25" t="s">
        <v>2074</v>
      </c>
      <c r="J7778" t="s">
        <v>2186</v>
      </c>
      <c r="M7778" s="49"/>
    </row>
    <row r="7779" spans="6:13" x14ac:dyDescent="0.25">
      <c r="F7779" t="s">
        <v>7816</v>
      </c>
      <c r="G7779">
        <v>38376</v>
      </c>
      <c r="H7779">
        <v>3154</v>
      </c>
      <c r="I7779" s="25" t="s">
        <v>2074</v>
      </c>
      <c r="J7779" t="s">
        <v>2186</v>
      </c>
      <c r="M7779" s="49"/>
    </row>
    <row r="7780" spans="6:13" x14ac:dyDescent="0.25">
      <c r="F7780" t="s">
        <v>7817</v>
      </c>
      <c r="G7780">
        <v>83362</v>
      </c>
      <c r="H7780">
        <v>9189</v>
      </c>
      <c r="I7780" s="25" t="s">
        <v>2050</v>
      </c>
      <c r="J7780" t="s">
        <v>2407</v>
      </c>
      <c r="M7780" s="49"/>
    </row>
    <row r="7781" spans="6:13" x14ac:dyDescent="0.25">
      <c r="F7781" t="s">
        <v>7818</v>
      </c>
      <c r="G7781">
        <v>26903</v>
      </c>
      <c r="H7781">
        <v>3454</v>
      </c>
      <c r="I7781" s="25" t="s">
        <v>2074</v>
      </c>
      <c r="J7781" t="s">
        <v>2118</v>
      </c>
      <c r="M7781" s="49"/>
    </row>
    <row r="7782" spans="6:13" x14ac:dyDescent="0.25">
      <c r="F7782" t="s">
        <v>7819</v>
      </c>
      <c r="G7782">
        <v>73079</v>
      </c>
      <c r="H7782">
        <v>8117</v>
      </c>
      <c r="I7782" s="25" t="s">
        <v>2018</v>
      </c>
      <c r="J7782" t="s">
        <v>2089</v>
      </c>
      <c r="M7782" s="49"/>
    </row>
    <row r="7783" spans="6:13" x14ac:dyDescent="0.25">
      <c r="F7783" t="s">
        <v>7820</v>
      </c>
      <c r="G7783">
        <v>49762</v>
      </c>
      <c r="H7783">
        <v>3454</v>
      </c>
      <c r="I7783" s="25" t="s">
        <v>2074</v>
      </c>
      <c r="J7783" t="s">
        <v>2118</v>
      </c>
      <c r="M7783" s="49"/>
    </row>
    <row r="7784" spans="6:13" x14ac:dyDescent="0.25">
      <c r="F7784" t="s">
        <v>7821</v>
      </c>
      <c r="G7784">
        <v>31555</v>
      </c>
      <c r="H7784">
        <v>3257</v>
      </c>
      <c r="I7784" s="25" t="s">
        <v>2074</v>
      </c>
      <c r="J7784" t="s">
        <v>2167</v>
      </c>
      <c r="M7784" s="49"/>
    </row>
    <row r="7785" spans="6:13" x14ac:dyDescent="0.25">
      <c r="F7785" t="s">
        <v>7822</v>
      </c>
      <c r="G7785">
        <v>53913</v>
      </c>
      <c r="H7785">
        <v>5382</v>
      </c>
      <c r="I7785" s="25" t="s">
        <v>2023</v>
      </c>
      <c r="J7785" t="s">
        <v>2298</v>
      </c>
      <c r="M7785" s="49"/>
    </row>
    <row r="7786" spans="6:13" x14ac:dyDescent="0.25">
      <c r="F7786" t="s">
        <v>7823</v>
      </c>
      <c r="G7786">
        <v>28857</v>
      </c>
      <c r="H7786">
        <v>3251</v>
      </c>
      <c r="I7786" s="25" t="s">
        <v>2074</v>
      </c>
      <c r="J7786" t="s">
        <v>2094</v>
      </c>
      <c r="M7786" s="49"/>
    </row>
    <row r="7787" spans="6:13" x14ac:dyDescent="0.25">
      <c r="F7787" t="s">
        <v>7824</v>
      </c>
      <c r="G7787">
        <v>25980</v>
      </c>
      <c r="H7787">
        <v>1054</v>
      </c>
      <c r="I7787" s="25" t="s">
        <v>2085</v>
      </c>
      <c r="J7787" t="s">
        <v>2195</v>
      </c>
      <c r="M7787" s="49"/>
    </row>
    <row r="7788" spans="6:13" x14ac:dyDescent="0.25">
      <c r="F7788" t="s">
        <v>7825</v>
      </c>
      <c r="G7788">
        <v>89428</v>
      </c>
      <c r="H7788">
        <v>9773</v>
      </c>
      <c r="I7788" s="25" t="s">
        <v>2050</v>
      </c>
      <c r="J7788" t="s">
        <v>2231</v>
      </c>
      <c r="M7788" s="49"/>
    </row>
    <row r="7789" spans="6:13" x14ac:dyDescent="0.25">
      <c r="F7789" t="s">
        <v>7826</v>
      </c>
      <c r="G7789">
        <v>24893</v>
      </c>
      <c r="H7789">
        <v>1059</v>
      </c>
      <c r="I7789" s="25" t="s">
        <v>2085</v>
      </c>
      <c r="J7789" t="s">
        <v>2354</v>
      </c>
      <c r="M7789" s="49"/>
    </row>
    <row r="7790" spans="6:13" x14ac:dyDescent="0.25">
      <c r="F7790" t="s">
        <v>7827</v>
      </c>
      <c r="G7790">
        <v>99891</v>
      </c>
      <c r="H7790">
        <v>16067</v>
      </c>
      <c r="I7790" s="25" t="s">
        <v>2384</v>
      </c>
      <c r="J7790" t="s">
        <v>2155</v>
      </c>
      <c r="M7790" s="49"/>
    </row>
    <row r="7791" spans="6:13" x14ac:dyDescent="0.25">
      <c r="F7791" t="s">
        <v>7828</v>
      </c>
      <c r="G7791">
        <v>83342</v>
      </c>
      <c r="H7791">
        <v>9189</v>
      </c>
      <c r="I7791" s="25" t="s">
        <v>2050</v>
      </c>
      <c r="J7791" t="s">
        <v>2407</v>
      </c>
      <c r="M7791" s="49"/>
    </row>
    <row r="7792" spans="6:13" x14ac:dyDescent="0.25">
      <c r="F7792" t="s">
        <v>7829</v>
      </c>
      <c r="G7792">
        <v>83373</v>
      </c>
      <c r="H7792">
        <v>9189</v>
      </c>
      <c r="I7792" s="25" t="s">
        <v>2050</v>
      </c>
      <c r="J7792" t="s">
        <v>2407</v>
      </c>
      <c r="M7792" s="49"/>
    </row>
    <row r="7793" spans="6:13" x14ac:dyDescent="0.25">
      <c r="F7793" t="s">
        <v>7830</v>
      </c>
      <c r="G7793">
        <v>86704</v>
      </c>
      <c r="H7793">
        <v>9779</v>
      </c>
      <c r="I7793" s="25" t="s">
        <v>2050</v>
      </c>
      <c r="J7793" t="s">
        <v>2280</v>
      </c>
      <c r="M7793" s="49"/>
    </row>
    <row r="7794" spans="6:13" x14ac:dyDescent="0.25">
      <c r="F7794" t="s">
        <v>7831</v>
      </c>
      <c r="G7794">
        <v>74388</v>
      </c>
      <c r="H7794">
        <v>8125</v>
      </c>
      <c r="I7794" s="25" t="s">
        <v>2018</v>
      </c>
      <c r="J7794" t="s">
        <v>2060</v>
      </c>
      <c r="M7794" s="49"/>
    </row>
    <row r="7795" spans="6:13" x14ac:dyDescent="0.25">
      <c r="F7795" t="s">
        <v>7831</v>
      </c>
      <c r="G7795">
        <v>78607</v>
      </c>
      <c r="H7795">
        <v>8327</v>
      </c>
      <c r="I7795" s="25" t="s">
        <v>2018</v>
      </c>
      <c r="J7795" t="s">
        <v>2277</v>
      </c>
      <c r="M7795" s="49"/>
    </row>
    <row r="7796" spans="6:13" x14ac:dyDescent="0.25">
      <c r="F7796" t="s">
        <v>7832</v>
      </c>
      <c r="G7796">
        <v>99897</v>
      </c>
      <c r="H7796">
        <v>16067</v>
      </c>
      <c r="I7796" s="25" t="s">
        <v>2384</v>
      </c>
      <c r="J7796" t="s">
        <v>2155</v>
      </c>
      <c r="M7796" s="49"/>
    </row>
    <row r="7797" spans="6:13" x14ac:dyDescent="0.25">
      <c r="F7797" t="s">
        <v>7832</v>
      </c>
      <c r="G7797">
        <v>99897</v>
      </c>
      <c r="H7797">
        <v>16067</v>
      </c>
      <c r="I7797" s="25" t="s">
        <v>2384</v>
      </c>
      <c r="J7797" t="s">
        <v>2155</v>
      </c>
      <c r="M7797" s="49"/>
    </row>
    <row r="7798" spans="6:13" x14ac:dyDescent="0.25">
      <c r="F7798" t="s">
        <v>7833</v>
      </c>
      <c r="G7798">
        <v>71732</v>
      </c>
      <c r="H7798">
        <v>8118</v>
      </c>
      <c r="I7798" s="25" t="s">
        <v>2018</v>
      </c>
      <c r="J7798" t="s">
        <v>2142</v>
      </c>
      <c r="M7798" s="49"/>
    </row>
    <row r="7799" spans="6:13" x14ac:dyDescent="0.25">
      <c r="F7799" t="s">
        <v>7834</v>
      </c>
      <c r="G7799">
        <v>39517</v>
      </c>
      <c r="H7799">
        <v>15083</v>
      </c>
      <c r="I7799" s="25" t="s">
        <v>2241</v>
      </c>
      <c r="J7799" t="s">
        <v>2052</v>
      </c>
      <c r="M7799" s="49"/>
    </row>
    <row r="7800" spans="6:13" x14ac:dyDescent="0.25">
      <c r="F7800" t="s">
        <v>7834</v>
      </c>
      <c r="G7800">
        <v>39517</v>
      </c>
      <c r="H7800">
        <v>15090</v>
      </c>
      <c r="I7800" s="25" t="s">
        <v>2241</v>
      </c>
      <c r="J7800" t="s">
        <v>2382</v>
      </c>
      <c r="M7800" s="49"/>
    </row>
    <row r="7801" spans="6:13" x14ac:dyDescent="0.25">
      <c r="F7801" t="s">
        <v>7835</v>
      </c>
      <c r="G7801">
        <v>39590</v>
      </c>
      <c r="H7801">
        <v>15090</v>
      </c>
      <c r="I7801" s="25" t="s">
        <v>2241</v>
      </c>
      <c r="J7801" t="s">
        <v>2382</v>
      </c>
      <c r="M7801" s="49"/>
    </row>
    <row r="7802" spans="6:13" x14ac:dyDescent="0.25">
      <c r="F7802" t="s">
        <v>7836</v>
      </c>
      <c r="G7802">
        <v>25499</v>
      </c>
      <c r="H7802">
        <v>1056</v>
      </c>
      <c r="I7802" s="25" t="s">
        <v>2085</v>
      </c>
      <c r="J7802" t="s">
        <v>2311</v>
      </c>
      <c r="M7802" s="49"/>
    </row>
    <row r="7803" spans="6:13" x14ac:dyDescent="0.25">
      <c r="F7803" t="s">
        <v>7836</v>
      </c>
      <c r="G7803">
        <v>22889</v>
      </c>
      <c r="H7803">
        <v>1062</v>
      </c>
      <c r="I7803" s="25" t="s">
        <v>2085</v>
      </c>
      <c r="J7803" t="s">
        <v>2188</v>
      </c>
      <c r="M7803" s="49"/>
    </row>
    <row r="7804" spans="6:13" x14ac:dyDescent="0.25">
      <c r="F7804" t="s">
        <v>7836</v>
      </c>
      <c r="G7804">
        <v>22889</v>
      </c>
      <c r="H7804">
        <v>1062</v>
      </c>
      <c r="I7804" s="25" t="s">
        <v>2085</v>
      </c>
      <c r="J7804" t="s">
        <v>2188</v>
      </c>
      <c r="M7804" s="49"/>
    </row>
    <row r="7805" spans="6:13" x14ac:dyDescent="0.25">
      <c r="F7805" t="s">
        <v>7836</v>
      </c>
      <c r="G7805">
        <v>22889</v>
      </c>
      <c r="H7805">
        <v>1062</v>
      </c>
      <c r="I7805" s="25" t="s">
        <v>2085</v>
      </c>
      <c r="J7805" t="s">
        <v>2188</v>
      </c>
      <c r="M7805" s="49"/>
    </row>
    <row r="7806" spans="6:13" x14ac:dyDescent="0.25">
      <c r="F7806" t="s">
        <v>7837</v>
      </c>
      <c r="G7806">
        <v>36142</v>
      </c>
      <c r="H7806">
        <v>6631</v>
      </c>
      <c r="I7806" s="25" t="s">
        <v>2046</v>
      </c>
      <c r="J7806" t="s">
        <v>2145</v>
      </c>
      <c r="M7806" s="49"/>
    </row>
    <row r="7807" spans="6:13" x14ac:dyDescent="0.25">
      <c r="F7807" t="s">
        <v>7837</v>
      </c>
      <c r="G7807">
        <v>84367</v>
      </c>
      <c r="H7807">
        <v>9277</v>
      </c>
      <c r="I7807" s="25" t="s">
        <v>2050</v>
      </c>
      <c r="J7807" t="s">
        <v>2529</v>
      </c>
      <c r="M7807" s="49"/>
    </row>
    <row r="7808" spans="6:13" x14ac:dyDescent="0.25">
      <c r="F7808" t="s">
        <v>7838</v>
      </c>
      <c r="G7808">
        <v>7922</v>
      </c>
      <c r="H7808">
        <v>16075</v>
      </c>
      <c r="I7808" s="25" t="s">
        <v>2384</v>
      </c>
      <c r="J7808" t="s">
        <v>4221</v>
      </c>
      <c r="M7808" s="49"/>
    </row>
    <row r="7809" spans="6:13" x14ac:dyDescent="0.25">
      <c r="F7809" t="s">
        <v>7839</v>
      </c>
      <c r="G7809">
        <v>92723</v>
      </c>
      <c r="H7809">
        <v>9374</v>
      </c>
      <c r="I7809" s="25" t="s">
        <v>2050</v>
      </c>
      <c r="J7809" t="s">
        <v>2420</v>
      </c>
      <c r="M7809" s="49"/>
    </row>
    <row r="7810" spans="6:13" x14ac:dyDescent="0.25">
      <c r="F7810" t="s">
        <v>7839</v>
      </c>
      <c r="G7810">
        <v>92723</v>
      </c>
      <c r="H7810">
        <v>9376</v>
      </c>
      <c r="I7810" s="25" t="s">
        <v>2050</v>
      </c>
      <c r="J7810" t="s">
        <v>2390</v>
      </c>
      <c r="M7810" s="49"/>
    </row>
    <row r="7811" spans="6:13" x14ac:dyDescent="0.25">
      <c r="F7811" t="s">
        <v>7840</v>
      </c>
      <c r="G7811">
        <v>73497</v>
      </c>
      <c r="H7811">
        <v>8136</v>
      </c>
      <c r="I7811" s="25" t="s">
        <v>2018</v>
      </c>
      <c r="J7811" t="s">
        <v>2039</v>
      </c>
      <c r="M7811" s="49"/>
    </row>
    <row r="7812" spans="6:13" x14ac:dyDescent="0.25">
      <c r="F7812" t="s">
        <v>7840</v>
      </c>
      <c r="G7812">
        <v>73497</v>
      </c>
      <c r="H7812">
        <v>8136</v>
      </c>
      <c r="I7812" s="25" t="s">
        <v>2018</v>
      </c>
      <c r="J7812" t="s">
        <v>2039</v>
      </c>
      <c r="M7812" s="49"/>
    </row>
    <row r="7813" spans="6:13" x14ac:dyDescent="0.25">
      <c r="F7813" t="s">
        <v>7841</v>
      </c>
      <c r="G7813">
        <v>88459</v>
      </c>
      <c r="H7813">
        <v>8426</v>
      </c>
      <c r="I7813" s="25" t="s">
        <v>2018</v>
      </c>
      <c r="J7813" t="s">
        <v>2081</v>
      </c>
      <c r="M7813" s="49"/>
    </row>
    <row r="7814" spans="6:13" x14ac:dyDescent="0.25">
      <c r="F7814" t="s">
        <v>7842</v>
      </c>
      <c r="G7814">
        <v>86660</v>
      </c>
      <c r="H7814">
        <v>9779</v>
      </c>
      <c r="I7814" s="25" t="s">
        <v>2050</v>
      </c>
      <c r="J7814" t="s">
        <v>2280</v>
      </c>
      <c r="M7814" s="49"/>
    </row>
    <row r="7815" spans="6:13" x14ac:dyDescent="0.25">
      <c r="F7815" t="s">
        <v>7843</v>
      </c>
      <c r="G7815">
        <v>38479</v>
      </c>
      <c r="H7815">
        <v>3151</v>
      </c>
      <c r="I7815" s="25" t="s">
        <v>2074</v>
      </c>
      <c r="J7815" t="s">
        <v>2126</v>
      </c>
      <c r="M7815" s="49"/>
    </row>
    <row r="7816" spans="6:13" x14ac:dyDescent="0.25">
      <c r="F7816" t="s">
        <v>7844</v>
      </c>
      <c r="G7816">
        <v>27412</v>
      </c>
      <c r="H7816">
        <v>3357</v>
      </c>
      <c r="I7816" s="25" t="s">
        <v>2074</v>
      </c>
      <c r="J7816" t="s">
        <v>2339</v>
      </c>
      <c r="M7816" s="49"/>
    </row>
    <row r="7817" spans="6:13" x14ac:dyDescent="0.25">
      <c r="F7817" t="s">
        <v>7845</v>
      </c>
      <c r="G7817">
        <v>24963</v>
      </c>
      <c r="H7817">
        <v>1059</v>
      </c>
      <c r="I7817" s="25" t="s">
        <v>2085</v>
      </c>
      <c r="J7817" t="s">
        <v>2354</v>
      </c>
      <c r="M7817" s="49"/>
    </row>
    <row r="7818" spans="6:13" x14ac:dyDescent="0.25">
      <c r="F7818" t="s">
        <v>7846</v>
      </c>
      <c r="G7818">
        <v>25881</v>
      </c>
      <c r="H7818">
        <v>1054</v>
      </c>
      <c r="I7818" s="25" t="s">
        <v>2085</v>
      </c>
      <c r="J7818" t="s">
        <v>2195</v>
      </c>
      <c r="M7818" s="49"/>
    </row>
    <row r="7819" spans="6:13" x14ac:dyDescent="0.25">
      <c r="F7819" t="s">
        <v>7847</v>
      </c>
      <c r="G7819">
        <v>97941</v>
      </c>
      <c r="H7819">
        <v>8128</v>
      </c>
      <c r="I7819" s="25" t="s">
        <v>2018</v>
      </c>
      <c r="J7819" t="s">
        <v>2175</v>
      </c>
      <c r="M7819" s="49"/>
    </row>
    <row r="7820" spans="6:13" x14ac:dyDescent="0.25">
      <c r="F7820" t="s">
        <v>7848</v>
      </c>
      <c r="G7820">
        <v>4425</v>
      </c>
      <c r="H7820">
        <v>14730</v>
      </c>
      <c r="I7820" s="25" t="s">
        <v>2135</v>
      </c>
      <c r="J7820" t="s">
        <v>2083</v>
      </c>
      <c r="M7820" s="49"/>
    </row>
    <row r="7821" spans="6:13" x14ac:dyDescent="0.25">
      <c r="F7821" t="s">
        <v>7849</v>
      </c>
      <c r="G7821">
        <v>84574</v>
      </c>
      <c r="H7821">
        <v>9183</v>
      </c>
      <c r="I7821" s="25" t="s">
        <v>2050</v>
      </c>
      <c r="J7821" t="s">
        <v>2474</v>
      </c>
      <c r="M7821" s="49"/>
    </row>
    <row r="7822" spans="6:13" x14ac:dyDescent="0.25">
      <c r="F7822" t="s">
        <v>7849</v>
      </c>
      <c r="G7822">
        <v>82024</v>
      </c>
      <c r="H7822">
        <v>9184</v>
      </c>
      <c r="I7822" s="25" t="s">
        <v>2050</v>
      </c>
      <c r="J7822" t="s">
        <v>2547</v>
      </c>
      <c r="M7822" s="49"/>
    </row>
    <row r="7823" spans="6:13" x14ac:dyDescent="0.25">
      <c r="F7823" t="s">
        <v>7850</v>
      </c>
      <c r="G7823">
        <v>84416</v>
      </c>
      <c r="H7823">
        <v>9177</v>
      </c>
      <c r="I7823" s="25" t="s">
        <v>2050</v>
      </c>
      <c r="J7823" t="s">
        <v>2915</v>
      </c>
      <c r="M7823" s="49"/>
    </row>
    <row r="7824" spans="6:13" x14ac:dyDescent="0.25">
      <c r="F7824" t="s">
        <v>7851</v>
      </c>
      <c r="G7824">
        <v>65232</v>
      </c>
      <c r="H7824">
        <v>6439</v>
      </c>
      <c r="I7824" s="25" t="s">
        <v>2046</v>
      </c>
      <c r="J7824" t="s">
        <v>2047</v>
      </c>
      <c r="M7824" s="49"/>
    </row>
    <row r="7825" spans="6:13" x14ac:dyDescent="0.25">
      <c r="F7825" t="s">
        <v>7852</v>
      </c>
      <c r="G7825">
        <v>9249</v>
      </c>
      <c r="H7825">
        <v>14522</v>
      </c>
      <c r="I7825" s="25" t="s">
        <v>2135</v>
      </c>
      <c r="J7825" t="s">
        <v>2100</v>
      </c>
      <c r="M7825" s="49"/>
    </row>
    <row r="7826" spans="6:13" x14ac:dyDescent="0.25">
      <c r="F7826" t="s">
        <v>7853</v>
      </c>
      <c r="G7826">
        <v>54456</v>
      </c>
      <c r="H7826">
        <v>7235</v>
      </c>
      <c r="I7826" s="25" t="s">
        <v>2123</v>
      </c>
      <c r="J7826" t="s">
        <v>2395</v>
      </c>
      <c r="M7826" s="49"/>
    </row>
    <row r="7827" spans="6:13" x14ac:dyDescent="0.25">
      <c r="F7827" t="s">
        <v>7853</v>
      </c>
      <c r="G7827">
        <v>54456</v>
      </c>
      <c r="H7827">
        <v>7235</v>
      </c>
      <c r="I7827" s="25" t="s">
        <v>2123</v>
      </c>
      <c r="J7827" t="s">
        <v>2395</v>
      </c>
      <c r="M7827" s="49"/>
    </row>
    <row r="7828" spans="6:13" x14ac:dyDescent="0.25">
      <c r="F7828" t="s">
        <v>7854</v>
      </c>
      <c r="G7828">
        <v>49545</v>
      </c>
      <c r="H7828">
        <v>5566</v>
      </c>
      <c r="I7828" s="25" t="s">
        <v>2023</v>
      </c>
      <c r="J7828" t="s">
        <v>2379</v>
      </c>
      <c r="M7828" s="49"/>
    </row>
    <row r="7829" spans="6:13" x14ac:dyDescent="0.25">
      <c r="F7829" t="s">
        <v>7855</v>
      </c>
      <c r="G7829">
        <v>93105</v>
      </c>
      <c r="H7829">
        <v>9375</v>
      </c>
      <c r="I7829" s="25" t="s">
        <v>2050</v>
      </c>
      <c r="J7829" t="s">
        <v>2365</v>
      </c>
      <c r="M7829" s="49"/>
    </row>
    <row r="7830" spans="6:13" x14ac:dyDescent="0.25">
      <c r="F7830" t="s">
        <v>7856</v>
      </c>
      <c r="G7830">
        <v>83684</v>
      </c>
      <c r="H7830">
        <v>9182</v>
      </c>
      <c r="I7830" s="25" t="s">
        <v>2050</v>
      </c>
      <c r="J7830" t="s">
        <v>2254</v>
      </c>
      <c r="M7830" s="49"/>
    </row>
    <row r="7831" spans="6:13" x14ac:dyDescent="0.25">
      <c r="F7831" t="s">
        <v>7857</v>
      </c>
      <c r="G7831">
        <v>83317</v>
      </c>
      <c r="H7831">
        <v>9172</v>
      </c>
      <c r="I7831" s="25" t="s">
        <v>2050</v>
      </c>
      <c r="J7831" t="s">
        <v>2042</v>
      </c>
      <c r="M7831" s="49"/>
    </row>
    <row r="7832" spans="6:13" x14ac:dyDescent="0.25">
      <c r="F7832" t="s">
        <v>7858</v>
      </c>
      <c r="G7832">
        <v>84576</v>
      </c>
      <c r="H7832">
        <v>9171</v>
      </c>
      <c r="I7832" s="25" t="s">
        <v>2050</v>
      </c>
      <c r="J7832" t="s">
        <v>2446</v>
      </c>
      <c r="M7832" s="49"/>
    </row>
    <row r="7833" spans="6:13" x14ac:dyDescent="0.25">
      <c r="F7833" t="s">
        <v>7859</v>
      </c>
      <c r="G7833">
        <v>94244</v>
      </c>
      <c r="H7833">
        <v>9276</v>
      </c>
      <c r="I7833" s="25" t="s">
        <v>2050</v>
      </c>
      <c r="J7833" t="s">
        <v>2078</v>
      </c>
      <c r="M7833" s="49"/>
    </row>
    <row r="7834" spans="6:13" x14ac:dyDescent="0.25">
      <c r="F7834" t="s">
        <v>7860</v>
      </c>
      <c r="G7834">
        <v>48291</v>
      </c>
      <c r="H7834">
        <v>5570</v>
      </c>
      <c r="I7834" s="25" t="s">
        <v>2023</v>
      </c>
      <c r="J7834" t="s">
        <v>2154</v>
      </c>
      <c r="M7834" s="49"/>
    </row>
    <row r="7835" spans="6:13" x14ac:dyDescent="0.25">
      <c r="F7835" t="s">
        <v>7861</v>
      </c>
      <c r="G7835">
        <v>25782</v>
      </c>
      <c r="H7835">
        <v>1051</v>
      </c>
      <c r="I7835" s="25" t="s">
        <v>2085</v>
      </c>
      <c r="J7835" t="s">
        <v>2097</v>
      </c>
      <c r="M7835" s="49"/>
    </row>
    <row r="7836" spans="6:13" x14ac:dyDescent="0.25">
      <c r="F7836" t="s">
        <v>7862</v>
      </c>
      <c r="G7836">
        <v>14513</v>
      </c>
      <c r="H7836">
        <v>12069</v>
      </c>
      <c r="I7836" s="25" t="s">
        <v>2356</v>
      </c>
      <c r="J7836" t="s">
        <v>2857</v>
      </c>
      <c r="M7836" s="49"/>
    </row>
    <row r="7837" spans="6:13" x14ac:dyDescent="0.25">
      <c r="F7837" t="s">
        <v>7863</v>
      </c>
      <c r="G7837">
        <v>17268</v>
      </c>
      <c r="H7837">
        <v>12073</v>
      </c>
      <c r="I7837" s="25" t="s">
        <v>2356</v>
      </c>
      <c r="J7837" t="s">
        <v>2397</v>
      </c>
      <c r="M7837" s="49"/>
    </row>
    <row r="7838" spans="6:13" x14ac:dyDescent="0.25">
      <c r="F7838" t="s">
        <v>7864</v>
      </c>
      <c r="G7838">
        <v>78250</v>
      </c>
      <c r="H7838">
        <v>8335</v>
      </c>
      <c r="I7838" s="25" t="s">
        <v>2018</v>
      </c>
      <c r="J7838" t="s">
        <v>2019</v>
      </c>
      <c r="M7838" s="49"/>
    </row>
    <row r="7839" spans="6:13" x14ac:dyDescent="0.25">
      <c r="F7839" t="s">
        <v>7865</v>
      </c>
      <c r="G7839">
        <v>79331</v>
      </c>
      <c r="H7839">
        <v>8316</v>
      </c>
      <c r="I7839" s="25" t="s">
        <v>2018</v>
      </c>
      <c r="J7839" t="s">
        <v>2764</v>
      </c>
      <c r="M7839" s="49"/>
    </row>
    <row r="7840" spans="6:13" x14ac:dyDescent="0.25">
      <c r="F7840" t="s">
        <v>7866</v>
      </c>
      <c r="G7840">
        <v>23824</v>
      </c>
      <c r="H7840">
        <v>1060</v>
      </c>
      <c r="I7840" s="25" t="s">
        <v>2085</v>
      </c>
      <c r="J7840" t="s">
        <v>2363</v>
      </c>
      <c r="M7840" s="49"/>
    </row>
    <row r="7841" spans="6:13" x14ac:dyDescent="0.25">
      <c r="F7841" t="s">
        <v>7867</v>
      </c>
      <c r="G7841">
        <v>21395</v>
      </c>
      <c r="H7841">
        <v>3353</v>
      </c>
      <c r="I7841" s="25" t="s">
        <v>2074</v>
      </c>
      <c r="J7841" t="s">
        <v>2176</v>
      </c>
      <c r="M7841" s="49"/>
    </row>
    <row r="7842" spans="6:13" x14ac:dyDescent="0.25">
      <c r="F7842" t="s">
        <v>7868</v>
      </c>
      <c r="G7842">
        <v>18195</v>
      </c>
      <c r="H7842">
        <v>13072</v>
      </c>
      <c r="I7842" s="25" t="s">
        <v>2191</v>
      </c>
      <c r="J7842" t="s">
        <v>2036</v>
      </c>
      <c r="M7842" s="49"/>
    </row>
    <row r="7843" spans="6:13" x14ac:dyDescent="0.25">
      <c r="F7843" t="s">
        <v>7869</v>
      </c>
      <c r="G7843">
        <v>25882</v>
      </c>
      <c r="H7843">
        <v>1054</v>
      </c>
      <c r="I7843" s="25" t="s">
        <v>2085</v>
      </c>
      <c r="J7843" t="s">
        <v>2195</v>
      </c>
      <c r="M7843" s="49"/>
    </row>
    <row r="7844" spans="6:13" x14ac:dyDescent="0.25">
      <c r="F7844" t="s">
        <v>7870</v>
      </c>
      <c r="G7844">
        <v>24817</v>
      </c>
      <c r="H7844">
        <v>1059</v>
      </c>
      <c r="I7844" s="25" t="s">
        <v>2085</v>
      </c>
      <c r="J7844" t="s">
        <v>2354</v>
      </c>
      <c r="M7844" s="49"/>
    </row>
    <row r="7845" spans="6:13" x14ac:dyDescent="0.25">
      <c r="F7845" t="s">
        <v>7871</v>
      </c>
      <c r="G7845">
        <v>96355</v>
      </c>
      <c r="H7845">
        <v>9476</v>
      </c>
      <c r="I7845" s="25" t="s">
        <v>2050</v>
      </c>
      <c r="J7845" t="s">
        <v>5435</v>
      </c>
      <c r="M7845" s="49"/>
    </row>
    <row r="7846" spans="6:13" x14ac:dyDescent="0.25">
      <c r="F7846" t="s">
        <v>7872</v>
      </c>
      <c r="G7846">
        <v>94167</v>
      </c>
      <c r="H7846">
        <v>9275</v>
      </c>
      <c r="I7846" s="25" t="s">
        <v>2050</v>
      </c>
      <c r="J7846" t="s">
        <v>2198</v>
      </c>
      <c r="M7846" s="49"/>
    </row>
    <row r="7847" spans="6:13" x14ac:dyDescent="0.25">
      <c r="F7847" t="s">
        <v>7873</v>
      </c>
      <c r="G7847">
        <v>88069</v>
      </c>
      <c r="H7847">
        <v>8435</v>
      </c>
      <c r="I7847" s="25" t="s">
        <v>2018</v>
      </c>
      <c r="J7847" t="s">
        <v>3011</v>
      </c>
      <c r="M7847" s="49"/>
    </row>
    <row r="7848" spans="6:13" x14ac:dyDescent="0.25">
      <c r="F7848" t="s">
        <v>7874</v>
      </c>
      <c r="G7848">
        <v>93158</v>
      </c>
      <c r="H7848">
        <v>9376</v>
      </c>
      <c r="I7848" s="25" t="s">
        <v>2050</v>
      </c>
      <c r="J7848" t="s">
        <v>2390</v>
      </c>
      <c r="M7848" s="49"/>
    </row>
    <row r="7849" spans="6:13" x14ac:dyDescent="0.25">
      <c r="F7849" t="s">
        <v>7875</v>
      </c>
      <c r="G7849">
        <v>6682</v>
      </c>
      <c r="H7849">
        <v>15084</v>
      </c>
      <c r="I7849" s="25" t="s">
        <v>2241</v>
      </c>
      <c r="J7849" t="s">
        <v>2615</v>
      </c>
      <c r="M7849" s="49"/>
    </row>
    <row r="7850" spans="6:13" x14ac:dyDescent="0.25">
      <c r="F7850" t="s">
        <v>7876</v>
      </c>
      <c r="G7850">
        <v>93356</v>
      </c>
      <c r="H7850">
        <v>9273</v>
      </c>
      <c r="I7850" s="25" t="s">
        <v>2050</v>
      </c>
      <c r="J7850" t="s">
        <v>2054</v>
      </c>
      <c r="M7850" s="49"/>
    </row>
    <row r="7851" spans="6:13" x14ac:dyDescent="0.25">
      <c r="F7851" t="s">
        <v>7877</v>
      </c>
      <c r="G7851">
        <v>92552</v>
      </c>
      <c r="H7851">
        <v>9376</v>
      </c>
      <c r="I7851" s="25" t="s">
        <v>2050</v>
      </c>
      <c r="J7851" t="s">
        <v>2390</v>
      </c>
      <c r="M7851" s="49"/>
    </row>
    <row r="7852" spans="6:13" x14ac:dyDescent="0.25">
      <c r="F7852" t="s">
        <v>7878</v>
      </c>
      <c r="G7852">
        <v>15755</v>
      </c>
      <c r="H7852">
        <v>12061</v>
      </c>
      <c r="I7852" s="25" t="s">
        <v>2356</v>
      </c>
      <c r="J7852" t="s">
        <v>3033</v>
      </c>
      <c r="M7852" s="49"/>
    </row>
    <row r="7853" spans="6:13" x14ac:dyDescent="0.25">
      <c r="F7853" t="s">
        <v>7879</v>
      </c>
      <c r="G7853">
        <v>96358</v>
      </c>
      <c r="H7853">
        <v>9476</v>
      </c>
      <c r="I7853" s="25" t="s">
        <v>2050</v>
      </c>
      <c r="J7853" t="s">
        <v>5435</v>
      </c>
      <c r="M7853" s="49"/>
    </row>
    <row r="7854" spans="6:13" x14ac:dyDescent="0.25">
      <c r="F7854" t="s">
        <v>7880</v>
      </c>
      <c r="G7854">
        <v>6179</v>
      </c>
      <c r="H7854">
        <v>15088</v>
      </c>
      <c r="I7854" s="25" t="s">
        <v>2241</v>
      </c>
      <c r="J7854" t="s">
        <v>2344</v>
      </c>
      <c r="M7854" s="49"/>
    </row>
    <row r="7855" spans="6:13" x14ac:dyDescent="0.25">
      <c r="F7855" t="s">
        <v>7881</v>
      </c>
      <c r="G7855">
        <v>86943</v>
      </c>
      <c r="H7855">
        <v>9181</v>
      </c>
      <c r="I7855" s="25" t="s">
        <v>2050</v>
      </c>
      <c r="J7855" t="s">
        <v>2505</v>
      </c>
      <c r="M7855" s="49"/>
    </row>
    <row r="7856" spans="6:13" x14ac:dyDescent="0.25">
      <c r="F7856" t="s">
        <v>7882</v>
      </c>
      <c r="G7856">
        <v>6502</v>
      </c>
      <c r="H7856">
        <v>15085</v>
      </c>
      <c r="I7856" s="25" t="s">
        <v>2241</v>
      </c>
      <c r="J7856" t="s">
        <v>2178</v>
      </c>
      <c r="M7856" s="49"/>
    </row>
    <row r="7857" spans="6:13" x14ac:dyDescent="0.25">
      <c r="F7857" t="s">
        <v>7883</v>
      </c>
      <c r="G7857">
        <v>66987</v>
      </c>
      <c r="H7857">
        <v>7340</v>
      </c>
      <c r="I7857" s="25" t="s">
        <v>2123</v>
      </c>
      <c r="J7857" t="s">
        <v>2826</v>
      </c>
      <c r="M7857" s="49"/>
    </row>
    <row r="7858" spans="6:13" x14ac:dyDescent="0.25">
      <c r="F7858" t="s">
        <v>7883</v>
      </c>
      <c r="G7858">
        <v>66987</v>
      </c>
      <c r="H7858">
        <v>7340</v>
      </c>
      <c r="I7858" s="25" t="s">
        <v>2123</v>
      </c>
      <c r="J7858" t="s">
        <v>2826</v>
      </c>
      <c r="M7858" s="49"/>
    </row>
    <row r="7859" spans="6:13" x14ac:dyDescent="0.25">
      <c r="F7859" t="s">
        <v>7884</v>
      </c>
      <c r="G7859">
        <v>54424</v>
      </c>
      <c r="H7859">
        <v>7231</v>
      </c>
      <c r="I7859" s="25" t="s">
        <v>2123</v>
      </c>
      <c r="J7859" t="s">
        <v>2043</v>
      </c>
      <c r="M7859" s="49"/>
    </row>
    <row r="7860" spans="6:13" x14ac:dyDescent="0.25">
      <c r="F7860" t="s">
        <v>7885</v>
      </c>
      <c r="G7860">
        <v>9380</v>
      </c>
      <c r="H7860">
        <v>14521</v>
      </c>
      <c r="I7860" s="25" t="s">
        <v>2135</v>
      </c>
      <c r="J7860" t="s">
        <v>2032</v>
      </c>
      <c r="M7860" s="49"/>
    </row>
    <row r="7861" spans="6:13" x14ac:dyDescent="0.25">
      <c r="F7861" t="s">
        <v>7886</v>
      </c>
      <c r="G7861">
        <v>93107</v>
      </c>
      <c r="H7861">
        <v>9375</v>
      </c>
      <c r="I7861" s="25" t="s">
        <v>2050</v>
      </c>
      <c r="J7861" t="s">
        <v>2365</v>
      </c>
      <c r="M7861" s="49"/>
    </row>
    <row r="7862" spans="6:13" x14ac:dyDescent="0.25">
      <c r="F7862" t="s">
        <v>7887</v>
      </c>
      <c r="G7862">
        <v>91177</v>
      </c>
      <c r="H7862">
        <v>9576</v>
      </c>
      <c r="I7862" s="25" t="s">
        <v>2050</v>
      </c>
      <c r="J7862" t="s">
        <v>2051</v>
      </c>
      <c r="M7862" s="49"/>
    </row>
    <row r="7863" spans="6:13" x14ac:dyDescent="0.25">
      <c r="F7863" t="s">
        <v>7888</v>
      </c>
      <c r="G7863">
        <v>86470</v>
      </c>
      <c r="H7863">
        <v>9774</v>
      </c>
      <c r="I7863" s="25" t="s">
        <v>2050</v>
      </c>
      <c r="J7863" t="s">
        <v>2205</v>
      </c>
      <c r="M7863" s="49"/>
    </row>
    <row r="7864" spans="6:13" x14ac:dyDescent="0.25">
      <c r="F7864" t="s">
        <v>7889</v>
      </c>
      <c r="G7864">
        <v>92554</v>
      </c>
      <c r="H7864">
        <v>9376</v>
      </c>
      <c r="I7864" s="25" t="s">
        <v>2050</v>
      </c>
      <c r="J7864" t="s">
        <v>2390</v>
      </c>
      <c r="M7864" s="49"/>
    </row>
    <row r="7865" spans="6:13" x14ac:dyDescent="0.25">
      <c r="F7865" t="s">
        <v>7890</v>
      </c>
      <c r="G7865">
        <v>1737</v>
      </c>
      <c r="H7865">
        <v>14628</v>
      </c>
      <c r="I7865" s="25" t="s">
        <v>2135</v>
      </c>
      <c r="J7865" t="s">
        <v>2347</v>
      </c>
      <c r="M7865" s="49"/>
    </row>
    <row r="7866" spans="6:13" x14ac:dyDescent="0.25">
      <c r="F7866" t="s">
        <v>7891</v>
      </c>
      <c r="G7866">
        <v>27321</v>
      </c>
      <c r="H7866">
        <v>3361</v>
      </c>
      <c r="I7866" s="25" t="s">
        <v>2074</v>
      </c>
      <c r="J7866" t="s">
        <v>2075</v>
      </c>
      <c r="M7866" s="49"/>
    </row>
    <row r="7867" spans="6:13" x14ac:dyDescent="0.25">
      <c r="F7867" t="s">
        <v>7892</v>
      </c>
      <c r="G7867">
        <v>91741</v>
      </c>
      <c r="H7867">
        <v>9577</v>
      </c>
      <c r="I7867" s="25" t="s">
        <v>2050</v>
      </c>
      <c r="J7867" t="s">
        <v>2057</v>
      </c>
      <c r="M7867" s="49"/>
    </row>
    <row r="7868" spans="6:13" x14ac:dyDescent="0.25">
      <c r="F7868" t="s">
        <v>7893</v>
      </c>
      <c r="G7868">
        <v>97288</v>
      </c>
      <c r="H7868">
        <v>9679</v>
      </c>
      <c r="I7868" s="25" t="s">
        <v>2050</v>
      </c>
      <c r="J7868" t="s">
        <v>2428</v>
      </c>
      <c r="M7868" s="49"/>
    </row>
    <row r="7869" spans="6:13" x14ac:dyDescent="0.25">
      <c r="F7869" t="s">
        <v>7894</v>
      </c>
      <c r="G7869">
        <v>98660</v>
      </c>
      <c r="H7869">
        <v>16069</v>
      </c>
      <c r="I7869" s="25" t="s">
        <v>2384</v>
      </c>
      <c r="J7869" t="s">
        <v>2631</v>
      </c>
      <c r="M7869" s="49"/>
    </row>
    <row r="7870" spans="6:13" x14ac:dyDescent="0.25">
      <c r="F7870" t="s">
        <v>7895</v>
      </c>
      <c r="G7870">
        <v>97531</v>
      </c>
      <c r="H7870">
        <v>9674</v>
      </c>
      <c r="I7870" s="25" t="s">
        <v>2050</v>
      </c>
      <c r="J7870" t="s">
        <v>2218</v>
      </c>
      <c r="M7870" s="49"/>
    </row>
    <row r="7871" spans="6:13" x14ac:dyDescent="0.25">
      <c r="F7871" t="s">
        <v>7896</v>
      </c>
      <c r="G7871">
        <v>86672</v>
      </c>
      <c r="H7871">
        <v>9772</v>
      </c>
      <c r="I7871" s="25" t="s">
        <v>2050</v>
      </c>
      <c r="J7871" t="s">
        <v>2117</v>
      </c>
      <c r="M7871" s="49"/>
    </row>
    <row r="7872" spans="6:13" x14ac:dyDescent="0.25">
      <c r="F7872" t="s">
        <v>7897</v>
      </c>
      <c r="G7872">
        <v>95707</v>
      </c>
      <c r="H7872">
        <v>9479</v>
      </c>
      <c r="I7872" s="25" t="s">
        <v>2050</v>
      </c>
      <c r="J7872" t="s">
        <v>2436</v>
      </c>
      <c r="M7872" s="49"/>
    </row>
    <row r="7873" spans="6:13" x14ac:dyDescent="0.25">
      <c r="F7873" t="s">
        <v>7898</v>
      </c>
      <c r="G7873">
        <v>95199</v>
      </c>
      <c r="H7873">
        <v>9479</v>
      </c>
      <c r="I7873" s="25" t="s">
        <v>2050</v>
      </c>
      <c r="J7873" t="s">
        <v>2436</v>
      </c>
      <c r="M7873" s="49"/>
    </row>
    <row r="7874" spans="6:13" x14ac:dyDescent="0.25">
      <c r="F7874" t="s">
        <v>7899</v>
      </c>
      <c r="G7874">
        <v>66636</v>
      </c>
      <c r="H7874">
        <v>10046</v>
      </c>
      <c r="I7874" s="25" t="s">
        <v>2849</v>
      </c>
      <c r="J7874" t="s">
        <v>2375</v>
      </c>
      <c r="M7874" s="49"/>
    </row>
    <row r="7875" spans="6:13" x14ac:dyDescent="0.25">
      <c r="F7875" t="s">
        <v>7900</v>
      </c>
      <c r="G7875">
        <v>21401</v>
      </c>
      <c r="H7875">
        <v>3355</v>
      </c>
      <c r="I7875" s="25" t="s">
        <v>2074</v>
      </c>
      <c r="J7875" t="s">
        <v>2129</v>
      </c>
      <c r="M7875" s="49"/>
    </row>
    <row r="7876" spans="6:13" x14ac:dyDescent="0.25">
      <c r="F7876" t="s">
        <v>7901</v>
      </c>
      <c r="G7876">
        <v>9419</v>
      </c>
      <c r="H7876">
        <v>14521</v>
      </c>
      <c r="I7876" s="25" t="s">
        <v>2135</v>
      </c>
      <c r="J7876" t="s">
        <v>2032</v>
      </c>
      <c r="M7876" s="49"/>
    </row>
    <row r="7877" spans="6:13" x14ac:dyDescent="0.25">
      <c r="F7877" t="s">
        <v>7902</v>
      </c>
      <c r="G7877">
        <v>97289</v>
      </c>
      <c r="H7877">
        <v>9677</v>
      </c>
      <c r="I7877" s="25" t="s">
        <v>2050</v>
      </c>
      <c r="J7877" t="s">
        <v>2527</v>
      </c>
      <c r="M7877" s="49"/>
    </row>
    <row r="7878" spans="6:13" x14ac:dyDescent="0.25">
      <c r="F7878" t="s">
        <v>7903</v>
      </c>
      <c r="G7878">
        <v>97291</v>
      </c>
      <c r="H7878">
        <v>9679</v>
      </c>
      <c r="I7878" s="25" t="s">
        <v>2050</v>
      </c>
      <c r="J7878" t="s">
        <v>2428</v>
      </c>
      <c r="M7878" s="49"/>
    </row>
    <row r="7879" spans="6:13" x14ac:dyDescent="0.25">
      <c r="F7879" t="s">
        <v>7904</v>
      </c>
      <c r="G7879">
        <v>94169</v>
      </c>
      <c r="H7879">
        <v>9272</v>
      </c>
      <c r="I7879" s="25" t="s">
        <v>2050</v>
      </c>
      <c r="J7879" t="s">
        <v>2140</v>
      </c>
      <c r="M7879" s="49"/>
    </row>
    <row r="7880" spans="6:13" x14ac:dyDescent="0.25">
      <c r="F7880" t="s">
        <v>7905</v>
      </c>
      <c r="G7880">
        <v>95349</v>
      </c>
      <c r="H7880">
        <v>9477</v>
      </c>
      <c r="I7880" s="25" t="s">
        <v>2050</v>
      </c>
      <c r="J7880" t="s">
        <v>4385</v>
      </c>
      <c r="M7880" s="49"/>
    </row>
    <row r="7881" spans="6:13" x14ac:dyDescent="0.25">
      <c r="F7881" t="s">
        <v>7906</v>
      </c>
      <c r="G7881">
        <v>94136</v>
      </c>
      <c r="H7881">
        <v>9275</v>
      </c>
      <c r="I7881" s="25" t="s">
        <v>2050</v>
      </c>
      <c r="J7881" t="s">
        <v>2198</v>
      </c>
      <c r="M7881" s="49"/>
    </row>
    <row r="7882" spans="6:13" x14ac:dyDescent="0.25">
      <c r="F7882" t="s">
        <v>7907</v>
      </c>
      <c r="G7882">
        <v>38473</v>
      </c>
      <c r="H7882">
        <v>3151</v>
      </c>
      <c r="I7882" s="25" t="s">
        <v>2074</v>
      </c>
      <c r="J7882" t="s">
        <v>2126</v>
      </c>
      <c r="M7882" s="49"/>
    </row>
    <row r="7883" spans="6:13" x14ac:dyDescent="0.25">
      <c r="F7883" t="s">
        <v>7908</v>
      </c>
      <c r="G7883">
        <v>84184</v>
      </c>
      <c r="H7883">
        <v>9274</v>
      </c>
      <c r="I7883" s="25" t="s">
        <v>2050</v>
      </c>
      <c r="J7883" t="s">
        <v>2132</v>
      </c>
      <c r="M7883" s="49"/>
    </row>
    <row r="7884" spans="6:13" x14ac:dyDescent="0.25">
      <c r="F7884" t="s">
        <v>7908</v>
      </c>
      <c r="G7884">
        <v>94113</v>
      </c>
      <c r="H7884">
        <v>9275</v>
      </c>
      <c r="I7884" s="25" t="s">
        <v>2050</v>
      </c>
      <c r="J7884" t="s">
        <v>2198</v>
      </c>
      <c r="M7884" s="49"/>
    </row>
    <row r="7885" spans="6:13" x14ac:dyDescent="0.25">
      <c r="F7885" t="s">
        <v>7908</v>
      </c>
      <c r="G7885">
        <v>93464</v>
      </c>
      <c r="H7885">
        <v>9372</v>
      </c>
      <c r="I7885" s="25" t="s">
        <v>2050</v>
      </c>
      <c r="J7885" t="s">
        <v>2523</v>
      </c>
      <c r="M7885" s="49"/>
    </row>
    <row r="7886" spans="6:13" x14ac:dyDescent="0.25">
      <c r="F7886" t="s">
        <v>7909</v>
      </c>
      <c r="G7886">
        <v>55471</v>
      </c>
      <c r="H7886">
        <v>7140</v>
      </c>
      <c r="I7886" s="25" t="s">
        <v>2123</v>
      </c>
      <c r="J7886" t="s">
        <v>2329</v>
      </c>
      <c r="M7886" s="49"/>
    </row>
    <row r="7887" spans="6:13" x14ac:dyDescent="0.25">
      <c r="F7887" t="s">
        <v>7909</v>
      </c>
      <c r="G7887">
        <v>55471</v>
      </c>
      <c r="H7887">
        <v>7140</v>
      </c>
      <c r="I7887" s="25" t="s">
        <v>2123</v>
      </c>
      <c r="J7887" t="s">
        <v>2329</v>
      </c>
      <c r="M7887" s="49"/>
    </row>
    <row r="7888" spans="6:13" x14ac:dyDescent="0.25">
      <c r="F7888" t="s">
        <v>7910</v>
      </c>
      <c r="G7888">
        <v>75233</v>
      </c>
      <c r="H7888">
        <v>8236</v>
      </c>
      <c r="I7888" s="25" t="s">
        <v>2018</v>
      </c>
      <c r="J7888" t="s">
        <v>3087</v>
      </c>
      <c r="M7888" s="49"/>
    </row>
    <row r="7889" spans="6:13" x14ac:dyDescent="0.25">
      <c r="F7889" t="s">
        <v>7911</v>
      </c>
      <c r="G7889">
        <v>36469</v>
      </c>
      <c r="H7889">
        <v>16063</v>
      </c>
      <c r="I7889" s="25" t="s">
        <v>2384</v>
      </c>
      <c r="J7889" t="s">
        <v>2687</v>
      </c>
      <c r="M7889" s="49"/>
    </row>
    <row r="7890" spans="6:13" x14ac:dyDescent="0.25">
      <c r="F7890" t="s">
        <v>7912</v>
      </c>
      <c r="G7890">
        <v>67311</v>
      </c>
      <c r="H7890">
        <v>7332</v>
      </c>
      <c r="I7890" s="25" t="s">
        <v>2123</v>
      </c>
      <c r="J7890" t="s">
        <v>2440</v>
      </c>
      <c r="M7890" s="49"/>
    </row>
    <row r="7891" spans="6:13" x14ac:dyDescent="0.25">
      <c r="F7891" t="s">
        <v>7913</v>
      </c>
      <c r="G7891">
        <v>24644</v>
      </c>
      <c r="H7891">
        <v>1058</v>
      </c>
      <c r="I7891" s="25" t="s">
        <v>2085</v>
      </c>
      <c r="J7891" t="s">
        <v>2086</v>
      </c>
      <c r="M7891" s="49"/>
    </row>
    <row r="7892" spans="6:13" x14ac:dyDescent="0.25">
      <c r="F7892" t="s">
        <v>7914</v>
      </c>
      <c r="G7892">
        <v>23669</v>
      </c>
      <c r="H7892">
        <v>1055</v>
      </c>
      <c r="I7892" s="25" t="s">
        <v>2085</v>
      </c>
      <c r="J7892" t="s">
        <v>2185</v>
      </c>
      <c r="M7892" s="49"/>
    </row>
    <row r="7893" spans="6:13" x14ac:dyDescent="0.25">
      <c r="F7893" t="s">
        <v>2393</v>
      </c>
      <c r="G7893">
        <v>95643</v>
      </c>
      <c r="H7893">
        <v>9377</v>
      </c>
      <c r="I7893" s="25" t="s">
        <v>2050</v>
      </c>
      <c r="J7893" t="s">
        <v>2393</v>
      </c>
      <c r="M7893" s="49"/>
    </row>
    <row r="7894" spans="6:13" x14ac:dyDescent="0.25">
      <c r="F7894" t="s">
        <v>7915</v>
      </c>
      <c r="G7894">
        <v>79822</v>
      </c>
      <c r="H7894">
        <v>8315</v>
      </c>
      <c r="I7894" s="25" t="s">
        <v>2018</v>
      </c>
      <c r="J7894" t="s">
        <v>2061</v>
      </c>
      <c r="M7894" s="49"/>
    </row>
    <row r="7895" spans="6:13" x14ac:dyDescent="0.25">
      <c r="F7895" t="s">
        <v>7916</v>
      </c>
      <c r="G7895">
        <v>85135</v>
      </c>
      <c r="H7895">
        <v>9176</v>
      </c>
      <c r="I7895" s="25" t="s">
        <v>2050</v>
      </c>
      <c r="J7895" t="s">
        <v>2102</v>
      </c>
      <c r="M7895" s="49"/>
    </row>
    <row r="7896" spans="6:13" x14ac:dyDescent="0.25">
      <c r="F7896" t="s">
        <v>7917</v>
      </c>
      <c r="G7896">
        <v>94104</v>
      </c>
      <c r="H7896">
        <v>9275</v>
      </c>
      <c r="I7896" s="25" t="s">
        <v>2050</v>
      </c>
      <c r="J7896" t="s">
        <v>2198</v>
      </c>
      <c r="M7896" s="49"/>
    </row>
    <row r="7897" spans="6:13" x14ac:dyDescent="0.25">
      <c r="F7897" t="s">
        <v>7918</v>
      </c>
      <c r="G7897">
        <v>84529</v>
      </c>
      <c r="H7897">
        <v>9189</v>
      </c>
      <c r="I7897" s="25" t="s">
        <v>2050</v>
      </c>
      <c r="J7897" t="s">
        <v>2407</v>
      </c>
      <c r="M7897" s="49"/>
    </row>
    <row r="7898" spans="6:13" x14ac:dyDescent="0.25">
      <c r="F7898" t="s">
        <v>7919</v>
      </c>
      <c r="G7898">
        <v>52445</v>
      </c>
      <c r="H7898">
        <v>5358</v>
      </c>
      <c r="I7898" s="25" t="s">
        <v>2023</v>
      </c>
      <c r="J7898" t="s">
        <v>2106</v>
      </c>
      <c r="M7898" s="49"/>
    </row>
    <row r="7899" spans="6:13" x14ac:dyDescent="0.25">
      <c r="F7899" t="s">
        <v>7920</v>
      </c>
      <c r="G7899">
        <v>24819</v>
      </c>
      <c r="H7899">
        <v>1058</v>
      </c>
      <c r="I7899" s="25" t="s">
        <v>2085</v>
      </c>
      <c r="J7899" t="s">
        <v>2086</v>
      </c>
      <c r="M7899" s="49"/>
    </row>
    <row r="7900" spans="6:13" x14ac:dyDescent="0.25">
      <c r="F7900" t="s">
        <v>7921</v>
      </c>
      <c r="G7900">
        <v>22965</v>
      </c>
      <c r="H7900">
        <v>1062</v>
      </c>
      <c r="I7900" s="25" t="s">
        <v>2085</v>
      </c>
      <c r="J7900" t="s">
        <v>2188</v>
      </c>
      <c r="M7900" s="49"/>
    </row>
    <row r="7901" spans="6:13" x14ac:dyDescent="0.25">
      <c r="F7901" t="s">
        <v>7922</v>
      </c>
      <c r="G7901">
        <v>79682</v>
      </c>
      <c r="H7901">
        <v>8337</v>
      </c>
      <c r="I7901" s="25" t="s">
        <v>2018</v>
      </c>
      <c r="J7901" t="s">
        <v>2248</v>
      </c>
      <c r="M7901" s="49"/>
    </row>
    <row r="7902" spans="6:13" x14ac:dyDescent="0.25">
      <c r="F7902" t="s">
        <v>7923</v>
      </c>
      <c r="G7902">
        <v>79674</v>
      </c>
      <c r="H7902">
        <v>8336</v>
      </c>
      <c r="I7902" s="25" t="s">
        <v>2018</v>
      </c>
      <c r="J7902" t="s">
        <v>2227</v>
      </c>
      <c r="M7902" s="49"/>
    </row>
    <row r="7903" spans="6:13" x14ac:dyDescent="0.25">
      <c r="F7903" t="s">
        <v>7924</v>
      </c>
      <c r="G7903">
        <v>84513</v>
      </c>
      <c r="H7903">
        <v>9171</v>
      </c>
      <c r="I7903" s="25" t="s">
        <v>2050</v>
      </c>
      <c r="J7903" t="s">
        <v>2446</v>
      </c>
      <c r="M7903" s="49"/>
    </row>
    <row r="7904" spans="6:13" x14ac:dyDescent="0.25">
      <c r="F7904" t="s">
        <v>7924</v>
      </c>
      <c r="G7904">
        <v>84513</v>
      </c>
      <c r="H7904">
        <v>9183</v>
      </c>
      <c r="I7904" s="25" t="s">
        <v>2050</v>
      </c>
      <c r="J7904" t="s">
        <v>2474</v>
      </c>
      <c r="M7904" s="49"/>
    </row>
    <row r="7905" spans="6:13" x14ac:dyDescent="0.25">
      <c r="F7905" t="s">
        <v>7925</v>
      </c>
      <c r="G7905">
        <v>24894</v>
      </c>
      <c r="H7905">
        <v>1059</v>
      </c>
      <c r="I7905" s="25" t="s">
        <v>2085</v>
      </c>
      <c r="J7905" t="s">
        <v>2354</v>
      </c>
      <c r="M7905" s="49"/>
    </row>
    <row r="7906" spans="6:13" x14ac:dyDescent="0.25">
      <c r="F7906" t="s">
        <v>7926</v>
      </c>
      <c r="G7906">
        <v>47918</v>
      </c>
      <c r="H7906">
        <v>5166</v>
      </c>
      <c r="I7906" s="25" t="s">
        <v>2023</v>
      </c>
      <c r="J7906" t="s">
        <v>2412</v>
      </c>
      <c r="M7906" s="49"/>
    </row>
    <row r="7907" spans="6:13" x14ac:dyDescent="0.25">
      <c r="F7907" t="s">
        <v>7927</v>
      </c>
      <c r="G7907">
        <v>25832</v>
      </c>
      <c r="H7907">
        <v>1054</v>
      </c>
      <c r="I7907" s="25" t="s">
        <v>2085</v>
      </c>
      <c r="J7907" t="s">
        <v>2195</v>
      </c>
      <c r="M7907" s="49"/>
    </row>
    <row r="7908" spans="6:13" x14ac:dyDescent="0.25">
      <c r="F7908" t="s">
        <v>7928</v>
      </c>
      <c r="G7908">
        <v>21442</v>
      </c>
      <c r="H7908">
        <v>3353</v>
      </c>
      <c r="I7908" s="25" t="s">
        <v>2074</v>
      </c>
      <c r="J7908" t="s">
        <v>2176</v>
      </c>
      <c r="M7908" s="49"/>
    </row>
    <row r="7909" spans="6:13" x14ac:dyDescent="0.25">
      <c r="F7909" t="s">
        <v>7929</v>
      </c>
      <c r="G7909">
        <v>4861</v>
      </c>
      <c r="H7909">
        <v>14730</v>
      </c>
      <c r="I7909" s="25" t="s">
        <v>2135</v>
      </c>
      <c r="J7909" t="s">
        <v>2083</v>
      </c>
      <c r="M7909" s="49"/>
    </row>
    <row r="7910" spans="6:13" x14ac:dyDescent="0.25">
      <c r="F7910" t="s">
        <v>7930</v>
      </c>
      <c r="G7910">
        <v>4860</v>
      </c>
      <c r="H7910">
        <v>14730</v>
      </c>
      <c r="I7910" s="25" t="s">
        <v>2135</v>
      </c>
      <c r="J7910" t="s">
        <v>2083</v>
      </c>
      <c r="M7910" s="49"/>
    </row>
    <row r="7911" spans="6:13" x14ac:dyDescent="0.25">
      <c r="F7911" t="s">
        <v>7931</v>
      </c>
      <c r="G7911">
        <v>17358</v>
      </c>
      <c r="H7911">
        <v>13075</v>
      </c>
      <c r="I7911" s="25" t="s">
        <v>2191</v>
      </c>
      <c r="J7911" t="s">
        <v>2160</v>
      </c>
      <c r="M7911" s="49"/>
    </row>
    <row r="7912" spans="6:13" x14ac:dyDescent="0.25">
      <c r="F7912" t="s">
        <v>7932</v>
      </c>
      <c r="G7912">
        <v>21255</v>
      </c>
      <c r="H7912">
        <v>3353</v>
      </c>
      <c r="I7912" s="25" t="s">
        <v>2074</v>
      </c>
      <c r="J7912" t="s">
        <v>2176</v>
      </c>
      <c r="M7912" s="49"/>
    </row>
    <row r="7913" spans="6:13" x14ac:dyDescent="0.25">
      <c r="F7913" t="s">
        <v>7933</v>
      </c>
      <c r="G7913">
        <v>21371</v>
      </c>
      <c r="H7913">
        <v>3355</v>
      </c>
      <c r="I7913" s="25" t="s">
        <v>2074</v>
      </c>
      <c r="J7913" t="s">
        <v>2129</v>
      </c>
      <c r="M7913" s="49"/>
    </row>
    <row r="7914" spans="6:13" x14ac:dyDescent="0.25">
      <c r="F7914" t="s">
        <v>7934</v>
      </c>
      <c r="G7914">
        <v>56841</v>
      </c>
      <c r="H7914">
        <v>7231</v>
      </c>
      <c r="I7914" s="25" t="s">
        <v>2123</v>
      </c>
      <c r="J7914" t="s">
        <v>2043</v>
      </c>
      <c r="M7914" s="49"/>
    </row>
    <row r="7915" spans="6:13" x14ac:dyDescent="0.25">
      <c r="F7915" t="s">
        <v>7935</v>
      </c>
      <c r="G7915">
        <v>92724</v>
      </c>
      <c r="H7915">
        <v>9374</v>
      </c>
      <c r="I7915" s="25" t="s">
        <v>2050</v>
      </c>
      <c r="J7915" t="s">
        <v>2420</v>
      </c>
      <c r="M7915" s="49"/>
    </row>
    <row r="7916" spans="6:13" x14ac:dyDescent="0.25">
      <c r="F7916" t="s">
        <v>7936</v>
      </c>
      <c r="G7916">
        <v>93358</v>
      </c>
      <c r="H7916">
        <v>9273</v>
      </c>
      <c r="I7916" s="25" t="s">
        <v>2050</v>
      </c>
      <c r="J7916" t="s">
        <v>2054</v>
      </c>
      <c r="M7916" s="49"/>
    </row>
    <row r="7917" spans="6:13" x14ac:dyDescent="0.25">
      <c r="F7917" t="s">
        <v>7937</v>
      </c>
      <c r="G7917">
        <v>93455</v>
      </c>
      <c r="H7917">
        <v>9372</v>
      </c>
      <c r="I7917" s="25" t="s">
        <v>2050</v>
      </c>
      <c r="J7917" t="s">
        <v>2523</v>
      </c>
      <c r="M7917" s="49"/>
    </row>
    <row r="7918" spans="6:13" x14ac:dyDescent="0.25">
      <c r="F7918" t="s">
        <v>7938</v>
      </c>
      <c r="G7918">
        <v>24610</v>
      </c>
      <c r="H7918">
        <v>1060</v>
      </c>
      <c r="I7918" s="25" t="s">
        <v>2085</v>
      </c>
      <c r="J7918" t="s">
        <v>2363</v>
      </c>
      <c r="M7918" s="49"/>
    </row>
    <row r="7919" spans="6:13" x14ac:dyDescent="0.25">
      <c r="F7919" t="s">
        <v>7939</v>
      </c>
      <c r="G7919">
        <v>83301</v>
      </c>
      <c r="H7919">
        <v>9189</v>
      </c>
      <c r="I7919" s="25" t="s">
        <v>2050</v>
      </c>
      <c r="J7919" t="s">
        <v>2407</v>
      </c>
      <c r="M7919" s="49"/>
    </row>
    <row r="7920" spans="6:13" x14ac:dyDescent="0.25">
      <c r="F7920" t="s">
        <v>7939</v>
      </c>
      <c r="G7920">
        <v>83374</v>
      </c>
      <c r="H7920">
        <v>9189</v>
      </c>
      <c r="I7920" s="25" t="s">
        <v>2050</v>
      </c>
      <c r="J7920" t="s">
        <v>2407</v>
      </c>
      <c r="M7920" s="49"/>
    </row>
    <row r="7921" spans="6:13" x14ac:dyDescent="0.25">
      <c r="F7921" t="s">
        <v>2407</v>
      </c>
      <c r="G7921">
        <v>83278</v>
      </c>
      <c r="H7921">
        <v>9189</v>
      </c>
      <c r="I7921" s="25" t="s">
        <v>2050</v>
      </c>
      <c r="J7921" t="s">
        <v>2407</v>
      </c>
      <c r="M7921" s="49"/>
    </row>
    <row r="7922" spans="6:13" x14ac:dyDescent="0.25">
      <c r="F7922" t="s">
        <v>7940</v>
      </c>
      <c r="G7922">
        <v>92555</v>
      </c>
      <c r="H7922">
        <v>9376</v>
      </c>
      <c r="I7922" s="25" t="s">
        <v>2050</v>
      </c>
      <c r="J7922" t="s">
        <v>2390</v>
      </c>
      <c r="M7922" s="49"/>
    </row>
    <row r="7923" spans="6:13" x14ac:dyDescent="0.25">
      <c r="F7923" t="s">
        <v>7941</v>
      </c>
      <c r="G7923">
        <v>90619</v>
      </c>
      <c r="H7923">
        <v>9575</v>
      </c>
      <c r="I7923" s="25" t="s">
        <v>2050</v>
      </c>
      <c r="J7923" t="s">
        <v>2749</v>
      </c>
      <c r="M7923" s="49"/>
    </row>
    <row r="7924" spans="6:13" x14ac:dyDescent="0.25">
      <c r="F7924" t="s">
        <v>7942</v>
      </c>
      <c r="G7924">
        <v>14959</v>
      </c>
      <c r="H7924">
        <v>12072</v>
      </c>
      <c r="I7924" s="25" t="s">
        <v>2356</v>
      </c>
      <c r="J7924" t="s">
        <v>2456</v>
      </c>
      <c r="M7924" s="49"/>
    </row>
    <row r="7925" spans="6:13" x14ac:dyDescent="0.25">
      <c r="F7925" t="s">
        <v>7943</v>
      </c>
      <c r="G7925">
        <v>29494</v>
      </c>
      <c r="H7925">
        <v>3354</v>
      </c>
      <c r="I7925" s="25" t="s">
        <v>2074</v>
      </c>
      <c r="J7925" t="s">
        <v>2232</v>
      </c>
      <c r="M7925" s="49"/>
    </row>
    <row r="7926" spans="6:13" x14ac:dyDescent="0.25">
      <c r="F7926" t="s">
        <v>7944</v>
      </c>
      <c r="G7926">
        <v>95367</v>
      </c>
      <c r="H7926">
        <v>9477</v>
      </c>
      <c r="I7926" s="25" t="s">
        <v>2050</v>
      </c>
      <c r="J7926" t="s">
        <v>4385</v>
      </c>
      <c r="M7926" s="49"/>
    </row>
    <row r="7927" spans="6:13" x14ac:dyDescent="0.25">
      <c r="F7927" t="s">
        <v>7945</v>
      </c>
      <c r="G7927">
        <v>4687</v>
      </c>
      <c r="H7927">
        <v>14729</v>
      </c>
      <c r="I7927" s="25" t="s">
        <v>2135</v>
      </c>
      <c r="J7927" t="s">
        <v>2684</v>
      </c>
      <c r="M7927" s="49"/>
    </row>
    <row r="7928" spans="6:13" x14ac:dyDescent="0.25">
      <c r="F7928" t="s">
        <v>7946</v>
      </c>
      <c r="G7928">
        <v>65468</v>
      </c>
      <c r="H7928">
        <v>6433</v>
      </c>
      <c r="I7928" s="25" t="s">
        <v>2046</v>
      </c>
      <c r="J7928" t="s">
        <v>3061</v>
      </c>
      <c r="M7928" s="49"/>
    </row>
    <row r="7929" spans="6:13" x14ac:dyDescent="0.25">
      <c r="F7929" t="s">
        <v>7947</v>
      </c>
      <c r="G7929">
        <v>93492</v>
      </c>
      <c r="H7929">
        <v>9372</v>
      </c>
      <c r="I7929" s="25" t="s">
        <v>2050</v>
      </c>
      <c r="J7929" t="s">
        <v>2523</v>
      </c>
      <c r="M7929" s="49"/>
    </row>
    <row r="7930" spans="6:13" x14ac:dyDescent="0.25">
      <c r="F7930" t="s">
        <v>7948</v>
      </c>
      <c r="G7930">
        <v>99830</v>
      </c>
      <c r="H7930">
        <v>16063</v>
      </c>
      <c r="I7930" s="25" t="s">
        <v>2384</v>
      </c>
      <c r="J7930" t="s">
        <v>2687</v>
      </c>
      <c r="M7930" s="49"/>
    </row>
    <row r="7931" spans="6:13" x14ac:dyDescent="0.25">
      <c r="F7931" t="s">
        <v>7949</v>
      </c>
      <c r="G7931">
        <v>24896</v>
      </c>
      <c r="H7931">
        <v>1054</v>
      </c>
      <c r="I7931" s="25" t="s">
        <v>2085</v>
      </c>
      <c r="J7931" t="s">
        <v>2195</v>
      </c>
      <c r="M7931" s="49"/>
    </row>
    <row r="7932" spans="6:13" x14ac:dyDescent="0.25">
      <c r="F7932" t="s">
        <v>7949</v>
      </c>
      <c r="G7932">
        <v>24896</v>
      </c>
      <c r="H7932">
        <v>1059</v>
      </c>
      <c r="I7932" s="25" t="s">
        <v>2085</v>
      </c>
      <c r="J7932" t="s">
        <v>2354</v>
      </c>
      <c r="M7932" s="49"/>
    </row>
    <row r="7933" spans="6:13" x14ac:dyDescent="0.25">
      <c r="F7933" t="s">
        <v>7950</v>
      </c>
      <c r="G7933">
        <v>56253</v>
      </c>
      <c r="H7933">
        <v>7135</v>
      </c>
      <c r="I7933" s="25" t="s">
        <v>2123</v>
      </c>
      <c r="J7933" t="s">
        <v>2072</v>
      </c>
      <c r="M7933" s="49"/>
    </row>
    <row r="7934" spans="6:13" x14ac:dyDescent="0.25">
      <c r="F7934" t="s">
        <v>7951</v>
      </c>
      <c r="G7934">
        <v>22967</v>
      </c>
      <c r="H7934">
        <v>1062</v>
      </c>
      <c r="I7934" s="25" t="s">
        <v>2085</v>
      </c>
      <c r="J7934" t="s">
        <v>2188</v>
      </c>
      <c r="M7934" s="49"/>
    </row>
    <row r="7935" spans="6:13" x14ac:dyDescent="0.25">
      <c r="F7935" t="s">
        <v>7952</v>
      </c>
      <c r="G7935">
        <v>34388</v>
      </c>
      <c r="H7935">
        <v>6633</v>
      </c>
      <c r="I7935" s="25" t="s">
        <v>2046</v>
      </c>
      <c r="J7935" t="s">
        <v>2162</v>
      </c>
      <c r="M7935" s="49"/>
    </row>
    <row r="7936" spans="6:13" x14ac:dyDescent="0.25">
      <c r="F7936" t="s">
        <v>7953</v>
      </c>
      <c r="G7936">
        <v>15236</v>
      </c>
      <c r="H7936">
        <v>12053</v>
      </c>
      <c r="I7936" s="25" t="s">
        <v>2356</v>
      </c>
      <c r="J7936" t="s">
        <v>2133</v>
      </c>
      <c r="M7936" s="49"/>
    </row>
    <row r="7937" spans="6:13" x14ac:dyDescent="0.25">
      <c r="F7937" t="s">
        <v>7953</v>
      </c>
      <c r="G7937">
        <v>15236</v>
      </c>
      <c r="H7937">
        <v>12053</v>
      </c>
      <c r="I7937" s="25" t="s">
        <v>2356</v>
      </c>
      <c r="J7937" t="s">
        <v>2133</v>
      </c>
      <c r="M7937" s="49"/>
    </row>
    <row r="7938" spans="6:13" x14ac:dyDescent="0.25">
      <c r="F7938" t="s">
        <v>7953</v>
      </c>
      <c r="G7938">
        <v>15236</v>
      </c>
      <c r="H7938">
        <v>12064</v>
      </c>
      <c r="I7938" s="25" t="s">
        <v>2356</v>
      </c>
      <c r="J7938" t="s">
        <v>2243</v>
      </c>
      <c r="M7938" s="49"/>
    </row>
    <row r="7939" spans="6:13" x14ac:dyDescent="0.25">
      <c r="F7939" t="s">
        <v>7953</v>
      </c>
      <c r="G7939">
        <v>15236</v>
      </c>
      <c r="H7939">
        <v>12064</v>
      </c>
      <c r="I7939" s="25" t="s">
        <v>2356</v>
      </c>
      <c r="J7939" t="s">
        <v>2243</v>
      </c>
      <c r="M7939" s="49"/>
    </row>
    <row r="7940" spans="6:13" x14ac:dyDescent="0.25">
      <c r="F7940" t="s">
        <v>7953</v>
      </c>
      <c r="G7940">
        <v>15236</v>
      </c>
      <c r="H7940">
        <v>12067</v>
      </c>
      <c r="I7940" s="25" t="s">
        <v>2356</v>
      </c>
      <c r="J7940" t="s">
        <v>2711</v>
      </c>
      <c r="M7940" s="49"/>
    </row>
    <row r="7941" spans="6:13" x14ac:dyDescent="0.25">
      <c r="F7941" t="s">
        <v>7953</v>
      </c>
      <c r="G7941">
        <v>15236</v>
      </c>
      <c r="H7941">
        <v>12067</v>
      </c>
      <c r="I7941" s="25" t="s">
        <v>2356</v>
      </c>
      <c r="J7941" t="s">
        <v>2711</v>
      </c>
      <c r="M7941" s="49"/>
    </row>
    <row r="7942" spans="6:13" x14ac:dyDescent="0.25">
      <c r="F7942" t="s">
        <v>7954</v>
      </c>
      <c r="G7942">
        <v>91757</v>
      </c>
      <c r="H7942">
        <v>9577</v>
      </c>
      <c r="I7942" s="25" t="s">
        <v>2050</v>
      </c>
      <c r="J7942" t="s">
        <v>2057</v>
      </c>
      <c r="M7942" s="49"/>
    </row>
    <row r="7943" spans="6:13" x14ac:dyDescent="0.25">
      <c r="F7943" t="s">
        <v>7955</v>
      </c>
      <c r="G7943">
        <v>8233</v>
      </c>
      <c r="H7943">
        <v>14523</v>
      </c>
      <c r="I7943" s="25" t="s">
        <v>2135</v>
      </c>
      <c r="J7943" t="s">
        <v>2136</v>
      </c>
      <c r="M7943" s="49"/>
    </row>
    <row r="7944" spans="6:13" x14ac:dyDescent="0.25">
      <c r="F7944" t="s">
        <v>7956</v>
      </c>
      <c r="G7944">
        <v>14929</v>
      </c>
      <c r="H7944">
        <v>12069</v>
      </c>
      <c r="I7944" s="25" t="s">
        <v>2356</v>
      </c>
      <c r="J7944" t="s">
        <v>2857</v>
      </c>
      <c r="M7944" s="49"/>
    </row>
    <row r="7945" spans="6:13" x14ac:dyDescent="0.25">
      <c r="F7945" t="s">
        <v>7957</v>
      </c>
      <c r="G7945">
        <v>78098</v>
      </c>
      <c r="H7945">
        <v>8326</v>
      </c>
      <c r="I7945" s="25" t="s">
        <v>2018</v>
      </c>
      <c r="J7945" t="s">
        <v>2638</v>
      </c>
      <c r="M7945" s="49"/>
    </row>
    <row r="7946" spans="6:13" x14ac:dyDescent="0.25">
      <c r="F7946" t="s">
        <v>7958</v>
      </c>
      <c r="G7946">
        <v>18465</v>
      </c>
      <c r="H7946">
        <v>13073</v>
      </c>
      <c r="I7946" s="25" t="s">
        <v>2191</v>
      </c>
      <c r="J7946" t="s">
        <v>2192</v>
      </c>
      <c r="M7946" s="49"/>
    </row>
    <row r="7947" spans="6:13" x14ac:dyDescent="0.25">
      <c r="F7947" t="s">
        <v>7959</v>
      </c>
      <c r="G7947">
        <v>97855</v>
      </c>
      <c r="H7947">
        <v>9677</v>
      </c>
      <c r="I7947" s="25" t="s">
        <v>2050</v>
      </c>
      <c r="J7947" t="s">
        <v>2527</v>
      </c>
      <c r="M7947" s="49"/>
    </row>
    <row r="7948" spans="6:13" x14ac:dyDescent="0.25">
      <c r="F7948" t="s">
        <v>7960</v>
      </c>
      <c r="G7948">
        <v>54292</v>
      </c>
      <c r="H7948">
        <v>7211</v>
      </c>
      <c r="I7948" s="25" t="s">
        <v>2123</v>
      </c>
      <c r="J7948" t="s">
        <v>7961</v>
      </c>
      <c r="M7948" s="49"/>
    </row>
    <row r="7949" spans="6:13" x14ac:dyDescent="0.25">
      <c r="F7949" t="s">
        <v>7960</v>
      </c>
      <c r="G7949">
        <v>54295</v>
      </c>
      <c r="H7949">
        <v>7211</v>
      </c>
      <c r="I7949" s="25" t="s">
        <v>2123</v>
      </c>
      <c r="J7949" t="s">
        <v>7961</v>
      </c>
      <c r="M7949" s="49"/>
    </row>
    <row r="7950" spans="6:13" x14ac:dyDescent="0.25">
      <c r="F7950" t="s">
        <v>7960</v>
      </c>
      <c r="G7950">
        <v>54294</v>
      </c>
      <c r="H7950">
        <v>7211</v>
      </c>
      <c r="I7950" s="25" t="s">
        <v>2123</v>
      </c>
      <c r="J7950" t="s">
        <v>7961</v>
      </c>
      <c r="M7950" s="49"/>
    </row>
    <row r="7951" spans="6:13" x14ac:dyDescent="0.25">
      <c r="F7951" t="s">
        <v>7960</v>
      </c>
      <c r="G7951">
        <v>54296</v>
      </c>
      <c r="H7951">
        <v>7211</v>
      </c>
      <c r="I7951" s="25" t="s">
        <v>2123</v>
      </c>
      <c r="J7951" t="s">
        <v>7961</v>
      </c>
      <c r="M7951" s="49"/>
    </row>
    <row r="7952" spans="6:13" x14ac:dyDescent="0.25">
      <c r="F7952" t="s">
        <v>7960</v>
      </c>
      <c r="G7952">
        <v>54293</v>
      </c>
      <c r="H7952">
        <v>7211</v>
      </c>
      <c r="I7952" s="25" t="s">
        <v>2123</v>
      </c>
      <c r="J7952" t="s">
        <v>7961</v>
      </c>
      <c r="M7952" s="49"/>
    </row>
    <row r="7953" spans="6:13" x14ac:dyDescent="0.25">
      <c r="F7953" t="s">
        <v>7960</v>
      </c>
      <c r="G7953">
        <v>54290</v>
      </c>
      <c r="H7953">
        <v>7211</v>
      </c>
      <c r="I7953" s="25" t="s">
        <v>2123</v>
      </c>
      <c r="J7953" t="s">
        <v>7961</v>
      </c>
      <c r="M7953" s="49"/>
    </row>
    <row r="7954" spans="6:13" x14ac:dyDescent="0.25">
      <c r="F7954" t="s">
        <v>7960</v>
      </c>
      <c r="G7954">
        <v>54295</v>
      </c>
      <c r="H7954">
        <v>7211</v>
      </c>
      <c r="I7954" s="25" t="s">
        <v>2123</v>
      </c>
      <c r="J7954" t="s">
        <v>7961</v>
      </c>
      <c r="M7954" s="49"/>
    </row>
    <row r="7955" spans="6:13" x14ac:dyDescent="0.25">
      <c r="F7955" t="s">
        <v>7962</v>
      </c>
      <c r="G7955">
        <v>54311</v>
      </c>
      <c r="H7955">
        <v>7235</v>
      </c>
      <c r="I7955" s="25" t="s">
        <v>2123</v>
      </c>
      <c r="J7955" t="s">
        <v>2395</v>
      </c>
      <c r="M7955" s="49"/>
    </row>
    <row r="7956" spans="6:13" x14ac:dyDescent="0.25">
      <c r="F7956" t="s">
        <v>7963</v>
      </c>
      <c r="G7956">
        <v>84371</v>
      </c>
      <c r="H7956">
        <v>9277</v>
      </c>
      <c r="I7956" s="25" t="s">
        <v>2050</v>
      </c>
      <c r="J7956" t="s">
        <v>2529</v>
      </c>
      <c r="M7956" s="49"/>
    </row>
    <row r="7957" spans="6:13" x14ac:dyDescent="0.25">
      <c r="F7957" t="s">
        <v>7964</v>
      </c>
      <c r="G7957">
        <v>16949</v>
      </c>
      <c r="H7957">
        <v>12070</v>
      </c>
      <c r="I7957" s="25" t="s">
        <v>2356</v>
      </c>
      <c r="J7957" t="s">
        <v>2316</v>
      </c>
      <c r="M7957" s="49"/>
    </row>
    <row r="7958" spans="6:13" x14ac:dyDescent="0.25">
      <c r="F7958" t="s">
        <v>7965</v>
      </c>
      <c r="G7958">
        <v>67705</v>
      </c>
      <c r="H7958">
        <v>7335</v>
      </c>
      <c r="I7958" s="25" t="s">
        <v>2123</v>
      </c>
      <c r="J7958" t="s">
        <v>2843</v>
      </c>
      <c r="M7958" s="49"/>
    </row>
    <row r="7959" spans="6:13" x14ac:dyDescent="0.25">
      <c r="F7959" t="s">
        <v>7966</v>
      </c>
      <c r="G7959">
        <v>7819</v>
      </c>
      <c r="H7959">
        <v>16075</v>
      </c>
      <c r="I7959" s="25" t="s">
        <v>2384</v>
      </c>
      <c r="J7959" t="s">
        <v>4221</v>
      </c>
      <c r="M7959" s="49"/>
    </row>
    <row r="7960" spans="6:13" x14ac:dyDescent="0.25">
      <c r="F7960" t="s">
        <v>7967</v>
      </c>
      <c r="G7960">
        <v>22946</v>
      </c>
      <c r="H7960">
        <v>1053</v>
      </c>
      <c r="I7960" s="25" t="s">
        <v>2085</v>
      </c>
      <c r="J7960" t="s">
        <v>2193</v>
      </c>
      <c r="M7960" s="49"/>
    </row>
    <row r="7961" spans="6:13" x14ac:dyDescent="0.25">
      <c r="F7961" t="s">
        <v>7967</v>
      </c>
      <c r="G7961">
        <v>22946</v>
      </c>
      <c r="H7961">
        <v>1053</v>
      </c>
      <c r="I7961" s="25" t="s">
        <v>2085</v>
      </c>
      <c r="J7961" t="s">
        <v>2193</v>
      </c>
      <c r="M7961" s="49"/>
    </row>
    <row r="7962" spans="6:13" x14ac:dyDescent="0.25">
      <c r="F7962" t="s">
        <v>7967</v>
      </c>
      <c r="G7962">
        <v>22946</v>
      </c>
      <c r="H7962">
        <v>1062</v>
      </c>
      <c r="I7962" s="25" t="s">
        <v>2085</v>
      </c>
      <c r="J7962" t="s">
        <v>2188</v>
      </c>
      <c r="M7962" s="49"/>
    </row>
    <row r="7963" spans="6:13" x14ac:dyDescent="0.25">
      <c r="F7963" t="s">
        <v>7967</v>
      </c>
      <c r="G7963">
        <v>22946</v>
      </c>
      <c r="H7963">
        <v>1062</v>
      </c>
      <c r="I7963" s="25" t="s">
        <v>2085</v>
      </c>
      <c r="J7963" t="s">
        <v>2188</v>
      </c>
      <c r="M7963" s="49"/>
    </row>
    <row r="7964" spans="6:13" x14ac:dyDescent="0.25">
      <c r="F7964" t="s">
        <v>7968</v>
      </c>
      <c r="G7964">
        <v>54349</v>
      </c>
      <c r="H7964">
        <v>7235</v>
      </c>
      <c r="I7964" s="25" t="s">
        <v>2123</v>
      </c>
      <c r="J7964" t="s">
        <v>2395</v>
      </c>
      <c r="M7964" s="49"/>
    </row>
    <row r="7965" spans="6:13" x14ac:dyDescent="0.25">
      <c r="F7965" t="s">
        <v>7969</v>
      </c>
      <c r="G7965">
        <v>72818</v>
      </c>
      <c r="H7965">
        <v>8415</v>
      </c>
      <c r="I7965" s="25" t="s">
        <v>2018</v>
      </c>
      <c r="J7965" t="s">
        <v>2325</v>
      </c>
      <c r="M7965" s="49"/>
    </row>
    <row r="7966" spans="6:13" x14ac:dyDescent="0.25">
      <c r="F7966" t="s">
        <v>7970</v>
      </c>
      <c r="G7966">
        <v>53840</v>
      </c>
      <c r="H7966">
        <v>5382</v>
      </c>
      <c r="I7966" s="25" t="s">
        <v>2023</v>
      </c>
      <c r="J7966" t="s">
        <v>2298</v>
      </c>
      <c r="M7966" s="49"/>
    </row>
    <row r="7967" spans="6:13" x14ac:dyDescent="0.25">
      <c r="F7967" t="s">
        <v>7970</v>
      </c>
      <c r="G7967">
        <v>53842</v>
      </c>
      <c r="H7967">
        <v>5382</v>
      </c>
      <c r="I7967" s="25" t="s">
        <v>2023</v>
      </c>
      <c r="J7967" t="s">
        <v>2298</v>
      </c>
      <c r="M7967" s="49"/>
    </row>
    <row r="7968" spans="6:13" x14ac:dyDescent="0.25">
      <c r="F7968" t="s">
        <v>7970</v>
      </c>
      <c r="G7968">
        <v>53844</v>
      </c>
      <c r="H7968">
        <v>5382</v>
      </c>
      <c r="I7968" s="25" t="s">
        <v>2023</v>
      </c>
      <c r="J7968" t="s">
        <v>2298</v>
      </c>
      <c r="M7968" s="49"/>
    </row>
    <row r="7969" spans="6:13" x14ac:dyDescent="0.25">
      <c r="F7969" t="s">
        <v>7971</v>
      </c>
      <c r="G7969">
        <v>78647</v>
      </c>
      <c r="H7969">
        <v>8327</v>
      </c>
      <c r="I7969" s="25" t="s">
        <v>2018</v>
      </c>
      <c r="J7969" t="s">
        <v>2277</v>
      </c>
      <c r="M7969" s="49"/>
    </row>
    <row r="7970" spans="6:13" x14ac:dyDescent="0.25">
      <c r="F7970" t="s">
        <v>7972</v>
      </c>
      <c r="G7970">
        <v>95709</v>
      </c>
      <c r="H7970">
        <v>9479</v>
      </c>
      <c r="I7970" s="25" t="s">
        <v>2050</v>
      </c>
      <c r="J7970" t="s">
        <v>2436</v>
      </c>
      <c r="M7970" s="49"/>
    </row>
    <row r="7971" spans="6:13" x14ac:dyDescent="0.25">
      <c r="F7971" t="s">
        <v>7973</v>
      </c>
      <c r="G7971">
        <v>83308</v>
      </c>
      <c r="H7971">
        <v>9189</v>
      </c>
      <c r="I7971" s="25" t="s">
        <v>2050</v>
      </c>
      <c r="J7971" t="s">
        <v>2407</v>
      </c>
      <c r="M7971" s="49"/>
    </row>
    <row r="7972" spans="6:13" x14ac:dyDescent="0.25">
      <c r="F7972" t="s">
        <v>7974</v>
      </c>
      <c r="G7972">
        <v>87779</v>
      </c>
      <c r="H7972">
        <v>9778</v>
      </c>
      <c r="I7972" s="25" t="s">
        <v>2050</v>
      </c>
      <c r="J7972" t="s">
        <v>2460</v>
      </c>
      <c r="M7972" s="49"/>
    </row>
    <row r="7973" spans="6:13" x14ac:dyDescent="0.25">
      <c r="F7973" t="s">
        <v>7975</v>
      </c>
      <c r="G7973">
        <v>96367</v>
      </c>
      <c r="H7973">
        <v>9476</v>
      </c>
      <c r="I7973" s="25" t="s">
        <v>2050</v>
      </c>
      <c r="J7973" t="s">
        <v>5435</v>
      </c>
      <c r="M7973" s="49"/>
    </row>
    <row r="7974" spans="6:13" x14ac:dyDescent="0.25">
      <c r="F7974" t="s">
        <v>2464</v>
      </c>
      <c r="G7974">
        <v>72070</v>
      </c>
      <c r="H7974">
        <v>8416</v>
      </c>
      <c r="I7974" s="25" t="s">
        <v>2018</v>
      </c>
      <c r="J7974" t="s">
        <v>2464</v>
      </c>
      <c r="M7974" s="49"/>
    </row>
    <row r="7975" spans="6:13" x14ac:dyDescent="0.25">
      <c r="F7975" t="s">
        <v>2464</v>
      </c>
      <c r="G7975">
        <v>72072</v>
      </c>
      <c r="H7975">
        <v>8416</v>
      </c>
      <c r="I7975" s="25" t="s">
        <v>2018</v>
      </c>
      <c r="J7975" t="s">
        <v>2464</v>
      </c>
      <c r="M7975" s="49"/>
    </row>
    <row r="7976" spans="6:13" x14ac:dyDescent="0.25">
      <c r="F7976" t="s">
        <v>2464</v>
      </c>
      <c r="G7976">
        <v>72074</v>
      </c>
      <c r="H7976">
        <v>8416</v>
      </c>
      <c r="I7976" s="25" t="s">
        <v>2018</v>
      </c>
      <c r="J7976" t="s">
        <v>2464</v>
      </c>
      <c r="M7976" s="49"/>
    </row>
    <row r="7977" spans="6:13" x14ac:dyDescent="0.25">
      <c r="F7977" t="s">
        <v>2464</v>
      </c>
      <c r="G7977">
        <v>72076</v>
      </c>
      <c r="H7977">
        <v>8416</v>
      </c>
      <c r="I7977" s="25" t="s">
        <v>2018</v>
      </c>
      <c r="J7977" t="s">
        <v>2464</v>
      </c>
      <c r="M7977" s="49"/>
    </row>
    <row r="7978" spans="6:13" x14ac:dyDescent="0.25">
      <c r="F7978" t="s">
        <v>7976</v>
      </c>
      <c r="G7978">
        <v>38474</v>
      </c>
      <c r="H7978">
        <v>3151</v>
      </c>
      <c r="I7978" s="25" t="s">
        <v>2074</v>
      </c>
      <c r="J7978" t="s">
        <v>2126</v>
      </c>
      <c r="M7978" s="49"/>
    </row>
    <row r="7979" spans="6:13" x14ac:dyDescent="0.25">
      <c r="F7979" t="s">
        <v>7977</v>
      </c>
      <c r="G7979">
        <v>78609</v>
      </c>
      <c r="H7979">
        <v>8326</v>
      </c>
      <c r="I7979" s="25" t="s">
        <v>2018</v>
      </c>
      <c r="J7979" t="s">
        <v>2638</v>
      </c>
      <c r="M7979" s="49"/>
    </row>
    <row r="7980" spans="6:13" x14ac:dyDescent="0.25">
      <c r="F7980" t="s">
        <v>7978</v>
      </c>
      <c r="G7980">
        <v>83104</v>
      </c>
      <c r="H7980">
        <v>9187</v>
      </c>
      <c r="I7980" s="25" t="s">
        <v>2050</v>
      </c>
      <c r="J7980" t="s">
        <v>2245</v>
      </c>
      <c r="M7980" s="49"/>
    </row>
    <row r="7981" spans="6:13" x14ac:dyDescent="0.25">
      <c r="F7981" t="s">
        <v>7979</v>
      </c>
      <c r="G7981">
        <v>82299</v>
      </c>
      <c r="H7981">
        <v>9179</v>
      </c>
      <c r="I7981" s="25" t="s">
        <v>2050</v>
      </c>
      <c r="J7981" t="s">
        <v>2111</v>
      </c>
      <c r="M7981" s="49"/>
    </row>
    <row r="7982" spans="6:13" x14ac:dyDescent="0.25">
      <c r="F7982" t="s">
        <v>7980</v>
      </c>
      <c r="G7982">
        <v>86842</v>
      </c>
      <c r="H7982">
        <v>9778</v>
      </c>
      <c r="I7982" s="25" t="s">
        <v>2050</v>
      </c>
      <c r="J7982" t="s">
        <v>2460</v>
      </c>
      <c r="M7982" s="49"/>
    </row>
    <row r="7983" spans="6:13" x14ac:dyDescent="0.25">
      <c r="F7983" t="s">
        <v>7981</v>
      </c>
      <c r="G7983">
        <v>86874</v>
      </c>
      <c r="H7983">
        <v>9778</v>
      </c>
      <c r="I7983" s="25" t="s">
        <v>2050</v>
      </c>
      <c r="J7983" t="s">
        <v>2460</v>
      </c>
      <c r="M7983" s="49"/>
    </row>
    <row r="7984" spans="6:13" x14ac:dyDescent="0.25">
      <c r="F7984" t="s">
        <v>7982</v>
      </c>
      <c r="G7984">
        <v>84577</v>
      </c>
      <c r="H7984">
        <v>9171</v>
      </c>
      <c r="I7984" s="25" t="s">
        <v>2050</v>
      </c>
      <c r="J7984" t="s">
        <v>2446</v>
      </c>
      <c r="M7984" s="49"/>
    </row>
    <row r="7985" spans="6:13" x14ac:dyDescent="0.25">
      <c r="F7985" t="s">
        <v>2277</v>
      </c>
      <c r="G7985">
        <v>78532</v>
      </c>
      <c r="H7985">
        <v>8327</v>
      </c>
      <c r="I7985" s="25" t="s">
        <v>2018</v>
      </c>
      <c r="J7985" t="s">
        <v>2277</v>
      </c>
      <c r="M7985" s="49"/>
    </row>
    <row r="7986" spans="6:13" x14ac:dyDescent="0.25">
      <c r="F7986" t="s">
        <v>7983</v>
      </c>
      <c r="G7986">
        <v>82327</v>
      </c>
      <c r="H7986">
        <v>9188</v>
      </c>
      <c r="I7986" s="25" t="s">
        <v>2050</v>
      </c>
      <c r="J7986" t="s">
        <v>2481</v>
      </c>
      <c r="M7986" s="49"/>
    </row>
    <row r="7987" spans="6:13" x14ac:dyDescent="0.25">
      <c r="F7987" t="s">
        <v>7984</v>
      </c>
      <c r="G7987">
        <v>49767</v>
      </c>
      <c r="H7987">
        <v>3454</v>
      </c>
      <c r="I7987" s="25" t="s">
        <v>2074</v>
      </c>
      <c r="J7987" t="s">
        <v>2118</v>
      </c>
      <c r="M7987" s="49"/>
    </row>
    <row r="7988" spans="6:13" x14ac:dyDescent="0.25">
      <c r="F7988" t="s">
        <v>7985</v>
      </c>
      <c r="G7988">
        <v>34477</v>
      </c>
      <c r="H7988">
        <v>6635</v>
      </c>
      <c r="I7988" s="25" t="s">
        <v>2046</v>
      </c>
      <c r="J7988" t="s">
        <v>2308</v>
      </c>
      <c r="M7988" s="49"/>
    </row>
    <row r="7989" spans="6:13" x14ac:dyDescent="0.25">
      <c r="F7989" t="s">
        <v>7986</v>
      </c>
      <c r="G7989">
        <v>27239</v>
      </c>
      <c r="H7989">
        <v>3251</v>
      </c>
      <c r="I7989" s="25" t="s">
        <v>2074</v>
      </c>
      <c r="J7989" t="s">
        <v>2094</v>
      </c>
      <c r="M7989" s="49"/>
    </row>
    <row r="7990" spans="6:13" x14ac:dyDescent="0.25">
      <c r="F7990" t="s">
        <v>7987</v>
      </c>
      <c r="G7990">
        <v>52531</v>
      </c>
      <c r="H7990">
        <v>5370</v>
      </c>
      <c r="I7990" s="25" t="s">
        <v>2023</v>
      </c>
      <c r="J7990" t="s">
        <v>2183</v>
      </c>
      <c r="M7990" s="49"/>
    </row>
    <row r="7991" spans="6:13" x14ac:dyDescent="0.25">
      <c r="F7991" t="s">
        <v>7988</v>
      </c>
      <c r="G7991">
        <v>66802</v>
      </c>
      <c r="H7991">
        <v>10044</v>
      </c>
      <c r="I7991" s="25" t="s">
        <v>2849</v>
      </c>
      <c r="J7991" t="s">
        <v>3222</v>
      </c>
      <c r="M7991" s="49"/>
    </row>
    <row r="7992" spans="6:13" x14ac:dyDescent="0.25">
      <c r="F7992" t="s">
        <v>7989</v>
      </c>
      <c r="G7992">
        <v>88662</v>
      </c>
      <c r="H7992">
        <v>8435</v>
      </c>
      <c r="I7992" s="25" t="s">
        <v>2018</v>
      </c>
      <c r="J7992" t="s">
        <v>3011</v>
      </c>
      <c r="M7992" s="49"/>
    </row>
    <row r="7993" spans="6:13" x14ac:dyDescent="0.25">
      <c r="F7993" t="s">
        <v>7989</v>
      </c>
      <c r="G7993">
        <v>88662</v>
      </c>
      <c r="H7993">
        <v>8435</v>
      </c>
      <c r="I7993" s="25" t="s">
        <v>2018</v>
      </c>
      <c r="J7993" t="s">
        <v>3011</v>
      </c>
      <c r="M7993" s="49"/>
    </row>
    <row r="7994" spans="6:13" x14ac:dyDescent="0.25">
      <c r="F7994" t="s">
        <v>7990</v>
      </c>
      <c r="G7994">
        <v>83236</v>
      </c>
      <c r="H7994">
        <v>9189</v>
      </c>
      <c r="I7994" s="25" t="s">
        <v>2050</v>
      </c>
      <c r="J7994" t="s">
        <v>2407</v>
      </c>
      <c r="M7994" s="49"/>
    </row>
    <row r="7995" spans="6:13" x14ac:dyDescent="0.25">
      <c r="F7995" t="s">
        <v>7991</v>
      </c>
      <c r="G7995">
        <v>76698</v>
      </c>
      <c r="H7995">
        <v>8215</v>
      </c>
      <c r="I7995" s="25" t="s">
        <v>2018</v>
      </c>
      <c r="J7995" t="s">
        <v>2724</v>
      </c>
      <c r="M7995" s="49"/>
    </row>
    <row r="7996" spans="6:13" x14ac:dyDescent="0.25">
      <c r="F7996" t="s">
        <v>7992</v>
      </c>
      <c r="G7996">
        <v>31600</v>
      </c>
      <c r="H7996">
        <v>3256</v>
      </c>
      <c r="I7996" s="25" t="s">
        <v>2074</v>
      </c>
      <c r="J7996" t="s">
        <v>2271</v>
      </c>
      <c r="M7996" s="49"/>
    </row>
    <row r="7997" spans="6:13" x14ac:dyDescent="0.25">
      <c r="F7997" t="s">
        <v>7993</v>
      </c>
      <c r="G7997">
        <v>97532</v>
      </c>
      <c r="H7997">
        <v>9678</v>
      </c>
      <c r="I7997" s="25" t="s">
        <v>2050</v>
      </c>
      <c r="J7997" t="s">
        <v>2918</v>
      </c>
      <c r="M7997" s="49"/>
    </row>
    <row r="7998" spans="6:13" x14ac:dyDescent="0.25">
      <c r="F7998" t="s">
        <v>7994</v>
      </c>
      <c r="G7998">
        <v>17337</v>
      </c>
      <c r="H7998">
        <v>12073</v>
      </c>
      <c r="I7998" s="25" t="s">
        <v>2356</v>
      </c>
      <c r="J7998" t="s">
        <v>2397</v>
      </c>
      <c r="M7998" s="49"/>
    </row>
    <row r="7999" spans="6:13" x14ac:dyDescent="0.25">
      <c r="F7999" t="s">
        <v>7994</v>
      </c>
      <c r="G7999">
        <v>17337</v>
      </c>
      <c r="H7999">
        <v>12073</v>
      </c>
      <c r="I7999" s="25" t="s">
        <v>2356</v>
      </c>
      <c r="J7999" t="s">
        <v>2397</v>
      </c>
      <c r="M7999" s="49"/>
    </row>
    <row r="8000" spans="6:13" x14ac:dyDescent="0.25">
      <c r="F8000" t="s">
        <v>7994</v>
      </c>
      <c r="G8000">
        <v>17337</v>
      </c>
      <c r="H8000">
        <v>13071</v>
      </c>
      <c r="I8000" s="25" t="s">
        <v>2191</v>
      </c>
      <c r="J8000" t="s">
        <v>2091</v>
      </c>
      <c r="M8000" s="49"/>
    </row>
    <row r="8001" spans="6:13" x14ac:dyDescent="0.25">
      <c r="F8001" t="s">
        <v>7994</v>
      </c>
      <c r="G8001">
        <v>17337</v>
      </c>
      <c r="H8001">
        <v>13071</v>
      </c>
      <c r="I8001" s="25" t="s">
        <v>2191</v>
      </c>
      <c r="J8001" t="s">
        <v>2091</v>
      </c>
      <c r="M8001" s="49"/>
    </row>
    <row r="8002" spans="6:13" x14ac:dyDescent="0.25">
      <c r="F8002" t="s">
        <v>7994</v>
      </c>
      <c r="G8002">
        <v>17337</v>
      </c>
      <c r="H8002">
        <v>13075</v>
      </c>
      <c r="I8002" s="25" t="s">
        <v>2191</v>
      </c>
      <c r="J8002" t="s">
        <v>2160</v>
      </c>
      <c r="M8002" s="49"/>
    </row>
    <row r="8003" spans="6:13" x14ac:dyDescent="0.25">
      <c r="F8003" t="s">
        <v>7994</v>
      </c>
      <c r="G8003">
        <v>17337</v>
      </c>
      <c r="H8003">
        <v>13075</v>
      </c>
      <c r="I8003" s="25" t="s">
        <v>2191</v>
      </c>
      <c r="J8003" t="s">
        <v>2160</v>
      </c>
      <c r="M8003" s="49"/>
    </row>
    <row r="8004" spans="6:13" x14ac:dyDescent="0.25">
      <c r="F8004" t="s">
        <v>7995</v>
      </c>
      <c r="G8004">
        <v>99198</v>
      </c>
      <c r="H8004">
        <v>16068</v>
      </c>
      <c r="I8004" s="25" t="s">
        <v>2384</v>
      </c>
      <c r="J8004" t="s">
        <v>3075</v>
      </c>
      <c r="M8004" s="49"/>
    </row>
    <row r="8005" spans="6:13" x14ac:dyDescent="0.25">
      <c r="F8005" t="s">
        <v>7995</v>
      </c>
      <c r="G8005">
        <v>99198</v>
      </c>
      <c r="H8005">
        <v>16068</v>
      </c>
      <c r="I8005" s="25" t="s">
        <v>2384</v>
      </c>
      <c r="J8005" t="s">
        <v>3075</v>
      </c>
      <c r="M8005" s="49"/>
    </row>
    <row r="8006" spans="6:13" x14ac:dyDescent="0.25">
      <c r="F8006" t="s">
        <v>7995</v>
      </c>
      <c r="G8006">
        <v>99198</v>
      </c>
      <c r="H8006">
        <v>16071</v>
      </c>
      <c r="I8006" s="25" t="s">
        <v>2384</v>
      </c>
      <c r="J8006" t="s">
        <v>2508</v>
      </c>
      <c r="M8006" s="49"/>
    </row>
    <row r="8007" spans="6:13" x14ac:dyDescent="0.25">
      <c r="F8007" t="s">
        <v>7995</v>
      </c>
      <c r="G8007">
        <v>99198</v>
      </c>
      <c r="H8007">
        <v>16071</v>
      </c>
      <c r="I8007" s="25" t="s">
        <v>2384</v>
      </c>
      <c r="J8007" t="s">
        <v>2508</v>
      </c>
      <c r="M8007" s="49"/>
    </row>
    <row r="8008" spans="6:13" x14ac:dyDescent="0.25">
      <c r="F8008" t="s">
        <v>7996</v>
      </c>
      <c r="G8008">
        <v>4938</v>
      </c>
      <c r="H8008">
        <v>12062</v>
      </c>
      <c r="I8008" s="25" t="s">
        <v>2356</v>
      </c>
      <c r="J8008" t="s">
        <v>2689</v>
      </c>
      <c r="M8008" s="49"/>
    </row>
    <row r="8009" spans="6:13" x14ac:dyDescent="0.25">
      <c r="F8009" t="s">
        <v>7997</v>
      </c>
      <c r="G8009">
        <v>17373</v>
      </c>
      <c r="H8009">
        <v>13075</v>
      </c>
      <c r="I8009" s="25" t="s">
        <v>2191</v>
      </c>
      <c r="J8009" t="s">
        <v>2160</v>
      </c>
      <c r="M8009" s="49"/>
    </row>
    <row r="8010" spans="6:13" x14ac:dyDescent="0.25">
      <c r="F8010" t="s">
        <v>7998</v>
      </c>
      <c r="G8010">
        <v>47589</v>
      </c>
      <c r="H8010">
        <v>5154</v>
      </c>
      <c r="I8010" s="25" t="s">
        <v>2023</v>
      </c>
      <c r="J8010" t="s">
        <v>2214</v>
      </c>
      <c r="M8010" s="49"/>
    </row>
    <row r="8011" spans="6:13" x14ac:dyDescent="0.25">
      <c r="F8011" t="s">
        <v>7999</v>
      </c>
      <c r="G8011">
        <v>91486</v>
      </c>
      <c r="H8011">
        <v>9575</v>
      </c>
      <c r="I8011" s="25" t="s">
        <v>2050</v>
      </c>
      <c r="J8011" t="s">
        <v>2749</v>
      </c>
      <c r="M8011" s="49"/>
    </row>
    <row r="8012" spans="6:13" x14ac:dyDescent="0.25">
      <c r="F8012" t="s">
        <v>8000</v>
      </c>
      <c r="G8012">
        <v>49843</v>
      </c>
      <c r="H8012">
        <v>3456</v>
      </c>
      <c r="I8012" s="25" t="s">
        <v>2074</v>
      </c>
      <c r="J8012" t="s">
        <v>2156</v>
      </c>
      <c r="M8012" s="49"/>
    </row>
    <row r="8013" spans="6:13" x14ac:dyDescent="0.25">
      <c r="F8013" t="s">
        <v>8001</v>
      </c>
      <c r="G8013">
        <v>25889</v>
      </c>
      <c r="H8013">
        <v>1054</v>
      </c>
      <c r="I8013" s="25" t="s">
        <v>2085</v>
      </c>
      <c r="J8013" t="s">
        <v>2195</v>
      </c>
      <c r="M8013" s="49"/>
    </row>
    <row r="8014" spans="6:13" x14ac:dyDescent="0.25">
      <c r="F8014" t="s">
        <v>2400</v>
      </c>
      <c r="G8014">
        <v>29525</v>
      </c>
      <c r="H8014">
        <v>3360</v>
      </c>
      <c r="I8014" s="25" t="s">
        <v>2074</v>
      </c>
      <c r="J8014" t="s">
        <v>2400</v>
      </c>
      <c r="M8014" s="49"/>
    </row>
    <row r="8015" spans="6:13" x14ac:dyDescent="0.25">
      <c r="F8015" t="s">
        <v>8002</v>
      </c>
      <c r="G8015">
        <v>56767</v>
      </c>
      <c r="H8015">
        <v>7233</v>
      </c>
      <c r="I8015" s="25" t="s">
        <v>2123</v>
      </c>
      <c r="J8015" t="s">
        <v>2416</v>
      </c>
      <c r="M8015" s="49"/>
    </row>
    <row r="8016" spans="6:13" x14ac:dyDescent="0.25">
      <c r="F8016" t="s">
        <v>8003</v>
      </c>
      <c r="G8016">
        <v>25436</v>
      </c>
      <c r="H8016">
        <v>1056</v>
      </c>
      <c r="I8016" s="25" t="s">
        <v>2085</v>
      </c>
      <c r="J8016" t="s">
        <v>2311</v>
      </c>
      <c r="M8016" s="49"/>
    </row>
    <row r="8017" spans="6:13" x14ac:dyDescent="0.25">
      <c r="F8017" t="s">
        <v>8004</v>
      </c>
      <c r="G8017">
        <v>31311</v>
      </c>
      <c r="H8017">
        <v>3241</v>
      </c>
      <c r="I8017" s="25" t="s">
        <v>2074</v>
      </c>
      <c r="J8017" t="s">
        <v>2321</v>
      </c>
      <c r="M8017" s="49"/>
    </row>
    <row r="8018" spans="6:13" x14ac:dyDescent="0.25">
      <c r="F8018" t="s">
        <v>8005</v>
      </c>
      <c r="G8018">
        <v>97215</v>
      </c>
      <c r="H8018">
        <v>9575</v>
      </c>
      <c r="I8018" s="25" t="s">
        <v>2050</v>
      </c>
      <c r="J8018" t="s">
        <v>2749</v>
      </c>
      <c r="M8018" s="49"/>
    </row>
    <row r="8019" spans="6:13" x14ac:dyDescent="0.25">
      <c r="F8019" t="s">
        <v>8006</v>
      </c>
      <c r="G8019">
        <v>82449</v>
      </c>
      <c r="H8019">
        <v>9180</v>
      </c>
      <c r="I8019" s="25" t="s">
        <v>2050</v>
      </c>
      <c r="J8019" t="s">
        <v>2147</v>
      </c>
      <c r="M8019" s="49"/>
    </row>
    <row r="8020" spans="6:13" x14ac:dyDescent="0.25">
      <c r="F8020" t="s">
        <v>8007</v>
      </c>
      <c r="G8020">
        <v>73066</v>
      </c>
      <c r="H8020">
        <v>8117</v>
      </c>
      <c r="I8020" s="25" t="s">
        <v>2018</v>
      </c>
      <c r="J8020" t="s">
        <v>2089</v>
      </c>
      <c r="M8020" s="49"/>
    </row>
    <row r="8021" spans="6:13" x14ac:dyDescent="0.25">
      <c r="F8021" t="s">
        <v>8008</v>
      </c>
      <c r="G8021">
        <v>88690</v>
      </c>
      <c r="H8021">
        <v>8435</v>
      </c>
      <c r="I8021" s="25" t="s">
        <v>2018</v>
      </c>
      <c r="J8021" t="s">
        <v>3011</v>
      </c>
      <c r="M8021" s="49"/>
    </row>
    <row r="8022" spans="6:13" x14ac:dyDescent="0.25">
      <c r="F8022" t="s">
        <v>8009</v>
      </c>
      <c r="G8022">
        <v>79777</v>
      </c>
      <c r="H8022">
        <v>8337</v>
      </c>
      <c r="I8022" s="25" t="s">
        <v>2018</v>
      </c>
      <c r="J8022" t="s">
        <v>2248</v>
      </c>
      <c r="M8022" s="49"/>
    </row>
    <row r="8023" spans="6:13" x14ac:dyDescent="0.25">
      <c r="F8023" t="s">
        <v>8010</v>
      </c>
      <c r="G8023">
        <v>89081</v>
      </c>
      <c r="H8023">
        <v>8421</v>
      </c>
      <c r="I8023" s="25" t="s">
        <v>2018</v>
      </c>
      <c r="J8023" t="s">
        <v>3622</v>
      </c>
      <c r="M8023" s="49"/>
    </row>
    <row r="8024" spans="6:13" x14ac:dyDescent="0.25">
      <c r="F8024" t="s">
        <v>8010</v>
      </c>
      <c r="G8024">
        <v>89073</v>
      </c>
      <c r="H8024">
        <v>8421</v>
      </c>
      <c r="I8024" s="25" t="s">
        <v>2018</v>
      </c>
      <c r="J8024" t="s">
        <v>3622</v>
      </c>
      <c r="M8024" s="49"/>
    </row>
    <row r="8025" spans="6:13" x14ac:dyDescent="0.25">
      <c r="F8025" t="s">
        <v>8010</v>
      </c>
      <c r="G8025">
        <v>89075</v>
      </c>
      <c r="H8025">
        <v>8421</v>
      </c>
      <c r="I8025" s="25" t="s">
        <v>2018</v>
      </c>
      <c r="J8025" t="s">
        <v>3622</v>
      </c>
      <c r="M8025" s="49"/>
    </row>
    <row r="8026" spans="6:13" x14ac:dyDescent="0.25">
      <c r="F8026" t="s">
        <v>8010</v>
      </c>
      <c r="G8026">
        <v>89079</v>
      </c>
      <c r="H8026">
        <v>8421</v>
      </c>
      <c r="I8026" s="25" t="s">
        <v>2018</v>
      </c>
      <c r="J8026" t="s">
        <v>3622</v>
      </c>
      <c r="M8026" s="49"/>
    </row>
    <row r="8027" spans="6:13" x14ac:dyDescent="0.25">
      <c r="F8027" t="s">
        <v>8010</v>
      </c>
      <c r="G8027">
        <v>89081</v>
      </c>
      <c r="H8027">
        <v>8421</v>
      </c>
      <c r="I8027" s="25" t="s">
        <v>2018</v>
      </c>
      <c r="J8027" t="s">
        <v>3622</v>
      </c>
      <c r="M8027" s="49"/>
    </row>
    <row r="8028" spans="6:13" x14ac:dyDescent="0.25">
      <c r="F8028" t="s">
        <v>8010</v>
      </c>
      <c r="G8028">
        <v>89077</v>
      </c>
      <c r="H8028">
        <v>8421</v>
      </c>
      <c r="I8028" s="25" t="s">
        <v>2018</v>
      </c>
      <c r="J8028" t="s">
        <v>3622</v>
      </c>
      <c r="M8028" s="49"/>
    </row>
    <row r="8029" spans="6:13" x14ac:dyDescent="0.25">
      <c r="F8029" t="s">
        <v>8010</v>
      </c>
      <c r="G8029">
        <v>89081</v>
      </c>
      <c r="H8029">
        <v>9775</v>
      </c>
      <c r="I8029" s="25" t="s">
        <v>2050</v>
      </c>
      <c r="J8029" t="s">
        <v>2418</v>
      </c>
      <c r="M8029" s="49"/>
    </row>
    <row r="8030" spans="6:13" x14ac:dyDescent="0.25">
      <c r="F8030" t="s">
        <v>8010</v>
      </c>
      <c r="G8030">
        <v>89081</v>
      </c>
      <c r="H8030">
        <v>9775</v>
      </c>
      <c r="I8030" s="25" t="s">
        <v>2050</v>
      </c>
      <c r="J8030" t="s">
        <v>2418</v>
      </c>
      <c r="M8030" s="49"/>
    </row>
    <row r="8031" spans="6:13" x14ac:dyDescent="0.25">
      <c r="F8031" t="s">
        <v>8011</v>
      </c>
      <c r="G8031">
        <v>56766</v>
      </c>
      <c r="H8031">
        <v>7135</v>
      </c>
      <c r="I8031" s="25" t="s">
        <v>2123</v>
      </c>
      <c r="J8031" t="s">
        <v>2072</v>
      </c>
      <c r="M8031" s="49"/>
    </row>
    <row r="8032" spans="6:13" x14ac:dyDescent="0.25">
      <c r="F8032" t="s">
        <v>8011</v>
      </c>
      <c r="G8032">
        <v>56766</v>
      </c>
      <c r="H8032">
        <v>7233</v>
      </c>
      <c r="I8032" s="25" t="s">
        <v>2123</v>
      </c>
      <c r="J8032" t="s">
        <v>2416</v>
      </c>
      <c r="M8032" s="49"/>
    </row>
    <row r="8033" spans="6:13" x14ac:dyDescent="0.25">
      <c r="F8033" t="s">
        <v>8012</v>
      </c>
      <c r="G8033">
        <v>35327</v>
      </c>
      <c r="H8033">
        <v>6535</v>
      </c>
      <c r="I8033" s="25" t="s">
        <v>2046</v>
      </c>
      <c r="J8033" t="s">
        <v>2346</v>
      </c>
      <c r="M8033" s="49"/>
    </row>
    <row r="8034" spans="6:13" x14ac:dyDescent="0.25">
      <c r="F8034" t="s">
        <v>8013</v>
      </c>
      <c r="G8034">
        <v>24897</v>
      </c>
      <c r="H8034">
        <v>1059</v>
      </c>
      <c r="I8034" s="25" t="s">
        <v>2085</v>
      </c>
      <c r="J8034" t="s">
        <v>2354</v>
      </c>
      <c r="M8034" s="49"/>
    </row>
    <row r="8035" spans="6:13" x14ac:dyDescent="0.25">
      <c r="F8035" t="s">
        <v>8014</v>
      </c>
      <c r="G8035">
        <v>79224</v>
      </c>
      <c r="H8035">
        <v>8315</v>
      </c>
      <c r="I8035" s="25" t="s">
        <v>2018</v>
      </c>
      <c r="J8035" t="s">
        <v>2061</v>
      </c>
      <c r="M8035" s="49"/>
    </row>
    <row r="8036" spans="6:13" x14ac:dyDescent="0.25">
      <c r="F8036" t="s">
        <v>8015</v>
      </c>
      <c r="G8036">
        <v>88444</v>
      </c>
      <c r="H8036">
        <v>8426</v>
      </c>
      <c r="I8036" s="25" t="s">
        <v>2018</v>
      </c>
      <c r="J8036" t="s">
        <v>2081</v>
      </c>
      <c r="M8036" s="49"/>
    </row>
    <row r="8037" spans="6:13" x14ac:dyDescent="0.25">
      <c r="F8037" t="s">
        <v>8016</v>
      </c>
      <c r="G8037">
        <v>29369</v>
      </c>
      <c r="H8037">
        <v>3151</v>
      </c>
      <c r="I8037" s="25" t="s">
        <v>2074</v>
      </c>
      <c r="J8037" t="s">
        <v>2126</v>
      </c>
      <c r="M8037" s="49"/>
    </row>
    <row r="8038" spans="6:13" x14ac:dyDescent="0.25">
      <c r="F8038" t="s">
        <v>8017</v>
      </c>
      <c r="G8038">
        <v>21274</v>
      </c>
      <c r="H8038">
        <v>3353</v>
      </c>
      <c r="I8038" s="25" t="s">
        <v>2074</v>
      </c>
      <c r="J8038" t="s">
        <v>2176</v>
      </c>
      <c r="M8038" s="49"/>
    </row>
    <row r="8039" spans="6:13" x14ac:dyDescent="0.25">
      <c r="F8039" t="s">
        <v>8018</v>
      </c>
      <c r="G8039">
        <v>87781</v>
      </c>
      <c r="H8039">
        <v>9778</v>
      </c>
      <c r="I8039" s="25" t="s">
        <v>2050</v>
      </c>
      <c r="J8039" t="s">
        <v>2460</v>
      </c>
      <c r="M8039" s="49"/>
    </row>
    <row r="8040" spans="6:13" x14ac:dyDescent="0.25">
      <c r="F8040" t="s">
        <v>8019</v>
      </c>
      <c r="G8040">
        <v>88527</v>
      </c>
      <c r="H8040">
        <v>8426</v>
      </c>
      <c r="I8040" s="25" t="s">
        <v>2018</v>
      </c>
      <c r="J8040" t="s">
        <v>2081</v>
      </c>
      <c r="M8040" s="49"/>
    </row>
    <row r="8041" spans="6:13" x14ac:dyDescent="0.25">
      <c r="F8041" t="s">
        <v>2402</v>
      </c>
      <c r="G8041">
        <v>59425</v>
      </c>
      <c r="H8041">
        <v>5978</v>
      </c>
      <c r="I8041" s="25" t="s">
        <v>2023</v>
      </c>
      <c r="J8041" t="s">
        <v>2402</v>
      </c>
      <c r="M8041" s="49"/>
    </row>
    <row r="8042" spans="6:13" x14ac:dyDescent="0.25">
      <c r="F8042" t="s">
        <v>2402</v>
      </c>
      <c r="G8042">
        <v>59427</v>
      </c>
      <c r="H8042">
        <v>5978</v>
      </c>
      <c r="I8042" s="25" t="s">
        <v>2023</v>
      </c>
      <c r="J8042" t="s">
        <v>2402</v>
      </c>
      <c r="M8042" s="49"/>
    </row>
    <row r="8043" spans="6:13" x14ac:dyDescent="0.25">
      <c r="F8043" t="s">
        <v>2402</v>
      </c>
      <c r="G8043">
        <v>59425</v>
      </c>
      <c r="H8043">
        <v>5978</v>
      </c>
      <c r="I8043" s="25" t="s">
        <v>2023</v>
      </c>
      <c r="J8043" t="s">
        <v>2402</v>
      </c>
      <c r="M8043" s="49"/>
    </row>
    <row r="8044" spans="6:13" x14ac:dyDescent="0.25">
      <c r="F8044" t="s">
        <v>2402</v>
      </c>
      <c r="G8044">
        <v>59423</v>
      </c>
      <c r="H8044">
        <v>5978</v>
      </c>
      <c r="I8044" s="25" t="s">
        <v>2023</v>
      </c>
      <c r="J8044" t="s">
        <v>2402</v>
      </c>
      <c r="M8044" s="49"/>
    </row>
    <row r="8045" spans="6:13" x14ac:dyDescent="0.25">
      <c r="F8045" t="s">
        <v>8020</v>
      </c>
      <c r="G8045">
        <v>57648</v>
      </c>
      <c r="H8045">
        <v>7143</v>
      </c>
      <c r="I8045" s="25" t="s">
        <v>2123</v>
      </c>
      <c r="J8045" t="s">
        <v>2331</v>
      </c>
      <c r="M8045" s="49"/>
    </row>
    <row r="8046" spans="6:13" x14ac:dyDescent="0.25">
      <c r="F8046" t="s">
        <v>8021</v>
      </c>
      <c r="G8046">
        <v>82497</v>
      </c>
      <c r="H8046">
        <v>9180</v>
      </c>
      <c r="I8046" s="25" t="s">
        <v>2050</v>
      </c>
      <c r="J8046" t="s">
        <v>2147</v>
      </c>
      <c r="M8046" s="49"/>
    </row>
    <row r="8047" spans="6:13" x14ac:dyDescent="0.25">
      <c r="F8047" t="s">
        <v>8022</v>
      </c>
      <c r="G8047">
        <v>36414</v>
      </c>
      <c r="H8047">
        <v>16063</v>
      </c>
      <c r="I8047" s="25" t="s">
        <v>2384</v>
      </c>
      <c r="J8047" t="s">
        <v>2687</v>
      </c>
      <c r="M8047" s="49"/>
    </row>
    <row r="8048" spans="6:13" x14ac:dyDescent="0.25">
      <c r="F8048" t="s">
        <v>8023</v>
      </c>
      <c r="G8048">
        <v>86944</v>
      </c>
      <c r="H8048">
        <v>9181</v>
      </c>
      <c r="I8048" s="25" t="s">
        <v>2050</v>
      </c>
      <c r="J8048" t="s">
        <v>2505</v>
      </c>
      <c r="M8048" s="49"/>
    </row>
    <row r="8049" spans="6:13" x14ac:dyDescent="0.25">
      <c r="F8049" t="s">
        <v>8024</v>
      </c>
      <c r="G8049">
        <v>84339</v>
      </c>
      <c r="H8049">
        <v>9277</v>
      </c>
      <c r="I8049" s="25" t="s">
        <v>2050</v>
      </c>
      <c r="J8049" t="s">
        <v>2529</v>
      </c>
      <c r="M8049" s="49"/>
    </row>
    <row r="8050" spans="6:13" x14ac:dyDescent="0.25">
      <c r="F8050" t="s">
        <v>8025</v>
      </c>
      <c r="G8050">
        <v>87782</v>
      </c>
      <c r="H8050">
        <v>9778</v>
      </c>
      <c r="I8050" s="25" t="s">
        <v>2050</v>
      </c>
      <c r="J8050" t="s">
        <v>2460</v>
      </c>
      <c r="M8050" s="49"/>
    </row>
    <row r="8051" spans="6:13" x14ac:dyDescent="0.25">
      <c r="F8051" t="s">
        <v>8026</v>
      </c>
      <c r="G8051">
        <v>74257</v>
      </c>
      <c r="H8051">
        <v>8125</v>
      </c>
      <c r="I8051" s="25" t="s">
        <v>2018</v>
      </c>
      <c r="J8051" t="s">
        <v>2060</v>
      </c>
      <c r="M8051" s="49"/>
    </row>
    <row r="8052" spans="6:13" x14ac:dyDescent="0.25">
      <c r="F8052" t="s">
        <v>8027</v>
      </c>
      <c r="G8052">
        <v>72669</v>
      </c>
      <c r="H8052">
        <v>8116</v>
      </c>
      <c r="I8052" s="25" t="s">
        <v>2018</v>
      </c>
      <c r="J8052" t="s">
        <v>2213</v>
      </c>
      <c r="M8052" s="49"/>
    </row>
    <row r="8053" spans="6:13" x14ac:dyDescent="0.25">
      <c r="F8053" t="s">
        <v>8028</v>
      </c>
      <c r="G8053">
        <v>85774</v>
      </c>
      <c r="H8053">
        <v>9184</v>
      </c>
      <c r="I8053" s="25" t="s">
        <v>2050</v>
      </c>
      <c r="J8053" t="s">
        <v>2547</v>
      </c>
      <c r="M8053" s="49"/>
    </row>
    <row r="8054" spans="6:13" x14ac:dyDescent="0.25">
      <c r="F8054" t="s">
        <v>8029</v>
      </c>
      <c r="G8054">
        <v>94107</v>
      </c>
      <c r="H8054">
        <v>9275</v>
      </c>
      <c r="I8054" s="25" t="s">
        <v>2050</v>
      </c>
      <c r="J8054" t="s">
        <v>2198</v>
      </c>
      <c r="M8054" s="49"/>
    </row>
    <row r="8055" spans="6:13" x14ac:dyDescent="0.25">
      <c r="F8055" t="s">
        <v>8030</v>
      </c>
      <c r="G8055">
        <v>74199</v>
      </c>
      <c r="H8055">
        <v>8125</v>
      </c>
      <c r="I8055" s="25" t="s">
        <v>2018</v>
      </c>
      <c r="J8055" t="s">
        <v>2060</v>
      </c>
      <c r="M8055" s="49"/>
    </row>
    <row r="8056" spans="6:13" x14ac:dyDescent="0.25">
      <c r="F8056" t="s">
        <v>8031</v>
      </c>
      <c r="G8056">
        <v>82008</v>
      </c>
      <c r="H8056">
        <v>9184</v>
      </c>
      <c r="I8056" s="25" t="s">
        <v>2050</v>
      </c>
      <c r="J8056" t="s">
        <v>2547</v>
      </c>
      <c r="M8056" s="49"/>
    </row>
    <row r="8057" spans="6:13" x14ac:dyDescent="0.25">
      <c r="F8057" t="s">
        <v>8032</v>
      </c>
      <c r="G8057">
        <v>64757</v>
      </c>
      <c r="H8057">
        <v>6431</v>
      </c>
      <c r="I8057" s="25" t="s">
        <v>2046</v>
      </c>
      <c r="J8057" t="s">
        <v>2065</v>
      </c>
      <c r="M8057" s="49"/>
    </row>
    <row r="8058" spans="6:13" x14ac:dyDescent="0.25">
      <c r="F8058" t="s">
        <v>8033</v>
      </c>
      <c r="G8058">
        <v>78089</v>
      </c>
      <c r="H8058">
        <v>8326</v>
      </c>
      <c r="I8058" s="25" t="s">
        <v>2018</v>
      </c>
      <c r="J8058" t="s">
        <v>2638</v>
      </c>
      <c r="M8058" s="49"/>
    </row>
    <row r="8059" spans="6:13" x14ac:dyDescent="0.25">
      <c r="F8059" t="s">
        <v>8033</v>
      </c>
      <c r="G8059">
        <v>78089</v>
      </c>
      <c r="H8059">
        <v>8326</v>
      </c>
      <c r="I8059" s="25" t="s">
        <v>2018</v>
      </c>
      <c r="J8059" t="s">
        <v>2638</v>
      </c>
      <c r="M8059" s="49"/>
    </row>
    <row r="8060" spans="6:13" x14ac:dyDescent="0.25">
      <c r="F8060" t="s">
        <v>8033</v>
      </c>
      <c r="G8060">
        <v>78089</v>
      </c>
      <c r="H8060">
        <v>8326</v>
      </c>
      <c r="I8060" s="25" t="s">
        <v>2018</v>
      </c>
      <c r="J8060" t="s">
        <v>2638</v>
      </c>
      <c r="M8060" s="49"/>
    </row>
    <row r="8061" spans="6:13" x14ac:dyDescent="0.25">
      <c r="F8061" t="s">
        <v>8033</v>
      </c>
      <c r="G8061">
        <v>78089</v>
      </c>
      <c r="H8061">
        <v>8326</v>
      </c>
      <c r="I8061" s="25" t="s">
        <v>2018</v>
      </c>
      <c r="J8061" t="s">
        <v>2638</v>
      </c>
      <c r="M8061" s="49"/>
    </row>
    <row r="8062" spans="6:13" x14ac:dyDescent="0.25">
      <c r="F8062" t="s">
        <v>8033</v>
      </c>
      <c r="G8062">
        <v>78089</v>
      </c>
      <c r="H8062">
        <v>8326</v>
      </c>
      <c r="I8062" s="25" t="s">
        <v>2018</v>
      </c>
      <c r="J8062" t="s">
        <v>2638</v>
      </c>
      <c r="M8062" s="49"/>
    </row>
    <row r="8063" spans="6:13" x14ac:dyDescent="0.25">
      <c r="F8063" t="s">
        <v>8034</v>
      </c>
      <c r="G8063">
        <v>91364</v>
      </c>
      <c r="H8063">
        <v>9474</v>
      </c>
      <c r="I8063" s="25" t="s">
        <v>2050</v>
      </c>
      <c r="J8063" t="s">
        <v>3692</v>
      </c>
      <c r="M8063" s="49"/>
    </row>
    <row r="8064" spans="6:13" x14ac:dyDescent="0.25">
      <c r="F8064" t="s">
        <v>8035</v>
      </c>
      <c r="G8064">
        <v>29345</v>
      </c>
      <c r="H8064">
        <v>3351</v>
      </c>
      <c r="I8064" s="25" t="s">
        <v>2074</v>
      </c>
      <c r="J8064" t="s">
        <v>2096</v>
      </c>
      <c r="M8064" s="49"/>
    </row>
    <row r="8065" spans="6:13" x14ac:dyDescent="0.25">
      <c r="F8065" t="s">
        <v>8036</v>
      </c>
      <c r="G8065">
        <v>89617</v>
      </c>
      <c r="H8065">
        <v>8425</v>
      </c>
      <c r="I8065" s="25" t="s">
        <v>2018</v>
      </c>
      <c r="J8065" t="s">
        <v>2027</v>
      </c>
      <c r="M8065" s="49"/>
    </row>
    <row r="8066" spans="6:13" x14ac:dyDescent="0.25">
      <c r="F8066" t="s">
        <v>8037</v>
      </c>
      <c r="G8066">
        <v>86836</v>
      </c>
      <c r="H8066">
        <v>9181</v>
      </c>
      <c r="I8066" s="25" t="s">
        <v>2050</v>
      </c>
      <c r="J8066" t="s">
        <v>2505</v>
      </c>
      <c r="M8066" s="49"/>
    </row>
    <row r="8067" spans="6:13" x14ac:dyDescent="0.25">
      <c r="F8067" t="s">
        <v>8037</v>
      </c>
      <c r="G8067">
        <v>86836</v>
      </c>
      <c r="H8067">
        <v>9772</v>
      </c>
      <c r="I8067" s="25" t="s">
        <v>2050</v>
      </c>
      <c r="J8067" t="s">
        <v>2117</v>
      </c>
      <c r="M8067" s="49"/>
    </row>
    <row r="8068" spans="6:13" x14ac:dyDescent="0.25">
      <c r="F8068" t="s">
        <v>8038</v>
      </c>
      <c r="G8068">
        <v>96190</v>
      </c>
      <c r="H8068">
        <v>9674</v>
      </c>
      <c r="I8068" s="25" t="s">
        <v>2050</v>
      </c>
      <c r="J8068" t="s">
        <v>2218</v>
      </c>
      <c r="M8068" s="49"/>
    </row>
    <row r="8069" spans="6:13" x14ac:dyDescent="0.25">
      <c r="F8069" t="s">
        <v>8039</v>
      </c>
      <c r="G8069">
        <v>74547</v>
      </c>
      <c r="H8069">
        <v>8127</v>
      </c>
      <c r="I8069" s="25" t="s">
        <v>2018</v>
      </c>
      <c r="J8069" t="s">
        <v>3126</v>
      </c>
      <c r="M8069" s="49"/>
    </row>
    <row r="8070" spans="6:13" x14ac:dyDescent="0.25">
      <c r="F8070" t="s">
        <v>8040</v>
      </c>
      <c r="G8070">
        <v>84579</v>
      </c>
      <c r="H8070">
        <v>9171</v>
      </c>
      <c r="I8070" s="25" t="s">
        <v>2050</v>
      </c>
      <c r="J8070" t="s">
        <v>2446</v>
      </c>
      <c r="M8070" s="49"/>
    </row>
    <row r="8071" spans="6:13" x14ac:dyDescent="0.25">
      <c r="F8071" t="s">
        <v>8041</v>
      </c>
      <c r="G8071">
        <v>97294</v>
      </c>
      <c r="H8071">
        <v>9679</v>
      </c>
      <c r="I8071" s="25" t="s">
        <v>2050</v>
      </c>
      <c r="J8071" t="s">
        <v>2428</v>
      </c>
      <c r="M8071" s="49"/>
    </row>
    <row r="8072" spans="6:13" x14ac:dyDescent="0.25">
      <c r="F8072" t="s">
        <v>8042</v>
      </c>
      <c r="G8072">
        <v>75399</v>
      </c>
      <c r="H8072">
        <v>8235</v>
      </c>
      <c r="I8072" s="25" t="s">
        <v>2018</v>
      </c>
      <c r="J8072" t="s">
        <v>2422</v>
      </c>
      <c r="M8072" s="49"/>
    </row>
    <row r="8073" spans="6:13" x14ac:dyDescent="0.25">
      <c r="F8073" t="s">
        <v>8043</v>
      </c>
      <c r="G8073">
        <v>83567</v>
      </c>
      <c r="H8073">
        <v>9183</v>
      </c>
      <c r="I8073" s="25" t="s">
        <v>2050</v>
      </c>
      <c r="J8073" t="s">
        <v>2474</v>
      </c>
      <c r="M8073" s="49"/>
    </row>
    <row r="8074" spans="6:13" x14ac:dyDescent="0.25">
      <c r="F8074" t="s">
        <v>8044</v>
      </c>
      <c r="G8074">
        <v>89299</v>
      </c>
      <c r="H8074">
        <v>9775</v>
      </c>
      <c r="I8074" s="25" t="s">
        <v>2050</v>
      </c>
      <c r="J8074" t="s">
        <v>2418</v>
      </c>
      <c r="M8074" s="49"/>
    </row>
    <row r="8075" spans="6:13" x14ac:dyDescent="0.25">
      <c r="F8075" t="s">
        <v>8045</v>
      </c>
      <c r="G8075">
        <v>85716</v>
      </c>
      <c r="H8075">
        <v>9184</v>
      </c>
      <c r="I8075" s="25" t="s">
        <v>2050</v>
      </c>
      <c r="J8075" t="s">
        <v>2547</v>
      </c>
      <c r="M8075" s="49"/>
    </row>
    <row r="8076" spans="6:13" x14ac:dyDescent="0.25">
      <c r="F8076" t="s">
        <v>8046</v>
      </c>
      <c r="G8076">
        <v>73485</v>
      </c>
      <c r="H8076">
        <v>8136</v>
      </c>
      <c r="I8076" s="25" t="s">
        <v>2018</v>
      </c>
      <c r="J8076" t="s">
        <v>2039</v>
      </c>
      <c r="M8076" s="49"/>
    </row>
    <row r="8077" spans="6:13" x14ac:dyDescent="0.25">
      <c r="F8077" t="s">
        <v>8047</v>
      </c>
      <c r="G8077">
        <v>91743</v>
      </c>
      <c r="H8077">
        <v>9571</v>
      </c>
      <c r="I8077" s="25" t="s">
        <v>2050</v>
      </c>
      <c r="J8077" t="s">
        <v>2113</v>
      </c>
      <c r="M8077" s="49"/>
    </row>
    <row r="8078" spans="6:13" x14ac:dyDescent="0.25">
      <c r="F8078" t="s">
        <v>8048</v>
      </c>
      <c r="G8078">
        <v>96253</v>
      </c>
      <c r="H8078">
        <v>9473</v>
      </c>
      <c r="I8078" s="25" t="s">
        <v>2050</v>
      </c>
      <c r="J8078" t="s">
        <v>2177</v>
      </c>
      <c r="M8078" s="49"/>
    </row>
    <row r="8079" spans="6:13" x14ac:dyDescent="0.25">
      <c r="F8079" t="s">
        <v>8049</v>
      </c>
      <c r="G8079">
        <v>89619</v>
      </c>
      <c r="H8079">
        <v>8425</v>
      </c>
      <c r="I8079" s="25" t="s">
        <v>2018</v>
      </c>
      <c r="J8079" t="s">
        <v>2027</v>
      </c>
      <c r="M8079" s="49"/>
    </row>
    <row r="8080" spans="6:13" x14ac:dyDescent="0.25">
      <c r="F8080" t="s">
        <v>8050</v>
      </c>
      <c r="G8080">
        <v>95369</v>
      </c>
      <c r="H8080">
        <v>9477</v>
      </c>
      <c r="I8080" s="25" t="s">
        <v>2050</v>
      </c>
      <c r="J8080" t="s">
        <v>4385</v>
      </c>
      <c r="M8080" s="49"/>
    </row>
    <row r="8081" spans="6:13" x14ac:dyDescent="0.25">
      <c r="F8081" t="s">
        <v>8051</v>
      </c>
      <c r="G8081">
        <v>87647</v>
      </c>
      <c r="H8081">
        <v>9777</v>
      </c>
      <c r="I8081" s="25" t="s">
        <v>2050</v>
      </c>
      <c r="J8081" t="s">
        <v>2237</v>
      </c>
      <c r="M8081" s="49"/>
    </row>
    <row r="8082" spans="6:13" x14ac:dyDescent="0.25">
      <c r="F8082" t="s">
        <v>8052</v>
      </c>
      <c r="G8082">
        <v>88379</v>
      </c>
      <c r="H8082">
        <v>8436</v>
      </c>
      <c r="I8082" s="25" t="s">
        <v>2018</v>
      </c>
      <c r="J8082" t="s">
        <v>2068</v>
      </c>
      <c r="M8082" s="49"/>
    </row>
    <row r="8083" spans="6:13" x14ac:dyDescent="0.25">
      <c r="F8083" t="s">
        <v>8052</v>
      </c>
      <c r="G8083">
        <v>88379</v>
      </c>
      <c r="H8083">
        <v>8436</v>
      </c>
      <c r="I8083" s="25" t="s">
        <v>2018</v>
      </c>
      <c r="J8083" t="s">
        <v>2068</v>
      </c>
      <c r="M8083" s="49"/>
    </row>
    <row r="8084" spans="6:13" x14ac:dyDescent="0.25">
      <c r="F8084" t="s">
        <v>8053</v>
      </c>
      <c r="G8084">
        <v>7333</v>
      </c>
      <c r="H8084">
        <v>16073</v>
      </c>
      <c r="I8084" s="25" t="s">
        <v>2384</v>
      </c>
      <c r="J8084" t="s">
        <v>2618</v>
      </c>
      <c r="M8084" s="49"/>
    </row>
    <row r="8085" spans="6:13" x14ac:dyDescent="0.25">
      <c r="F8085" t="s">
        <v>8054</v>
      </c>
      <c r="G8085">
        <v>83246</v>
      </c>
      <c r="H8085">
        <v>9189</v>
      </c>
      <c r="I8085" s="25" t="s">
        <v>2050</v>
      </c>
      <c r="J8085" t="s">
        <v>2407</v>
      </c>
      <c r="M8085" s="49"/>
    </row>
    <row r="8086" spans="6:13" x14ac:dyDescent="0.25">
      <c r="F8086" t="s">
        <v>8055</v>
      </c>
      <c r="G8086">
        <v>87496</v>
      </c>
      <c r="H8086">
        <v>9777</v>
      </c>
      <c r="I8086" s="25" t="s">
        <v>2050</v>
      </c>
      <c r="J8086" t="s">
        <v>2237</v>
      </c>
      <c r="M8086" s="49"/>
    </row>
    <row r="8087" spans="6:13" x14ac:dyDescent="0.25">
      <c r="F8087" t="s">
        <v>8056</v>
      </c>
      <c r="G8087">
        <v>26529</v>
      </c>
      <c r="H8087">
        <v>3452</v>
      </c>
      <c r="I8087" s="25" t="s">
        <v>2074</v>
      </c>
      <c r="J8087" t="s">
        <v>2034</v>
      </c>
      <c r="M8087" s="49"/>
    </row>
    <row r="8088" spans="6:13" x14ac:dyDescent="0.25">
      <c r="F8088" t="s">
        <v>8057</v>
      </c>
      <c r="G8088">
        <v>26670</v>
      </c>
      <c r="H8088">
        <v>3457</v>
      </c>
      <c r="I8088" s="25" t="s">
        <v>2074</v>
      </c>
      <c r="J8088" t="s">
        <v>2220</v>
      </c>
      <c r="M8088" s="49"/>
    </row>
    <row r="8089" spans="6:13" x14ac:dyDescent="0.25">
      <c r="F8089" t="s">
        <v>8058</v>
      </c>
      <c r="G8089">
        <v>56317</v>
      </c>
      <c r="H8089">
        <v>7138</v>
      </c>
      <c r="I8089" s="25" t="s">
        <v>2123</v>
      </c>
      <c r="J8089" t="s">
        <v>2489</v>
      </c>
      <c r="M8089" s="49"/>
    </row>
    <row r="8090" spans="6:13" x14ac:dyDescent="0.25">
      <c r="F8090" t="s">
        <v>8058</v>
      </c>
      <c r="G8090">
        <v>73660</v>
      </c>
      <c r="H8090">
        <v>8119</v>
      </c>
      <c r="I8090" s="25" t="s">
        <v>2018</v>
      </c>
      <c r="J8090" t="s">
        <v>2287</v>
      </c>
      <c r="M8090" s="49"/>
    </row>
    <row r="8091" spans="6:13" x14ac:dyDescent="0.25">
      <c r="F8091" t="s">
        <v>8059</v>
      </c>
      <c r="G8091">
        <v>56182</v>
      </c>
      <c r="H8091">
        <v>7137</v>
      </c>
      <c r="I8091" s="25" t="s">
        <v>2123</v>
      </c>
      <c r="J8091" t="s">
        <v>2246</v>
      </c>
      <c r="M8091" s="49"/>
    </row>
    <row r="8092" spans="6:13" x14ac:dyDescent="0.25">
      <c r="F8092" t="s">
        <v>8060</v>
      </c>
      <c r="G8092">
        <v>56220</v>
      </c>
      <c r="H8092">
        <v>7137</v>
      </c>
      <c r="I8092" s="25" t="s">
        <v>2123</v>
      </c>
      <c r="J8092" t="s">
        <v>2246</v>
      </c>
      <c r="M8092" s="49"/>
    </row>
    <row r="8093" spans="6:13" x14ac:dyDescent="0.25">
      <c r="F8093" t="s">
        <v>8060</v>
      </c>
      <c r="G8093">
        <v>56220</v>
      </c>
      <c r="H8093">
        <v>7137</v>
      </c>
      <c r="I8093" s="25" t="s">
        <v>2123</v>
      </c>
      <c r="J8093" t="s">
        <v>2246</v>
      </c>
      <c r="M8093" s="49"/>
    </row>
    <row r="8094" spans="6:13" x14ac:dyDescent="0.25">
      <c r="F8094" t="s">
        <v>8061</v>
      </c>
      <c r="G8094">
        <v>86513</v>
      </c>
      <c r="H8094">
        <v>9774</v>
      </c>
      <c r="I8094" s="25" t="s">
        <v>2050</v>
      </c>
      <c r="J8094" t="s">
        <v>2205</v>
      </c>
      <c r="M8094" s="49"/>
    </row>
    <row r="8095" spans="6:13" x14ac:dyDescent="0.25">
      <c r="F8095" t="s">
        <v>8062</v>
      </c>
      <c r="G8095">
        <v>92289</v>
      </c>
      <c r="H8095">
        <v>9371</v>
      </c>
      <c r="I8095" s="25" t="s">
        <v>2050</v>
      </c>
      <c r="J8095" t="s">
        <v>2469</v>
      </c>
      <c r="M8095" s="49"/>
    </row>
    <row r="8096" spans="6:13" x14ac:dyDescent="0.25">
      <c r="F8096" t="s">
        <v>8063</v>
      </c>
      <c r="G8096">
        <v>97857</v>
      </c>
      <c r="H8096">
        <v>9677</v>
      </c>
      <c r="I8096" s="25" t="s">
        <v>2050</v>
      </c>
      <c r="J8096" t="s">
        <v>2527</v>
      </c>
      <c r="M8096" s="49"/>
    </row>
    <row r="8097" spans="6:13" x14ac:dyDescent="0.25">
      <c r="F8097" t="s">
        <v>8064</v>
      </c>
      <c r="G8097">
        <v>54539</v>
      </c>
      <c r="H8097">
        <v>7231</v>
      </c>
      <c r="I8097" s="25" t="s">
        <v>2123</v>
      </c>
      <c r="J8097" t="s">
        <v>2043</v>
      </c>
      <c r="M8097" s="49"/>
    </row>
    <row r="8098" spans="6:13" x14ac:dyDescent="0.25">
      <c r="F8098" t="s">
        <v>8065</v>
      </c>
      <c r="G8098">
        <v>17406</v>
      </c>
      <c r="H8098">
        <v>13075</v>
      </c>
      <c r="I8098" s="25" t="s">
        <v>2191</v>
      </c>
      <c r="J8098" t="s">
        <v>2160</v>
      </c>
      <c r="M8098" s="49"/>
    </row>
    <row r="8099" spans="6:13" x14ac:dyDescent="0.25">
      <c r="F8099" t="s">
        <v>8066</v>
      </c>
      <c r="G8099">
        <v>61250</v>
      </c>
      <c r="H8099">
        <v>6434</v>
      </c>
      <c r="I8099" s="25" t="s">
        <v>2046</v>
      </c>
      <c r="J8099" t="s">
        <v>2664</v>
      </c>
      <c r="M8099" s="49"/>
    </row>
    <row r="8100" spans="6:13" x14ac:dyDescent="0.25">
      <c r="F8100" t="s">
        <v>8067</v>
      </c>
      <c r="G8100">
        <v>37170</v>
      </c>
      <c r="H8100">
        <v>3155</v>
      </c>
      <c r="I8100" s="25" t="s">
        <v>2074</v>
      </c>
      <c r="J8100" t="s">
        <v>2653</v>
      </c>
      <c r="M8100" s="49"/>
    </row>
    <row r="8101" spans="6:13" x14ac:dyDescent="0.25">
      <c r="F8101" t="s">
        <v>8067</v>
      </c>
      <c r="G8101">
        <v>37170</v>
      </c>
      <c r="H8101">
        <v>3155</v>
      </c>
      <c r="I8101" s="25" t="s">
        <v>2074</v>
      </c>
      <c r="J8101" t="s">
        <v>2653</v>
      </c>
      <c r="M8101" s="49"/>
    </row>
    <row r="8102" spans="6:13" x14ac:dyDescent="0.25">
      <c r="F8102" t="s">
        <v>8068</v>
      </c>
      <c r="G8102">
        <v>86514</v>
      </c>
      <c r="H8102">
        <v>9772</v>
      </c>
      <c r="I8102" s="25" t="s">
        <v>2050</v>
      </c>
      <c r="J8102" t="s">
        <v>2117</v>
      </c>
      <c r="M8102" s="49"/>
    </row>
    <row r="8103" spans="6:13" x14ac:dyDescent="0.25">
      <c r="F8103" t="s">
        <v>8069</v>
      </c>
      <c r="G8103">
        <v>91080</v>
      </c>
      <c r="H8103">
        <v>9572</v>
      </c>
      <c r="I8103" s="25" t="s">
        <v>2050</v>
      </c>
      <c r="J8103" t="s">
        <v>2105</v>
      </c>
      <c r="M8103" s="49"/>
    </row>
    <row r="8104" spans="6:13" x14ac:dyDescent="0.25">
      <c r="F8104" t="s">
        <v>8070</v>
      </c>
      <c r="G8104">
        <v>88524</v>
      </c>
      <c r="H8104">
        <v>8426</v>
      </c>
      <c r="I8104" s="25" t="s">
        <v>2018</v>
      </c>
      <c r="J8104" t="s">
        <v>2081</v>
      </c>
      <c r="M8104" s="49"/>
    </row>
    <row r="8105" spans="6:13" x14ac:dyDescent="0.25">
      <c r="F8105" t="s">
        <v>8071</v>
      </c>
      <c r="G8105">
        <v>54619</v>
      </c>
      <c r="H8105">
        <v>7232</v>
      </c>
      <c r="I8105" s="25" t="s">
        <v>2123</v>
      </c>
      <c r="J8105" t="s">
        <v>2112</v>
      </c>
      <c r="M8105" s="49"/>
    </row>
    <row r="8106" spans="6:13" x14ac:dyDescent="0.25">
      <c r="F8106" t="s">
        <v>8072</v>
      </c>
      <c r="G8106">
        <v>86919</v>
      </c>
      <c r="H8106">
        <v>9181</v>
      </c>
      <c r="I8106" s="25" t="s">
        <v>2050</v>
      </c>
      <c r="J8106" t="s">
        <v>2505</v>
      </c>
      <c r="M8106" s="49"/>
    </row>
    <row r="8107" spans="6:13" x14ac:dyDescent="0.25">
      <c r="F8107" t="s">
        <v>8073</v>
      </c>
      <c r="G8107">
        <v>97292</v>
      </c>
      <c r="H8107">
        <v>9679</v>
      </c>
      <c r="I8107" s="25" t="s">
        <v>2050</v>
      </c>
      <c r="J8107" t="s">
        <v>2428</v>
      </c>
      <c r="M8107" s="49"/>
    </row>
    <row r="8108" spans="6:13" x14ac:dyDescent="0.25">
      <c r="F8108" t="s">
        <v>8074</v>
      </c>
      <c r="G8108">
        <v>79694</v>
      </c>
      <c r="H8108">
        <v>8336</v>
      </c>
      <c r="I8108" s="25" t="s">
        <v>2018</v>
      </c>
      <c r="J8108" t="s">
        <v>2227</v>
      </c>
      <c r="M8108" s="49"/>
    </row>
    <row r="8109" spans="6:13" x14ac:dyDescent="0.25">
      <c r="F8109" t="s">
        <v>8075</v>
      </c>
      <c r="G8109">
        <v>54579</v>
      </c>
      <c r="H8109">
        <v>7233</v>
      </c>
      <c r="I8109" s="25" t="s">
        <v>2123</v>
      </c>
      <c r="J8109" t="s">
        <v>2416</v>
      </c>
      <c r="M8109" s="49"/>
    </row>
    <row r="8110" spans="6:13" x14ac:dyDescent="0.25">
      <c r="F8110" t="s">
        <v>8076</v>
      </c>
      <c r="G8110">
        <v>25594</v>
      </c>
      <c r="H8110">
        <v>1061</v>
      </c>
      <c r="I8110" s="25" t="s">
        <v>2085</v>
      </c>
      <c r="J8110" t="s">
        <v>2377</v>
      </c>
      <c r="M8110" s="49"/>
    </row>
    <row r="8111" spans="6:13" x14ac:dyDescent="0.25">
      <c r="F8111" t="s">
        <v>8077</v>
      </c>
      <c r="G8111">
        <v>36404</v>
      </c>
      <c r="H8111">
        <v>16063</v>
      </c>
      <c r="I8111" s="25" t="s">
        <v>2384</v>
      </c>
      <c r="J8111" t="s">
        <v>2687</v>
      </c>
      <c r="M8111" s="49"/>
    </row>
    <row r="8112" spans="6:13" x14ac:dyDescent="0.25">
      <c r="F8112" t="s">
        <v>8078</v>
      </c>
      <c r="G8112">
        <v>83377</v>
      </c>
      <c r="H8112">
        <v>9189</v>
      </c>
      <c r="I8112" s="25" t="s">
        <v>2050</v>
      </c>
      <c r="J8112" t="s">
        <v>2407</v>
      </c>
      <c r="M8112" s="49"/>
    </row>
    <row r="8113" spans="6:13" x14ac:dyDescent="0.25">
      <c r="F8113" t="s">
        <v>8079</v>
      </c>
      <c r="G8113">
        <v>71665</v>
      </c>
      <c r="H8113">
        <v>8118</v>
      </c>
      <c r="I8113" s="25" t="s">
        <v>2018</v>
      </c>
      <c r="J8113" t="s">
        <v>2142</v>
      </c>
      <c r="M8113" s="49"/>
    </row>
    <row r="8114" spans="6:13" x14ac:dyDescent="0.25">
      <c r="F8114" t="s">
        <v>8080</v>
      </c>
      <c r="G8114">
        <v>56179</v>
      </c>
      <c r="H8114">
        <v>7137</v>
      </c>
      <c r="I8114" s="25" t="s">
        <v>2123</v>
      </c>
      <c r="J8114" t="s">
        <v>2246</v>
      </c>
      <c r="M8114" s="49"/>
    </row>
    <row r="8115" spans="6:13" x14ac:dyDescent="0.25">
      <c r="F8115" t="s">
        <v>8081</v>
      </c>
      <c r="G8115">
        <v>83626</v>
      </c>
      <c r="H8115">
        <v>9182</v>
      </c>
      <c r="I8115" s="25" t="s">
        <v>2050</v>
      </c>
      <c r="J8115" t="s">
        <v>2254</v>
      </c>
      <c r="M8115" s="49"/>
    </row>
    <row r="8116" spans="6:13" x14ac:dyDescent="0.25">
      <c r="F8116" t="s">
        <v>8082</v>
      </c>
      <c r="G8116">
        <v>26316</v>
      </c>
      <c r="H8116">
        <v>3455</v>
      </c>
      <c r="I8116" s="25" t="s">
        <v>2074</v>
      </c>
      <c r="J8116" t="s">
        <v>2143</v>
      </c>
      <c r="M8116" s="49"/>
    </row>
    <row r="8117" spans="6:13" x14ac:dyDescent="0.25">
      <c r="F8117" t="s">
        <v>8083</v>
      </c>
      <c r="G8117">
        <v>85591</v>
      </c>
      <c r="H8117">
        <v>9175</v>
      </c>
      <c r="I8117" s="25" t="s">
        <v>2050</v>
      </c>
      <c r="J8117" t="s">
        <v>2500</v>
      </c>
      <c r="M8117" s="49"/>
    </row>
    <row r="8118" spans="6:13" x14ac:dyDescent="0.25">
      <c r="F8118" t="s">
        <v>8084</v>
      </c>
      <c r="G8118">
        <v>38159</v>
      </c>
      <c r="H8118">
        <v>3157</v>
      </c>
      <c r="I8118" s="25" t="s">
        <v>2074</v>
      </c>
      <c r="J8118" t="s">
        <v>2309</v>
      </c>
      <c r="M8118" s="49"/>
    </row>
    <row r="8119" spans="6:13" x14ac:dyDescent="0.25">
      <c r="F8119" t="s">
        <v>2408</v>
      </c>
      <c r="G8119">
        <v>49377</v>
      </c>
      <c r="H8119">
        <v>3460</v>
      </c>
      <c r="I8119" s="25" t="s">
        <v>2074</v>
      </c>
      <c r="J8119" t="s">
        <v>2408</v>
      </c>
      <c r="M8119" s="49"/>
    </row>
    <row r="8120" spans="6:13" x14ac:dyDescent="0.25">
      <c r="F8120" t="s">
        <v>8085</v>
      </c>
      <c r="G8120">
        <v>98669</v>
      </c>
      <c r="H8120">
        <v>16069</v>
      </c>
      <c r="I8120" s="25" t="s">
        <v>2384</v>
      </c>
      <c r="J8120" t="s">
        <v>2631</v>
      </c>
      <c r="M8120" s="49"/>
    </row>
    <row r="8121" spans="6:13" x14ac:dyDescent="0.25">
      <c r="F8121" t="s">
        <v>8086</v>
      </c>
      <c r="G8121">
        <v>90587</v>
      </c>
      <c r="H8121">
        <v>9573</v>
      </c>
      <c r="I8121" s="25" t="s">
        <v>2050</v>
      </c>
      <c r="J8121" t="s">
        <v>2466</v>
      </c>
      <c r="M8121" s="49"/>
    </row>
    <row r="8122" spans="6:13" x14ac:dyDescent="0.25">
      <c r="F8122" t="s">
        <v>8087</v>
      </c>
      <c r="G8122">
        <v>97209</v>
      </c>
      <c r="H8122">
        <v>9679</v>
      </c>
      <c r="I8122" s="25" t="s">
        <v>2050</v>
      </c>
      <c r="J8122" t="s">
        <v>2428</v>
      </c>
      <c r="M8122" s="49"/>
    </row>
    <row r="8123" spans="6:13" x14ac:dyDescent="0.25">
      <c r="F8123" t="s">
        <v>8088</v>
      </c>
      <c r="G8123">
        <v>42551</v>
      </c>
      <c r="H8123">
        <v>5158</v>
      </c>
      <c r="I8123" s="25" t="s">
        <v>2023</v>
      </c>
      <c r="J8123" t="s">
        <v>2252</v>
      </c>
      <c r="M8123" s="49"/>
    </row>
    <row r="8124" spans="6:13" x14ac:dyDescent="0.25">
      <c r="F8124" t="s">
        <v>8088</v>
      </c>
      <c r="G8124">
        <v>42549</v>
      </c>
      <c r="H8124">
        <v>5158</v>
      </c>
      <c r="I8124" s="25" t="s">
        <v>2023</v>
      </c>
      <c r="J8124" t="s">
        <v>2252</v>
      </c>
      <c r="M8124" s="49"/>
    </row>
    <row r="8125" spans="6:13" x14ac:dyDescent="0.25">
      <c r="F8125" t="s">
        <v>8088</v>
      </c>
      <c r="G8125">
        <v>42555</v>
      </c>
      <c r="H8125">
        <v>5158</v>
      </c>
      <c r="I8125" s="25" t="s">
        <v>2023</v>
      </c>
      <c r="J8125" t="s">
        <v>2252</v>
      </c>
      <c r="M8125" s="49"/>
    </row>
    <row r="8126" spans="6:13" x14ac:dyDescent="0.25">
      <c r="F8126" t="s">
        <v>8088</v>
      </c>
      <c r="G8126">
        <v>42553</v>
      </c>
      <c r="H8126">
        <v>5158</v>
      </c>
      <c r="I8126" s="25" t="s">
        <v>2023</v>
      </c>
      <c r="J8126" t="s">
        <v>2252</v>
      </c>
      <c r="M8126" s="49"/>
    </row>
    <row r="8127" spans="6:13" x14ac:dyDescent="0.25">
      <c r="F8127" t="s">
        <v>8089</v>
      </c>
      <c r="G8127">
        <v>92355</v>
      </c>
      <c r="H8127">
        <v>9373</v>
      </c>
      <c r="I8127" s="25" t="s">
        <v>2050</v>
      </c>
      <c r="J8127" t="s">
        <v>2891</v>
      </c>
      <c r="M8127" s="49"/>
    </row>
    <row r="8128" spans="6:13" x14ac:dyDescent="0.25">
      <c r="F8128" t="s">
        <v>8090</v>
      </c>
      <c r="G8128">
        <v>84149</v>
      </c>
      <c r="H8128">
        <v>9274</v>
      </c>
      <c r="I8128" s="25" t="s">
        <v>2050</v>
      </c>
      <c r="J8128" t="s">
        <v>2132</v>
      </c>
      <c r="M8128" s="49"/>
    </row>
    <row r="8129" spans="6:13" x14ac:dyDescent="0.25">
      <c r="F8129" t="s">
        <v>8091</v>
      </c>
      <c r="G8129">
        <v>91235</v>
      </c>
      <c r="H8129">
        <v>9574</v>
      </c>
      <c r="I8129" s="25" t="s">
        <v>2050</v>
      </c>
      <c r="J8129" t="s">
        <v>2291</v>
      </c>
      <c r="M8129" s="49"/>
    </row>
    <row r="8130" spans="6:13" x14ac:dyDescent="0.25">
      <c r="F8130" t="s">
        <v>8092</v>
      </c>
      <c r="G8130">
        <v>46342</v>
      </c>
      <c r="H8130">
        <v>5554</v>
      </c>
      <c r="I8130" s="25" t="s">
        <v>2023</v>
      </c>
      <c r="J8130" t="s">
        <v>2055</v>
      </c>
      <c r="M8130" s="49"/>
    </row>
    <row r="8131" spans="6:13" x14ac:dyDescent="0.25">
      <c r="F8131" t="s">
        <v>8093</v>
      </c>
      <c r="G8131">
        <v>18469</v>
      </c>
      <c r="H8131">
        <v>13073</v>
      </c>
      <c r="I8131" s="25" t="s">
        <v>2191</v>
      </c>
      <c r="J8131" t="s">
        <v>2192</v>
      </c>
      <c r="M8131" s="49"/>
    </row>
    <row r="8132" spans="6:13" x14ac:dyDescent="0.25">
      <c r="F8132" t="s">
        <v>8094</v>
      </c>
      <c r="G8132">
        <v>19260</v>
      </c>
      <c r="H8132">
        <v>13076</v>
      </c>
      <c r="I8132" s="25" t="s">
        <v>2191</v>
      </c>
      <c r="J8132" t="s">
        <v>2234</v>
      </c>
      <c r="M8132" s="49"/>
    </row>
    <row r="8133" spans="6:13" x14ac:dyDescent="0.25">
      <c r="F8133" t="s">
        <v>8095</v>
      </c>
      <c r="G8133">
        <v>74541</v>
      </c>
      <c r="H8133">
        <v>8127</v>
      </c>
      <c r="I8133" s="25" t="s">
        <v>2018</v>
      </c>
      <c r="J8133" t="s">
        <v>3126</v>
      </c>
      <c r="M8133" s="49"/>
    </row>
    <row r="8134" spans="6:13" x14ac:dyDescent="0.25">
      <c r="F8134" t="s">
        <v>8096</v>
      </c>
      <c r="G8134">
        <v>34246</v>
      </c>
      <c r="H8134">
        <v>6633</v>
      </c>
      <c r="I8134" s="25" t="s">
        <v>2046</v>
      </c>
      <c r="J8134" t="s">
        <v>2162</v>
      </c>
      <c r="M8134" s="49"/>
    </row>
    <row r="8135" spans="6:13" x14ac:dyDescent="0.25">
      <c r="F8135" t="s">
        <v>8097</v>
      </c>
      <c r="G8135">
        <v>38458</v>
      </c>
      <c r="H8135">
        <v>3154</v>
      </c>
      <c r="I8135" s="25" t="s">
        <v>2074</v>
      </c>
      <c r="J8135" t="s">
        <v>2186</v>
      </c>
      <c r="M8135" s="49"/>
    </row>
    <row r="8136" spans="6:13" x14ac:dyDescent="0.25">
      <c r="F8136" t="s">
        <v>8098</v>
      </c>
      <c r="G8136">
        <v>16727</v>
      </c>
      <c r="H8136">
        <v>12065</v>
      </c>
      <c r="I8136" s="25" t="s">
        <v>2356</v>
      </c>
      <c r="J8136" t="s">
        <v>2283</v>
      </c>
      <c r="M8136" s="49"/>
    </row>
    <row r="8137" spans="6:13" x14ac:dyDescent="0.25">
      <c r="F8137" t="s">
        <v>8099</v>
      </c>
      <c r="G8137">
        <v>67482</v>
      </c>
      <c r="H8137">
        <v>7337</v>
      </c>
      <c r="I8137" s="25" t="s">
        <v>2123</v>
      </c>
      <c r="J8137" t="s">
        <v>2256</v>
      </c>
      <c r="M8137" s="49"/>
    </row>
    <row r="8138" spans="6:13" x14ac:dyDescent="0.25">
      <c r="F8138" t="s">
        <v>8099</v>
      </c>
      <c r="G8138">
        <v>67482</v>
      </c>
      <c r="H8138">
        <v>7337</v>
      </c>
      <c r="I8138" s="25" t="s">
        <v>2123</v>
      </c>
      <c r="J8138" t="s">
        <v>2256</v>
      </c>
      <c r="M8138" s="49"/>
    </row>
    <row r="8139" spans="6:13" x14ac:dyDescent="0.25">
      <c r="F8139" t="s">
        <v>8099</v>
      </c>
      <c r="G8139">
        <v>67482</v>
      </c>
      <c r="H8139">
        <v>7337</v>
      </c>
      <c r="I8139" s="25" t="s">
        <v>2123</v>
      </c>
      <c r="J8139" t="s">
        <v>2256</v>
      </c>
      <c r="M8139" s="49"/>
    </row>
    <row r="8140" spans="6:13" x14ac:dyDescent="0.25">
      <c r="F8140" t="s">
        <v>2075</v>
      </c>
      <c r="G8140">
        <v>27283</v>
      </c>
      <c r="H8140">
        <v>3361</v>
      </c>
      <c r="I8140" s="25" t="s">
        <v>2074</v>
      </c>
      <c r="J8140" t="s">
        <v>2075</v>
      </c>
      <c r="M8140" s="49"/>
    </row>
    <row r="8141" spans="6:13" x14ac:dyDescent="0.25">
      <c r="F8141" t="s">
        <v>8100</v>
      </c>
      <c r="G8141">
        <v>72519</v>
      </c>
      <c r="H8141">
        <v>8437</v>
      </c>
      <c r="I8141" s="25" t="s">
        <v>2018</v>
      </c>
      <c r="J8141" t="s">
        <v>2720</v>
      </c>
      <c r="M8141" s="49"/>
    </row>
    <row r="8142" spans="6:13" x14ac:dyDescent="0.25">
      <c r="F8142" t="s">
        <v>8101</v>
      </c>
      <c r="G8142">
        <v>33415</v>
      </c>
      <c r="H8142">
        <v>5754</v>
      </c>
      <c r="I8142" s="25" t="s">
        <v>2023</v>
      </c>
      <c r="J8142" t="s">
        <v>2165</v>
      </c>
      <c r="M8142" s="49"/>
    </row>
    <row r="8143" spans="6:13" x14ac:dyDescent="0.25">
      <c r="F8143" t="s">
        <v>8102</v>
      </c>
      <c r="G8143">
        <v>33775</v>
      </c>
      <c r="H8143">
        <v>5754</v>
      </c>
      <c r="I8143" s="25" t="s">
        <v>2023</v>
      </c>
      <c r="J8143" t="s">
        <v>2165</v>
      </c>
      <c r="M8143" s="49"/>
    </row>
    <row r="8144" spans="6:13" x14ac:dyDescent="0.25">
      <c r="F8144" t="s">
        <v>8103</v>
      </c>
      <c r="G8144">
        <v>91487</v>
      </c>
      <c r="H8144">
        <v>9572</v>
      </c>
      <c r="I8144" s="25" t="s">
        <v>2050</v>
      </c>
      <c r="J8144" t="s">
        <v>2105</v>
      </c>
      <c r="M8144" s="49"/>
    </row>
    <row r="8145" spans="6:13" x14ac:dyDescent="0.25">
      <c r="F8145" t="s">
        <v>8104</v>
      </c>
      <c r="G8145">
        <v>3226</v>
      </c>
      <c r="H8145">
        <v>12066</v>
      </c>
      <c r="I8145" s="25" t="s">
        <v>2356</v>
      </c>
      <c r="J8145" t="s">
        <v>2357</v>
      </c>
      <c r="M8145" s="49"/>
    </row>
    <row r="8146" spans="6:13" x14ac:dyDescent="0.25">
      <c r="F8146" t="s">
        <v>8105</v>
      </c>
      <c r="G8146">
        <v>53560</v>
      </c>
      <c r="H8146">
        <v>7138</v>
      </c>
      <c r="I8146" s="25" t="s">
        <v>2123</v>
      </c>
      <c r="J8146" t="s">
        <v>2489</v>
      </c>
      <c r="M8146" s="49"/>
    </row>
    <row r="8147" spans="6:13" x14ac:dyDescent="0.25">
      <c r="F8147" t="s">
        <v>8106</v>
      </c>
      <c r="G8147">
        <v>52391</v>
      </c>
      <c r="H8147">
        <v>5358</v>
      </c>
      <c r="I8147" s="25" t="s">
        <v>2023</v>
      </c>
      <c r="J8147" t="s">
        <v>2106</v>
      </c>
      <c r="M8147" s="49"/>
    </row>
    <row r="8148" spans="6:13" x14ac:dyDescent="0.25">
      <c r="F8148" t="s">
        <v>8107</v>
      </c>
      <c r="G8148">
        <v>94234</v>
      </c>
      <c r="H8148">
        <v>9276</v>
      </c>
      <c r="I8148" s="25" t="s">
        <v>2050</v>
      </c>
      <c r="J8148" t="s">
        <v>2078</v>
      </c>
      <c r="M8148" s="49"/>
    </row>
    <row r="8149" spans="6:13" x14ac:dyDescent="0.25">
      <c r="F8149" t="s">
        <v>8108</v>
      </c>
      <c r="G8149">
        <v>96191</v>
      </c>
      <c r="H8149">
        <v>9471</v>
      </c>
      <c r="I8149" s="25" t="s">
        <v>2050</v>
      </c>
      <c r="J8149" t="s">
        <v>2392</v>
      </c>
      <c r="M8149" s="49"/>
    </row>
    <row r="8150" spans="6:13" x14ac:dyDescent="0.25">
      <c r="F8150" t="s">
        <v>8109</v>
      </c>
      <c r="G8150">
        <v>21444</v>
      </c>
      <c r="H8150">
        <v>3353</v>
      </c>
      <c r="I8150" s="25" t="s">
        <v>2074</v>
      </c>
      <c r="J8150" t="s">
        <v>2176</v>
      </c>
      <c r="M8150" s="49"/>
    </row>
    <row r="8151" spans="6:13" x14ac:dyDescent="0.25">
      <c r="F8151" t="s">
        <v>8109</v>
      </c>
      <c r="G8151">
        <v>21444</v>
      </c>
      <c r="H8151">
        <v>3353</v>
      </c>
      <c r="I8151" s="25" t="s">
        <v>2074</v>
      </c>
      <c r="J8151" t="s">
        <v>2176</v>
      </c>
      <c r="M8151" s="49"/>
    </row>
    <row r="8152" spans="6:13" x14ac:dyDescent="0.25">
      <c r="F8152" t="s">
        <v>8110</v>
      </c>
      <c r="G8152">
        <v>85256</v>
      </c>
      <c r="H8152">
        <v>9174</v>
      </c>
      <c r="I8152" s="25" t="s">
        <v>2050</v>
      </c>
      <c r="J8152" t="s">
        <v>2445</v>
      </c>
      <c r="M8152" s="49"/>
    </row>
    <row r="8153" spans="6:13" x14ac:dyDescent="0.25">
      <c r="F8153" t="s">
        <v>8111</v>
      </c>
      <c r="G8153">
        <v>98547</v>
      </c>
      <c r="H8153">
        <v>16066</v>
      </c>
      <c r="I8153" s="25" t="s">
        <v>2384</v>
      </c>
      <c r="J8153" t="s">
        <v>2358</v>
      </c>
      <c r="M8153" s="49"/>
    </row>
    <row r="8154" spans="6:13" x14ac:dyDescent="0.25">
      <c r="F8154" t="s">
        <v>8112</v>
      </c>
      <c r="G8154">
        <v>68519</v>
      </c>
      <c r="H8154">
        <v>6431</v>
      </c>
      <c r="I8154" s="25" t="s">
        <v>2046</v>
      </c>
      <c r="J8154" t="s">
        <v>2065</v>
      </c>
      <c r="M8154" s="49"/>
    </row>
    <row r="8155" spans="6:13" x14ac:dyDescent="0.25">
      <c r="F8155" t="s">
        <v>2412</v>
      </c>
      <c r="G8155">
        <v>41747</v>
      </c>
      <c r="H8155">
        <v>5166</v>
      </c>
      <c r="I8155" s="25" t="s">
        <v>2023</v>
      </c>
      <c r="J8155" t="s">
        <v>2412</v>
      </c>
      <c r="M8155" s="49"/>
    </row>
    <row r="8156" spans="6:13" x14ac:dyDescent="0.25">
      <c r="F8156" t="s">
        <v>2412</v>
      </c>
      <c r="G8156">
        <v>41748</v>
      </c>
      <c r="H8156">
        <v>5166</v>
      </c>
      <c r="I8156" s="25" t="s">
        <v>2023</v>
      </c>
      <c r="J8156" t="s">
        <v>2412</v>
      </c>
      <c r="M8156" s="49"/>
    </row>
    <row r="8157" spans="6:13" x14ac:dyDescent="0.25">
      <c r="F8157" t="s">
        <v>2412</v>
      </c>
      <c r="G8157">
        <v>41748</v>
      </c>
      <c r="H8157">
        <v>5166</v>
      </c>
      <c r="I8157" s="25" t="s">
        <v>2023</v>
      </c>
      <c r="J8157" t="s">
        <v>2412</v>
      </c>
      <c r="M8157" s="49"/>
    </row>
    <row r="8158" spans="6:13" x14ac:dyDescent="0.25">
      <c r="F8158" t="s">
        <v>2412</v>
      </c>
      <c r="G8158">
        <v>41751</v>
      </c>
      <c r="H8158">
        <v>5166</v>
      </c>
      <c r="I8158" s="25" t="s">
        <v>2023</v>
      </c>
      <c r="J8158" t="s">
        <v>2412</v>
      </c>
      <c r="M8158" s="49"/>
    </row>
    <row r="8159" spans="6:13" x14ac:dyDescent="0.25">
      <c r="F8159" t="s">
        <v>2412</v>
      </c>
      <c r="G8159">
        <v>41747</v>
      </c>
      <c r="H8159">
        <v>5166</v>
      </c>
      <c r="I8159" s="25" t="s">
        <v>2023</v>
      </c>
      <c r="J8159" t="s">
        <v>2412</v>
      </c>
      <c r="M8159" s="49"/>
    </row>
    <row r="8160" spans="6:13" x14ac:dyDescent="0.25">
      <c r="F8160" t="s">
        <v>2412</v>
      </c>
      <c r="G8160">
        <v>41747</v>
      </c>
      <c r="H8160">
        <v>5166</v>
      </c>
      <c r="I8160" s="25" t="s">
        <v>2023</v>
      </c>
      <c r="J8160" t="s">
        <v>2412</v>
      </c>
      <c r="M8160" s="49"/>
    </row>
    <row r="8161" spans="6:13" x14ac:dyDescent="0.25">
      <c r="F8161" t="s">
        <v>2412</v>
      </c>
      <c r="G8161">
        <v>41749</v>
      </c>
      <c r="H8161">
        <v>5166</v>
      </c>
      <c r="I8161" s="25" t="s">
        <v>2023</v>
      </c>
      <c r="J8161" t="s">
        <v>2412</v>
      </c>
      <c r="M8161" s="49"/>
    </row>
    <row r="8162" spans="6:13" x14ac:dyDescent="0.25">
      <c r="F8162" t="s">
        <v>2412</v>
      </c>
      <c r="G8162">
        <v>41748</v>
      </c>
      <c r="H8162">
        <v>5166</v>
      </c>
      <c r="I8162" s="25" t="s">
        <v>2023</v>
      </c>
      <c r="J8162" t="s">
        <v>2412</v>
      </c>
      <c r="M8162" s="49"/>
    </row>
    <row r="8163" spans="6:13" x14ac:dyDescent="0.25">
      <c r="F8163" t="s">
        <v>8113</v>
      </c>
      <c r="G8163">
        <v>86946</v>
      </c>
      <c r="H8163">
        <v>9181</v>
      </c>
      <c r="I8163" s="25" t="s">
        <v>2050</v>
      </c>
      <c r="J8163" t="s">
        <v>2505</v>
      </c>
      <c r="M8163" s="49"/>
    </row>
    <row r="8164" spans="6:13" x14ac:dyDescent="0.25">
      <c r="F8164" t="s">
        <v>8114</v>
      </c>
      <c r="G8164">
        <v>78667</v>
      </c>
      <c r="H8164">
        <v>8325</v>
      </c>
      <c r="I8164" s="25" t="s">
        <v>2018</v>
      </c>
      <c r="J8164" t="s">
        <v>2208</v>
      </c>
      <c r="M8164" s="49"/>
    </row>
    <row r="8165" spans="6:13" x14ac:dyDescent="0.25">
      <c r="F8165" t="s">
        <v>8115</v>
      </c>
      <c r="G8165">
        <v>78050</v>
      </c>
      <c r="H8165">
        <v>8326</v>
      </c>
      <c r="I8165" s="25" t="s">
        <v>2018</v>
      </c>
      <c r="J8165" t="s">
        <v>2638</v>
      </c>
      <c r="M8165" s="49"/>
    </row>
    <row r="8166" spans="6:13" x14ac:dyDescent="0.25">
      <c r="F8166" t="s">
        <v>8115</v>
      </c>
      <c r="G8166">
        <v>78052</v>
      </c>
      <c r="H8166">
        <v>8326</v>
      </c>
      <c r="I8166" s="25" t="s">
        <v>2018</v>
      </c>
      <c r="J8166" t="s">
        <v>2638</v>
      </c>
      <c r="M8166" s="49"/>
    </row>
    <row r="8167" spans="6:13" x14ac:dyDescent="0.25">
      <c r="F8167" t="s">
        <v>8115</v>
      </c>
      <c r="G8167">
        <v>78048</v>
      </c>
      <c r="H8167">
        <v>8326</v>
      </c>
      <c r="I8167" s="25" t="s">
        <v>2018</v>
      </c>
      <c r="J8167" t="s">
        <v>2638</v>
      </c>
      <c r="M8167" s="49"/>
    </row>
    <row r="8168" spans="6:13" x14ac:dyDescent="0.25">
      <c r="F8168" t="s">
        <v>8115</v>
      </c>
      <c r="G8168">
        <v>78052</v>
      </c>
      <c r="H8168">
        <v>8326</v>
      </c>
      <c r="I8168" s="25" t="s">
        <v>2018</v>
      </c>
      <c r="J8168" t="s">
        <v>2638</v>
      </c>
      <c r="M8168" s="49"/>
    </row>
    <row r="8169" spans="6:13" x14ac:dyDescent="0.25">
      <c r="F8169" t="s">
        <v>8115</v>
      </c>
      <c r="G8169">
        <v>78052</v>
      </c>
      <c r="H8169">
        <v>8326</v>
      </c>
      <c r="I8169" s="25" t="s">
        <v>2018</v>
      </c>
      <c r="J8169" t="s">
        <v>2638</v>
      </c>
      <c r="M8169" s="49"/>
    </row>
    <row r="8170" spans="6:13" x14ac:dyDescent="0.25">
      <c r="F8170" t="s">
        <v>8115</v>
      </c>
      <c r="G8170">
        <v>78054</v>
      </c>
      <c r="H8170">
        <v>8326</v>
      </c>
      <c r="I8170" s="25" t="s">
        <v>2018</v>
      </c>
      <c r="J8170" t="s">
        <v>2638</v>
      </c>
      <c r="M8170" s="49"/>
    </row>
    <row r="8171" spans="6:13" x14ac:dyDescent="0.25">
      <c r="F8171" t="s">
        <v>8115</v>
      </c>
      <c r="G8171">
        <v>78056</v>
      </c>
      <c r="H8171">
        <v>8326</v>
      </c>
      <c r="I8171" s="25" t="s">
        <v>2018</v>
      </c>
      <c r="J8171" t="s">
        <v>2638</v>
      </c>
      <c r="M8171" s="49"/>
    </row>
    <row r="8172" spans="6:13" x14ac:dyDescent="0.25">
      <c r="F8172" t="s">
        <v>8116</v>
      </c>
      <c r="G8172">
        <v>65606</v>
      </c>
      <c r="H8172">
        <v>6533</v>
      </c>
      <c r="I8172" s="25" t="s">
        <v>2046</v>
      </c>
      <c r="J8172" t="s">
        <v>2629</v>
      </c>
      <c r="M8172" s="49"/>
    </row>
    <row r="8173" spans="6:13" x14ac:dyDescent="0.25">
      <c r="F8173" t="s">
        <v>8117</v>
      </c>
      <c r="G8173">
        <v>84137</v>
      </c>
      <c r="H8173">
        <v>9274</v>
      </c>
      <c r="I8173" s="25" t="s">
        <v>2050</v>
      </c>
      <c r="J8173" t="s">
        <v>2132</v>
      </c>
      <c r="M8173" s="49"/>
    </row>
    <row r="8174" spans="6:13" x14ac:dyDescent="0.25">
      <c r="F8174" t="s">
        <v>8118</v>
      </c>
      <c r="G8174">
        <v>92249</v>
      </c>
      <c r="H8174">
        <v>9371</v>
      </c>
      <c r="I8174" s="25" t="s">
        <v>2050</v>
      </c>
      <c r="J8174" t="s">
        <v>2469</v>
      </c>
      <c r="M8174" s="49"/>
    </row>
    <row r="8175" spans="6:13" x14ac:dyDescent="0.25">
      <c r="F8175" t="s">
        <v>8119</v>
      </c>
      <c r="G8175">
        <v>84186</v>
      </c>
      <c r="H8175">
        <v>9274</v>
      </c>
      <c r="I8175" s="25" t="s">
        <v>2050</v>
      </c>
      <c r="J8175" t="s">
        <v>2132</v>
      </c>
      <c r="M8175" s="49"/>
    </row>
    <row r="8176" spans="6:13" x14ac:dyDescent="0.25">
      <c r="F8176" t="s">
        <v>8120</v>
      </c>
      <c r="G8176">
        <v>94474</v>
      </c>
      <c r="H8176">
        <v>9275</v>
      </c>
      <c r="I8176" s="25" t="s">
        <v>2050</v>
      </c>
      <c r="J8176" t="s">
        <v>2198</v>
      </c>
      <c r="M8176" s="49"/>
    </row>
    <row r="8177" spans="6:13" x14ac:dyDescent="0.25">
      <c r="F8177" t="s">
        <v>8121</v>
      </c>
      <c r="G8177">
        <v>66957</v>
      </c>
      <c r="H8177">
        <v>7340</v>
      </c>
      <c r="I8177" s="25" t="s">
        <v>2123</v>
      </c>
      <c r="J8177" t="s">
        <v>2826</v>
      </c>
      <c r="M8177" s="49"/>
    </row>
    <row r="8178" spans="6:13" x14ac:dyDescent="0.25">
      <c r="F8178" t="s">
        <v>8121</v>
      </c>
      <c r="G8178">
        <v>66957</v>
      </c>
      <c r="H8178">
        <v>7340</v>
      </c>
      <c r="I8178" s="25" t="s">
        <v>2123</v>
      </c>
      <c r="J8178" t="s">
        <v>2826</v>
      </c>
      <c r="M8178" s="49"/>
    </row>
    <row r="8179" spans="6:13" x14ac:dyDescent="0.25">
      <c r="F8179" t="s">
        <v>8121</v>
      </c>
      <c r="G8179">
        <v>66957</v>
      </c>
      <c r="H8179">
        <v>7340</v>
      </c>
      <c r="I8179" s="25" t="s">
        <v>2123</v>
      </c>
      <c r="J8179" t="s">
        <v>2826</v>
      </c>
      <c r="M8179" s="49"/>
    </row>
    <row r="8180" spans="6:13" x14ac:dyDescent="0.25">
      <c r="F8180" t="s">
        <v>8122</v>
      </c>
      <c r="G8180">
        <v>25884</v>
      </c>
      <c r="H8180">
        <v>1054</v>
      </c>
      <c r="I8180" s="25" t="s">
        <v>2085</v>
      </c>
      <c r="J8180" t="s">
        <v>2195</v>
      </c>
      <c r="M8180" s="49"/>
    </row>
    <row r="8181" spans="6:13" x14ac:dyDescent="0.25">
      <c r="F8181" t="s">
        <v>8123</v>
      </c>
      <c r="G8181">
        <v>49429</v>
      </c>
      <c r="H8181">
        <v>3460</v>
      </c>
      <c r="I8181" s="25" t="s">
        <v>2074</v>
      </c>
      <c r="J8181" t="s">
        <v>2408</v>
      </c>
      <c r="M8181" s="49"/>
    </row>
    <row r="8182" spans="6:13" x14ac:dyDescent="0.25">
      <c r="F8182" t="s">
        <v>8124</v>
      </c>
      <c r="G8182">
        <v>27374</v>
      </c>
      <c r="H8182">
        <v>3357</v>
      </c>
      <c r="I8182" s="25" t="s">
        <v>2074</v>
      </c>
      <c r="J8182" t="s">
        <v>2339</v>
      </c>
      <c r="M8182" s="49"/>
    </row>
    <row r="8183" spans="6:13" x14ac:dyDescent="0.25">
      <c r="F8183" t="s">
        <v>8125</v>
      </c>
      <c r="G8183">
        <v>32602</v>
      </c>
      <c r="H8183">
        <v>5758</v>
      </c>
      <c r="I8183" s="25" t="s">
        <v>2023</v>
      </c>
      <c r="J8183" t="s">
        <v>2189</v>
      </c>
      <c r="M8183" s="49"/>
    </row>
    <row r="8184" spans="6:13" x14ac:dyDescent="0.25">
      <c r="F8184" t="s">
        <v>8126</v>
      </c>
      <c r="G8184">
        <v>46562</v>
      </c>
      <c r="H8184">
        <v>5170</v>
      </c>
      <c r="I8184" s="25" t="s">
        <v>2023</v>
      </c>
      <c r="J8184" t="s">
        <v>2328</v>
      </c>
      <c r="M8184" s="49"/>
    </row>
    <row r="8185" spans="6:13" x14ac:dyDescent="0.25">
      <c r="F8185" t="s">
        <v>8127</v>
      </c>
      <c r="G8185">
        <v>17375</v>
      </c>
      <c r="H8185">
        <v>13075</v>
      </c>
      <c r="I8185" s="25" t="s">
        <v>2191</v>
      </c>
      <c r="J8185" t="s">
        <v>2160</v>
      </c>
      <c r="M8185" s="49"/>
    </row>
    <row r="8186" spans="6:13" x14ac:dyDescent="0.25">
      <c r="F8186" t="s">
        <v>8127</v>
      </c>
      <c r="G8186">
        <v>17375</v>
      </c>
      <c r="H8186">
        <v>13075</v>
      </c>
      <c r="I8186" s="25" t="s">
        <v>2191</v>
      </c>
      <c r="J8186" t="s">
        <v>2160</v>
      </c>
      <c r="M8186" s="49"/>
    </row>
    <row r="8187" spans="6:13" x14ac:dyDescent="0.25">
      <c r="F8187" t="s">
        <v>8127</v>
      </c>
      <c r="G8187">
        <v>17375</v>
      </c>
      <c r="H8187">
        <v>13075</v>
      </c>
      <c r="I8187" s="25" t="s">
        <v>2191</v>
      </c>
      <c r="J8187" t="s">
        <v>2160</v>
      </c>
      <c r="M8187" s="49"/>
    </row>
    <row r="8188" spans="6:13" x14ac:dyDescent="0.25">
      <c r="F8188" t="s">
        <v>8127</v>
      </c>
      <c r="G8188">
        <v>17375</v>
      </c>
      <c r="H8188">
        <v>13075</v>
      </c>
      <c r="I8188" s="25" t="s">
        <v>2191</v>
      </c>
      <c r="J8188" t="s">
        <v>2160</v>
      </c>
      <c r="M8188" s="49"/>
    </row>
    <row r="8189" spans="6:13" x14ac:dyDescent="0.25">
      <c r="F8189" t="s">
        <v>8128</v>
      </c>
      <c r="G8189">
        <v>21360</v>
      </c>
      <c r="H8189">
        <v>3355</v>
      </c>
      <c r="I8189" s="25" t="s">
        <v>2074</v>
      </c>
      <c r="J8189" t="s">
        <v>2129</v>
      </c>
      <c r="M8189" s="49"/>
    </row>
    <row r="8190" spans="6:13" x14ac:dyDescent="0.25">
      <c r="F8190" t="s">
        <v>8129</v>
      </c>
      <c r="G8190">
        <v>88267</v>
      </c>
      <c r="H8190">
        <v>8436</v>
      </c>
      <c r="I8190" s="25" t="s">
        <v>2018</v>
      </c>
      <c r="J8190" t="s">
        <v>2068</v>
      </c>
      <c r="M8190" s="49"/>
    </row>
    <row r="8191" spans="6:13" x14ac:dyDescent="0.25">
      <c r="F8191" t="s">
        <v>8130</v>
      </c>
      <c r="G8191">
        <v>83569</v>
      </c>
      <c r="H8191">
        <v>9187</v>
      </c>
      <c r="I8191" s="25" t="s">
        <v>2050</v>
      </c>
      <c r="J8191" t="s">
        <v>2245</v>
      </c>
      <c r="M8191" s="49"/>
    </row>
    <row r="8192" spans="6:13" x14ac:dyDescent="0.25">
      <c r="F8192" t="s">
        <v>8131</v>
      </c>
      <c r="G8192">
        <v>99986</v>
      </c>
      <c r="H8192">
        <v>16064</v>
      </c>
      <c r="I8192" s="25" t="s">
        <v>2384</v>
      </c>
      <c r="J8192" t="s">
        <v>2405</v>
      </c>
      <c r="M8192" s="49"/>
    </row>
    <row r="8193" spans="6:13" x14ac:dyDescent="0.25">
      <c r="F8193" t="s">
        <v>8132</v>
      </c>
      <c r="G8193">
        <v>79235</v>
      </c>
      <c r="H8193">
        <v>8315</v>
      </c>
      <c r="I8193" s="25" t="s">
        <v>2018</v>
      </c>
      <c r="J8193" t="s">
        <v>2061</v>
      </c>
      <c r="M8193" s="49"/>
    </row>
    <row r="8194" spans="6:13" x14ac:dyDescent="0.25">
      <c r="F8194" t="s">
        <v>8133</v>
      </c>
      <c r="G8194">
        <v>85088</v>
      </c>
      <c r="H8194">
        <v>9186</v>
      </c>
      <c r="I8194" s="25" t="s">
        <v>2050</v>
      </c>
      <c r="J8194" t="s">
        <v>2594</v>
      </c>
      <c r="M8194" s="49"/>
    </row>
    <row r="8195" spans="6:13" x14ac:dyDescent="0.25">
      <c r="F8195" t="s">
        <v>8134</v>
      </c>
      <c r="G8195">
        <v>92648</v>
      </c>
      <c r="H8195">
        <v>9374</v>
      </c>
      <c r="I8195" s="25" t="s">
        <v>2050</v>
      </c>
      <c r="J8195" t="s">
        <v>2420</v>
      </c>
      <c r="M8195" s="49"/>
    </row>
    <row r="8196" spans="6:13" x14ac:dyDescent="0.25">
      <c r="F8196" t="s">
        <v>8135</v>
      </c>
      <c r="G8196">
        <v>34516</v>
      </c>
      <c r="H8196">
        <v>6635</v>
      </c>
      <c r="I8196" s="25" t="s">
        <v>2046</v>
      </c>
      <c r="J8196" t="s">
        <v>2308</v>
      </c>
      <c r="M8196" s="49"/>
    </row>
    <row r="8197" spans="6:13" x14ac:dyDescent="0.25">
      <c r="F8197" t="s">
        <v>8136</v>
      </c>
      <c r="G8197">
        <v>78147</v>
      </c>
      <c r="H8197">
        <v>8326</v>
      </c>
      <c r="I8197" s="25" t="s">
        <v>2018</v>
      </c>
      <c r="J8197" t="s">
        <v>2638</v>
      </c>
      <c r="M8197" s="49"/>
    </row>
    <row r="8198" spans="6:13" x14ac:dyDescent="0.25">
      <c r="F8198" t="s">
        <v>8137</v>
      </c>
      <c r="G8198">
        <v>72189</v>
      </c>
      <c r="H8198">
        <v>8325</v>
      </c>
      <c r="I8198" s="25" t="s">
        <v>2018</v>
      </c>
      <c r="J8198" t="s">
        <v>2208</v>
      </c>
      <c r="M8198" s="49"/>
    </row>
    <row r="8199" spans="6:13" x14ac:dyDescent="0.25">
      <c r="F8199" t="s">
        <v>8137</v>
      </c>
      <c r="G8199">
        <v>89269</v>
      </c>
      <c r="H8199">
        <v>9775</v>
      </c>
      <c r="I8199" s="25" t="s">
        <v>2050</v>
      </c>
      <c r="J8199" t="s">
        <v>2418</v>
      </c>
      <c r="M8199" s="49"/>
    </row>
    <row r="8200" spans="6:13" x14ac:dyDescent="0.25">
      <c r="F8200" t="s">
        <v>8138</v>
      </c>
      <c r="G8200">
        <v>97332</v>
      </c>
      <c r="H8200">
        <v>9675</v>
      </c>
      <c r="I8200" s="25" t="s">
        <v>2050</v>
      </c>
      <c r="J8200" t="s">
        <v>2259</v>
      </c>
      <c r="M8200" s="49"/>
    </row>
    <row r="8201" spans="6:13" x14ac:dyDescent="0.25">
      <c r="F8201" t="s">
        <v>8139</v>
      </c>
      <c r="G8201">
        <v>84106</v>
      </c>
      <c r="H8201">
        <v>9273</v>
      </c>
      <c r="I8201" s="25" t="s">
        <v>2050</v>
      </c>
      <c r="J8201" t="s">
        <v>2054</v>
      </c>
      <c r="M8201" s="49"/>
    </row>
    <row r="8202" spans="6:13" x14ac:dyDescent="0.25">
      <c r="F8202" t="s">
        <v>8140</v>
      </c>
      <c r="G8202">
        <v>78269</v>
      </c>
      <c r="H8202">
        <v>8335</v>
      </c>
      <c r="I8202" s="25" t="s">
        <v>2018</v>
      </c>
      <c r="J8202" t="s">
        <v>2019</v>
      </c>
      <c r="M8202" s="49"/>
    </row>
    <row r="8203" spans="6:13" x14ac:dyDescent="0.25">
      <c r="F8203" t="s">
        <v>8141</v>
      </c>
      <c r="G8203">
        <v>66333</v>
      </c>
      <c r="H8203">
        <v>10041</v>
      </c>
      <c r="I8203" s="25" t="s">
        <v>2849</v>
      </c>
      <c r="J8203" t="s">
        <v>4138</v>
      </c>
      <c r="M8203" s="49"/>
    </row>
    <row r="8204" spans="6:13" x14ac:dyDescent="0.25">
      <c r="F8204" t="s">
        <v>8142</v>
      </c>
      <c r="G8204">
        <v>34471</v>
      </c>
      <c r="H8204">
        <v>6635</v>
      </c>
      <c r="I8204" s="25" t="s">
        <v>2046</v>
      </c>
      <c r="J8204" t="s">
        <v>2308</v>
      </c>
      <c r="M8204" s="49"/>
    </row>
    <row r="8205" spans="6:13" x14ac:dyDescent="0.25">
      <c r="F8205" t="s">
        <v>8143</v>
      </c>
      <c r="G8205">
        <v>49599</v>
      </c>
      <c r="H8205">
        <v>3459</v>
      </c>
      <c r="I8205" s="25" t="s">
        <v>2074</v>
      </c>
      <c r="J8205" t="s">
        <v>2292</v>
      </c>
      <c r="M8205" s="49"/>
    </row>
    <row r="8206" spans="6:13" x14ac:dyDescent="0.25">
      <c r="F8206" t="s">
        <v>8144</v>
      </c>
      <c r="G8206">
        <v>95519</v>
      </c>
      <c r="H8206">
        <v>9374</v>
      </c>
      <c r="I8206" s="25" t="s">
        <v>2050</v>
      </c>
      <c r="J8206" t="s">
        <v>2420</v>
      </c>
      <c r="M8206" s="49"/>
    </row>
    <row r="8207" spans="6:13" x14ac:dyDescent="0.25">
      <c r="F8207" t="s">
        <v>8145</v>
      </c>
      <c r="G8207">
        <v>38533</v>
      </c>
      <c r="H8207">
        <v>3151</v>
      </c>
      <c r="I8207" s="25" t="s">
        <v>2074</v>
      </c>
      <c r="J8207" t="s">
        <v>2126</v>
      </c>
      <c r="M8207" s="49"/>
    </row>
    <row r="8208" spans="6:13" x14ac:dyDescent="0.25">
      <c r="F8208" t="s">
        <v>8146</v>
      </c>
      <c r="G8208">
        <v>91247</v>
      </c>
      <c r="H8208">
        <v>9574</v>
      </c>
      <c r="I8208" s="25" t="s">
        <v>2050</v>
      </c>
      <c r="J8208" t="s">
        <v>2291</v>
      </c>
      <c r="M8208" s="49"/>
    </row>
    <row r="8209" spans="6:13" x14ac:dyDescent="0.25">
      <c r="F8209" t="s">
        <v>8147</v>
      </c>
      <c r="G8209">
        <v>79279</v>
      </c>
      <c r="H8209">
        <v>8316</v>
      </c>
      <c r="I8209" s="25" t="s">
        <v>2018</v>
      </c>
      <c r="J8209" t="s">
        <v>2764</v>
      </c>
      <c r="M8209" s="49"/>
    </row>
    <row r="8210" spans="6:13" x14ac:dyDescent="0.25">
      <c r="F8210" t="s">
        <v>8148</v>
      </c>
      <c r="G8210">
        <v>48691</v>
      </c>
      <c r="H8210">
        <v>5554</v>
      </c>
      <c r="I8210" s="25" t="s">
        <v>2023</v>
      </c>
      <c r="J8210" t="s">
        <v>2055</v>
      </c>
      <c r="M8210" s="49"/>
    </row>
    <row r="8211" spans="6:13" x14ac:dyDescent="0.25">
      <c r="F8211" t="s">
        <v>8149</v>
      </c>
      <c r="G8211">
        <v>24369</v>
      </c>
      <c r="H8211">
        <v>1058</v>
      </c>
      <c r="I8211" s="25" t="s">
        <v>2085</v>
      </c>
      <c r="J8211" t="s">
        <v>2086</v>
      </c>
      <c r="M8211" s="49"/>
    </row>
    <row r="8212" spans="6:13" x14ac:dyDescent="0.25">
      <c r="F8212" t="s">
        <v>8150</v>
      </c>
      <c r="G8212">
        <v>83666</v>
      </c>
      <c r="H8212">
        <v>9182</v>
      </c>
      <c r="I8212" s="25" t="s">
        <v>2050</v>
      </c>
      <c r="J8212" t="s">
        <v>2254</v>
      </c>
      <c r="M8212" s="49"/>
    </row>
    <row r="8213" spans="6:13" x14ac:dyDescent="0.25">
      <c r="F8213" t="s">
        <v>8151</v>
      </c>
      <c r="G8213">
        <v>86875</v>
      </c>
      <c r="H8213">
        <v>9777</v>
      </c>
      <c r="I8213" s="25" t="s">
        <v>2050</v>
      </c>
      <c r="J8213" t="s">
        <v>2237</v>
      </c>
      <c r="M8213" s="49"/>
    </row>
    <row r="8214" spans="6:13" x14ac:dyDescent="0.25">
      <c r="F8214" t="s">
        <v>8152</v>
      </c>
      <c r="G8214">
        <v>34590</v>
      </c>
      <c r="H8214">
        <v>6634</v>
      </c>
      <c r="I8214" s="25" t="s">
        <v>2046</v>
      </c>
      <c r="J8214" t="s">
        <v>2360</v>
      </c>
      <c r="M8214" s="49"/>
    </row>
    <row r="8215" spans="6:13" x14ac:dyDescent="0.25">
      <c r="F8215" t="s">
        <v>8153</v>
      </c>
      <c r="G8215">
        <v>67157</v>
      </c>
      <c r="H8215">
        <v>7332</v>
      </c>
      <c r="I8215" s="25" t="s">
        <v>2123</v>
      </c>
      <c r="J8215" t="s">
        <v>2440</v>
      </c>
      <c r="M8215" s="49"/>
    </row>
    <row r="8216" spans="6:13" x14ac:dyDescent="0.25">
      <c r="F8216" t="s">
        <v>8154</v>
      </c>
      <c r="G8216">
        <v>96193</v>
      </c>
      <c r="H8216">
        <v>9572</v>
      </c>
      <c r="I8216" s="25" t="s">
        <v>2050</v>
      </c>
      <c r="J8216" t="s">
        <v>2105</v>
      </c>
      <c r="M8216" s="49"/>
    </row>
    <row r="8217" spans="6:13" x14ac:dyDescent="0.25">
      <c r="F8217" t="s">
        <v>8155</v>
      </c>
      <c r="G8217">
        <v>53343</v>
      </c>
      <c r="H8217">
        <v>5382</v>
      </c>
      <c r="I8217" s="25" t="s">
        <v>2023</v>
      </c>
      <c r="J8217" t="s">
        <v>2298</v>
      </c>
      <c r="M8217" s="49"/>
    </row>
    <row r="8218" spans="6:13" x14ac:dyDescent="0.25">
      <c r="F8218" t="s">
        <v>8156</v>
      </c>
      <c r="G8218">
        <v>47669</v>
      </c>
      <c r="H8218">
        <v>5154</v>
      </c>
      <c r="I8218" s="25" t="s">
        <v>2023</v>
      </c>
      <c r="J8218" t="s">
        <v>2214</v>
      </c>
      <c r="M8218" s="49"/>
    </row>
    <row r="8219" spans="6:13" x14ac:dyDescent="0.25">
      <c r="F8219" t="s">
        <v>8157</v>
      </c>
      <c r="G8219">
        <v>63607</v>
      </c>
      <c r="H8219">
        <v>6435</v>
      </c>
      <c r="I8219" s="25" t="s">
        <v>2046</v>
      </c>
      <c r="J8219" t="s">
        <v>2703</v>
      </c>
      <c r="M8219" s="49"/>
    </row>
    <row r="8220" spans="6:13" x14ac:dyDescent="0.25">
      <c r="F8220" t="s">
        <v>8158</v>
      </c>
      <c r="G8220">
        <v>25596</v>
      </c>
      <c r="H8220">
        <v>1061</v>
      </c>
      <c r="I8220" s="25" t="s">
        <v>2085</v>
      </c>
      <c r="J8220" t="s">
        <v>2377</v>
      </c>
      <c r="M8220" s="49"/>
    </row>
    <row r="8221" spans="6:13" x14ac:dyDescent="0.25">
      <c r="F8221" t="s">
        <v>8159</v>
      </c>
      <c r="G8221">
        <v>55263</v>
      </c>
      <c r="H8221">
        <v>7339</v>
      </c>
      <c r="I8221" s="25" t="s">
        <v>2123</v>
      </c>
      <c r="J8221" t="s">
        <v>2238</v>
      </c>
      <c r="M8221" s="49"/>
    </row>
    <row r="8222" spans="6:13" x14ac:dyDescent="0.25">
      <c r="F8222" t="s">
        <v>8160</v>
      </c>
      <c r="G8222">
        <v>92442</v>
      </c>
      <c r="H8222">
        <v>9376</v>
      </c>
      <c r="I8222" s="25" t="s">
        <v>2050</v>
      </c>
      <c r="J8222" t="s">
        <v>2390</v>
      </c>
      <c r="M8222" s="49"/>
    </row>
    <row r="8223" spans="6:13" x14ac:dyDescent="0.25">
      <c r="F8223" t="s">
        <v>8161</v>
      </c>
      <c r="G8223">
        <v>29496</v>
      </c>
      <c r="H8223">
        <v>3354</v>
      </c>
      <c r="I8223" s="25" t="s">
        <v>2074</v>
      </c>
      <c r="J8223" t="s">
        <v>2232</v>
      </c>
      <c r="M8223" s="49"/>
    </row>
    <row r="8224" spans="6:13" x14ac:dyDescent="0.25">
      <c r="F8224" t="s">
        <v>8162</v>
      </c>
      <c r="G8224">
        <v>66687</v>
      </c>
      <c r="H8224">
        <v>10042</v>
      </c>
      <c r="I8224" s="25" t="s">
        <v>2849</v>
      </c>
      <c r="J8224" t="s">
        <v>2850</v>
      </c>
      <c r="M8224" s="49"/>
    </row>
    <row r="8225" spans="6:13" x14ac:dyDescent="0.25">
      <c r="F8225" t="s">
        <v>8163</v>
      </c>
      <c r="G8225">
        <v>59329</v>
      </c>
      <c r="H8225">
        <v>5570</v>
      </c>
      <c r="I8225" s="25" t="s">
        <v>2023</v>
      </c>
      <c r="J8225" t="s">
        <v>2154</v>
      </c>
      <c r="M8225" s="49"/>
    </row>
    <row r="8226" spans="6:13" x14ac:dyDescent="0.25">
      <c r="F8226" t="s">
        <v>8164</v>
      </c>
      <c r="G8226">
        <v>66787</v>
      </c>
      <c r="H8226">
        <v>10044</v>
      </c>
      <c r="I8226" s="25" t="s">
        <v>2849</v>
      </c>
      <c r="J8226" t="s">
        <v>3222</v>
      </c>
      <c r="M8226" s="49"/>
    </row>
    <row r="8227" spans="6:13" x14ac:dyDescent="0.25">
      <c r="F8227" t="s">
        <v>8165</v>
      </c>
      <c r="G8227">
        <v>93494</v>
      </c>
      <c r="H8227">
        <v>9372</v>
      </c>
      <c r="I8227" s="25" t="s">
        <v>2050</v>
      </c>
      <c r="J8227" t="s">
        <v>2523</v>
      </c>
      <c r="M8227" s="49"/>
    </row>
    <row r="8228" spans="6:13" x14ac:dyDescent="0.25">
      <c r="F8228" t="s">
        <v>8166</v>
      </c>
      <c r="G8228">
        <v>49419</v>
      </c>
      <c r="H8228">
        <v>3251</v>
      </c>
      <c r="I8228" s="25" t="s">
        <v>2074</v>
      </c>
      <c r="J8228" t="s">
        <v>2094</v>
      </c>
      <c r="M8228" s="49"/>
    </row>
    <row r="8229" spans="6:13" x14ac:dyDescent="0.25">
      <c r="F8229" t="s">
        <v>8167</v>
      </c>
      <c r="G8229">
        <v>38559</v>
      </c>
      <c r="H8229">
        <v>3151</v>
      </c>
      <c r="I8229" s="25" t="s">
        <v>2074</v>
      </c>
      <c r="J8229" t="s">
        <v>2126</v>
      </c>
      <c r="M8229" s="49"/>
    </row>
    <row r="8230" spans="6:13" x14ac:dyDescent="0.25">
      <c r="F8230" t="s">
        <v>8168</v>
      </c>
      <c r="G8230">
        <v>68753</v>
      </c>
      <c r="H8230">
        <v>8215</v>
      </c>
      <c r="I8230" s="25" t="s">
        <v>2018</v>
      </c>
      <c r="J8230" t="s">
        <v>2724</v>
      </c>
      <c r="M8230" s="49"/>
    </row>
    <row r="8231" spans="6:13" x14ac:dyDescent="0.25">
      <c r="F8231" t="s">
        <v>8169</v>
      </c>
      <c r="G8231">
        <v>83329</v>
      </c>
      <c r="H8231">
        <v>9189</v>
      </c>
      <c r="I8231" s="25" t="s">
        <v>2050</v>
      </c>
      <c r="J8231" t="s">
        <v>2407</v>
      </c>
      <c r="M8231" s="49"/>
    </row>
    <row r="8232" spans="6:13" x14ac:dyDescent="0.25">
      <c r="F8232" t="s">
        <v>8170</v>
      </c>
      <c r="G8232">
        <v>23812</v>
      </c>
      <c r="H8232">
        <v>1060</v>
      </c>
      <c r="I8232" s="25" t="s">
        <v>2085</v>
      </c>
      <c r="J8232" t="s">
        <v>2363</v>
      </c>
      <c r="M8232" s="49"/>
    </row>
    <row r="8233" spans="6:13" x14ac:dyDescent="0.25">
      <c r="F8233" t="s">
        <v>8171</v>
      </c>
      <c r="G8233">
        <v>29399</v>
      </c>
      <c r="H8233">
        <v>3151</v>
      </c>
      <c r="I8233" s="25" t="s">
        <v>2074</v>
      </c>
      <c r="J8233" t="s">
        <v>2126</v>
      </c>
      <c r="M8233" s="49"/>
    </row>
    <row r="8234" spans="6:13" x14ac:dyDescent="0.25">
      <c r="F8234" t="s">
        <v>8172</v>
      </c>
      <c r="G8234">
        <v>71332</v>
      </c>
      <c r="H8234">
        <v>8119</v>
      </c>
      <c r="I8234" s="25" t="s">
        <v>2018</v>
      </c>
      <c r="J8234" t="s">
        <v>2287</v>
      </c>
      <c r="M8234" s="49"/>
    </row>
    <row r="8235" spans="6:13" x14ac:dyDescent="0.25">
      <c r="F8235" t="s">
        <v>8172</v>
      </c>
      <c r="G8235">
        <v>71336</v>
      </c>
      <c r="H8235">
        <v>8119</v>
      </c>
      <c r="I8235" s="25" t="s">
        <v>2018</v>
      </c>
      <c r="J8235" t="s">
        <v>2287</v>
      </c>
      <c r="M8235" s="49"/>
    </row>
    <row r="8236" spans="6:13" x14ac:dyDescent="0.25">
      <c r="F8236" t="s">
        <v>8172</v>
      </c>
      <c r="G8236">
        <v>71334</v>
      </c>
      <c r="H8236">
        <v>8119</v>
      </c>
      <c r="I8236" s="25" t="s">
        <v>2018</v>
      </c>
      <c r="J8236" t="s">
        <v>2287</v>
      </c>
      <c r="M8236" s="49"/>
    </row>
    <row r="8237" spans="6:13" x14ac:dyDescent="0.25">
      <c r="F8237" t="s">
        <v>8173</v>
      </c>
      <c r="G8237">
        <v>74915</v>
      </c>
      <c r="H8237">
        <v>8226</v>
      </c>
      <c r="I8237" s="25" t="s">
        <v>2018</v>
      </c>
      <c r="J8237" t="s">
        <v>2442</v>
      </c>
      <c r="M8237" s="49"/>
    </row>
    <row r="8238" spans="6:13" x14ac:dyDescent="0.25">
      <c r="F8238" t="s">
        <v>8174</v>
      </c>
      <c r="G8238">
        <v>92726</v>
      </c>
      <c r="H8238">
        <v>9374</v>
      </c>
      <c r="I8238" s="25" t="s">
        <v>2050</v>
      </c>
      <c r="J8238" t="s">
        <v>2420</v>
      </c>
      <c r="M8238" s="49"/>
    </row>
    <row r="8239" spans="6:13" x14ac:dyDescent="0.25">
      <c r="F8239" t="s">
        <v>8175</v>
      </c>
      <c r="G8239">
        <v>86579</v>
      </c>
      <c r="H8239">
        <v>9185</v>
      </c>
      <c r="I8239" s="25" t="s">
        <v>2050</v>
      </c>
      <c r="J8239" t="s">
        <v>2515</v>
      </c>
      <c r="M8239" s="49"/>
    </row>
    <row r="8240" spans="6:13" x14ac:dyDescent="0.25">
      <c r="F8240" t="s">
        <v>8176</v>
      </c>
      <c r="G8240">
        <v>97534</v>
      </c>
      <c r="H8240">
        <v>9678</v>
      </c>
      <c r="I8240" s="25" t="s">
        <v>2050</v>
      </c>
      <c r="J8240" t="s">
        <v>2918</v>
      </c>
      <c r="M8240" s="49"/>
    </row>
    <row r="8241" spans="6:13" x14ac:dyDescent="0.25">
      <c r="F8241" t="s">
        <v>8177</v>
      </c>
      <c r="G8241">
        <v>88489</v>
      </c>
      <c r="H8241">
        <v>8426</v>
      </c>
      <c r="I8241" s="25" t="s">
        <v>2018</v>
      </c>
      <c r="J8241" t="s">
        <v>2081</v>
      </c>
      <c r="M8241" s="49"/>
    </row>
    <row r="8242" spans="6:13" x14ac:dyDescent="0.25">
      <c r="F8242" t="s">
        <v>8178</v>
      </c>
      <c r="G8242">
        <v>91344</v>
      </c>
      <c r="H8242">
        <v>9472</v>
      </c>
      <c r="I8242" s="25" t="s">
        <v>2050</v>
      </c>
      <c r="J8242" t="s">
        <v>2180</v>
      </c>
      <c r="M8242" s="49"/>
    </row>
    <row r="8243" spans="6:13" x14ac:dyDescent="0.25">
      <c r="F8243" t="s">
        <v>8179</v>
      </c>
      <c r="G8243">
        <v>82432</v>
      </c>
      <c r="H8243">
        <v>9173</v>
      </c>
      <c r="I8243" s="25" t="s">
        <v>2050</v>
      </c>
      <c r="J8243" t="s">
        <v>2659</v>
      </c>
      <c r="M8243" s="49"/>
    </row>
    <row r="8244" spans="6:13" x14ac:dyDescent="0.25">
      <c r="F8244" t="s">
        <v>8180</v>
      </c>
      <c r="G8244">
        <v>26907</v>
      </c>
      <c r="H8244">
        <v>3454</v>
      </c>
      <c r="I8244" s="25" t="s">
        <v>2074</v>
      </c>
      <c r="J8244" t="s">
        <v>2118</v>
      </c>
      <c r="M8244" s="49"/>
    </row>
    <row r="8245" spans="6:13" x14ac:dyDescent="0.25">
      <c r="F8245" t="s">
        <v>8181</v>
      </c>
      <c r="G8245">
        <v>88639</v>
      </c>
      <c r="H8245">
        <v>8437</v>
      </c>
      <c r="I8245" s="25" t="s">
        <v>2018</v>
      </c>
      <c r="J8245" t="s">
        <v>2720</v>
      </c>
      <c r="M8245" s="49"/>
    </row>
    <row r="8246" spans="6:13" x14ac:dyDescent="0.25">
      <c r="F8246" t="s">
        <v>8181</v>
      </c>
      <c r="G8246">
        <v>93192</v>
      </c>
      <c r="H8246">
        <v>9372</v>
      </c>
      <c r="I8246" s="25" t="s">
        <v>2050</v>
      </c>
      <c r="J8246" t="s">
        <v>2523</v>
      </c>
      <c r="M8246" s="49"/>
    </row>
    <row r="8247" spans="6:13" x14ac:dyDescent="0.25">
      <c r="F8247" t="s">
        <v>8182</v>
      </c>
      <c r="G8247">
        <v>72178</v>
      </c>
      <c r="H8247">
        <v>8237</v>
      </c>
      <c r="I8247" s="25" t="s">
        <v>2018</v>
      </c>
      <c r="J8247" t="s">
        <v>2336</v>
      </c>
      <c r="M8247" s="49"/>
    </row>
    <row r="8248" spans="6:13" x14ac:dyDescent="0.25">
      <c r="F8248" t="s">
        <v>8183</v>
      </c>
      <c r="G8248">
        <v>55425</v>
      </c>
      <c r="H8248">
        <v>7339</v>
      </c>
      <c r="I8248" s="25" t="s">
        <v>2123</v>
      </c>
      <c r="J8248" t="s">
        <v>2238</v>
      </c>
      <c r="M8248" s="49"/>
    </row>
    <row r="8249" spans="6:13" x14ac:dyDescent="0.25">
      <c r="F8249" t="s">
        <v>8184</v>
      </c>
      <c r="G8249">
        <v>63857</v>
      </c>
      <c r="H8249">
        <v>9671</v>
      </c>
      <c r="I8249" s="25" t="s">
        <v>2050</v>
      </c>
      <c r="J8249" t="s">
        <v>2453</v>
      </c>
      <c r="M8249" s="49"/>
    </row>
    <row r="8250" spans="6:13" x14ac:dyDescent="0.25">
      <c r="F8250" t="s">
        <v>8185</v>
      </c>
      <c r="G8250">
        <v>55596</v>
      </c>
      <c r="H8250">
        <v>7133</v>
      </c>
      <c r="I8250" s="25" t="s">
        <v>2123</v>
      </c>
      <c r="J8250" t="s">
        <v>2037</v>
      </c>
      <c r="M8250" s="49"/>
    </row>
    <row r="8251" spans="6:13" x14ac:dyDescent="0.25">
      <c r="F8251" t="s">
        <v>8186</v>
      </c>
      <c r="G8251">
        <v>56588</v>
      </c>
      <c r="H8251">
        <v>7138</v>
      </c>
      <c r="I8251" s="25" t="s">
        <v>2123</v>
      </c>
      <c r="J8251" t="s">
        <v>2489</v>
      </c>
      <c r="M8251" s="49"/>
    </row>
    <row r="8252" spans="6:13" x14ac:dyDescent="0.25">
      <c r="F8252" t="s">
        <v>8187</v>
      </c>
      <c r="G8252">
        <v>51545</v>
      </c>
      <c r="H8252">
        <v>5374</v>
      </c>
      <c r="I8252" s="25" t="s">
        <v>2023</v>
      </c>
      <c r="J8252" t="s">
        <v>2281</v>
      </c>
      <c r="M8252" s="49"/>
    </row>
    <row r="8253" spans="6:13" x14ac:dyDescent="0.25">
      <c r="F8253" t="s">
        <v>8188</v>
      </c>
      <c r="G8253">
        <v>76337</v>
      </c>
      <c r="H8253">
        <v>8215</v>
      </c>
      <c r="I8253" s="25" t="s">
        <v>2018</v>
      </c>
      <c r="J8253" t="s">
        <v>2724</v>
      </c>
      <c r="M8253" s="49"/>
    </row>
    <row r="8254" spans="6:13" x14ac:dyDescent="0.25">
      <c r="F8254" t="s">
        <v>8189</v>
      </c>
      <c r="G8254">
        <v>65620</v>
      </c>
      <c r="H8254">
        <v>6533</v>
      </c>
      <c r="I8254" s="25" t="s">
        <v>2046</v>
      </c>
      <c r="J8254" t="s">
        <v>2629</v>
      </c>
      <c r="M8254" s="49"/>
    </row>
    <row r="8255" spans="6:13" x14ac:dyDescent="0.25">
      <c r="F8255" t="s">
        <v>8189</v>
      </c>
      <c r="G8255">
        <v>69429</v>
      </c>
      <c r="H8255">
        <v>8225</v>
      </c>
      <c r="I8255" s="25" t="s">
        <v>2018</v>
      </c>
      <c r="J8255" t="s">
        <v>2108</v>
      </c>
      <c r="M8255" s="49"/>
    </row>
    <row r="8256" spans="6:13" x14ac:dyDescent="0.25">
      <c r="F8256" t="s">
        <v>8189</v>
      </c>
      <c r="G8256">
        <v>69429</v>
      </c>
      <c r="H8256">
        <v>8226</v>
      </c>
      <c r="I8256" s="25" t="s">
        <v>2018</v>
      </c>
      <c r="J8256" t="s">
        <v>2442</v>
      </c>
      <c r="M8256" s="49"/>
    </row>
    <row r="8257" spans="6:13" x14ac:dyDescent="0.25">
      <c r="F8257" t="s">
        <v>8190</v>
      </c>
      <c r="G8257">
        <v>97295</v>
      </c>
      <c r="H8257">
        <v>9679</v>
      </c>
      <c r="I8257" s="25" t="s">
        <v>2050</v>
      </c>
      <c r="J8257" t="s">
        <v>2428</v>
      </c>
      <c r="M8257" s="49"/>
    </row>
    <row r="8258" spans="6:13" x14ac:dyDescent="0.25">
      <c r="F8258" t="s">
        <v>8191</v>
      </c>
      <c r="G8258">
        <v>88289</v>
      </c>
      <c r="H8258">
        <v>8436</v>
      </c>
      <c r="I8258" s="25" t="s">
        <v>2018</v>
      </c>
      <c r="J8258" t="s">
        <v>2068</v>
      </c>
      <c r="M8258" s="49"/>
    </row>
    <row r="8259" spans="6:13" x14ac:dyDescent="0.25">
      <c r="F8259" t="s">
        <v>8192</v>
      </c>
      <c r="G8259">
        <v>97297</v>
      </c>
      <c r="H8259">
        <v>9679</v>
      </c>
      <c r="I8259" s="25" t="s">
        <v>2050</v>
      </c>
      <c r="J8259" t="s">
        <v>2428</v>
      </c>
      <c r="M8259" s="49"/>
    </row>
    <row r="8260" spans="6:13" x14ac:dyDescent="0.25">
      <c r="F8260" t="s">
        <v>8193</v>
      </c>
      <c r="G8260">
        <v>72141</v>
      </c>
      <c r="H8260">
        <v>8415</v>
      </c>
      <c r="I8260" s="25" t="s">
        <v>2018</v>
      </c>
      <c r="J8260" t="s">
        <v>2325</v>
      </c>
      <c r="M8260" s="49"/>
    </row>
    <row r="8261" spans="6:13" x14ac:dyDescent="0.25">
      <c r="F8261" t="s">
        <v>8193</v>
      </c>
      <c r="G8261">
        <v>72141</v>
      </c>
      <c r="H8261">
        <v>8415</v>
      </c>
      <c r="I8261" s="25" t="s">
        <v>2018</v>
      </c>
      <c r="J8261" t="s">
        <v>2325</v>
      </c>
      <c r="M8261" s="49"/>
    </row>
    <row r="8262" spans="6:13" x14ac:dyDescent="0.25">
      <c r="F8262" t="s">
        <v>8194</v>
      </c>
      <c r="G8262">
        <v>34513</v>
      </c>
      <c r="H8262">
        <v>6635</v>
      </c>
      <c r="I8262" s="25" t="s">
        <v>2046</v>
      </c>
      <c r="J8262" t="s">
        <v>2308</v>
      </c>
      <c r="M8262" s="49"/>
    </row>
    <row r="8263" spans="6:13" x14ac:dyDescent="0.25">
      <c r="F8263" t="s">
        <v>8195</v>
      </c>
      <c r="G8263">
        <v>65529</v>
      </c>
      <c r="H8263">
        <v>6439</v>
      </c>
      <c r="I8263" s="25" t="s">
        <v>2046</v>
      </c>
      <c r="J8263" t="s">
        <v>2047</v>
      </c>
      <c r="M8263" s="49"/>
    </row>
    <row r="8264" spans="6:13" x14ac:dyDescent="0.25">
      <c r="F8264" t="s">
        <v>8196</v>
      </c>
      <c r="G8264">
        <v>71111</v>
      </c>
      <c r="H8264">
        <v>8115</v>
      </c>
      <c r="I8264" s="25" t="s">
        <v>2018</v>
      </c>
      <c r="J8264" t="s">
        <v>2222</v>
      </c>
      <c r="M8264" s="49"/>
    </row>
    <row r="8265" spans="6:13" x14ac:dyDescent="0.25">
      <c r="F8265" t="s">
        <v>8196</v>
      </c>
      <c r="G8265">
        <v>71111</v>
      </c>
      <c r="H8265">
        <v>8116</v>
      </c>
      <c r="I8265" s="25" t="s">
        <v>2018</v>
      </c>
      <c r="J8265" t="s">
        <v>2213</v>
      </c>
      <c r="M8265" s="49"/>
    </row>
    <row r="8266" spans="6:13" x14ac:dyDescent="0.25">
      <c r="F8266" t="s">
        <v>8197</v>
      </c>
      <c r="G8266">
        <v>74638</v>
      </c>
      <c r="H8266">
        <v>8126</v>
      </c>
      <c r="I8266" s="25" t="s">
        <v>2018</v>
      </c>
      <c r="J8266" t="s">
        <v>3280</v>
      </c>
      <c r="M8266" s="49"/>
    </row>
    <row r="8267" spans="6:13" x14ac:dyDescent="0.25">
      <c r="F8267" t="s">
        <v>8197</v>
      </c>
      <c r="G8267">
        <v>8396</v>
      </c>
      <c r="H8267">
        <v>14524</v>
      </c>
      <c r="I8267" s="25" t="s">
        <v>2135</v>
      </c>
      <c r="J8267" t="s">
        <v>3424</v>
      </c>
      <c r="M8267" s="49"/>
    </row>
    <row r="8268" spans="6:13" x14ac:dyDescent="0.25">
      <c r="F8268" t="s">
        <v>8198</v>
      </c>
      <c r="G8268">
        <v>93194</v>
      </c>
      <c r="H8268">
        <v>9372</v>
      </c>
      <c r="I8268" s="25" t="s">
        <v>2050</v>
      </c>
      <c r="J8268" t="s">
        <v>2523</v>
      </c>
      <c r="M8268" s="49"/>
    </row>
    <row r="8269" spans="6:13" x14ac:dyDescent="0.25">
      <c r="F8269" t="s">
        <v>8199</v>
      </c>
      <c r="G8269">
        <v>95679</v>
      </c>
      <c r="H8269">
        <v>9377</v>
      </c>
      <c r="I8269" s="25" t="s">
        <v>2050</v>
      </c>
      <c r="J8269" t="s">
        <v>2393</v>
      </c>
      <c r="M8269" s="49"/>
    </row>
    <row r="8270" spans="6:13" x14ac:dyDescent="0.25">
      <c r="F8270" t="s">
        <v>8200</v>
      </c>
      <c r="G8270">
        <v>56323</v>
      </c>
      <c r="H8270">
        <v>7137</v>
      </c>
      <c r="I8270" s="25" t="s">
        <v>2123</v>
      </c>
      <c r="J8270" t="s">
        <v>2246</v>
      </c>
      <c r="M8270" s="49"/>
    </row>
    <row r="8271" spans="6:13" x14ac:dyDescent="0.25">
      <c r="F8271" t="s">
        <v>8201</v>
      </c>
      <c r="G8271">
        <v>52525</v>
      </c>
      <c r="H8271">
        <v>5370</v>
      </c>
      <c r="I8271" s="25" t="s">
        <v>2023</v>
      </c>
      <c r="J8271" t="s">
        <v>2183</v>
      </c>
      <c r="M8271" s="49"/>
    </row>
    <row r="8272" spans="6:13" x14ac:dyDescent="0.25">
      <c r="F8272" t="s">
        <v>8202</v>
      </c>
      <c r="G8272">
        <v>67714</v>
      </c>
      <c r="H8272">
        <v>7340</v>
      </c>
      <c r="I8272" s="25" t="s">
        <v>2123</v>
      </c>
      <c r="J8272" t="s">
        <v>2826</v>
      </c>
      <c r="M8272" s="49"/>
    </row>
    <row r="8273" spans="6:13" x14ac:dyDescent="0.25">
      <c r="F8273" t="s">
        <v>8203</v>
      </c>
      <c r="G8273">
        <v>4736</v>
      </c>
      <c r="H8273">
        <v>14522</v>
      </c>
      <c r="I8273" s="25" t="s">
        <v>2135</v>
      </c>
      <c r="J8273" t="s">
        <v>2100</v>
      </c>
      <c r="M8273" s="49"/>
    </row>
    <row r="8274" spans="6:13" x14ac:dyDescent="0.25">
      <c r="F8274" t="s">
        <v>8204</v>
      </c>
      <c r="G8274">
        <v>37284</v>
      </c>
      <c r="H8274">
        <v>6636</v>
      </c>
      <c r="I8274" s="25" t="s">
        <v>2046</v>
      </c>
      <c r="J8274" t="s">
        <v>2733</v>
      </c>
      <c r="M8274" s="49"/>
    </row>
    <row r="8275" spans="6:13" x14ac:dyDescent="0.25">
      <c r="F8275" t="s">
        <v>8205</v>
      </c>
      <c r="G8275">
        <v>79183</v>
      </c>
      <c r="H8275">
        <v>8316</v>
      </c>
      <c r="I8275" s="25" t="s">
        <v>2018</v>
      </c>
      <c r="J8275" t="s">
        <v>2764</v>
      </c>
      <c r="M8275" s="49"/>
    </row>
    <row r="8276" spans="6:13" x14ac:dyDescent="0.25">
      <c r="F8276" t="s">
        <v>8206</v>
      </c>
      <c r="G8276">
        <v>94065</v>
      </c>
      <c r="H8276">
        <v>9272</v>
      </c>
      <c r="I8276" s="25" t="s">
        <v>2050</v>
      </c>
      <c r="J8276" t="s">
        <v>2140</v>
      </c>
      <c r="M8276" s="49"/>
    </row>
    <row r="8277" spans="6:13" x14ac:dyDescent="0.25">
      <c r="F8277" t="s">
        <v>8207</v>
      </c>
      <c r="G8277">
        <v>84478</v>
      </c>
      <c r="H8277">
        <v>9183</v>
      </c>
      <c r="I8277" s="25" t="s">
        <v>2050</v>
      </c>
      <c r="J8277" t="s">
        <v>2474</v>
      </c>
      <c r="M8277" s="49"/>
    </row>
    <row r="8278" spans="6:13" x14ac:dyDescent="0.25">
      <c r="F8278" t="s">
        <v>8208</v>
      </c>
      <c r="G8278">
        <v>67693</v>
      </c>
      <c r="H8278">
        <v>7335</v>
      </c>
      <c r="I8278" s="25" t="s">
        <v>2123</v>
      </c>
      <c r="J8278" t="s">
        <v>2843</v>
      </c>
      <c r="M8278" s="49"/>
    </row>
    <row r="8279" spans="6:13" x14ac:dyDescent="0.25">
      <c r="F8279" t="s">
        <v>8208</v>
      </c>
      <c r="G8279">
        <v>67693</v>
      </c>
      <c r="H8279">
        <v>7335</v>
      </c>
      <c r="I8279" s="25" t="s">
        <v>2123</v>
      </c>
      <c r="J8279" t="s">
        <v>2843</v>
      </c>
      <c r="M8279" s="49"/>
    </row>
    <row r="8280" spans="6:13" x14ac:dyDescent="0.25">
      <c r="F8280" t="s">
        <v>8209</v>
      </c>
      <c r="G8280">
        <v>69483</v>
      </c>
      <c r="H8280">
        <v>6431</v>
      </c>
      <c r="I8280" s="25" t="s">
        <v>2046</v>
      </c>
      <c r="J8280" t="s">
        <v>2065</v>
      </c>
      <c r="M8280" s="49"/>
    </row>
    <row r="8281" spans="6:13" x14ac:dyDescent="0.25">
      <c r="F8281" t="s">
        <v>8210</v>
      </c>
      <c r="G8281">
        <v>66914</v>
      </c>
      <c r="H8281">
        <v>7336</v>
      </c>
      <c r="I8281" s="25" t="s">
        <v>2123</v>
      </c>
      <c r="J8281" t="s">
        <v>2216</v>
      </c>
      <c r="M8281" s="49"/>
    </row>
    <row r="8282" spans="6:13" x14ac:dyDescent="0.25">
      <c r="F8282" t="s">
        <v>8211</v>
      </c>
      <c r="G8282">
        <v>93449</v>
      </c>
      <c r="H8282">
        <v>9372</v>
      </c>
      <c r="I8282" s="25" t="s">
        <v>2050</v>
      </c>
      <c r="J8282" t="s">
        <v>2523</v>
      </c>
      <c r="M8282" s="49"/>
    </row>
    <row r="8283" spans="6:13" x14ac:dyDescent="0.25">
      <c r="F8283" t="s">
        <v>8212</v>
      </c>
      <c r="G8283">
        <v>35647</v>
      </c>
      <c r="H8283">
        <v>6532</v>
      </c>
      <c r="I8283" s="25" t="s">
        <v>2046</v>
      </c>
      <c r="J8283" t="s">
        <v>2555</v>
      </c>
      <c r="M8283" s="49"/>
    </row>
    <row r="8284" spans="6:13" x14ac:dyDescent="0.25">
      <c r="F8284" t="s">
        <v>8213</v>
      </c>
      <c r="G8284">
        <v>54320</v>
      </c>
      <c r="H8284">
        <v>7235</v>
      </c>
      <c r="I8284" s="25" t="s">
        <v>2123</v>
      </c>
      <c r="J8284" t="s">
        <v>2395</v>
      </c>
      <c r="M8284" s="49"/>
    </row>
    <row r="8285" spans="6:13" x14ac:dyDescent="0.25">
      <c r="F8285" t="s">
        <v>8214</v>
      </c>
      <c r="G8285">
        <v>95652</v>
      </c>
      <c r="H8285">
        <v>9377</v>
      </c>
      <c r="I8285" s="25" t="s">
        <v>2050</v>
      </c>
      <c r="J8285" t="s">
        <v>2393</v>
      </c>
      <c r="M8285" s="49"/>
    </row>
    <row r="8286" spans="6:13" x14ac:dyDescent="0.25">
      <c r="F8286" t="s">
        <v>8215</v>
      </c>
      <c r="G8286">
        <v>67165</v>
      </c>
      <c r="H8286">
        <v>7338</v>
      </c>
      <c r="I8286" s="25" t="s">
        <v>2123</v>
      </c>
      <c r="J8286" t="s">
        <v>2448</v>
      </c>
      <c r="M8286" s="49"/>
    </row>
    <row r="8287" spans="6:13" x14ac:dyDescent="0.25">
      <c r="F8287" t="s">
        <v>8216</v>
      </c>
      <c r="G8287">
        <v>79761</v>
      </c>
      <c r="H8287">
        <v>8337</v>
      </c>
      <c r="I8287" s="25" t="s">
        <v>2018</v>
      </c>
      <c r="J8287" t="s">
        <v>2248</v>
      </c>
      <c r="M8287" s="49"/>
    </row>
    <row r="8288" spans="6:13" x14ac:dyDescent="0.25">
      <c r="F8288" t="s">
        <v>8217</v>
      </c>
      <c r="G8288">
        <v>73550</v>
      </c>
      <c r="H8288">
        <v>8136</v>
      </c>
      <c r="I8288" s="25" t="s">
        <v>2018</v>
      </c>
      <c r="J8288" t="s">
        <v>2039</v>
      </c>
      <c r="M8288" s="49"/>
    </row>
    <row r="8289" spans="6:13" x14ac:dyDescent="0.25">
      <c r="F8289" t="s">
        <v>8217</v>
      </c>
      <c r="G8289">
        <v>89367</v>
      </c>
      <c r="H8289">
        <v>9774</v>
      </c>
      <c r="I8289" s="25" t="s">
        <v>2050</v>
      </c>
      <c r="J8289" t="s">
        <v>2205</v>
      </c>
      <c r="M8289" s="49"/>
    </row>
    <row r="8290" spans="6:13" x14ac:dyDescent="0.25">
      <c r="F8290" t="s">
        <v>8218</v>
      </c>
      <c r="G8290">
        <v>92727</v>
      </c>
      <c r="H8290">
        <v>9374</v>
      </c>
      <c r="I8290" s="25" t="s">
        <v>2050</v>
      </c>
      <c r="J8290" t="s">
        <v>2420</v>
      </c>
      <c r="M8290" s="49"/>
    </row>
    <row r="8291" spans="6:13" x14ac:dyDescent="0.25">
      <c r="F8291" t="s">
        <v>8219</v>
      </c>
      <c r="G8291">
        <v>74399</v>
      </c>
      <c r="H8291">
        <v>8118</v>
      </c>
      <c r="I8291" s="25" t="s">
        <v>2018</v>
      </c>
      <c r="J8291" t="s">
        <v>2142</v>
      </c>
      <c r="M8291" s="49"/>
    </row>
    <row r="8292" spans="6:13" x14ac:dyDescent="0.25">
      <c r="F8292" t="s">
        <v>8220</v>
      </c>
      <c r="G8292">
        <v>37445</v>
      </c>
      <c r="H8292">
        <v>3159</v>
      </c>
      <c r="I8292" s="25" t="s">
        <v>2074</v>
      </c>
      <c r="J8292" t="s">
        <v>2093</v>
      </c>
      <c r="M8292" s="49"/>
    </row>
    <row r="8293" spans="6:13" x14ac:dyDescent="0.25">
      <c r="F8293" t="s">
        <v>8221</v>
      </c>
      <c r="G8293">
        <v>86877</v>
      </c>
      <c r="H8293">
        <v>9772</v>
      </c>
      <c r="I8293" s="25" t="s">
        <v>2050</v>
      </c>
      <c r="J8293" t="s">
        <v>2117</v>
      </c>
      <c r="M8293" s="49"/>
    </row>
    <row r="8294" spans="6:13" x14ac:dyDescent="0.25">
      <c r="F8294" t="s">
        <v>8222</v>
      </c>
      <c r="G8294">
        <v>69190</v>
      </c>
      <c r="H8294">
        <v>8226</v>
      </c>
      <c r="I8294" s="25" t="s">
        <v>2018</v>
      </c>
      <c r="J8294" t="s">
        <v>2442</v>
      </c>
      <c r="M8294" s="49"/>
    </row>
    <row r="8295" spans="6:13" x14ac:dyDescent="0.25">
      <c r="F8295" t="s">
        <v>8222</v>
      </c>
      <c r="G8295">
        <v>98639</v>
      </c>
      <c r="H8295">
        <v>16066</v>
      </c>
      <c r="I8295" s="25" t="s">
        <v>2384</v>
      </c>
      <c r="J8295" t="s">
        <v>2358</v>
      </c>
      <c r="M8295" s="49"/>
    </row>
    <row r="8296" spans="6:13" x14ac:dyDescent="0.25">
      <c r="F8296" t="s">
        <v>8223</v>
      </c>
      <c r="G8296">
        <v>74731</v>
      </c>
      <c r="H8296">
        <v>8225</v>
      </c>
      <c r="I8296" s="25" t="s">
        <v>2018</v>
      </c>
      <c r="J8296" t="s">
        <v>2108</v>
      </c>
      <c r="M8296" s="49"/>
    </row>
    <row r="8297" spans="6:13" x14ac:dyDescent="0.25">
      <c r="F8297" t="s">
        <v>8223</v>
      </c>
      <c r="G8297">
        <v>74731</v>
      </c>
      <c r="H8297">
        <v>9676</v>
      </c>
      <c r="I8297" s="25" t="s">
        <v>2050</v>
      </c>
      <c r="J8297" t="s">
        <v>2381</v>
      </c>
      <c r="M8297" s="49"/>
    </row>
    <row r="8298" spans="6:13" x14ac:dyDescent="0.25">
      <c r="F8298" t="s">
        <v>8224</v>
      </c>
      <c r="G8298">
        <v>96346</v>
      </c>
      <c r="H8298">
        <v>9476</v>
      </c>
      <c r="I8298" s="25" t="s">
        <v>2050</v>
      </c>
      <c r="J8298" t="s">
        <v>5435</v>
      </c>
      <c r="M8298" s="49"/>
    </row>
    <row r="8299" spans="6:13" x14ac:dyDescent="0.25">
      <c r="F8299" t="s">
        <v>8225</v>
      </c>
      <c r="G8299">
        <v>49134</v>
      </c>
      <c r="H8299">
        <v>3459</v>
      </c>
      <c r="I8299" s="25" t="s">
        <v>2074</v>
      </c>
      <c r="J8299" t="s">
        <v>2292</v>
      </c>
      <c r="M8299" s="49"/>
    </row>
    <row r="8300" spans="6:13" x14ac:dyDescent="0.25">
      <c r="F8300" t="s">
        <v>8226</v>
      </c>
      <c r="G8300">
        <v>66798</v>
      </c>
      <c r="H8300">
        <v>10044</v>
      </c>
      <c r="I8300" s="25" t="s">
        <v>2849</v>
      </c>
      <c r="J8300" t="s">
        <v>3222</v>
      </c>
      <c r="M8300" s="49"/>
    </row>
    <row r="8301" spans="6:13" x14ac:dyDescent="0.25">
      <c r="F8301" t="s">
        <v>8227</v>
      </c>
      <c r="G8301">
        <v>94574</v>
      </c>
      <c r="H8301">
        <v>9271</v>
      </c>
      <c r="I8301" s="25" t="s">
        <v>2050</v>
      </c>
      <c r="J8301" t="s">
        <v>2172</v>
      </c>
      <c r="M8301" s="49"/>
    </row>
    <row r="8302" spans="6:13" x14ac:dyDescent="0.25">
      <c r="F8302" t="s">
        <v>8228</v>
      </c>
      <c r="G8302">
        <v>94522</v>
      </c>
      <c r="H8302">
        <v>9279</v>
      </c>
      <c r="I8302" s="25" t="s">
        <v>2050</v>
      </c>
      <c r="J8302" t="s">
        <v>3574</v>
      </c>
      <c r="M8302" s="49"/>
    </row>
    <row r="8303" spans="6:13" x14ac:dyDescent="0.25">
      <c r="F8303" t="s">
        <v>8229</v>
      </c>
      <c r="G8303">
        <v>86757</v>
      </c>
      <c r="H8303">
        <v>9779</v>
      </c>
      <c r="I8303" s="25" t="s">
        <v>2050</v>
      </c>
      <c r="J8303" t="s">
        <v>2280</v>
      </c>
      <c r="M8303" s="49"/>
    </row>
    <row r="8304" spans="6:13" x14ac:dyDescent="0.25">
      <c r="F8304" t="s">
        <v>8230</v>
      </c>
      <c r="G8304">
        <v>55578</v>
      </c>
      <c r="H8304">
        <v>7331</v>
      </c>
      <c r="I8304" s="25" t="s">
        <v>2123</v>
      </c>
      <c r="J8304" t="s">
        <v>2029</v>
      </c>
      <c r="M8304" s="49"/>
    </row>
    <row r="8305" spans="6:13" x14ac:dyDescent="0.25">
      <c r="F8305" t="s">
        <v>8230</v>
      </c>
      <c r="G8305">
        <v>55578</v>
      </c>
      <c r="H8305">
        <v>7339</v>
      </c>
      <c r="I8305" s="25" t="s">
        <v>2123</v>
      </c>
      <c r="J8305" t="s">
        <v>2238</v>
      </c>
      <c r="M8305" s="49"/>
    </row>
    <row r="8306" spans="6:13" x14ac:dyDescent="0.25">
      <c r="F8306" t="s">
        <v>8231</v>
      </c>
      <c r="G8306">
        <v>82499</v>
      </c>
      <c r="H8306">
        <v>9180</v>
      </c>
      <c r="I8306" s="25" t="s">
        <v>2050</v>
      </c>
      <c r="J8306" t="s">
        <v>2147</v>
      </c>
      <c r="M8306" s="49"/>
    </row>
    <row r="8307" spans="6:13" x14ac:dyDescent="0.25">
      <c r="F8307" t="s">
        <v>8232</v>
      </c>
      <c r="G8307">
        <v>66917</v>
      </c>
      <c r="H8307">
        <v>7340</v>
      </c>
      <c r="I8307" s="25" t="s">
        <v>2123</v>
      </c>
      <c r="J8307" t="s">
        <v>2826</v>
      </c>
      <c r="M8307" s="49"/>
    </row>
    <row r="8308" spans="6:13" x14ac:dyDescent="0.25">
      <c r="F8308" t="s">
        <v>8233</v>
      </c>
      <c r="G8308">
        <v>74599</v>
      </c>
      <c r="H8308">
        <v>8127</v>
      </c>
      <c r="I8308" s="25" t="s">
        <v>2018</v>
      </c>
      <c r="J8308" t="s">
        <v>3126</v>
      </c>
      <c r="M8308" s="49"/>
    </row>
    <row r="8309" spans="6:13" x14ac:dyDescent="0.25">
      <c r="F8309" t="s">
        <v>8234</v>
      </c>
      <c r="G8309">
        <v>6528</v>
      </c>
      <c r="H8309">
        <v>15087</v>
      </c>
      <c r="I8309" s="25" t="s">
        <v>2241</v>
      </c>
      <c r="J8309" t="s">
        <v>2324</v>
      </c>
      <c r="M8309" s="49"/>
    </row>
    <row r="8310" spans="6:13" x14ac:dyDescent="0.25">
      <c r="F8310" t="s">
        <v>8234</v>
      </c>
      <c r="G8310">
        <v>6528</v>
      </c>
      <c r="H8310">
        <v>15087</v>
      </c>
      <c r="I8310" s="25" t="s">
        <v>2241</v>
      </c>
      <c r="J8310" t="s">
        <v>2324</v>
      </c>
      <c r="M8310" s="49"/>
    </row>
    <row r="8311" spans="6:13" x14ac:dyDescent="0.25">
      <c r="F8311" t="s">
        <v>8235</v>
      </c>
      <c r="G8311">
        <v>65396</v>
      </c>
      <c r="H8311">
        <v>6439</v>
      </c>
      <c r="I8311" s="25" t="s">
        <v>2046</v>
      </c>
      <c r="J8311" t="s">
        <v>2047</v>
      </c>
      <c r="M8311" s="49"/>
    </row>
    <row r="8312" spans="6:13" x14ac:dyDescent="0.25">
      <c r="F8312" t="s">
        <v>8236</v>
      </c>
      <c r="G8312">
        <v>85469</v>
      </c>
      <c r="H8312">
        <v>9177</v>
      </c>
      <c r="I8312" s="25" t="s">
        <v>2050</v>
      </c>
      <c r="J8312" t="s">
        <v>2915</v>
      </c>
      <c r="M8312" s="49"/>
    </row>
    <row r="8313" spans="6:13" x14ac:dyDescent="0.25">
      <c r="F8313" t="s">
        <v>8237</v>
      </c>
      <c r="G8313">
        <v>96194</v>
      </c>
      <c r="H8313">
        <v>9471</v>
      </c>
      <c r="I8313" s="25" t="s">
        <v>2050</v>
      </c>
      <c r="J8313" t="s">
        <v>2392</v>
      </c>
      <c r="M8313" s="49"/>
    </row>
    <row r="8314" spans="6:13" x14ac:dyDescent="0.25">
      <c r="F8314" t="s">
        <v>8238</v>
      </c>
      <c r="G8314">
        <v>54578</v>
      </c>
      <c r="H8314">
        <v>7233</v>
      </c>
      <c r="I8314" s="25" t="s">
        <v>2123</v>
      </c>
      <c r="J8314" t="s">
        <v>2416</v>
      </c>
      <c r="M8314" s="49"/>
    </row>
    <row r="8315" spans="6:13" x14ac:dyDescent="0.25">
      <c r="F8315" t="s">
        <v>8238</v>
      </c>
      <c r="G8315">
        <v>54578</v>
      </c>
      <c r="H8315">
        <v>7233</v>
      </c>
      <c r="I8315" s="25" t="s">
        <v>2123</v>
      </c>
      <c r="J8315" t="s">
        <v>2416</v>
      </c>
      <c r="M8315" s="49"/>
    </row>
    <row r="8316" spans="6:13" x14ac:dyDescent="0.25">
      <c r="F8316" t="s">
        <v>8238</v>
      </c>
      <c r="G8316">
        <v>54578</v>
      </c>
      <c r="H8316">
        <v>7233</v>
      </c>
      <c r="I8316" s="25" t="s">
        <v>2123</v>
      </c>
      <c r="J8316" t="s">
        <v>2416</v>
      </c>
      <c r="M8316" s="49"/>
    </row>
    <row r="8317" spans="6:13" x14ac:dyDescent="0.25">
      <c r="F8317" t="s">
        <v>8239</v>
      </c>
      <c r="G8317">
        <v>29664</v>
      </c>
      <c r="H8317">
        <v>3358</v>
      </c>
      <c r="I8317" s="25" t="s">
        <v>2074</v>
      </c>
      <c r="J8317" t="s">
        <v>2371</v>
      </c>
      <c r="M8317" s="49"/>
    </row>
    <row r="8318" spans="6:13" x14ac:dyDescent="0.25">
      <c r="F8318" t="s">
        <v>8240</v>
      </c>
      <c r="G8318">
        <v>87448</v>
      </c>
      <c r="H8318">
        <v>9780</v>
      </c>
      <c r="I8318" s="25" t="s">
        <v>2050</v>
      </c>
      <c r="J8318" t="s">
        <v>2278</v>
      </c>
      <c r="M8318" s="49"/>
    </row>
    <row r="8319" spans="6:13" x14ac:dyDescent="0.25">
      <c r="F8319" t="s">
        <v>8241</v>
      </c>
      <c r="G8319">
        <v>99880</v>
      </c>
      <c r="H8319">
        <v>16067</v>
      </c>
      <c r="I8319" s="25" t="s">
        <v>2384</v>
      </c>
      <c r="J8319" t="s">
        <v>2155</v>
      </c>
      <c r="M8319" s="49"/>
    </row>
    <row r="8320" spans="6:13" x14ac:dyDescent="0.25">
      <c r="F8320" t="s">
        <v>8242</v>
      </c>
      <c r="G8320">
        <v>85137</v>
      </c>
      <c r="H8320">
        <v>9176</v>
      </c>
      <c r="I8320" s="25" t="s">
        <v>2050</v>
      </c>
      <c r="J8320" t="s">
        <v>2102</v>
      </c>
      <c r="M8320" s="49"/>
    </row>
    <row r="8321" spans="6:13" x14ac:dyDescent="0.25">
      <c r="F8321" t="s">
        <v>8243</v>
      </c>
      <c r="G8321">
        <v>45731</v>
      </c>
      <c r="H8321">
        <v>5562</v>
      </c>
      <c r="I8321" s="25" t="s">
        <v>2023</v>
      </c>
      <c r="J8321" t="s">
        <v>2318</v>
      </c>
      <c r="M8321" s="49"/>
    </row>
    <row r="8322" spans="6:13" x14ac:dyDescent="0.25">
      <c r="F8322" t="s">
        <v>8244</v>
      </c>
      <c r="G8322">
        <v>75045</v>
      </c>
      <c r="H8322">
        <v>8215</v>
      </c>
      <c r="I8322" s="25" t="s">
        <v>2018</v>
      </c>
      <c r="J8322" t="s">
        <v>2724</v>
      </c>
      <c r="M8322" s="49"/>
    </row>
    <row r="8323" spans="6:13" x14ac:dyDescent="0.25">
      <c r="F8323" t="s">
        <v>8245</v>
      </c>
      <c r="G8323">
        <v>24997</v>
      </c>
      <c r="H8323">
        <v>1059</v>
      </c>
      <c r="I8323" s="25" t="s">
        <v>2085</v>
      </c>
      <c r="J8323" t="s">
        <v>2354</v>
      </c>
      <c r="M8323" s="49"/>
    </row>
    <row r="8324" spans="6:13" x14ac:dyDescent="0.25">
      <c r="F8324" t="s">
        <v>8246</v>
      </c>
      <c r="G8324">
        <v>16348</v>
      </c>
      <c r="H8324">
        <v>12060</v>
      </c>
      <c r="I8324" s="25" t="s">
        <v>2356</v>
      </c>
      <c r="J8324" t="s">
        <v>2040</v>
      </c>
      <c r="M8324" s="49"/>
    </row>
    <row r="8325" spans="6:13" x14ac:dyDescent="0.25">
      <c r="F8325" t="s">
        <v>8247</v>
      </c>
      <c r="G8325">
        <v>37281</v>
      </c>
      <c r="H8325">
        <v>6636</v>
      </c>
      <c r="I8325" s="25" t="s">
        <v>2046</v>
      </c>
      <c r="J8325" t="s">
        <v>2733</v>
      </c>
      <c r="M8325" s="49"/>
    </row>
    <row r="8326" spans="6:13" x14ac:dyDescent="0.25">
      <c r="F8326" t="s">
        <v>8248</v>
      </c>
      <c r="G8326">
        <v>73117</v>
      </c>
      <c r="H8326">
        <v>8117</v>
      </c>
      <c r="I8326" s="25" t="s">
        <v>2018</v>
      </c>
      <c r="J8326" t="s">
        <v>2089</v>
      </c>
      <c r="M8326" s="49"/>
    </row>
    <row r="8327" spans="6:13" x14ac:dyDescent="0.25">
      <c r="F8327" t="s">
        <v>8249</v>
      </c>
      <c r="G8327">
        <v>88239</v>
      </c>
      <c r="H8327">
        <v>8436</v>
      </c>
      <c r="I8327" s="25" t="s">
        <v>2018</v>
      </c>
      <c r="J8327" t="s">
        <v>2068</v>
      </c>
      <c r="M8327" s="49"/>
    </row>
    <row r="8328" spans="6:13" x14ac:dyDescent="0.25">
      <c r="F8328" t="s">
        <v>8250</v>
      </c>
      <c r="G8328">
        <v>26434</v>
      </c>
      <c r="H8328">
        <v>3455</v>
      </c>
      <c r="I8328" s="25" t="s">
        <v>2074</v>
      </c>
      <c r="J8328" t="s">
        <v>2143</v>
      </c>
      <c r="M8328" s="49"/>
    </row>
    <row r="8329" spans="6:13" x14ac:dyDescent="0.25">
      <c r="F8329" t="s">
        <v>8251</v>
      </c>
      <c r="G8329">
        <v>26486</v>
      </c>
      <c r="H8329">
        <v>3455</v>
      </c>
      <c r="I8329" s="25" t="s">
        <v>2074</v>
      </c>
      <c r="J8329" t="s">
        <v>2143</v>
      </c>
      <c r="M8329" s="49"/>
    </row>
    <row r="8330" spans="6:13" x14ac:dyDescent="0.25">
      <c r="F8330" t="s">
        <v>8252</v>
      </c>
      <c r="G8330">
        <v>24601</v>
      </c>
      <c r="H8330">
        <v>1057</v>
      </c>
      <c r="I8330" s="25" t="s">
        <v>2085</v>
      </c>
      <c r="J8330" t="s">
        <v>2313</v>
      </c>
      <c r="M8330" s="49"/>
    </row>
    <row r="8331" spans="6:13" x14ac:dyDescent="0.25">
      <c r="F8331" t="s">
        <v>8253</v>
      </c>
      <c r="G8331">
        <v>21776</v>
      </c>
      <c r="H8331">
        <v>3352</v>
      </c>
      <c r="I8331" s="25" t="s">
        <v>2074</v>
      </c>
      <c r="J8331" t="s">
        <v>2079</v>
      </c>
      <c r="M8331" s="49"/>
    </row>
    <row r="8332" spans="6:13" x14ac:dyDescent="0.25">
      <c r="F8332" t="s">
        <v>8254</v>
      </c>
      <c r="G8332">
        <v>72827</v>
      </c>
      <c r="H8332">
        <v>8415</v>
      </c>
      <c r="I8332" s="25" t="s">
        <v>2018</v>
      </c>
      <c r="J8332" t="s">
        <v>2325</v>
      </c>
      <c r="M8332" s="49"/>
    </row>
    <row r="8333" spans="6:13" x14ac:dyDescent="0.25">
      <c r="F8333" t="s">
        <v>8255</v>
      </c>
      <c r="G8333">
        <v>39164</v>
      </c>
      <c r="H8333">
        <v>15083</v>
      </c>
      <c r="I8333" s="25" t="s">
        <v>2241</v>
      </c>
      <c r="J8333" t="s">
        <v>2052</v>
      </c>
      <c r="M8333" s="49"/>
    </row>
    <row r="8334" spans="6:13" x14ac:dyDescent="0.25">
      <c r="F8334" t="s">
        <v>8256</v>
      </c>
      <c r="G8334">
        <v>38378</v>
      </c>
      <c r="H8334">
        <v>3154</v>
      </c>
      <c r="I8334" s="25" t="s">
        <v>2074</v>
      </c>
      <c r="J8334" t="s">
        <v>2186</v>
      </c>
      <c r="M8334" s="49"/>
    </row>
    <row r="8335" spans="6:13" x14ac:dyDescent="0.25">
      <c r="F8335" t="s">
        <v>8257</v>
      </c>
      <c r="G8335">
        <v>34414</v>
      </c>
      <c r="H8335">
        <v>5762</v>
      </c>
      <c r="I8335" s="25" t="s">
        <v>2023</v>
      </c>
      <c r="J8335" t="s">
        <v>2203</v>
      </c>
      <c r="M8335" s="49"/>
    </row>
    <row r="8336" spans="6:13" x14ac:dyDescent="0.25">
      <c r="F8336" t="s">
        <v>8258</v>
      </c>
      <c r="G8336">
        <v>26203</v>
      </c>
      <c r="H8336">
        <v>3458</v>
      </c>
      <c r="I8336" s="25" t="s">
        <v>2074</v>
      </c>
      <c r="J8336" t="s">
        <v>2285</v>
      </c>
      <c r="M8336" s="49"/>
    </row>
    <row r="8337" spans="6:13" x14ac:dyDescent="0.25">
      <c r="F8337" t="s">
        <v>8259</v>
      </c>
      <c r="G8337">
        <v>24646</v>
      </c>
      <c r="H8337">
        <v>1058</v>
      </c>
      <c r="I8337" s="25" t="s">
        <v>2085</v>
      </c>
      <c r="J8337" t="s">
        <v>2086</v>
      </c>
      <c r="M8337" s="49"/>
    </row>
    <row r="8338" spans="6:13" x14ac:dyDescent="0.25">
      <c r="F8338" t="s">
        <v>8260</v>
      </c>
      <c r="G8338">
        <v>17192</v>
      </c>
      <c r="H8338">
        <v>13071</v>
      </c>
      <c r="I8338" s="25" t="s">
        <v>2191</v>
      </c>
      <c r="J8338" t="s">
        <v>2091</v>
      </c>
      <c r="M8338" s="49"/>
    </row>
    <row r="8339" spans="6:13" x14ac:dyDescent="0.25">
      <c r="F8339" t="s">
        <v>2154</v>
      </c>
      <c r="G8339">
        <v>48231</v>
      </c>
      <c r="H8339">
        <v>5570</v>
      </c>
      <c r="I8339" s="25" t="s">
        <v>2023</v>
      </c>
      <c r="J8339" t="s">
        <v>2154</v>
      </c>
      <c r="M8339" s="49"/>
    </row>
    <row r="8340" spans="6:13" x14ac:dyDescent="0.25">
      <c r="F8340" t="s">
        <v>8261</v>
      </c>
      <c r="G8340">
        <v>19417</v>
      </c>
      <c r="H8340">
        <v>13074</v>
      </c>
      <c r="I8340" s="25" t="s">
        <v>2191</v>
      </c>
      <c r="J8340" t="s">
        <v>2275</v>
      </c>
      <c r="M8340" s="49"/>
    </row>
    <row r="8341" spans="6:13" x14ac:dyDescent="0.25">
      <c r="F8341" t="s">
        <v>8262</v>
      </c>
      <c r="G8341">
        <v>95485</v>
      </c>
      <c r="H8341">
        <v>9472</v>
      </c>
      <c r="I8341" s="25" t="s">
        <v>2050</v>
      </c>
      <c r="J8341" t="s">
        <v>2180</v>
      </c>
      <c r="M8341" s="49"/>
    </row>
    <row r="8342" spans="6:13" x14ac:dyDescent="0.25">
      <c r="F8342" t="s">
        <v>8262</v>
      </c>
      <c r="G8342">
        <v>95485</v>
      </c>
      <c r="H8342">
        <v>9472</v>
      </c>
      <c r="I8342" s="25" t="s">
        <v>2050</v>
      </c>
      <c r="J8342" t="s">
        <v>2180</v>
      </c>
      <c r="M8342" s="49"/>
    </row>
    <row r="8343" spans="6:13" x14ac:dyDescent="0.25">
      <c r="F8343" t="s">
        <v>8263</v>
      </c>
      <c r="G8343">
        <v>31606</v>
      </c>
      <c r="H8343">
        <v>3256</v>
      </c>
      <c r="I8343" s="25" t="s">
        <v>2074</v>
      </c>
      <c r="J8343" t="s">
        <v>2271</v>
      </c>
      <c r="M8343" s="49"/>
    </row>
    <row r="8344" spans="6:13" x14ac:dyDescent="0.25">
      <c r="F8344" t="s">
        <v>8264</v>
      </c>
      <c r="G8344">
        <v>83627</v>
      </c>
      <c r="H8344">
        <v>9182</v>
      </c>
      <c r="I8344" s="25" t="s">
        <v>2050</v>
      </c>
      <c r="J8344" t="s">
        <v>2254</v>
      </c>
      <c r="M8344" s="49"/>
    </row>
    <row r="8345" spans="6:13" x14ac:dyDescent="0.25">
      <c r="F8345" t="s">
        <v>8265</v>
      </c>
      <c r="G8345">
        <v>59581</v>
      </c>
      <c r="H8345">
        <v>5974</v>
      </c>
      <c r="I8345" s="25" t="s">
        <v>2023</v>
      </c>
      <c r="J8345" t="s">
        <v>2368</v>
      </c>
      <c r="M8345" s="49"/>
    </row>
    <row r="8346" spans="6:13" x14ac:dyDescent="0.25">
      <c r="F8346" t="s">
        <v>8266</v>
      </c>
      <c r="G8346">
        <v>36367</v>
      </c>
      <c r="H8346">
        <v>6535</v>
      </c>
      <c r="I8346" s="25" t="s">
        <v>2046</v>
      </c>
      <c r="J8346" t="s">
        <v>2346</v>
      </c>
      <c r="M8346" s="49"/>
    </row>
    <row r="8347" spans="6:13" x14ac:dyDescent="0.25">
      <c r="F8347" t="s">
        <v>8266</v>
      </c>
      <c r="G8347">
        <v>85456</v>
      </c>
      <c r="H8347">
        <v>9177</v>
      </c>
      <c r="I8347" s="25" t="s">
        <v>2050</v>
      </c>
      <c r="J8347" t="s">
        <v>2915</v>
      </c>
      <c r="M8347" s="49"/>
    </row>
    <row r="8348" spans="6:13" x14ac:dyDescent="0.25">
      <c r="F8348" t="s">
        <v>8267</v>
      </c>
      <c r="G8348">
        <v>88447</v>
      </c>
      <c r="H8348">
        <v>8426</v>
      </c>
      <c r="I8348" s="25" t="s">
        <v>2018</v>
      </c>
      <c r="J8348" t="s">
        <v>2081</v>
      </c>
      <c r="M8348" s="49"/>
    </row>
    <row r="8349" spans="6:13" x14ac:dyDescent="0.25">
      <c r="F8349" t="s">
        <v>8268</v>
      </c>
      <c r="G8349">
        <v>97797</v>
      </c>
      <c r="H8349">
        <v>9672</v>
      </c>
      <c r="I8349" s="25" t="s">
        <v>2050</v>
      </c>
      <c r="J8349" t="s">
        <v>2620</v>
      </c>
      <c r="M8349" s="49"/>
    </row>
    <row r="8350" spans="6:13" x14ac:dyDescent="0.25">
      <c r="F8350" t="s">
        <v>8269</v>
      </c>
      <c r="G8350">
        <v>24647</v>
      </c>
      <c r="H8350">
        <v>1058</v>
      </c>
      <c r="I8350" s="25" t="s">
        <v>2085</v>
      </c>
      <c r="J8350" t="s">
        <v>2086</v>
      </c>
      <c r="M8350" s="49"/>
    </row>
    <row r="8351" spans="6:13" x14ac:dyDescent="0.25">
      <c r="F8351" t="s">
        <v>8270</v>
      </c>
      <c r="G8351">
        <v>38553</v>
      </c>
      <c r="H8351">
        <v>3151</v>
      </c>
      <c r="I8351" s="25" t="s">
        <v>2074</v>
      </c>
      <c r="J8351" t="s">
        <v>2126</v>
      </c>
      <c r="M8351" s="49"/>
    </row>
    <row r="8352" spans="6:13" x14ac:dyDescent="0.25">
      <c r="F8352" t="s">
        <v>8271</v>
      </c>
      <c r="G8352">
        <v>73116</v>
      </c>
      <c r="H8352">
        <v>8117</v>
      </c>
      <c r="I8352" s="25" t="s">
        <v>2018</v>
      </c>
      <c r="J8352" t="s">
        <v>2089</v>
      </c>
      <c r="M8352" s="49"/>
    </row>
    <row r="8353" spans="6:13" x14ac:dyDescent="0.25">
      <c r="F8353" t="s">
        <v>8272</v>
      </c>
      <c r="G8353">
        <v>41849</v>
      </c>
      <c r="H8353">
        <v>5370</v>
      </c>
      <c r="I8353" s="25" t="s">
        <v>2023</v>
      </c>
      <c r="J8353" t="s">
        <v>2183</v>
      </c>
      <c r="M8353" s="49"/>
    </row>
    <row r="8354" spans="6:13" x14ac:dyDescent="0.25">
      <c r="F8354" t="s">
        <v>8273</v>
      </c>
      <c r="G8354">
        <v>88142</v>
      </c>
      <c r="H8354">
        <v>9776</v>
      </c>
      <c r="I8354" s="25" t="s">
        <v>2050</v>
      </c>
      <c r="J8354" t="s">
        <v>4735</v>
      </c>
      <c r="M8354" s="49"/>
    </row>
    <row r="8355" spans="6:13" x14ac:dyDescent="0.25">
      <c r="F8355" t="s">
        <v>8274</v>
      </c>
      <c r="G8355">
        <v>83512</v>
      </c>
      <c r="H8355">
        <v>9187</v>
      </c>
      <c r="I8355" s="25" t="s">
        <v>2050</v>
      </c>
      <c r="J8355" t="s">
        <v>2245</v>
      </c>
      <c r="M8355" s="49"/>
    </row>
    <row r="8356" spans="6:13" x14ac:dyDescent="0.25">
      <c r="F8356" t="s">
        <v>8275</v>
      </c>
      <c r="G8356">
        <v>54332</v>
      </c>
      <c r="H8356">
        <v>7235</v>
      </c>
      <c r="I8356" s="25" t="s">
        <v>2123</v>
      </c>
      <c r="J8356" t="s">
        <v>2395</v>
      </c>
      <c r="M8356" s="49"/>
    </row>
    <row r="8357" spans="6:13" x14ac:dyDescent="0.25">
      <c r="F8357" t="s">
        <v>8276</v>
      </c>
      <c r="G8357">
        <v>97535</v>
      </c>
      <c r="H8357">
        <v>9678</v>
      </c>
      <c r="I8357" s="25" t="s">
        <v>2050</v>
      </c>
      <c r="J8357" t="s">
        <v>2918</v>
      </c>
      <c r="M8357" s="49"/>
    </row>
    <row r="8358" spans="6:13" x14ac:dyDescent="0.25">
      <c r="F8358" t="s">
        <v>8277</v>
      </c>
      <c r="G8358">
        <v>91717</v>
      </c>
      <c r="H8358">
        <v>9571</v>
      </c>
      <c r="I8358" s="25" t="s">
        <v>2050</v>
      </c>
      <c r="J8358" t="s">
        <v>2113</v>
      </c>
      <c r="M8358" s="49"/>
    </row>
    <row r="8359" spans="6:13" x14ac:dyDescent="0.25">
      <c r="F8359" t="s">
        <v>8278</v>
      </c>
      <c r="G8359">
        <v>98634</v>
      </c>
      <c r="H8359">
        <v>16066</v>
      </c>
      <c r="I8359" s="25" t="s">
        <v>2384</v>
      </c>
      <c r="J8359" t="s">
        <v>2358</v>
      </c>
      <c r="M8359" s="49"/>
    </row>
    <row r="8360" spans="6:13" x14ac:dyDescent="0.25">
      <c r="F8360" t="s">
        <v>8279</v>
      </c>
      <c r="G8360">
        <v>29339</v>
      </c>
      <c r="H8360">
        <v>3351</v>
      </c>
      <c r="I8360" s="25" t="s">
        <v>2074</v>
      </c>
      <c r="J8360" t="s">
        <v>2096</v>
      </c>
      <c r="M8360" s="49"/>
    </row>
    <row r="8361" spans="6:13" x14ac:dyDescent="0.25">
      <c r="F8361" t="s">
        <v>8280</v>
      </c>
      <c r="G8361">
        <v>96196</v>
      </c>
      <c r="H8361">
        <v>9471</v>
      </c>
      <c r="I8361" s="25" t="s">
        <v>2050</v>
      </c>
      <c r="J8361" t="s">
        <v>2392</v>
      </c>
      <c r="M8361" s="49"/>
    </row>
    <row r="8362" spans="6:13" x14ac:dyDescent="0.25">
      <c r="F8362" t="s">
        <v>8281</v>
      </c>
      <c r="G8362">
        <v>67319</v>
      </c>
      <c r="H8362">
        <v>7332</v>
      </c>
      <c r="I8362" s="25" t="s">
        <v>2123</v>
      </c>
      <c r="J8362" t="s">
        <v>2440</v>
      </c>
      <c r="M8362" s="49"/>
    </row>
    <row r="8363" spans="6:13" x14ac:dyDescent="0.25">
      <c r="F8363" t="s">
        <v>8282</v>
      </c>
      <c r="G8363">
        <v>54649</v>
      </c>
      <c r="H8363">
        <v>7232</v>
      </c>
      <c r="I8363" s="25" t="s">
        <v>2123</v>
      </c>
      <c r="J8363" t="s">
        <v>2112</v>
      </c>
      <c r="M8363" s="49"/>
    </row>
    <row r="8364" spans="6:13" x14ac:dyDescent="0.25">
      <c r="F8364" t="s">
        <v>8283</v>
      </c>
      <c r="G8364">
        <v>86759</v>
      </c>
      <c r="H8364">
        <v>9779</v>
      </c>
      <c r="I8364" s="25" t="s">
        <v>2050</v>
      </c>
      <c r="J8364" t="s">
        <v>2280</v>
      </c>
      <c r="M8364" s="49"/>
    </row>
    <row r="8365" spans="6:13" x14ac:dyDescent="0.25">
      <c r="F8365" t="s">
        <v>8284</v>
      </c>
      <c r="G8365">
        <v>25795</v>
      </c>
      <c r="H8365">
        <v>1051</v>
      </c>
      <c r="I8365" s="25" t="s">
        <v>2085</v>
      </c>
      <c r="J8365" t="s">
        <v>2097</v>
      </c>
      <c r="M8365" s="49"/>
    </row>
    <row r="8366" spans="6:13" x14ac:dyDescent="0.25">
      <c r="F8366" t="s">
        <v>8285</v>
      </c>
      <c r="G8366">
        <v>22880</v>
      </c>
      <c r="H8366">
        <v>1056</v>
      </c>
      <c r="I8366" s="25" t="s">
        <v>2085</v>
      </c>
      <c r="J8366" t="s">
        <v>2311</v>
      </c>
      <c r="M8366" s="49"/>
    </row>
    <row r="8367" spans="6:13" x14ac:dyDescent="0.25">
      <c r="F8367" t="s">
        <v>8286</v>
      </c>
      <c r="G8367">
        <v>30900</v>
      </c>
      <c r="H8367">
        <v>3241</v>
      </c>
      <c r="I8367" s="25" t="s">
        <v>2074</v>
      </c>
      <c r="J8367" t="s">
        <v>2321</v>
      </c>
      <c r="M8367" s="49"/>
    </row>
    <row r="8368" spans="6:13" x14ac:dyDescent="0.25">
      <c r="F8368" t="s">
        <v>8287</v>
      </c>
      <c r="G8368">
        <v>26826</v>
      </c>
      <c r="H8368">
        <v>3457</v>
      </c>
      <c r="I8368" s="25" t="s">
        <v>2074</v>
      </c>
      <c r="J8368" t="s">
        <v>2220</v>
      </c>
      <c r="M8368" s="49"/>
    </row>
    <row r="8369" spans="6:13" x14ac:dyDescent="0.25">
      <c r="F8369" t="s">
        <v>8288</v>
      </c>
      <c r="G8369">
        <v>24999</v>
      </c>
      <c r="H8369">
        <v>1059</v>
      </c>
      <c r="I8369" s="25" t="s">
        <v>2085</v>
      </c>
      <c r="J8369" t="s">
        <v>2354</v>
      </c>
      <c r="M8369" s="49"/>
    </row>
    <row r="8370" spans="6:13" x14ac:dyDescent="0.25">
      <c r="F8370" t="s">
        <v>8289</v>
      </c>
      <c r="G8370">
        <v>47652</v>
      </c>
      <c r="H8370">
        <v>5154</v>
      </c>
      <c r="I8370" s="25" t="s">
        <v>2023</v>
      </c>
      <c r="J8370" t="s">
        <v>2214</v>
      </c>
      <c r="M8370" s="49"/>
    </row>
    <row r="8371" spans="6:13" x14ac:dyDescent="0.25">
      <c r="F8371" t="s">
        <v>8290</v>
      </c>
      <c r="G8371">
        <v>39356</v>
      </c>
      <c r="H8371">
        <v>15083</v>
      </c>
      <c r="I8371" s="25" t="s">
        <v>2241</v>
      </c>
      <c r="J8371" t="s">
        <v>2052</v>
      </c>
      <c r="M8371" s="49"/>
    </row>
    <row r="8372" spans="6:13" x14ac:dyDescent="0.25">
      <c r="F8372" t="s">
        <v>8291</v>
      </c>
      <c r="G8372">
        <v>41844</v>
      </c>
      <c r="H8372">
        <v>5370</v>
      </c>
      <c r="I8372" s="25" t="s">
        <v>2023</v>
      </c>
      <c r="J8372" t="s">
        <v>2183</v>
      </c>
      <c r="M8372" s="49"/>
    </row>
    <row r="8373" spans="6:13" x14ac:dyDescent="0.25">
      <c r="F8373" t="s">
        <v>8292</v>
      </c>
      <c r="G8373">
        <v>38828</v>
      </c>
      <c r="H8373">
        <v>15085</v>
      </c>
      <c r="I8373" s="25" t="s">
        <v>2241</v>
      </c>
      <c r="J8373" t="s">
        <v>2178</v>
      </c>
      <c r="M8373" s="49"/>
    </row>
    <row r="8374" spans="6:13" x14ac:dyDescent="0.25">
      <c r="F8374" t="s">
        <v>8293</v>
      </c>
      <c r="G8374">
        <v>94110</v>
      </c>
      <c r="H8374">
        <v>9275</v>
      </c>
      <c r="I8374" s="25" t="s">
        <v>2050</v>
      </c>
      <c r="J8374" t="s">
        <v>2198</v>
      </c>
      <c r="M8374" s="49"/>
    </row>
    <row r="8375" spans="6:13" x14ac:dyDescent="0.25">
      <c r="F8375" t="s">
        <v>8294</v>
      </c>
      <c r="G8375">
        <v>78564</v>
      </c>
      <c r="H8375">
        <v>8327</v>
      </c>
      <c r="I8375" s="25" t="s">
        <v>2018</v>
      </c>
      <c r="J8375" t="s">
        <v>2277</v>
      </c>
      <c r="M8375" s="49"/>
    </row>
    <row r="8376" spans="6:13" x14ac:dyDescent="0.25">
      <c r="F8376" t="s">
        <v>8295</v>
      </c>
      <c r="G8376">
        <v>1829</v>
      </c>
      <c r="H8376">
        <v>14628</v>
      </c>
      <c r="I8376" s="25" t="s">
        <v>2135</v>
      </c>
      <c r="J8376" t="s">
        <v>2347</v>
      </c>
      <c r="M8376" s="49"/>
    </row>
    <row r="8377" spans="6:13" x14ac:dyDescent="0.25">
      <c r="F8377" t="s">
        <v>8296</v>
      </c>
      <c r="G8377">
        <v>56653</v>
      </c>
      <c r="H8377">
        <v>7131</v>
      </c>
      <c r="I8377" s="25" t="s">
        <v>2123</v>
      </c>
      <c r="J8377" t="s">
        <v>2022</v>
      </c>
      <c r="M8377" s="49"/>
    </row>
    <row r="8378" spans="6:13" x14ac:dyDescent="0.25">
      <c r="F8378" t="s">
        <v>8296</v>
      </c>
      <c r="G8378">
        <v>79664</v>
      </c>
      <c r="H8378">
        <v>8337</v>
      </c>
      <c r="I8378" s="25" t="s">
        <v>2018</v>
      </c>
      <c r="J8378" t="s">
        <v>2248</v>
      </c>
      <c r="M8378" s="49"/>
    </row>
    <row r="8379" spans="6:13" x14ac:dyDescent="0.25">
      <c r="F8379" t="s">
        <v>8297</v>
      </c>
      <c r="G8379">
        <v>37287</v>
      </c>
      <c r="H8379">
        <v>6636</v>
      </c>
      <c r="I8379" s="25" t="s">
        <v>2046</v>
      </c>
      <c r="J8379" t="s">
        <v>2733</v>
      </c>
      <c r="M8379" s="49"/>
    </row>
    <row r="8380" spans="6:13" x14ac:dyDescent="0.25">
      <c r="F8380" t="s">
        <v>8298</v>
      </c>
      <c r="G8380">
        <v>61273</v>
      </c>
      <c r="H8380">
        <v>6434</v>
      </c>
      <c r="I8380" s="25" t="s">
        <v>2046</v>
      </c>
      <c r="J8380" t="s">
        <v>2664</v>
      </c>
      <c r="M8380" s="49"/>
    </row>
    <row r="8381" spans="6:13" x14ac:dyDescent="0.25">
      <c r="F8381" t="s">
        <v>8299</v>
      </c>
      <c r="G8381">
        <v>86517</v>
      </c>
      <c r="H8381">
        <v>9772</v>
      </c>
      <c r="I8381" s="25" t="s">
        <v>2050</v>
      </c>
      <c r="J8381" t="s">
        <v>2117</v>
      </c>
      <c r="M8381" s="49"/>
    </row>
    <row r="8382" spans="6:13" x14ac:dyDescent="0.25">
      <c r="F8382" t="s">
        <v>8300</v>
      </c>
      <c r="G8382">
        <v>63879</v>
      </c>
      <c r="H8382">
        <v>9671</v>
      </c>
      <c r="I8382" s="25" t="s">
        <v>2050</v>
      </c>
      <c r="J8382" t="s">
        <v>2453</v>
      </c>
      <c r="M8382" s="49"/>
    </row>
    <row r="8383" spans="6:13" x14ac:dyDescent="0.25">
      <c r="F8383" t="s">
        <v>8301</v>
      </c>
      <c r="G8383">
        <v>86706</v>
      </c>
      <c r="H8383">
        <v>9185</v>
      </c>
      <c r="I8383" s="25" t="s">
        <v>2050</v>
      </c>
      <c r="J8383" t="s">
        <v>2515</v>
      </c>
      <c r="M8383" s="49"/>
    </row>
    <row r="8384" spans="6:13" x14ac:dyDescent="0.25">
      <c r="F8384" t="s">
        <v>8302</v>
      </c>
      <c r="G8384">
        <v>85258</v>
      </c>
      <c r="H8384">
        <v>9174</v>
      </c>
      <c r="I8384" s="25" t="s">
        <v>2050</v>
      </c>
      <c r="J8384" t="s">
        <v>2445</v>
      </c>
      <c r="M8384" s="49"/>
    </row>
    <row r="8385" spans="6:13" x14ac:dyDescent="0.25">
      <c r="F8385" t="s">
        <v>8303</v>
      </c>
      <c r="G8385">
        <v>7570</v>
      </c>
      <c r="H8385">
        <v>16076</v>
      </c>
      <c r="I8385" s="25" t="s">
        <v>2384</v>
      </c>
      <c r="J8385" t="s">
        <v>2583</v>
      </c>
      <c r="M8385" s="49"/>
    </row>
    <row r="8386" spans="6:13" x14ac:dyDescent="0.25">
      <c r="F8386" t="s">
        <v>8304</v>
      </c>
      <c r="G8386">
        <v>92637</v>
      </c>
      <c r="H8386">
        <v>9363</v>
      </c>
      <c r="I8386" s="25" t="s">
        <v>2050</v>
      </c>
      <c r="J8386" t="s">
        <v>8305</v>
      </c>
      <c r="M8386" s="49"/>
    </row>
    <row r="8387" spans="6:13" x14ac:dyDescent="0.25">
      <c r="F8387" t="s">
        <v>8304</v>
      </c>
      <c r="G8387">
        <v>92637</v>
      </c>
      <c r="H8387">
        <v>9374</v>
      </c>
      <c r="I8387" s="25" t="s">
        <v>2050</v>
      </c>
      <c r="J8387" t="s">
        <v>2420</v>
      </c>
      <c r="M8387" s="49"/>
    </row>
    <row r="8388" spans="6:13" x14ac:dyDescent="0.25">
      <c r="F8388" t="s">
        <v>8306</v>
      </c>
      <c r="G8388">
        <v>91746</v>
      </c>
      <c r="H8388">
        <v>9571</v>
      </c>
      <c r="I8388" s="25" t="s">
        <v>2050</v>
      </c>
      <c r="J8388" t="s">
        <v>2113</v>
      </c>
      <c r="M8388" s="49"/>
    </row>
    <row r="8389" spans="6:13" x14ac:dyDescent="0.25">
      <c r="F8389" t="s">
        <v>8307</v>
      </c>
      <c r="G8389">
        <v>95466</v>
      </c>
      <c r="H8389">
        <v>9472</v>
      </c>
      <c r="I8389" s="25" t="s">
        <v>2050</v>
      </c>
      <c r="J8389" t="s">
        <v>2180</v>
      </c>
      <c r="M8389" s="49"/>
    </row>
    <row r="8390" spans="6:13" x14ac:dyDescent="0.25">
      <c r="F8390" t="s">
        <v>8308</v>
      </c>
      <c r="G8390">
        <v>89197</v>
      </c>
      <c r="H8390">
        <v>8425</v>
      </c>
      <c r="I8390" s="25" t="s">
        <v>2018</v>
      </c>
      <c r="J8390" t="s">
        <v>2027</v>
      </c>
      <c r="M8390" s="49"/>
    </row>
    <row r="8391" spans="6:13" x14ac:dyDescent="0.25">
      <c r="F8391" t="s">
        <v>8309</v>
      </c>
      <c r="G8391">
        <v>67475</v>
      </c>
      <c r="H8391">
        <v>7332</v>
      </c>
      <c r="I8391" s="25" t="s">
        <v>2123</v>
      </c>
      <c r="J8391" t="s">
        <v>2440</v>
      </c>
      <c r="M8391" s="49"/>
    </row>
    <row r="8392" spans="6:13" x14ac:dyDescent="0.25">
      <c r="F8392" t="s">
        <v>8310</v>
      </c>
      <c r="G8392">
        <v>96279</v>
      </c>
      <c r="H8392">
        <v>9473</v>
      </c>
      <c r="I8392" s="25" t="s">
        <v>2050</v>
      </c>
      <c r="J8392" t="s">
        <v>2177</v>
      </c>
      <c r="M8392" s="49"/>
    </row>
    <row r="8393" spans="6:13" x14ac:dyDescent="0.25">
      <c r="F8393" t="s">
        <v>8311</v>
      </c>
      <c r="G8393">
        <v>93495</v>
      </c>
      <c r="H8393">
        <v>9372</v>
      </c>
      <c r="I8393" s="25" t="s">
        <v>2050</v>
      </c>
      <c r="J8393" t="s">
        <v>2523</v>
      </c>
      <c r="M8393" s="49"/>
    </row>
    <row r="8394" spans="6:13" x14ac:dyDescent="0.25">
      <c r="F8394" t="s">
        <v>8311</v>
      </c>
      <c r="G8394">
        <v>92557</v>
      </c>
      <c r="H8394">
        <v>9376</v>
      </c>
      <c r="I8394" s="25" t="s">
        <v>2050</v>
      </c>
      <c r="J8394" t="s">
        <v>2390</v>
      </c>
      <c r="M8394" s="49"/>
    </row>
    <row r="8395" spans="6:13" x14ac:dyDescent="0.25">
      <c r="F8395" t="s">
        <v>8312</v>
      </c>
      <c r="G8395">
        <v>91249</v>
      </c>
      <c r="H8395">
        <v>9371</v>
      </c>
      <c r="I8395" s="25" t="s">
        <v>2050</v>
      </c>
      <c r="J8395" t="s">
        <v>2469</v>
      </c>
      <c r="M8395" s="49"/>
    </row>
    <row r="8396" spans="6:13" x14ac:dyDescent="0.25">
      <c r="F8396" t="s">
        <v>8313</v>
      </c>
      <c r="G8396">
        <v>91629</v>
      </c>
      <c r="H8396">
        <v>9571</v>
      </c>
      <c r="I8396" s="25" t="s">
        <v>2050</v>
      </c>
      <c r="J8396" t="s">
        <v>2113</v>
      </c>
      <c r="M8396" s="49"/>
    </row>
    <row r="8397" spans="6:13" x14ac:dyDescent="0.25">
      <c r="F8397" t="s">
        <v>8314</v>
      </c>
      <c r="G8397">
        <v>92729</v>
      </c>
      <c r="H8397">
        <v>9374</v>
      </c>
      <c r="I8397" s="25" t="s">
        <v>2050</v>
      </c>
      <c r="J8397" t="s">
        <v>2420</v>
      </c>
      <c r="M8397" s="49"/>
    </row>
    <row r="8398" spans="6:13" x14ac:dyDescent="0.25">
      <c r="F8398" t="s">
        <v>8315</v>
      </c>
      <c r="G8398">
        <v>84107</v>
      </c>
      <c r="H8398">
        <v>9274</v>
      </c>
      <c r="I8398" s="25" t="s">
        <v>2050</v>
      </c>
      <c r="J8398" t="s">
        <v>2132</v>
      </c>
      <c r="M8398" s="49"/>
    </row>
    <row r="8399" spans="6:13" x14ac:dyDescent="0.25">
      <c r="F8399" t="s">
        <v>8316</v>
      </c>
      <c r="G8399">
        <v>97990</v>
      </c>
      <c r="H8399">
        <v>8128</v>
      </c>
      <c r="I8399" s="25" t="s">
        <v>2018</v>
      </c>
      <c r="J8399" t="s">
        <v>2175</v>
      </c>
      <c r="M8399" s="49"/>
    </row>
    <row r="8400" spans="6:13" x14ac:dyDescent="0.25">
      <c r="F8400" t="s">
        <v>8317</v>
      </c>
      <c r="G8400">
        <v>86947</v>
      </c>
      <c r="H8400">
        <v>9181</v>
      </c>
      <c r="I8400" s="25" t="s">
        <v>2050</v>
      </c>
      <c r="J8400" t="s">
        <v>2505</v>
      </c>
      <c r="M8400" s="49"/>
    </row>
    <row r="8401" spans="6:13" x14ac:dyDescent="0.25">
      <c r="F8401" t="s">
        <v>8318</v>
      </c>
      <c r="G8401">
        <v>79576</v>
      </c>
      <c r="H8401">
        <v>8336</v>
      </c>
      <c r="I8401" s="25" t="s">
        <v>2018</v>
      </c>
      <c r="J8401" t="s">
        <v>2227</v>
      </c>
      <c r="M8401" s="49"/>
    </row>
    <row r="8402" spans="6:13" x14ac:dyDescent="0.25">
      <c r="F8402" t="s">
        <v>8319</v>
      </c>
      <c r="G8402">
        <v>71263</v>
      </c>
      <c r="H8402">
        <v>8115</v>
      </c>
      <c r="I8402" s="25" t="s">
        <v>2018</v>
      </c>
      <c r="J8402" t="s">
        <v>2222</v>
      </c>
      <c r="M8402" s="49"/>
    </row>
    <row r="8403" spans="6:13" x14ac:dyDescent="0.25">
      <c r="F8403" t="s">
        <v>8320</v>
      </c>
      <c r="G8403">
        <v>71093</v>
      </c>
      <c r="H8403">
        <v>8115</v>
      </c>
      <c r="I8403" s="25" t="s">
        <v>2018</v>
      </c>
      <c r="J8403" t="s">
        <v>2222</v>
      </c>
      <c r="M8403" s="49"/>
    </row>
    <row r="8404" spans="6:13" x14ac:dyDescent="0.25">
      <c r="F8404" t="s">
        <v>8321</v>
      </c>
      <c r="G8404">
        <v>63937</v>
      </c>
      <c r="H8404">
        <v>9676</v>
      </c>
      <c r="I8404" s="25" t="s">
        <v>2050</v>
      </c>
      <c r="J8404" t="s">
        <v>2381</v>
      </c>
      <c r="M8404" s="49"/>
    </row>
    <row r="8405" spans="6:13" x14ac:dyDescent="0.25">
      <c r="F8405" t="s">
        <v>8322</v>
      </c>
      <c r="G8405">
        <v>35781</v>
      </c>
      <c r="H8405">
        <v>6533</v>
      </c>
      <c r="I8405" s="25" t="s">
        <v>2046</v>
      </c>
      <c r="J8405" t="s">
        <v>2629</v>
      </c>
      <c r="M8405" s="49"/>
    </row>
    <row r="8406" spans="6:13" x14ac:dyDescent="0.25">
      <c r="F8406" t="s">
        <v>8323</v>
      </c>
      <c r="G8406">
        <v>72367</v>
      </c>
      <c r="H8406">
        <v>8417</v>
      </c>
      <c r="I8406" s="25" t="s">
        <v>2018</v>
      </c>
      <c r="J8406" t="s">
        <v>2269</v>
      </c>
      <c r="M8406" s="49"/>
    </row>
    <row r="8407" spans="6:13" x14ac:dyDescent="0.25">
      <c r="F8407" t="s">
        <v>8324</v>
      </c>
      <c r="G8407">
        <v>55413</v>
      </c>
      <c r="H8407">
        <v>7339</v>
      </c>
      <c r="I8407" s="25" t="s">
        <v>2123</v>
      </c>
      <c r="J8407" t="s">
        <v>2238</v>
      </c>
      <c r="M8407" s="49"/>
    </row>
    <row r="8408" spans="6:13" x14ac:dyDescent="0.25">
      <c r="F8408" t="s">
        <v>8325</v>
      </c>
      <c r="G8408">
        <v>67685</v>
      </c>
      <c r="H8408">
        <v>7335</v>
      </c>
      <c r="I8408" s="25" t="s">
        <v>2123</v>
      </c>
      <c r="J8408" t="s">
        <v>2843</v>
      </c>
      <c r="M8408" s="49"/>
    </row>
    <row r="8409" spans="6:13" x14ac:dyDescent="0.25">
      <c r="F8409" t="s">
        <v>8326</v>
      </c>
      <c r="G8409">
        <v>91365</v>
      </c>
      <c r="H8409">
        <v>9474</v>
      </c>
      <c r="I8409" s="25" t="s">
        <v>2050</v>
      </c>
      <c r="J8409" t="s">
        <v>3692</v>
      </c>
      <c r="M8409" s="49"/>
    </row>
    <row r="8410" spans="6:13" x14ac:dyDescent="0.25">
      <c r="F8410" t="s">
        <v>8327</v>
      </c>
      <c r="G8410">
        <v>88171</v>
      </c>
      <c r="H8410">
        <v>9776</v>
      </c>
      <c r="I8410" s="25" t="s">
        <v>2050</v>
      </c>
      <c r="J8410" t="s">
        <v>4735</v>
      </c>
      <c r="M8410" s="49"/>
    </row>
    <row r="8411" spans="6:13" x14ac:dyDescent="0.25">
      <c r="F8411" t="s">
        <v>8328</v>
      </c>
      <c r="G8411">
        <v>53919</v>
      </c>
      <c r="H8411">
        <v>5366</v>
      </c>
      <c r="I8411" s="25" t="s">
        <v>2023</v>
      </c>
      <c r="J8411" t="s">
        <v>2127</v>
      </c>
      <c r="M8411" s="49"/>
    </row>
    <row r="8412" spans="6:13" x14ac:dyDescent="0.25">
      <c r="F8412" t="s">
        <v>8329</v>
      </c>
      <c r="G8412">
        <v>79809</v>
      </c>
      <c r="H8412">
        <v>8337</v>
      </c>
      <c r="I8412" s="25" t="s">
        <v>2018</v>
      </c>
      <c r="J8412" t="s">
        <v>2248</v>
      </c>
      <c r="M8412" s="49"/>
    </row>
    <row r="8413" spans="6:13" x14ac:dyDescent="0.25">
      <c r="F8413" t="s">
        <v>8330</v>
      </c>
      <c r="G8413">
        <v>73235</v>
      </c>
      <c r="H8413">
        <v>8116</v>
      </c>
      <c r="I8413" s="25" t="s">
        <v>2018</v>
      </c>
      <c r="J8413" t="s">
        <v>2213</v>
      </c>
      <c r="M8413" s="49"/>
    </row>
    <row r="8414" spans="6:13" x14ac:dyDescent="0.25">
      <c r="F8414" t="s">
        <v>8331</v>
      </c>
      <c r="G8414">
        <v>82362</v>
      </c>
      <c r="H8414">
        <v>9190</v>
      </c>
      <c r="I8414" s="25" t="s">
        <v>2050</v>
      </c>
      <c r="J8414" t="s">
        <v>2417</v>
      </c>
      <c r="M8414" s="49"/>
    </row>
    <row r="8415" spans="6:13" x14ac:dyDescent="0.25">
      <c r="F8415" t="s">
        <v>8332</v>
      </c>
      <c r="G8415">
        <v>35789</v>
      </c>
      <c r="H8415">
        <v>6533</v>
      </c>
      <c r="I8415" s="25" t="s">
        <v>2046</v>
      </c>
      <c r="J8415" t="s">
        <v>2629</v>
      </c>
      <c r="M8415" s="49"/>
    </row>
    <row r="8416" spans="6:13" x14ac:dyDescent="0.25">
      <c r="F8416" t="s">
        <v>8333</v>
      </c>
      <c r="G8416">
        <v>61276</v>
      </c>
      <c r="H8416">
        <v>6434</v>
      </c>
      <c r="I8416" s="25" t="s">
        <v>2046</v>
      </c>
      <c r="J8416" t="s">
        <v>2664</v>
      </c>
      <c r="M8416" s="49"/>
    </row>
    <row r="8417" spans="6:13" x14ac:dyDescent="0.25">
      <c r="F8417" t="s">
        <v>8334</v>
      </c>
      <c r="G8417">
        <v>91744</v>
      </c>
      <c r="H8417">
        <v>9571</v>
      </c>
      <c r="I8417" s="25" t="s">
        <v>2050</v>
      </c>
      <c r="J8417" t="s">
        <v>2113</v>
      </c>
      <c r="M8417" s="49"/>
    </row>
    <row r="8418" spans="6:13" x14ac:dyDescent="0.25">
      <c r="F8418" t="s">
        <v>8335</v>
      </c>
      <c r="G8418">
        <v>99428</v>
      </c>
      <c r="H8418">
        <v>16055</v>
      </c>
      <c r="I8418" s="25" t="s">
        <v>2384</v>
      </c>
      <c r="J8418" t="s">
        <v>8336</v>
      </c>
      <c r="M8418" s="49"/>
    </row>
    <row r="8419" spans="6:13" x14ac:dyDescent="0.25">
      <c r="F8419" t="s">
        <v>8335</v>
      </c>
      <c r="G8419">
        <v>99425</v>
      </c>
      <c r="H8419">
        <v>16055</v>
      </c>
      <c r="I8419" s="25" t="s">
        <v>2384</v>
      </c>
      <c r="J8419" t="s">
        <v>8336</v>
      </c>
      <c r="M8419" s="49"/>
    </row>
    <row r="8420" spans="6:13" x14ac:dyDescent="0.25">
      <c r="F8420" t="s">
        <v>8335</v>
      </c>
      <c r="G8420">
        <v>99427</v>
      </c>
      <c r="H8420">
        <v>16055</v>
      </c>
      <c r="I8420" s="25" t="s">
        <v>2384</v>
      </c>
      <c r="J8420" t="s">
        <v>8336</v>
      </c>
      <c r="M8420" s="49"/>
    </row>
    <row r="8421" spans="6:13" x14ac:dyDescent="0.25">
      <c r="F8421" t="s">
        <v>8335</v>
      </c>
      <c r="G8421">
        <v>99423</v>
      </c>
      <c r="H8421">
        <v>16055</v>
      </c>
      <c r="I8421" s="25" t="s">
        <v>2384</v>
      </c>
      <c r="J8421" t="s">
        <v>8336</v>
      </c>
      <c r="M8421" s="49"/>
    </row>
    <row r="8422" spans="6:13" x14ac:dyDescent="0.25">
      <c r="F8422" t="s">
        <v>8335</v>
      </c>
      <c r="G8422">
        <v>99428</v>
      </c>
      <c r="H8422">
        <v>16071</v>
      </c>
      <c r="I8422" s="25" t="s">
        <v>2384</v>
      </c>
      <c r="J8422" t="s">
        <v>2508</v>
      </c>
      <c r="M8422" s="49"/>
    </row>
    <row r="8423" spans="6:13" x14ac:dyDescent="0.25">
      <c r="F8423" t="s">
        <v>8337</v>
      </c>
      <c r="G8423">
        <v>35096</v>
      </c>
      <c r="H8423">
        <v>6534</v>
      </c>
      <c r="I8423" s="25" t="s">
        <v>2046</v>
      </c>
      <c r="J8423" t="s">
        <v>2471</v>
      </c>
      <c r="M8423" s="49"/>
    </row>
    <row r="8424" spans="6:13" x14ac:dyDescent="0.25">
      <c r="F8424" t="s">
        <v>8338</v>
      </c>
      <c r="G8424">
        <v>35796</v>
      </c>
      <c r="H8424">
        <v>6533</v>
      </c>
      <c r="I8424" s="25" t="s">
        <v>2046</v>
      </c>
      <c r="J8424" t="s">
        <v>2629</v>
      </c>
      <c r="M8424" s="49"/>
    </row>
    <row r="8425" spans="6:13" x14ac:dyDescent="0.25">
      <c r="F8425" t="s">
        <v>8339</v>
      </c>
      <c r="G8425">
        <v>1689</v>
      </c>
      <c r="H8425">
        <v>14627</v>
      </c>
      <c r="I8425" s="25" t="s">
        <v>2135</v>
      </c>
      <c r="J8425" t="s">
        <v>2251</v>
      </c>
      <c r="M8425" s="49"/>
    </row>
    <row r="8426" spans="6:13" x14ac:dyDescent="0.25">
      <c r="F8426" t="s">
        <v>8340</v>
      </c>
      <c r="G8426">
        <v>76356</v>
      </c>
      <c r="H8426">
        <v>8215</v>
      </c>
      <c r="I8426" s="25" t="s">
        <v>2018</v>
      </c>
      <c r="J8426" t="s">
        <v>2724</v>
      </c>
      <c r="M8426" s="49"/>
    </row>
    <row r="8427" spans="6:13" x14ac:dyDescent="0.25">
      <c r="F8427" t="s">
        <v>8340</v>
      </c>
      <c r="G8427">
        <v>88250</v>
      </c>
      <c r="H8427">
        <v>8436</v>
      </c>
      <c r="I8427" s="25" t="s">
        <v>2018</v>
      </c>
      <c r="J8427" t="s">
        <v>2068</v>
      </c>
      <c r="M8427" s="49"/>
    </row>
    <row r="8428" spans="6:13" x14ac:dyDescent="0.25">
      <c r="F8428" t="s">
        <v>8341</v>
      </c>
      <c r="G8428">
        <v>67366</v>
      </c>
      <c r="H8428">
        <v>7334</v>
      </c>
      <c r="I8428" s="25" t="s">
        <v>2123</v>
      </c>
      <c r="J8428" t="s">
        <v>2873</v>
      </c>
      <c r="M8428" s="49"/>
    </row>
    <row r="8429" spans="6:13" x14ac:dyDescent="0.25">
      <c r="F8429" t="s">
        <v>8342</v>
      </c>
      <c r="G8429">
        <v>69469</v>
      </c>
      <c r="H8429">
        <v>8226</v>
      </c>
      <c r="I8429" s="25" t="s">
        <v>2018</v>
      </c>
      <c r="J8429" t="s">
        <v>2442</v>
      </c>
      <c r="M8429" s="49"/>
    </row>
    <row r="8430" spans="6:13" x14ac:dyDescent="0.25">
      <c r="F8430" t="s">
        <v>8343</v>
      </c>
      <c r="G8430">
        <v>74189</v>
      </c>
      <c r="H8430">
        <v>8125</v>
      </c>
      <c r="I8430" s="25" t="s">
        <v>2018</v>
      </c>
      <c r="J8430" t="s">
        <v>2060</v>
      </c>
      <c r="M8430" s="49"/>
    </row>
    <row r="8431" spans="6:13" x14ac:dyDescent="0.25">
      <c r="F8431" t="s">
        <v>8344</v>
      </c>
      <c r="G8431">
        <v>71384</v>
      </c>
      <c r="H8431">
        <v>8119</v>
      </c>
      <c r="I8431" s="25" t="s">
        <v>2018</v>
      </c>
      <c r="J8431" t="s">
        <v>2287</v>
      </c>
      <c r="M8431" s="49"/>
    </row>
    <row r="8432" spans="6:13" x14ac:dyDescent="0.25">
      <c r="F8432" t="s">
        <v>8345</v>
      </c>
      <c r="G8432">
        <v>8538</v>
      </c>
      <c r="H8432">
        <v>14523</v>
      </c>
      <c r="I8432" s="25" t="s">
        <v>2135</v>
      </c>
      <c r="J8432" t="s">
        <v>2136</v>
      </c>
      <c r="M8432" s="49"/>
    </row>
    <row r="8433" spans="6:13" x14ac:dyDescent="0.25">
      <c r="F8433" t="s">
        <v>8346</v>
      </c>
      <c r="G8433">
        <v>76599</v>
      </c>
      <c r="H8433">
        <v>8216</v>
      </c>
      <c r="I8433" s="25" t="s">
        <v>2018</v>
      </c>
      <c r="J8433" t="s">
        <v>2564</v>
      </c>
      <c r="M8433" s="49"/>
    </row>
    <row r="8434" spans="6:13" x14ac:dyDescent="0.25">
      <c r="F8434" t="s">
        <v>8347</v>
      </c>
      <c r="G8434">
        <v>91085</v>
      </c>
      <c r="H8434">
        <v>9572</v>
      </c>
      <c r="I8434" s="25" t="s">
        <v>2050</v>
      </c>
      <c r="J8434" t="s">
        <v>2105</v>
      </c>
      <c r="M8434" s="49"/>
    </row>
    <row r="8435" spans="6:13" x14ac:dyDescent="0.25">
      <c r="F8435" t="s">
        <v>8348</v>
      </c>
      <c r="G8435">
        <v>67273</v>
      </c>
      <c r="H8435">
        <v>7332</v>
      </c>
      <c r="I8435" s="25" t="s">
        <v>2123</v>
      </c>
      <c r="J8435" t="s">
        <v>2440</v>
      </c>
      <c r="M8435" s="49"/>
    </row>
    <row r="8436" spans="6:13" x14ac:dyDescent="0.25">
      <c r="F8436" t="s">
        <v>8348</v>
      </c>
      <c r="G8436">
        <v>67273</v>
      </c>
      <c r="H8436">
        <v>7332</v>
      </c>
      <c r="I8436" s="25" t="s">
        <v>2123</v>
      </c>
      <c r="J8436" t="s">
        <v>2440</v>
      </c>
      <c r="M8436" s="49"/>
    </row>
    <row r="8437" spans="6:13" x14ac:dyDescent="0.25">
      <c r="F8437" t="s">
        <v>8349</v>
      </c>
      <c r="G8437">
        <v>67256</v>
      </c>
      <c r="H8437">
        <v>7332</v>
      </c>
      <c r="I8437" s="25" t="s">
        <v>2123</v>
      </c>
      <c r="J8437" t="s">
        <v>2440</v>
      </c>
      <c r="M8437" s="49"/>
    </row>
    <row r="8438" spans="6:13" x14ac:dyDescent="0.25">
      <c r="F8438" t="s">
        <v>8349</v>
      </c>
      <c r="G8438">
        <v>67256</v>
      </c>
      <c r="H8438">
        <v>7332</v>
      </c>
      <c r="I8438" s="25" t="s">
        <v>2123</v>
      </c>
      <c r="J8438" t="s">
        <v>2440</v>
      </c>
      <c r="M8438" s="49"/>
    </row>
    <row r="8439" spans="6:13" x14ac:dyDescent="0.25">
      <c r="F8439" t="s">
        <v>8349</v>
      </c>
      <c r="G8439">
        <v>67256</v>
      </c>
      <c r="H8439">
        <v>7332</v>
      </c>
      <c r="I8439" s="25" t="s">
        <v>2123</v>
      </c>
      <c r="J8439" t="s">
        <v>2440</v>
      </c>
      <c r="M8439" s="49"/>
    </row>
    <row r="8440" spans="6:13" x14ac:dyDescent="0.25">
      <c r="F8440" t="s">
        <v>8350</v>
      </c>
      <c r="G8440">
        <v>66709</v>
      </c>
      <c r="H8440">
        <v>10042</v>
      </c>
      <c r="I8440" s="25" t="s">
        <v>2849</v>
      </c>
      <c r="J8440" t="s">
        <v>2850</v>
      </c>
      <c r="M8440" s="49"/>
    </row>
    <row r="8441" spans="6:13" x14ac:dyDescent="0.25">
      <c r="F8441" t="s">
        <v>8351</v>
      </c>
      <c r="G8441">
        <v>96260</v>
      </c>
      <c r="H8441">
        <v>9478</v>
      </c>
      <c r="I8441" s="25" t="s">
        <v>2050</v>
      </c>
      <c r="J8441" t="s">
        <v>2404</v>
      </c>
      <c r="M8441" s="49"/>
    </row>
    <row r="8442" spans="6:13" x14ac:dyDescent="0.25">
      <c r="F8442" t="s">
        <v>8352</v>
      </c>
      <c r="G8442">
        <v>71287</v>
      </c>
      <c r="H8442">
        <v>8115</v>
      </c>
      <c r="I8442" s="25" t="s">
        <v>2018</v>
      </c>
      <c r="J8442" t="s">
        <v>2222</v>
      </c>
      <c r="M8442" s="49"/>
    </row>
    <row r="8443" spans="6:13" x14ac:dyDescent="0.25">
      <c r="F8443" t="s">
        <v>8353</v>
      </c>
      <c r="G8443">
        <v>71554</v>
      </c>
      <c r="H8443">
        <v>8119</v>
      </c>
      <c r="I8443" s="25" t="s">
        <v>2018</v>
      </c>
      <c r="J8443" t="s">
        <v>2287</v>
      </c>
      <c r="M8443" s="49"/>
    </row>
    <row r="8444" spans="6:13" x14ac:dyDescent="0.25">
      <c r="F8444" t="s">
        <v>8354</v>
      </c>
      <c r="G8444">
        <v>74679</v>
      </c>
      <c r="H8444">
        <v>8126</v>
      </c>
      <c r="I8444" s="25" t="s">
        <v>2018</v>
      </c>
      <c r="J8444" t="s">
        <v>3280</v>
      </c>
      <c r="M8444" s="49"/>
    </row>
    <row r="8445" spans="6:13" x14ac:dyDescent="0.25">
      <c r="F8445" t="s">
        <v>8355</v>
      </c>
      <c r="G8445">
        <v>95237</v>
      </c>
      <c r="H8445">
        <v>9475</v>
      </c>
      <c r="I8445" s="25" t="s">
        <v>2050</v>
      </c>
      <c r="J8445" t="s">
        <v>2201</v>
      </c>
      <c r="M8445" s="49"/>
    </row>
    <row r="8446" spans="6:13" x14ac:dyDescent="0.25">
      <c r="F8446" t="s">
        <v>8356</v>
      </c>
      <c r="G8446">
        <v>2627</v>
      </c>
      <c r="H8446">
        <v>14625</v>
      </c>
      <c r="I8446" s="25" t="s">
        <v>2135</v>
      </c>
      <c r="J8446" t="s">
        <v>2041</v>
      </c>
      <c r="M8446" s="49"/>
    </row>
    <row r="8447" spans="6:13" x14ac:dyDescent="0.25">
      <c r="F8447" t="s">
        <v>8356</v>
      </c>
      <c r="G8447">
        <v>2627</v>
      </c>
      <c r="H8447">
        <v>14625</v>
      </c>
      <c r="I8447" s="25" t="s">
        <v>2135</v>
      </c>
      <c r="J8447" t="s">
        <v>2041</v>
      </c>
      <c r="M8447" s="49"/>
    </row>
    <row r="8448" spans="6:13" x14ac:dyDescent="0.25">
      <c r="F8448" t="s">
        <v>8357</v>
      </c>
      <c r="G8448">
        <v>37299</v>
      </c>
      <c r="H8448">
        <v>6636</v>
      </c>
      <c r="I8448" s="25" t="s">
        <v>2046</v>
      </c>
      <c r="J8448" t="s">
        <v>2733</v>
      </c>
      <c r="M8448" s="49"/>
    </row>
    <row r="8449" spans="6:13" x14ac:dyDescent="0.25">
      <c r="F8449" t="s">
        <v>8358</v>
      </c>
      <c r="G8449">
        <v>9600</v>
      </c>
      <c r="H8449">
        <v>14522</v>
      </c>
      <c r="I8449" s="25" t="s">
        <v>2135</v>
      </c>
      <c r="J8449" t="s">
        <v>2100</v>
      </c>
      <c r="M8449" s="49"/>
    </row>
    <row r="8450" spans="6:13" x14ac:dyDescent="0.25">
      <c r="F8450" t="s">
        <v>8358</v>
      </c>
      <c r="G8450">
        <v>9600</v>
      </c>
      <c r="H8450">
        <v>14522</v>
      </c>
      <c r="I8450" s="25" t="s">
        <v>2135</v>
      </c>
      <c r="J8450" t="s">
        <v>2100</v>
      </c>
      <c r="M8450" s="49"/>
    </row>
    <row r="8451" spans="6:13" x14ac:dyDescent="0.25">
      <c r="F8451" t="s">
        <v>8359</v>
      </c>
      <c r="G8451">
        <v>96369</v>
      </c>
      <c r="H8451">
        <v>9476</v>
      </c>
      <c r="I8451" s="25" t="s">
        <v>2050</v>
      </c>
      <c r="J8451" t="s">
        <v>5435</v>
      </c>
      <c r="M8451" s="49"/>
    </row>
    <row r="8452" spans="6:13" x14ac:dyDescent="0.25">
      <c r="F8452" t="s">
        <v>8359</v>
      </c>
      <c r="G8452">
        <v>96369</v>
      </c>
      <c r="H8452">
        <v>9477</v>
      </c>
      <c r="I8452" s="25" t="s">
        <v>2050</v>
      </c>
      <c r="J8452" t="s">
        <v>4385</v>
      </c>
      <c r="M8452" s="49"/>
    </row>
    <row r="8453" spans="6:13" x14ac:dyDescent="0.25">
      <c r="F8453" t="s">
        <v>8360</v>
      </c>
      <c r="G8453">
        <v>91781</v>
      </c>
      <c r="H8453">
        <v>9577</v>
      </c>
      <c r="I8453" s="25" t="s">
        <v>2050</v>
      </c>
      <c r="J8453" t="s">
        <v>2057</v>
      </c>
      <c r="M8453" s="49"/>
    </row>
    <row r="8454" spans="6:13" x14ac:dyDescent="0.25">
      <c r="F8454" t="s">
        <v>8361</v>
      </c>
      <c r="G8454">
        <v>6688</v>
      </c>
      <c r="H8454">
        <v>15084</v>
      </c>
      <c r="I8454" s="25" t="s">
        <v>2241</v>
      </c>
      <c r="J8454" t="s">
        <v>2615</v>
      </c>
      <c r="M8454" s="49"/>
    </row>
    <row r="8455" spans="6:13" x14ac:dyDescent="0.25">
      <c r="F8455" t="s">
        <v>8362</v>
      </c>
      <c r="G8455">
        <v>6667</v>
      </c>
      <c r="H8455">
        <v>15084</v>
      </c>
      <c r="I8455" s="25" t="s">
        <v>2241</v>
      </c>
      <c r="J8455" t="s">
        <v>2615</v>
      </c>
      <c r="M8455" s="49"/>
    </row>
    <row r="8456" spans="6:13" x14ac:dyDescent="0.25">
      <c r="F8456" t="s">
        <v>8362</v>
      </c>
      <c r="G8456">
        <v>6667</v>
      </c>
      <c r="H8456">
        <v>15084</v>
      </c>
      <c r="I8456" s="25" t="s">
        <v>2241</v>
      </c>
      <c r="J8456" t="s">
        <v>2615</v>
      </c>
      <c r="M8456" s="49"/>
    </row>
    <row r="8457" spans="6:13" x14ac:dyDescent="0.25">
      <c r="F8457" t="s">
        <v>8363</v>
      </c>
      <c r="G8457">
        <v>89264</v>
      </c>
      <c r="H8457">
        <v>9775</v>
      </c>
      <c r="I8457" s="25" t="s">
        <v>2050</v>
      </c>
      <c r="J8457" t="s">
        <v>2418</v>
      </c>
      <c r="M8457" s="49"/>
    </row>
    <row r="8458" spans="6:13" x14ac:dyDescent="0.25">
      <c r="F8458" t="s">
        <v>8364</v>
      </c>
      <c r="G8458">
        <v>91367</v>
      </c>
      <c r="H8458">
        <v>9474</v>
      </c>
      <c r="I8458" s="25" t="s">
        <v>2050</v>
      </c>
      <c r="J8458" t="s">
        <v>3692</v>
      </c>
      <c r="M8458" s="49"/>
    </row>
    <row r="8459" spans="6:13" x14ac:dyDescent="0.25">
      <c r="F8459" t="s">
        <v>8365</v>
      </c>
      <c r="G8459">
        <v>99631</v>
      </c>
      <c r="H8459">
        <v>16068</v>
      </c>
      <c r="I8459" s="25" t="s">
        <v>2384</v>
      </c>
      <c r="J8459" t="s">
        <v>3075</v>
      </c>
      <c r="M8459" s="49"/>
    </row>
    <row r="8460" spans="6:13" x14ac:dyDescent="0.25">
      <c r="F8460" t="s">
        <v>8366</v>
      </c>
      <c r="G8460">
        <v>95163</v>
      </c>
      <c r="H8460">
        <v>9479</v>
      </c>
      <c r="I8460" s="25" t="s">
        <v>2050</v>
      </c>
      <c r="J8460" t="s">
        <v>2436</v>
      </c>
      <c r="M8460" s="49"/>
    </row>
    <row r="8461" spans="6:13" x14ac:dyDescent="0.25">
      <c r="F8461" t="s">
        <v>8366</v>
      </c>
      <c r="G8461">
        <v>95163</v>
      </c>
      <c r="H8461">
        <v>9479</v>
      </c>
      <c r="I8461" s="25" t="s">
        <v>2050</v>
      </c>
      <c r="J8461" t="s">
        <v>2436</v>
      </c>
      <c r="M8461" s="49"/>
    </row>
    <row r="8462" spans="6:13" x14ac:dyDescent="0.25">
      <c r="F8462" t="s">
        <v>8367</v>
      </c>
      <c r="G8462">
        <v>56575</v>
      </c>
      <c r="H8462">
        <v>7137</v>
      </c>
      <c r="I8462" s="25" t="s">
        <v>2123</v>
      </c>
      <c r="J8462" t="s">
        <v>2246</v>
      </c>
      <c r="M8462" s="49"/>
    </row>
    <row r="8463" spans="6:13" x14ac:dyDescent="0.25">
      <c r="F8463" t="s">
        <v>8368</v>
      </c>
      <c r="G8463">
        <v>2943</v>
      </c>
      <c r="H8463">
        <v>14626</v>
      </c>
      <c r="I8463" s="25" t="s">
        <v>2135</v>
      </c>
      <c r="J8463" t="s">
        <v>2150</v>
      </c>
      <c r="M8463" s="49"/>
    </row>
    <row r="8464" spans="6:13" x14ac:dyDescent="0.25">
      <c r="F8464" t="s">
        <v>8368</v>
      </c>
      <c r="G8464">
        <v>2943</v>
      </c>
      <c r="H8464">
        <v>14626</v>
      </c>
      <c r="I8464" s="25" t="s">
        <v>2135</v>
      </c>
      <c r="J8464" t="s">
        <v>2150</v>
      </c>
      <c r="M8464" s="49"/>
    </row>
    <row r="8465" spans="6:13" x14ac:dyDescent="0.25">
      <c r="F8465" t="s">
        <v>8369</v>
      </c>
      <c r="G8465">
        <v>79367</v>
      </c>
      <c r="H8465">
        <v>8316</v>
      </c>
      <c r="I8465" s="25" t="s">
        <v>2018</v>
      </c>
      <c r="J8465" t="s">
        <v>2764</v>
      </c>
      <c r="M8465" s="49"/>
    </row>
    <row r="8466" spans="6:13" x14ac:dyDescent="0.25">
      <c r="F8466" t="s">
        <v>8370</v>
      </c>
      <c r="G8466">
        <v>57586</v>
      </c>
      <c r="H8466">
        <v>7132</v>
      </c>
      <c r="I8466" s="25" t="s">
        <v>2123</v>
      </c>
      <c r="J8466" t="s">
        <v>2401</v>
      </c>
      <c r="M8466" s="49"/>
    </row>
    <row r="8467" spans="6:13" x14ac:dyDescent="0.25">
      <c r="F8467" t="s">
        <v>8371</v>
      </c>
      <c r="G8467">
        <v>56191</v>
      </c>
      <c r="H8467">
        <v>7137</v>
      </c>
      <c r="I8467" s="25" t="s">
        <v>2123</v>
      </c>
      <c r="J8467" t="s">
        <v>2246</v>
      </c>
      <c r="M8467" s="49"/>
    </row>
    <row r="8468" spans="6:13" x14ac:dyDescent="0.25">
      <c r="F8468" t="s">
        <v>8372</v>
      </c>
      <c r="G8468">
        <v>64331</v>
      </c>
      <c r="H8468">
        <v>6432</v>
      </c>
      <c r="I8468" s="25" t="s">
        <v>2046</v>
      </c>
      <c r="J8468" t="s">
        <v>2338</v>
      </c>
      <c r="M8468" s="49"/>
    </row>
    <row r="8469" spans="6:13" x14ac:dyDescent="0.25">
      <c r="F8469" t="s">
        <v>8373</v>
      </c>
      <c r="G8469">
        <v>87480</v>
      </c>
      <c r="H8469">
        <v>9780</v>
      </c>
      <c r="I8469" s="25" t="s">
        <v>2050</v>
      </c>
      <c r="J8469" t="s">
        <v>2278</v>
      </c>
      <c r="M8469" s="49"/>
    </row>
    <row r="8470" spans="6:13" x14ac:dyDescent="0.25">
      <c r="F8470" t="s">
        <v>8374</v>
      </c>
      <c r="G8470">
        <v>96479</v>
      </c>
      <c r="H8470">
        <v>9473</v>
      </c>
      <c r="I8470" s="25" t="s">
        <v>2050</v>
      </c>
      <c r="J8470" t="s">
        <v>2177</v>
      </c>
      <c r="M8470" s="49"/>
    </row>
    <row r="8471" spans="6:13" x14ac:dyDescent="0.25">
      <c r="F8471" t="s">
        <v>8375</v>
      </c>
      <c r="G8471">
        <v>86465</v>
      </c>
      <c r="H8471">
        <v>9772</v>
      </c>
      <c r="I8471" s="25" t="s">
        <v>2050</v>
      </c>
      <c r="J8471" t="s">
        <v>2117</v>
      </c>
      <c r="M8471" s="49"/>
    </row>
    <row r="8472" spans="6:13" x14ac:dyDescent="0.25">
      <c r="F8472" t="s">
        <v>8375</v>
      </c>
      <c r="G8472">
        <v>86465</v>
      </c>
      <c r="H8472">
        <v>9772</v>
      </c>
      <c r="I8472" s="25" t="s">
        <v>2050</v>
      </c>
      <c r="J8472" t="s">
        <v>2117</v>
      </c>
      <c r="M8472" s="49"/>
    </row>
    <row r="8473" spans="6:13" x14ac:dyDescent="0.25">
      <c r="F8473" t="s">
        <v>8376</v>
      </c>
      <c r="G8473">
        <v>21261</v>
      </c>
      <c r="H8473">
        <v>3353</v>
      </c>
      <c r="I8473" s="25" t="s">
        <v>2074</v>
      </c>
      <c r="J8473" t="s">
        <v>2176</v>
      </c>
      <c r="M8473" s="49"/>
    </row>
    <row r="8474" spans="6:13" x14ac:dyDescent="0.25">
      <c r="F8474" t="s">
        <v>8377</v>
      </c>
      <c r="G8474">
        <v>78669</v>
      </c>
      <c r="H8474">
        <v>8325</v>
      </c>
      <c r="I8474" s="25" t="s">
        <v>2018</v>
      </c>
      <c r="J8474" t="s">
        <v>2208</v>
      </c>
      <c r="M8474" s="49"/>
    </row>
    <row r="8475" spans="6:13" x14ac:dyDescent="0.25">
      <c r="F8475" t="s">
        <v>8378</v>
      </c>
      <c r="G8475">
        <v>91809</v>
      </c>
      <c r="H8475">
        <v>9176</v>
      </c>
      <c r="I8475" s="25" t="s">
        <v>2050</v>
      </c>
      <c r="J8475" t="s">
        <v>2102</v>
      </c>
      <c r="M8475" s="49"/>
    </row>
    <row r="8476" spans="6:13" x14ac:dyDescent="0.25">
      <c r="F8476" t="s">
        <v>8379</v>
      </c>
      <c r="G8476">
        <v>54298</v>
      </c>
      <c r="H8476">
        <v>7232</v>
      </c>
      <c r="I8476" s="25" t="s">
        <v>2123</v>
      </c>
      <c r="J8476" t="s">
        <v>2112</v>
      </c>
      <c r="M8476" s="49"/>
    </row>
    <row r="8477" spans="6:13" x14ac:dyDescent="0.25">
      <c r="F8477" t="s">
        <v>8379</v>
      </c>
      <c r="G8477">
        <v>54298</v>
      </c>
      <c r="H8477">
        <v>7232</v>
      </c>
      <c r="I8477" s="25" t="s">
        <v>2123</v>
      </c>
      <c r="J8477" t="s">
        <v>2112</v>
      </c>
      <c r="M8477" s="49"/>
    </row>
    <row r="8478" spans="6:13" x14ac:dyDescent="0.25">
      <c r="F8478" t="s">
        <v>8379</v>
      </c>
      <c r="G8478">
        <v>54298</v>
      </c>
      <c r="H8478">
        <v>7232</v>
      </c>
      <c r="I8478" s="25" t="s">
        <v>2123</v>
      </c>
      <c r="J8478" t="s">
        <v>2112</v>
      </c>
      <c r="M8478" s="49"/>
    </row>
    <row r="8479" spans="6:13" x14ac:dyDescent="0.25">
      <c r="F8479" t="s">
        <v>8379</v>
      </c>
      <c r="G8479">
        <v>54298</v>
      </c>
      <c r="H8479">
        <v>7232</v>
      </c>
      <c r="I8479" s="25" t="s">
        <v>2123</v>
      </c>
      <c r="J8479" t="s">
        <v>2112</v>
      </c>
      <c r="M8479" s="49"/>
    </row>
    <row r="8480" spans="6:13" x14ac:dyDescent="0.25">
      <c r="F8480" t="s">
        <v>8379</v>
      </c>
      <c r="G8480">
        <v>54298</v>
      </c>
      <c r="H8480">
        <v>7235</v>
      </c>
      <c r="I8480" s="25" t="s">
        <v>2123</v>
      </c>
      <c r="J8480" t="s">
        <v>2395</v>
      </c>
      <c r="M8480" s="49"/>
    </row>
    <row r="8481" spans="6:13" x14ac:dyDescent="0.25">
      <c r="F8481" t="s">
        <v>8379</v>
      </c>
      <c r="G8481">
        <v>54298</v>
      </c>
      <c r="H8481">
        <v>7235</v>
      </c>
      <c r="I8481" s="25" t="s">
        <v>2123</v>
      </c>
      <c r="J8481" t="s">
        <v>2395</v>
      </c>
      <c r="M8481" s="49"/>
    </row>
    <row r="8482" spans="6:13" x14ac:dyDescent="0.25">
      <c r="F8482" t="s">
        <v>8379</v>
      </c>
      <c r="G8482">
        <v>54298</v>
      </c>
      <c r="H8482">
        <v>7235</v>
      </c>
      <c r="I8482" s="25" t="s">
        <v>2123</v>
      </c>
      <c r="J8482" t="s">
        <v>2395</v>
      </c>
      <c r="M8482" s="49"/>
    </row>
    <row r="8483" spans="6:13" x14ac:dyDescent="0.25">
      <c r="F8483" t="s">
        <v>8379</v>
      </c>
      <c r="G8483">
        <v>54298</v>
      </c>
      <c r="H8483">
        <v>7235</v>
      </c>
      <c r="I8483" s="25" t="s">
        <v>2123</v>
      </c>
      <c r="J8483" t="s">
        <v>2395</v>
      </c>
      <c r="M8483" s="49"/>
    </row>
    <row r="8484" spans="6:13" x14ac:dyDescent="0.25">
      <c r="F8484" t="s">
        <v>8380</v>
      </c>
      <c r="G8484">
        <v>39221</v>
      </c>
      <c r="H8484">
        <v>15089</v>
      </c>
      <c r="I8484" s="25" t="s">
        <v>2241</v>
      </c>
      <c r="J8484" t="s">
        <v>2351</v>
      </c>
      <c r="M8484" s="49"/>
    </row>
    <row r="8485" spans="6:13" x14ac:dyDescent="0.25">
      <c r="F8485" t="s">
        <v>8381</v>
      </c>
      <c r="G8485">
        <v>59514</v>
      </c>
      <c r="H8485">
        <v>5974</v>
      </c>
      <c r="I8485" s="25" t="s">
        <v>2023</v>
      </c>
      <c r="J8485" t="s">
        <v>2368</v>
      </c>
      <c r="M8485" s="49"/>
    </row>
    <row r="8486" spans="6:13" x14ac:dyDescent="0.25">
      <c r="F8486" t="s">
        <v>8382</v>
      </c>
      <c r="G8486">
        <v>73642</v>
      </c>
      <c r="H8486">
        <v>8119</v>
      </c>
      <c r="I8486" s="25" t="s">
        <v>2018</v>
      </c>
      <c r="J8486" t="s">
        <v>2287</v>
      </c>
      <c r="M8486" s="49"/>
    </row>
    <row r="8487" spans="6:13" x14ac:dyDescent="0.25">
      <c r="F8487" t="s">
        <v>8383</v>
      </c>
      <c r="G8487">
        <v>3119</v>
      </c>
      <c r="H8487">
        <v>12071</v>
      </c>
      <c r="I8487" s="25" t="s">
        <v>2356</v>
      </c>
      <c r="J8487" t="s">
        <v>3364</v>
      </c>
      <c r="M8487" s="49"/>
    </row>
    <row r="8488" spans="6:13" x14ac:dyDescent="0.25">
      <c r="F8488" t="s">
        <v>8384</v>
      </c>
      <c r="G8488">
        <v>86650</v>
      </c>
      <c r="H8488">
        <v>9779</v>
      </c>
      <c r="I8488" s="25" t="s">
        <v>2050</v>
      </c>
      <c r="J8488" t="s">
        <v>2280</v>
      </c>
      <c r="M8488" s="49"/>
    </row>
    <row r="8489" spans="6:13" x14ac:dyDescent="0.25">
      <c r="F8489" t="s">
        <v>8385</v>
      </c>
      <c r="G8489">
        <v>38176</v>
      </c>
      <c r="H8489">
        <v>3157</v>
      </c>
      <c r="I8489" s="25" t="s">
        <v>2074</v>
      </c>
      <c r="J8489" t="s">
        <v>2309</v>
      </c>
      <c r="M8489" s="49"/>
    </row>
    <row r="8490" spans="6:13" x14ac:dyDescent="0.25">
      <c r="F8490" t="s">
        <v>8386</v>
      </c>
      <c r="G8490">
        <v>90530</v>
      </c>
      <c r="H8490">
        <v>9576</v>
      </c>
      <c r="I8490" s="25" t="s">
        <v>2050</v>
      </c>
      <c r="J8490" t="s">
        <v>2051</v>
      </c>
      <c r="M8490" s="49"/>
    </row>
    <row r="8491" spans="6:13" x14ac:dyDescent="0.25">
      <c r="F8491" t="s">
        <v>8387</v>
      </c>
      <c r="G8491">
        <v>57482</v>
      </c>
      <c r="H8491">
        <v>5966</v>
      </c>
      <c r="I8491" s="25" t="s">
        <v>2023</v>
      </c>
      <c r="J8491" t="s">
        <v>2289</v>
      </c>
      <c r="M8491" s="49"/>
    </row>
    <row r="8492" spans="6:13" x14ac:dyDescent="0.25">
      <c r="F8492" t="s">
        <v>8388</v>
      </c>
      <c r="G8492">
        <v>21403</v>
      </c>
      <c r="H8492">
        <v>3355</v>
      </c>
      <c r="I8492" s="25" t="s">
        <v>2074</v>
      </c>
      <c r="J8492" t="s">
        <v>2129</v>
      </c>
      <c r="M8492" s="49"/>
    </row>
    <row r="8493" spans="6:13" x14ac:dyDescent="0.25">
      <c r="F8493" t="s">
        <v>8389</v>
      </c>
      <c r="G8493">
        <v>15864</v>
      </c>
      <c r="H8493">
        <v>12067</v>
      </c>
      <c r="I8493" s="25" t="s">
        <v>2356</v>
      </c>
      <c r="J8493" t="s">
        <v>2711</v>
      </c>
      <c r="M8493" s="49"/>
    </row>
    <row r="8494" spans="6:13" x14ac:dyDescent="0.25">
      <c r="F8494" t="s">
        <v>8390</v>
      </c>
      <c r="G8494">
        <v>73240</v>
      </c>
      <c r="H8494">
        <v>8116</v>
      </c>
      <c r="I8494" s="25" t="s">
        <v>2018</v>
      </c>
      <c r="J8494" t="s">
        <v>2213</v>
      </c>
      <c r="M8494" s="49"/>
    </row>
    <row r="8495" spans="6:13" x14ac:dyDescent="0.25">
      <c r="F8495" t="s">
        <v>8391</v>
      </c>
      <c r="G8495">
        <v>84187</v>
      </c>
      <c r="H8495">
        <v>9274</v>
      </c>
      <c r="I8495" s="25" t="s">
        <v>2050</v>
      </c>
      <c r="J8495" t="s">
        <v>2132</v>
      </c>
      <c r="M8495" s="49"/>
    </row>
    <row r="8496" spans="6:13" x14ac:dyDescent="0.25">
      <c r="F8496" t="s">
        <v>8392</v>
      </c>
      <c r="G8496">
        <v>30974</v>
      </c>
      <c r="H8496">
        <v>3241</v>
      </c>
      <c r="I8496" s="25" t="s">
        <v>2074</v>
      </c>
      <c r="J8496" t="s">
        <v>2321</v>
      </c>
      <c r="M8496" s="49"/>
    </row>
    <row r="8497" spans="6:13" x14ac:dyDescent="0.25">
      <c r="F8497" t="s">
        <v>8393</v>
      </c>
      <c r="G8497">
        <v>25996</v>
      </c>
      <c r="H8497">
        <v>1054</v>
      </c>
      <c r="I8497" s="25" t="s">
        <v>2085</v>
      </c>
      <c r="J8497" t="s">
        <v>2195</v>
      </c>
      <c r="M8497" s="49"/>
    </row>
    <row r="8498" spans="6:13" x14ac:dyDescent="0.25">
      <c r="F8498" t="s">
        <v>8394</v>
      </c>
      <c r="G8498">
        <v>23827</v>
      </c>
      <c r="H8498">
        <v>1060</v>
      </c>
      <c r="I8498" s="25" t="s">
        <v>2085</v>
      </c>
      <c r="J8498" t="s">
        <v>2363</v>
      </c>
      <c r="M8498" s="49"/>
    </row>
    <row r="8499" spans="6:13" x14ac:dyDescent="0.25">
      <c r="F8499" t="s">
        <v>8395</v>
      </c>
      <c r="G8499">
        <v>93173</v>
      </c>
      <c r="H8499">
        <v>9375</v>
      </c>
      <c r="I8499" s="25" t="s">
        <v>2050</v>
      </c>
      <c r="J8499" t="s">
        <v>2365</v>
      </c>
      <c r="M8499" s="49"/>
    </row>
    <row r="8500" spans="6:13" x14ac:dyDescent="0.25">
      <c r="F8500" t="s">
        <v>8396</v>
      </c>
      <c r="G8500">
        <v>97956</v>
      </c>
      <c r="H8500">
        <v>8128</v>
      </c>
      <c r="I8500" s="25" t="s">
        <v>2018</v>
      </c>
      <c r="J8500" t="s">
        <v>2175</v>
      </c>
      <c r="M8500" s="49"/>
    </row>
    <row r="8501" spans="6:13" x14ac:dyDescent="0.25">
      <c r="F8501" t="s">
        <v>8397</v>
      </c>
      <c r="G8501">
        <v>8412</v>
      </c>
      <c r="H8501">
        <v>14524</v>
      </c>
      <c r="I8501" s="25" t="s">
        <v>2135</v>
      </c>
      <c r="J8501" t="s">
        <v>3424</v>
      </c>
      <c r="M8501" s="49"/>
    </row>
    <row r="8502" spans="6:13" x14ac:dyDescent="0.25">
      <c r="F8502" t="s">
        <v>8398</v>
      </c>
      <c r="G8502">
        <v>14542</v>
      </c>
      <c r="H8502">
        <v>12069</v>
      </c>
      <c r="I8502" s="25" t="s">
        <v>2356</v>
      </c>
      <c r="J8502" t="s">
        <v>2857</v>
      </c>
      <c r="M8502" s="49"/>
    </row>
    <row r="8503" spans="6:13" x14ac:dyDescent="0.25">
      <c r="F8503" t="s">
        <v>8399</v>
      </c>
      <c r="G8503">
        <v>58791</v>
      </c>
      <c r="H8503">
        <v>5962</v>
      </c>
      <c r="I8503" s="25" t="s">
        <v>2023</v>
      </c>
      <c r="J8503" t="s">
        <v>2239</v>
      </c>
      <c r="M8503" s="49"/>
    </row>
    <row r="8504" spans="6:13" x14ac:dyDescent="0.25">
      <c r="F8504" t="s">
        <v>8400</v>
      </c>
      <c r="G8504">
        <v>59457</v>
      </c>
      <c r="H8504">
        <v>5974</v>
      </c>
      <c r="I8504" s="25" t="s">
        <v>2023</v>
      </c>
      <c r="J8504" t="s">
        <v>2368</v>
      </c>
      <c r="M8504" s="49"/>
    </row>
    <row r="8505" spans="6:13" x14ac:dyDescent="0.25">
      <c r="F8505" t="s">
        <v>8401</v>
      </c>
      <c r="G8505">
        <v>49757</v>
      </c>
      <c r="H8505">
        <v>3454</v>
      </c>
      <c r="I8505" s="25" t="s">
        <v>2074</v>
      </c>
      <c r="J8505" t="s">
        <v>2118</v>
      </c>
      <c r="M8505" s="49"/>
    </row>
    <row r="8506" spans="6:13" x14ac:dyDescent="0.25">
      <c r="F8506" t="s">
        <v>8402</v>
      </c>
      <c r="G8506">
        <v>42929</v>
      </c>
      <c r="H8506">
        <v>5378</v>
      </c>
      <c r="I8506" s="25" t="s">
        <v>2023</v>
      </c>
      <c r="J8506" t="s">
        <v>2909</v>
      </c>
      <c r="M8506" s="49"/>
    </row>
    <row r="8507" spans="6:13" x14ac:dyDescent="0.25">
      <c r="F8507" t="s">
        <v>8403</v>
      </c>
      <c r="G8507">
        <v>4779</v>
      </c>
      <c r="H8507">
        <v>14730</v>
      </c>
      <c r="I8507" s="25" t="s">
        <v>2135</v>
      </c>
      <c r="J8507" t="s">
        <v>2083</v>
      </c>
      <c r="M8507" s="49"/>
    </row>
    <row r="8508" spans="6:13" x14ac:dyDescent="0.25">
      <c r="F8508" t="s">
        <v>8404</v>
      </c>
      <c r="G8508">
        <v>73249</v>
      </c>
      <c r="H8508">
        <v>8116</v>
      </c>
      <c r="I8508" s="25" t="s">
        <v>2018</v>
      </c>
      <c r="J8508" t="s">
        <v>2213</v>
      </c>
      <c r="M8508" s="49"/>
    </row>
    <row r="8509" spans="6:13" x14ac:dyDescent="0.25">
      <c r="F8509" t="s">
        <v>8405</v>
      </c>
      <c r="G8509">
        <v>92533</v>
      </c>
      <c r="H8509">
        <v>9376</v>
      </c>
      <c r="I8509" s="25" t="s">
        <v>2050</v>
      </c>
      <c r="J8509" t="s">
        <v>2390</v>
      </c>
      <c r="M8509" s="49"/>
    </row>
    <row r="8510" spans="6:13" x14ac:dyDescent="0.25">
      <c r="F8510" t="s">
        <v>8406</v>
      </c>
      <c r="G8510">
        <v>59368</v>
      </c>
      <c r="H8510">
        <v>5978</v>
      </c>
      <c r="I8510" s="25" t="s">
        <v>2023</v>
      </c>
      <c r="J8510" t="s">
        <v>2402</v>
      </c>
      <c r="M8510" s="49"/>
    </row>
    <row r="8511" spans="6:13" x14ac:dyDescent="0.25">
      <c r="F8511" t="s">
        <v>8407</v>
      </c>
      <c r="G8511">
        <v>97440</v>
      </c>
      <c r="H8511">
        <v>9678</v>
      </c>
      <c r="I8511" s="25" t="s">
        <v>2050</v>
      </c>
      <c r="J8511" t="s">
        <v>2918</v>
      </c>
      <c r="M8511" s="49"/>
    </row>
    <row r="8512" spans="6:13" x14ac:dyDescent="0.25">
      <c r="F8512" t="s">
        <v>8408</v>
      </c>
      <c r="G8512">
        <v>16356</v>
      </c>
      <c r="H8512">
        <v>12060</v>
      </c>
      <c r="I8512" s="25" t="s">
        <v>2356</v>
      </c>
      <c r="J8512" t="s">
        <v>2040</v>
      </c>
      <c r="M8512" s="49"/>
    </row>
    <row r="8513" spans="6:13" x14ac:dyDescent="0.25">
      <c r="F8513" t="s">
        <v>8409</v>
      </c>
      <c r="G8513">
        <v>38879</v>
      </c>
      <c r="H8513">
        <v>15085</v>
      </c>
      <c r="I8513" s="25" t="s">
        <v>2241</v>
      </c>
      <c r="J8513" t="s">
        <v>2178</v>
      </c>
      <c r="M8513" s="49"/>
    </row>
    <row r="8514" spans="6:13" x14ac:dyDescent="0.25">
      <c r="F8514" t="s">
        <v>8410</v>
      </c>
      <c r="G8514">
        <v>38855</v>
      </c>
      <c r="H8514">
        <v>15085</v>
      </c>
      <c r="I8514" s="25" t="s">
        <v>2241</v>
      </c>
      <c r="J8514" t="s">
        <v>2178</v>
      </c>
      <c r="M8514" s="49"/>
    </row>
    <row r="8515" spans="6:13" x14ac:dyDescent="0.25">
      <c r="F8515" t="s">
        <v>8411</v>
      </c>
      <c r="G8515">
        <v>87497</v>
      </c>
      <c r="H8515">
        <v>9780</v>
      </c>
      <c r="I8515" s="25" t="s">
        <v>2050</v>
      </c>
      <c r="J8515" t="s">
        <v>2278</v>
      </c>
      <c r="M8515" s="49"/>
    </row>
    <row r="8516" spans="6:13" x14ac:dyDescent="0.25">
      <c r="F8516" t="s">
        <v>8412</v>
      </c>
      <c r="G8516">
        <v>97877</v>
      </c>
      <c r="H8516">
        <v>8128</v>
      </c>
      <c r="I8516" s="25" t="s">
        <v>2018</v>
      </c>
      <c r="J8516" t="s">
        <v>2175</v>
      </c>
      <c r="M8516" s="49"/>
    </row>
    <row r="8517" spans="6:13" x14ac:dyDescent="0.25">
      <c r="F8517" t="s">
        <v>8413</v>
      </c>
      <c r="G8517">
        <v>33824</v>
      </c>
      <c r="H8517">
        <v>5754</v>
      </c>
      <c r="I8517" s="25" t="s">
        <v>2023</v>
      </c>
      <c r="J8517" t="s">
        <v>2165</v>
      </c>
      <c r="M8517" s="49"/>
    </row>
    <row r="8518" spans="6:13" x14ac:dyDescent="0.25">
      <c r="F8518" t="s">
        <v>8414</v>
      </c>
      <c r="G8518">
        <v>99735</v>
      </c>
      <c r="H8518">
        <v>16062</v>
      </c>
      <c r="I8518" s="25" t="s">
        <v>2384</v>
      </c>
      <c r="J8518" t="s">
        <v>1489</v>
      </c>
      <c r="M8518" s="49"/>
    </row>
    <row r="8519" spans="6:13" x14ac:dyDescent="0.25">
      <c r="F8519" t="s">
        <v>8415</v>
      </c>
      <c r="G8519">
        <v>86637</v>
      </c>
      <c r="H8519">
        <v>9773</v>
      </c>
      <c r="I8519" s="25" t="s">
        <v>2050</v>
      </c>
      <c r="J8519" t="s">
        <v>2231</v>
      </c>
      <c r="M8519" s="49"/>
    </row>
    <row r="8520" spans="6:13" x14ac:dyDescent="0.25">
      <c r="F8520" t="s">
        <v>2328</v>
      </c>
      <c r="G8520">
        <v>46483</v>
      </c>
      <c r="H8520">
        <v>5170</v>
      </c>
      <c r="I8520" s="25" t="s">
        <v>2023</v>
      </c>
      <c r="J8520" t="s">
        <v>2328</v>
      </c>
      <c r="M8520" s="49"/>
    </row>
    <row r="8521" spans="6:13" x14ac:dyDescent="0.25">
      <c r="F8521" t="s">
        <v>2328</v>
      </c>
      <c r="G8521">
        <v>46485</v>
      </c>
      <c r="H8521">
        <v>5170</v>
      </c>
      <c r="I8521" s="25" t="s">
        <v>2023</v>
      </c>
      <c r="J8521" t="s">
        <v>2328</v>
      </c>
      <c r="M8521" s="49"/>
    </row>
    <row r="8522" spans="6:13" x14ac:dyDescent="0.25">
      <c r="F8522" t="s">
        <v>2328</v>
      </c>
      <c r="G8522">
        <v>46487</v>
      </c>
      <c r="H8522">
        <v>5170</v>
      </c>
      <c r="I8522" s="25" t="s">
        <v>2023</v>
      </c>
      <c r="J8522" t="s">
        <v>2328</v>
      </c>
      <c r="M8522" s="49"/>
    </row>
    <row r="8523" spans="6:13" x14ac:dyDescent="0.25">
      <c r="F8523" t="s">
        <v>8416</v>
      </c>
      <c r="G8523">
        <v>17255</v>
      </c>
      <c r="H8523">
        <v>13071</v>
      </c>
      <c r="I8523" s="25" t="s">
        <v>2191</v>
      </c>
      <c r="J8523" t="s">
        <v>2091</v>
      </c>
      <c r="M8523" s="49"/>
    </row>
    <row r="8524" spans="6:13" x14ac:dyDescent="0.25">
      <c r="F8524" t="s">
        <v>8417</v>
      </c>
      <c r="G8524">
        <v>29392</v>
      </c>
      <c r="H8524">
        <v>3151</v>
      </c>
      <c r="I8524" s="25" t="s">
        <v>2074</v>
      </c>
      <c r="J8524" t="s">
        <v>2126</v>
      </c>
      <c r="M8524" s="49"/>
    </row>
    <row r="8525" spans="6:13" x14ac:dyDescent="0.25">
      <c r="F8525" t="s">
        <v>8418</v>
      </c>
      <c r="G8525">
        <v>25764</v>
      </c>
      <c r="H8525">
        <v>1051</v>
      </c>
      <c r="I8525" s="25" t="s">
        <v>2085</v>
      </c>
      <c r="J8525" t="s">
        <v>2097</v>
      </c>
      <c r="M8525" s="49"/>
    </row>
    <row r="8526" spans="6:13" x14ac:dyDescent="0.25">
      <c r="F8526" t="s">
        <v>8419</v>
      </c>
      <c r="G8526">
        <v>50389</v>
      </c>
      <c r="H8526">
        <v>5362</v>
      </c>
      <c r="I8526" s="25" t="s">
        <v>2023</v>
      </c>
      <c r="J8526" t="s">
        <v>2326</v>
      </c>
      <c r="M8526" s="49"/>
    </row>
    <row r="8527" spans="6:13" x14ac:dyDescent="0.25">
      <c r="F8527" t="s">
        <v>8420</v>
      </c>
      <c r="G8527">
        <v>82234</v>
      </c>
      <c r="H8527">
        <v>9188</v>
      </c>
      <c r="I8527" s="25" t="s">
        <v>2050</v>
      </c>
      <c r="J8527" t="s">
        <v>2481</v>
      </c>
      <c r="M8527" s="49"/>
    </row>
    <row r="8528" spans="6:13" x14ac:dyDescent="0.25">
      <c r="F8528" t="s">
        <v>8421</v>
      </c>
      <c r="G8528">
        <v>82405</v>
      </c>
      <c r="H8528">
        <v>9190</v>
      </c>
      <c r="I8528" s="25" t="s">
        <v>2050</v>
      </c>
      <c r="J8528" t="s">
        <v>2417</v>
      </c>
      <c r="M8528" s="49"/>
    </row>
    <row r="8529" spans="6:13" x14ac:dyDescent="0.25">
      <c r="F8529" t="s">
        <v>8422</v>
      </c>
      <c r="G8529">
        <v>29599</v>
      </c>
      <c r="H8529">
        <v>3360</v>
      </c>
      <c r="I8529" s="25" t="s">
        <v>2074</v>
      </c>
      <c r="J8529" t="s">
        <v>2400</v>
      </c>
      <c r="M8529" s="49"/>
    </row>
    <row r="8530" spans="6:13" x14ac:dyDescent="0.25">
      <c r="F8530" t="s">
        <v>8423</v>
      </c>
      <c r="G8530">
        <v>87679</v>
      </c>
      <c r="H8530">
        <v>9777</v>
      </c>
      <c r="I8530" s="25" t="s">
        <v>2050</v>
      </c>
      <c r="J8530" t="s">
        <v>2237</v>
      </c>
      <c r="M8530" s="49"/>
    </row>
    <row r="8531" spans="6:13" x14ac:dyDescent="0.25">
      <c r="F8531" t="s">
        <v>8424</v>
      </c>
      <c r="G8531">
        <v>86707</v>
      </c>
      <c r="H8531">
        <v>9772</v>
      </c>
      <c r="I8531" s="25" t="s">
        <v>2050</v>
      </c>
      <c r="J8531" t="s">
        <v>2117</v>
      </c>
      <c r="M8531" s="49"/>
    </row>
    <row r="8532" spans="6:13" x14ac:dyDescent="0.25">
      <c r="F8532" t="s">
        <v>8425</v>
      </c>
      <c r="G8532">
        <v>24259</v>
      </c>
      <c r="H8532">
        <v>1058</v>
      </c>
      <c r="I8532" s="25" t="s">
        <v>2085</v>
      </c>
      <c r="J8532" t="s">
        <v>2086</v>
      </c>
      <c r="M8532" s="49"/>
    </row>
    <row r="8533" spans="6:13" x14ac:dyDescent="0.25">
      <c r="F8533" t="s">
        <v>8426</v>
      </c>
      <c r="G8533">
        <v>56457</v>
      </c>
      <c r="H8533">
        <v>7143</v>
      </c>
      <c r="I8533" s="25" t="s">
        <v>2123</v>
      </c>
      <c r="J8533" t="s">
        <v>2331</v>
      </c>
      <c r="M8533" s="49"/>
    </row>
    <row r="8534" spans="6:13" x14ac:dyDescent="0.25">
      <c r="F8534" t="s">
        <v>8427</v>
      </c>
      <c r="G8534">
        <v>72589</v>
      </c>
      <c r="H8534">
        <v>8425</v>
      </c>
      <c r="I8534" s="25" t="s">
        <v>2018</v>
      </c>
      <c r="J8534" t="s">
        <v>2027</v>
      </c>
      <c r="M8534" s="49"/>
    </row>
    <row r="8535" spans="6:13" x14ac:dyDescent="0.25">
      <c r="F8535" t="s">
        <v>8427</v>
      </c>
      <c r="G8535">
        <v>87784</v>
      </c>
      <c r="H8535">
        <v>9778</v>
      </c>
      <c r="I8535" s="25" t="s">
        <v>2050</v>
      </c>
      <c r="J8535" t="s">
        <v>2460</v>
      </c>
      <c r="M8535" s="49"/>
    </row>
    <row r="8536" spans="6:13" x14ac:dyDescent="0.25">
      <c r="F8536" t="s">
        <v>8428</v>
      </c>
      <c r="G8536">
        <v>26556</v>
      </c>
      <c r="H8536">
        <v>3462</v>
      </c>
      <c r="I8536" s="25" t="s">
        <v>2074</v>
      </c>
      <c r="J8536" t="s">
        <v>2433</v>
      </c>
      <c r="M8536" s="49"/>
    </row>
    <row r="8537" spans="6:13" x14ac:dyDescent="0.25">
      <c r="F8537" t="s">
        <v>8429</v>
      </c>
      <c r="G8537">
        <v>49492</v>
      </c>
      <c r="H8537">
        <v>5566</v>
      </c>
      <c r="I8537" s="25" t="s">
        <v>2023</v>
      </c>
      <c r="J8537" t="s">
        <v>2379</v>
      </c>
      <c r="M8537" s="49"/>
    </row>
    <row r="8538" spans="6:13" x14ac:dyDescent="0.25">
      <c r="F8538" t="s">
        <v>8430</v>
      </c>
      <c r="G8538">
        <v>25597</v>
      </c>
      <c r="H8538">
        <v>1061</v>
      </c>
      <c r="I8538" s="25" t="s">
        <v>2085</v>
      </c>
      <c r="J8538" t="s">
        <v>2377</v>
      </c>
      <c r="M8538" s="49"/>
    </row>
    <row r="8539" spans="6:13" x14ac:dyDescent="0.25">
      <c r="F8539" t="s">
        <v>8431</v>
      </c>
      <c r="G8539">
        <v>25885</v>
      </c>
      <c r="H8539">
        <v>1054</v>
      </c>
      <c r="I8539" s="25" t="s">
        <v>2085</v>
      </c>
      <c r="J8539" t="s">
        <v>2195</v>
      </c>
      <c r="M8539" s="49"/>
    </row>
    <row r="8540" spans="6:13" x14ac:dyDescent="0.25">
      <c r="F8540" t="s">
        <v>8432</v>
      </c>
      <c r="G8540">
        <v>24784</v>
      </c>
      <c r="H8540">
        <v>1058</v>
      </c>
      <c r="I8540" s="25" t="s">
        <v>2085</v>
      </c>
      <c r="J8540" t="s">
        <v>2086</v>
      </c>
      <c r="M8540" s="49"/>
    </row>
    <row r="8541" spans="6:13" x14ac:dyDescent="0.25">
      <c r="F8541" t="s">
        <v>8433</v>
      </c>
      <c r="G8541">
        <v>26655</v>
      </c>
      <c r="H8541">
        <v>3451</v>
      </c>
      <c r="I8541" s="25" t="s">
        <v>2074</v>
      </c>
      <c r="J8541" t="s">
        <v>2030</v>
      </c>
      <c r="M8541" s="49"/>
    </row>
    <row r="8542" spans="6:13" x14ac:dyDescent="0.25">
      <c r="F8542" t="s">
        <v>8434</v>
      </c>
      <c r="G8542">
        <v>89198</v>
      </c>
      <c r="H8542">
        <v>8425</v>
      </c>
      <c r="I8542" s="25" t="s">
        <v>2018</v>
      </c>
      <c r="J8542" t="s">
        <v>2027</v>
      </c>
      <c r="M8542" s="49"/>
    </row>
    <row r="8543" spans="6:13" x14ac:dyDescent="0.25">
      <c r="F8543" t="s">
        <v>8435</v>
      </c>
      <c r="G8543">
        <v>73463</v>
      </c>
      <c r="H8543">
        <v>8136</v>
      </c>
      <c r="I8543" s="25" t="s">
        <v>2018</v>
      </c>
      <c r="J8543" t="s">
        <v>2039</v>
      </c>
      <c r="M8543" s="49"/>
    </row>
    <row r="8544" spans="6:13" x14ac:dyDescent="0.25">
      <c r="F8544" t="s">
        <v>8436</v>
      </c>
      <c r="G8544">
        <v>91747</v>
      </c>
      <c r="H8544">
        <v>9577</v>
      </c>
      <c r="I8544" s="25" t="s">
        <v>2050</v>
      </c>
      <c r="J8544" t="s">
        <v>2057</v>
      </c>
      <c r="M8544" s="49"/>
    </row>
    <row r="8545" spans="6:13" x14ac:dyDescent="0.25">
      <c r="F8545" t="s">
        <v>8437</v>
      </c>
      <c r="G8545">
        <v>67368</v>
      </c>
      <c r="H8545">
        <v>7334</v>
      </c>
      <c r="I8545" s="25" t="s">
        <v>2123</v>
      </c>
      <c r="J8545" t="s">
        <v>2873</v>
      </c>
      <c r="M8545" s="49"/>
    </row>
    <row r="8546" spans="6:13" x14ac:dyDescent="0.25">
      <c r="F8546" t="s">
        <v>8438</v>
      </c>
      <c r="G8546">
        <v>67593</v>
      </c>
      <c r="H8546">
        <v>7331</v>
      </c>
      <c r="I8546" s="25" t="s">
        <v>2123</v>
      </c>
      <c r="J8546" t="s">
        <v>2029</v>
      </c>
      <c r="M8546" s="49"/>
    </row>
    <row r="8547" spans="6:13" x14ac:dyDescent="0.25">
      <c r="F8547" t="s">
        <v>8439</v>
      </c>
      <c r="G8547">
        <v>26810</v>
      </c>
      <c r="H8547">
        <v>3457</v>
      </c>
      <c r="I8547" s="25" t="s">
        <v>2074</v>
      </c>
      <c r="J8547" t="s">
        <v>2220</v>
      </c>
      <c r="M8547" s="49"/>
    </row>
    <row r="8548" spans="6:13" x14ac:dyDescent="0.25">
      <c r="F8548" t="s">
        <v>8440</v>
      </c>
      <c r="G8548">
        <v>35435</v>
      </c>
      <c r="H8548">
        <v>6531</v>
      </c>
      <c r="I8548" s="25" t="s">
        <v>2046</v>
      </c>
      <c r="J8548" t="s">
        <v>2306</v>
      </c>
      <c r="M8548" s="49"/>
    </row>
    <row r="8549" spans="6:13" x14ac:dyDescent="0.25">
      <c r="F8549" t="s">
        <v>8441</v>
      </c>
      <c r="G8549">
        <v>35083</v>
      </c>
      <c r="H8549">
        <v>6534</v>
      </c>
      <c r="I8549" s="25" t="s">
        <v>2046</v>
      </c>
      <c r="J8549" t="s">
        <v>2471</v>
      </c>
      <c r="M8549" s="49"/>
    </row>
    <row r="8550" spans="6:13" x14ac:dyDescent="0.25">
      <c r="F8550" t="s">
        <v>8442</v>
      </c>
      <c r="G8550">
        <v>58300</v>
      </c>
      <c r="H8550">
        <v>5954</v>
      </c>
      <c r="I8550" s="25" t="s">
        <v>2023</v>
      </c>
      <c r="J8550" t="s">
        <v>2124</v>
      </c>
      <c r="M8550" s="49"/>
    </row>
    <row r="8551" spans="6:13" x14ac:dyDescent="0.25">
      <c r="F8551" t="s">
        <v>8443</v>
      </c>
      <c r="G8551">
        <v>48493</v>
      </c>
      <c r="H8551">
        <v>5566</v>
      </c>
      <c r="I8551" s="25" t="s">
        <v>2023</v>
      </c>
      <c r="J8551" t="s">
        <v>2379</v>
      </c>
      <c r="M8551" s="49"/>
    </row>
    <row r="8552" spans="6:13" x14ac:dyDescent="0.25">
      <c r="F8552" t="s">
        <v>8443</v>
      </c>
      <c r="G8552">
        <v>91631</v>
      </c>
      <c r="H8552">
        <v>9571</v>
      </c>
      <c r="I8552" s="25" t="s">
        <v>2050</v>
      </c>
      <c r="J8552" t="s">
        <v>2113</v>
      </c>
      <c r="M8552" s="49"/>
    </row>
    <row r="8553" spans="6:13" x14ac:dyDescent="0.25">
      <c r="F8553" t="s">
        <v>8444</v>
      </c>
      <c r="G8553">
        <v>85139</v>
      </c>
      <c r="H8553">
        <v>9176</v>
      </c>
      <c r="I8553" s="25" t="s">
        <v>2050</v>
      </c>
      <c r="J8553" t="s">
        <v>2102</v>
      </c>
      <c r="M8553" s="49"/>
    </row>
    <row r="8554" spans="6:13" x14ac:dyDescent="0.25">
      <c r="F8554" t="s">
        <v>1507</v>
      </c>
      <c r="G8554">
        <v>35585</v>
      </c>
      <c r="H8554">
        <v>6532</v>
      </c>
      <c r="I8554" s="25" t="s">
        <v>2046</v>
      </c>
      <c r="J8554" t="s">
        <v>2555</v>
      </c>
      <c r="M8554" s="49"/>
    </row>
    <row r="8555" spans="6:13" x14ac:dyDescent="0.25">
      <c r="F8555" t="s">
        <v>1507</v>
      </c>
      <c r="G8555">
        <v>35584</v>
      </c>
      <c r="H8555">
        <v>6532</v>
      </c>
      <c r="I8555" s="25" t="s">
        <v>2046</v>
      </c>
      <c r="J8555" t="s">
        <v>2555</v>
      </c>
      <c r="M8555" s="49"/>
    </row>
    <row r="8556" spans="6:13" x14ac:dyDescent="0.25">
      <c r="F8556" t="s">
        <v>1507</v>
      </c>
      <c r="G8556">
        <v>35586</v>
      </c>
      <c r="H8556">
        <v>6532</v>
      </c>
      <c r="I8556" s="25" t="s">
        <v>2046</v>
      </c>
      <c r="J8556" t="s">
        <v>2555</v>
      </c>
      <c r="M8556" s="49"/>
    </row>
    <row r="8557" spans="6:13" x14ac:dyDescent="0.25">
      <c r="F8557" t="s">
        <v>1507</v>
      </c>
      <c r="G8557">
        <v>35580</v>
      </c>
      <c r="H8557">
        <v>6532</v>
      </c>
      <c r="I8557" s="25" t="s">
        <v>2046</v>
      </c>
      <c r="J8557" t="s">
        <v>2555</v>
      </c>
      <c r="M8557" s="49"/>
    </row>
    <row r="8558" spans="6:13" x14ac:dyDescent="0.25">
      <c r="F8558" t="s">
        <v>1507</v>
      </c>
      <c r="G8558">
        <v>35582</v>
      </c>
      <c r="H8558">
        <v>6532</v>
      </c>
      <c r="I8558" s="25" t="s">
        <v>2046</v>
      </c>
      <c r="J8558" t="s">
        <v>2555</v>
      </c>
      <c r="M8558" s="49"/>
    </row>
    <row r="8559" spans="6:13" x14ac:dyDescent="0.25">
      <c r="F8559" t="s">
        <v>1507</v>
      </c>
      <c r="G8559">
        <v>35578</v>
      </c>
      <c r="H8559">
        <v>6532</v>
      </c>
      <c r="I8559" s="25" t="s">
        <v>2046</v>
      </c>
      <c r="J8559" t="s">
        <v>2555</v>
      </c>
      <c r="M8559" s="49"/>
    </row>
    <row r="8560" spans="6:13" x14ac:dyDescent="0.25">
      <c r="F8560" t="s">
        <v>1507</v>
      </c>
      <c r="G8560">
        <v>35579</v>
      </c>
      <c r="H8560">
        <v>6532</v>
      </c>
      <c r="I8560" s="25" t="s">
        <v>2046</v>
      </c>
      <c r="J8560" t="s">
        <v>2555</v>
      </c>
      <c r="M8560" s="49"/>
    </row>
    <row r="8561" spans="6:13" x14ac:dyDescent="0.25">
      <c r="F8561" t="s">
        <v>1507</v>
      </c>
      <c r="G8561">
        <v>35576</v>
      </c>
      <c r="H8561">
        <v>6532</v>
      </c>
      <c r="I8561" s="25" t="s">
        <v>2046</v>
      </c>
      <c r="J8561" t="s">
        <v>2555</v>
      </c>
      <c r="M8561" s="49"/>
    </row>
    <row r="8562" spans="6:13" x14ac:dyDescent="0.25">
      <c r="F8562" t="s">
        <v>1507</v>
      </c>
      <c r="G8562">
        <v>35581</v>
      </c>
      <c r="H8562">
        <v>6532</v>
      </c>
      <c r="I8562" s="25" t="s">
        <v>2046</v>
      </c>
      <c r="J8562" t="s">
        <v>2555</v>
      </c>
      <c r="M8562" s="49"/>
    </row>
    <row r="8563" spans="6:13" x14ac:dyDescent="0.25">
      <c r="F8563" t="s">
        <v>8445</v>
      </c>
      <c r="G8563">
        <v>35583</v>
      </c>
      <c r="H8563">
        <v>6532</v>
      </c>
      <c r="I8563" s="25" t="s">
        <v>2046</v>
      </c>
      <c r="J8563" t="s">
        <v>2555</v>
      </c>
      <c r="M8563" s="49"/>
    </row>
    <row r="8564" spans="6:13" x14ac:dyDescent="0.25">
      <c r="F8564" t="s">
        <v>8446</v>
      </c>
      <c r="G8564">
        <v>25599</v>
      </c>
      <c r="H8564">
        <v>1061</v>
      </c>
      <c r="I8564" s="25" t="s">
        <v>2085</v>
      </c>
      <c r="J8564" t="s">
        <v>2377</v>
      </c>
      <c r="M8564" s="49"/>
    </row>
    <row r="8565" spans="6:13" x14ac:dyDescent="0.25">
      <c r="F8565" t="s">
        <v>8447</v>
      </c>
      <c r="G8565">
        <v>83629</v>
      </c>
      <c r="H8565">
        <v>9182</v>
      </c>
      <c r="I8565" s="25" t="s">
        <v>2050</v>
      </c>
      <c r="J8565" t="s">
        <v>2254</v>
      </c>
      <c r="M8565" s="49"/>
    </row>
    <row r="8566" spans="6:13" x14ac:dyDescent="0.25">
      <c r="F8566" t="s">
        <v>8448</v>
      </c>
      <c r="G8566">
        <v>57635</v>
      </c>
      <c r="H8566">
        <v>7132</v>
      </c>
      <c r="I8566" s="25" t="s">
        <v>2123</v>
      </c>
      <c r="J8566" t="s">
        <v>2401</v>
      </c>
      <c r="M8566" s="49"/>
    </row>
    <row r="8567" spans="6:13" x14ac:dyDescent="0.25">
      <c r="F8567" t="s">
        <v>8449</v>
      </c>
      <c r="G8567">
        <v>38554</v>
      </c>
      <c r="H8567">
        <v>3151</v>
      </c>
      <c r="I8567" s="25" t="s">
        <v>2074</v>
      </c>
      <c r="J8567" t="s">
        <v>2126</v>
      </c>
      <c r="M8567" s="49"/>
    </row>
    <row r="8568" spans="6:13" x14ac:dyDescent="0.25">
      <c r="F8568" t="s">
        <v>8450</v>
      </c>
      <c r="G8568">
        <v>28844</v>
      </c>
      <c r="H8568">
        <v>3251</v>
      </c>
      <c r="I8568" s="25" t="s">
        <v>2074</v>
      </c>
      <c r="J8568" t="s">
        <v>2094</v>
      </c>
      <c r="M8568" s="49"/>
    </row>
    <row r="8569" spans="6:13" x14ac:dyDescent="0.25">
      <c r="F8569" t="s">
        <v>8451</v>
      </c>
      <c r="G8569">
        <v>58739</v>
      </c>
      <c r="H8569">
        <v>5974</v>
      </c>
      <c r="I8569" s="25" t="s">
        <v>2023</v>
      </c>
      <c r="J8569" t="s">
        <v>2368</v>
      </c>
      <c r="M8569" s="49"/>
    </row>
    <row r="8570" spans="6:13" x14ac:dyDescent="0.25">
      <c r="F8570" t="s">
        <v>8452</v>
      </c>
      <c r="G8570">
        <v>74259</v>
      </c>
      <c r="H8570">
        <v>8125</v>
      </c>
      <c r="I8570" s="25" t="s">
        <v>2018</v>
      </c>
      <c r="J8570" t="s">
        <v>2060</v>
      </c>
      <c r="M8570" s="49"/>
    </row>
    <row r="8571" spans="6:13" x14ac:dyDescent="0.25">
      <c r="F8571" t="s">
        <v>8453</v>
      </c>
      <c r="G8571">
        <v>79695</v>
      </c>
      <c r="H8571">
        <v>8336</v>
      </c>
      <c r="I8571" s="25" t="s">
        <v>2018</v>
      </c>
      <c r="J8571" t="s">
        <v>2227</v>
      </c>
      <c r="M8571" s="49"/>
    </row>
    <row r="8572" spans="6:13" x14ac:dyDescent="0.25">
      <c r="F8572" t="s">
        <v>8454</v>
      </c>
      <c r="G8572">
        <v>31719</v>
      </c>
      <c r="H8572">
        <v>3257</v>
      </c>
      <c r="I8572" s="25" t="s">
        <v>2074</v>
      </c>
      <c r="J8572" t="s">
        <v>2167</v>
      </c>
      <c r="M8572" s="49"/>
    </row>
    <row r="8573" spans="6:13" x14ac:dyDescent="0.25">
      <c r="F8573" t="s">
        <v>8455</v>
      </c>
      <c r="G8573">
        <v>86879</v>
      </c>
      <c r="H8573">
        <v>9778</v>
      </c>
      <c r="I8573" s="25" t="s">
        <v>2050</v>
      </c>
      <c r="J8573" t="s">
        <v>2460</v>
      </c>
      <c r="M8573" s="49"/>
    </row>
    <row r="8574" spans="6:13" x14ac:dyDescent="0.25">
      <c r="F8574" t="s">
        <v>8456</v>
      </c>
      <c r="G8574">
        <v>26215</v>
      </c>
      <c r="H8574">
        <v>3451</v>
      </c>
      <c r="I8574" s="25" t="s">
        <v>2074</v>
      </c>
      <c r="J8574" t="s">
        <v>2030</v>
      </c>
      <c r="M8574" s="49"/>
    </row>
    <row r="8575" spans="6:13" x14ac:dyDescent="0.25">
      <c r="F8575" t="s">
        <v>8457</v>
      </c>
      <c r="G8575">
        <v>51674</v>
      </c>
      <c r="H8575">
        <v>5374</v>
      </c>
      <c r="I8575" s="25" t="s">
        <v>2023</v>
      </c>
      <c r="J8575" t="s">
        <v>2281</v>
      </c>
      <c r="M8575" s="49"/>
    </row>
    <row r="8576" spans="6:13" x14ac:dyDescent="0.25">
      <c r="F8576" t="s">
        <v>8458</v>
      </c>
      <c r="G8576">
        <v>82407</v>
      </c>
      <c r="H8576">
        <v>9190</v>
      </c>
      <c r="I8576" s="25" t="s">
        <v>2050</v>
      </c>
      <c r="J8576" t="s">
        <v>2417</v>
      </c>
      <c r="M8576" s="49"/>
    </row>
    <row r="8577" spans="6:13" x14ac:dyDescent="0.25">
      <c r="F8577" t="s">
        <v>8459</v>
      </c>
      <c r="G8577">
        <v>24649</v>
      </c>
      <c r="H8577">
        <v>1060</v>
      </c>
      <c r="I8577" s="25" t="s">
        <v>2085</v>
      </c>
      <c r="J8577" t="s">
        <v>2363</v>
      </c>
      <c r="M8577" s="49"/>
    </row>
    <row r="8578" spans="6:13" x14ac:dyDescent="0.25">
      <c r="F8578" t="s">
        <v>8460</v>
      </c>
      <c r="G8578">
        <v>29342</v>
      </c>
      <c r="H8578">
        <v>3351</v>
      </c>
      <c r="I8578" s="25" t="s">
        <v>2074</v>
      </c>
      <c r="J8578" t="s">
        <v>2096</v>
      </c>
      <c r="M8578" s="49"/>
    </row>
    <row r="8579" spans="6:13" x14ac:dyDescent="0.25">
      <c r="F8579" t="s">
        <v>8461</v>
      </c>
      <c r="G8579">
        <v>75446</v>
      </c>
      <c r="H8579">
        <v>8236</v>
      </c>
      <c r="I8579" s="25" t="s">
        <v>2018</v>
      </c>
      <c r="J8579" t="s">
        <v>3087</v>
      </c>
      <c r="M8579" s="49"/>
    </row>
    <row r="8580" spans="6:13" x14ac:dyDescent="0.25">
      <c r="F8580" t="s">
        <v>8462</v>
      </c>
      <c r="G8580">
        <v>9488</v>
      </c>
      <c r="H8580">
        <v>14521</v>
      </c>
      <c r="I8580" s="25" t="s">
        <v>2135</v>
      </c>
      <c r="J8580" t="s">
        <v>2032</v>
      </c>
      <c r="M8580" s="49"/>
    </row>
    <row r="8581" spans="6:13" x14ac:dyDescent="0.25">
      <c r="F8581" t="s">
        <v>8463</v>
      </c>
      <c r="G8581">
        <v>95676</v>
      </c>
      <c r="H8581">
        <v>9377</v>
      </c>
      <c r="I8581" s="25" t="s">
        <v>2050</v>
      </c>
      <c r="J8581" t="s">
        <v>2393</v>
      </c>
      <c r="M8581" s="49"/>
    </row>
    <row r="8582" spans="6:13" x14ac:dyDescent="0.25">
      <c r="F8582" t="s">
        <v>8464</v>
      </c>
      <c r="G8582">
        <v>65199</v>
      </c>
      <c r="H8582">
        <v>6414</v>
      </c>
      <c r="I8582" s="25" t="s">
        <v>2046</v>
      </c>
      <c r="J8582" t="s">
        <v>5827</v>
      </c>
      <c r="M8582" s="49"/>
    </row>
    <row r="8583" spans="6:13" x14ac:dyDescent="0.25">
      <c r="F8583" t="s">
        <v>8464</v>
      </c>
      <c r="G8583">
        <v>55246</v>
      </c>
      <c r="H8583">
        <v>6414</v>
      </c>
      <c r="I8583" s="25" t="s">
        <v>2046</v>
      </c>
      <c r="J8583" t="s">
        <v>5827</v>
      </c>
      <c r="M8583" s="49"/>
    </row>
    <row r="8584" spans="6:13" x14ac:dyDescent="0.25">
      <c r="F8584" t="s">
        <v>8464</v>
      </c>
      <c r="G8584">
        <v>65187</v>
      </c>
      <c r="H8584">
        <v>6414</v>
      </c>
      <c r="I8584" s="25" t="s">
        <v>2046</v>
      </c>
      <c r="J8584" t="s">
        <v>5827</v>
      </c>
      <c r="M8584" s="49"/>
    </row>
    <row r="8585" spans="6:13" x14ac:dyDescent="0.25">
      <c r="F8585" t="s">
        <v>8464</v>
      </c>
      <c r="G8585">
        <v>65201</v>
      </c>
      <c r="H8585">
        <v>6414</v>
      </c>
      <c r="I8585" s="25" t="s">
        <v>2046</v>
      </c>
      <c r="J8585" t="s">
        <v>5827</v>
      </c>
      <c r="M8585" s="49"/>
    </row>
    <row r="8586" spans="6:13" x14ac:dyDescent="0.25">
      <c r="F8586" t="s">
        <v>8464</v>
      </c>
      <c r="G8586">
        <v>65189</v>
      </c>
      <c r="H8586">
        <v>6414</v>
      </c>
      <c r="I8586" s="25" t="s">
        <v>2046</v>
      </c>
      <c r="J8586" t="s">
        <v>5827</v>
      </c>
      <c r="M8586" s="49"/>
    </row>
    <row r="8587" spans="6:13" x14ac:dyDescent="0.25">
      <c r="F8587" t="s">
        <v>8464</v>
      </c>
      <c r="G8587">
        <v>65197</v>
      </c>
      <c r="H8587">
        <v>6414</v>
      </c>
      <c r="I8587" s="25" t="s">
        <v>2046</v>
      </c>
      <c r="J8587" t="s">
        <v>5827</v>
      </c>
      <c r="M8587" s="49"/>
    </row>
    <row r="8588" spans="6:13" x14ac:dyDescent="0.25">
      <c r="F8588" t="s">
        <v>8464</v>
      </c>
      <c r="G8588">
        <v>65193</v>
      </c>
      <c r="H8588">
        <v>6414</v>
      </c>
      <c r="I8588" s="25" t="s">
        <v>2046</v>
      </c>
      <c r="J8588" t="s">
        <v>5827</v>
      </c>
      <c r="M8588" s="49"/>
    </row>
    <row r="8589" spans="6:13" x14ac:dyDescent="0.25">
      <c r="F8589" t="s">
        <v>8464</v>
      </c>
      <c r="G8589">
        <v>65195</v>
      </c>
      <c r="H8589">
        <v>6414</v>
      </c>
      <c r="I8589" s="25" t="s">
        <v>2046</v>
      </c>
      <c r="J8589" t="s">
        <v>5827</v>
      </c>
      <c r="M8589" s="49"/>
    </row>
    <row r="8590" spans="6:13" x14ac:dyDescent="0.25">
      <c r="F8590" t="s">
        <v>8464</v>
      </c>
      <c r="G8590">
        <v>65183</v>
      </c>
      <c r="H8590">
        <v>6414</v>
      </c>
      <c r="I8590" s="25" t="s">
        <v>2046</v>
      </c>
      <c r="J8590" t="s">
        <v>5827</v>
      </c>
      <c r="M8590" s="49"/>
    </row>
    <row r="8591" spans="6:13" x14ac:dyDescent="0.25">
      <c r="F8591" t="s">
        <v>8464</v>
      </c>
      <c r="G8591">
        <v>65185</v>
      </c>
      <c r="H8591">
        <v>6414</v>
      </c>
      <c r="I8591" s="25" t="s">
        <v>2046</v>
      </c>
      <c r="J8591" t="s">
        <v>5827</v>
      </c>
      <c r="M8591" s="49"/>
    </row>
    <row r="8592" spans="6:13" x14ac:dyDescent="0.25">
      <c r="F8592" t="s">
        <v>8464</v>
      </c>
      <c r="G8592">
        <v>65207</v>
      </c>
      <c r="H8592">
        <v>6414</v>
      </c>
      <c r="I8592" s="25" t="s">
        <v>2046</v>
      </c>
      <c r="J8592" t="s">
        <v>5827</v>
      </c>
      <c r="M8592" s="49"/>
    </row>
    <row r="8593" spans="6:13" x14ac:dyDescent="0.25">
      <c r="F8593" t="s">
        <v>8464</v>
      </c>
      <c r="G8593">
        <v>65205</v>
      </c>
      <c r="H8593">
        <v>6414</v>
      </c>
      <c r="I8593" s="25" t="s">
        <v>2046</v>
      </c>
      <c r="J8593" t="s">
        <v>5827</v>
      </c>
      <c r="M8593" s="49"/>
    </row>
    <row r="8594" spans="6:13" x14ac:dyDescent="0.25">
      <c r="F8594" t="s">
        <v>8464</v>
      </c>
      <c r="G8594">
        <v>65203</v>
      </c>
      <c r="H8594">
        <v>6414</v>
      </c>
      <c r="I8594" s="25" t="s">
        <v>2046</v>
      </c>
      <c r="J8594" t="s">
        <v>5827</v>
      </c>
      <c r="M8594" s="49"/>
    </row>
    <row r="8595" spans="6:13" x14ac:dyDescent="0.25">
      <c r="F8595" t="s">
        <v>8464</v>
      </c>
      <c r="G8595">
        <v>65191</v>
      </c>
      <c r="H8595">
        <v>6414</v>
      </c>
      <c r="I8595" s="25" t="s">
        <v>2046</v>
      </c>
      <c r="J8595" t="s">
        <v>5827</v>
      </c>
      <c r="M8595" s="49"/>
    </row>
    <row r="8596" spans="6:13" x14ac:dyDescent="0.25">
      <c r="F8596" t="s">
        <v>8465</v>
      </c>
      <c r="G8596">
        <v>63831</v>
      </c>
      <c r="H8596">
        <v>9671</v>
      </c>
      <c r="I8596" s="25" t="s">
        <v>2050</v>
      </c>
      <c r="J8596" t="s">
        <v>2453</v>
      </c>
      <c r="M8596" s="49"/>
    </row>
    <row r="8597" spans="6:13" x14ac:dyDescent="0.25">
      <c r="F8597" t="s">
        <v>8466</v>
      </c>
      <c r="G8597">
        <v>69257</v>
      </c>
      <c r="H8597">
        <v>8226</v>
      </c>
      <c r="I8597" s="25" t="s">
        <v>2018</v>
      </c>
      <c r="J8597" t="s">
        <v>2442</v>
      </c>
      <c r="M8597" s="49"/>
    </row>
    <row r="8598" spans="6:13" x14ac:dyDescent="0.25">
      <c r="F8598" t="s">
        <v>8466</v>
      </c>
      <c r="G8598">
        <v>86519</v>
      </c>
      <c r="H8598">
        <v>9774</v>
      </c>
      <c r="I8598" s="25" t="s">
        <v>2050</v>
      </c>
      <c r="J8598" t="s">
        <v>2205</v>
      </c>
      <c r="M8598" s="49"/>
    </row>
    <row r="8599" spans="6:13" x14ac:dyDescent="0.25">
      <c r="F8599" t="s">
        <v>8467</v>
      </c>
      <c r="G8599">
        <v>14827</v>
      </c>
      <c r="H8599">
        <v>12069</v>
      </c>
      <c r="I8599" s="25" t="s">
        <v>2356</v>
      </c>
      <c r="J8599" t="s">
        <v>2857</v>
      </c>
      <c r="M8599" s="49"/>
    </row>
    <row r="8600" spans="6:13" x14ac:dyDescent="0.25">
      <c r="F8600" t="s">
        <v>8468</v>
      </c>
      <c r="G8600">
        <v>94344</v>
      </c>
      <c r="H8600">
        <v>9278</v>
      </c>
      <c r="I8600" s="25" t="s">
        <v>2050</v>
      </c>
      <c r="J8600" t="s">
        <v>2170</v>
      </c>
      <c r="M8600" s="49"/>
    </row>
    <row r="8601" spans="6:13" x14ac:dyDescent="0.25">
      <c r="F8601" t="s">
        <v>8469</v>
      </c>
      <c r="G8601">
        <v>73349</v>
      </c>
      <c r="H8601">
        <v>8117</v>
      </c>
      <c r="I8601" s="25" t="s">
        <v>2018</v>
      </c>
      <c r="J8601" t="s">
        <v>2089</v>
      </c>
      <c r="M8601" s="49"/>
    </row>
    <row r="8602" spans="6:13" x14ac:dyDescent="0.25">
      <c r="F8602" t="s">
        <v>8470</v>
      </c>
      <c r="G8602">
        <v>93109</v>
      </c>
      <c r="H8602">
        <v>9375</v>
      </c>
      <c r="I8602" s="25" t="s">
        <v>2050</v>
      </c>
      <c r="J8602" t="s">
        <v>2365</v>
      </c>
      <c r="M8602" s="49"/>
    </row>
    <row r="8603" spans="6:13" x14ac:dyDescent="0.25">
      <c r="F8603" t="s">
        <v>8470</v>
      </c>
      <c r="G8603">
        <v>93109</v>
      </c>
      <c r="H8603">
        <v>9375</v>
      </c>
      <c r="I8603" s="25" t="s">
        <v>2050</v>
      </c>
      <c r="J8603" t="s">
        <v>2365</v>
      </c>
      <c r="M8603" s="49"/>
    </row>
    <row r="8604" spans="6:13" x14ac:dyDescent="0.25">
      <c r="F8604" t="s">
        <v>8471</v>
      </c>
      <c r="G8604">
        <v>91369</v>
      </c>
      <c r="H8604">
        <v>9474</v>
      </c>
      <c r="I8604" s="25" t="s">
        <v>2050</v>
      </c>
      <c r="J8604" t="s">
        <v>3692</v>
      </c>
      <c r="M8604" s="49"/>
    </row>
    <row r="8605" spans="6:13" x14ac:dyDescent="0.25">
      <c r="F8605" t="s">
        <v>8472</v>
      </c>
      <c r="G8605">
        <v>97353</v>
      </c>
      <c r="H8605">
        <v>9675</v>
      </c>
      <c r="I8605" s="25" t="s">
        <v>2050</v>
      </c>
      <c r="J8605" t="s">
        <v>2259</v>
      </c>
      <c r="M8605" s="49"/>
    </row>
    <row r="8606" spans="6:13" x14ac:dyDescent="0.25">
      <c r="F8606" t="s">
        <v>8473</v>
      </c>
      <c r="G8606">
        <v>91346</v>
      </c>
      <c r="H8606">
        <v>9474</v>
      </c>
      <c r="I8606" s="25" t="s">
        <v>2050</v>
      </c>
      <c r="J8606" t="s">
        <v>3692</v>
      </c>
      <c r="M8606" s="49"/>
    </row>
    <row r="8607" spans="6:13" x14ac:dyDescent="0.25">
      <c r="F8607" t="s">
        <v>8474</v>
      </c>
      <c r="G8607">
        <v>91632</v>
      </c>
      <c r="H8607">
        <v>9571</v>
      </c>
      <c r="I8607" s="25" t="s">
        <v>2050</v>
      </c>
      <c r="J8607" t="s">
        <v>2113</v>
      </c>
      <c r="M8607" s="49"/>
    </row>
    <row r="8608" spans="6:13" x14ac:dyDescent="0.25">
      <c r="F8608" t="s">
        <v>8475</v>
      </c>
      <c r="G8608">
        <v>69168</v>
      </c>
      <c r="H8608">
        <v>8226</v>
      </c>
      <c r="I8608" s="25" t="s">
        <v>2018</v>
      </c>
      <c r="J8608" t="s">
        <v>2442</v>
      </c>
      <c r="M8608" s="49"/>
    </row>
    <row r="8609" spans="6:13" x14ac:dyDescent="0.25">
      <c r="F8609" t="s">
        <v>8476</v>
      </c>
      <c r="G8609">
        <v>26639</v>
      </c>
      <c r="H8609">
        <v>3452</v>
      </c>
      <c r="I8609" s="25" t="s">
        <v>2074</v>
      </c>
      <c r="J8609" t="s">
        <v>2034</v>
      </c>
      <c r="M8609" s="49"/>
    </row>
    <row r="8610" spans="6:13" x14ac:dyDescent="0.25">
      <c r="F8610" t="s">
        <v>8477</v>
      </c>
      <c r="G8610">
        <v>97859</v>
      </c>
      <c r="H8610">
        <v>9677</v>
      </c>
      <c r="I8610" s="25" t="s">
        <v>2050</v>
      </c>
      <c r="J8610" t="s">
        <v>2527</v>
      </c>
      <c r="M8610" s="49"/>
    </row>
    <row r="8611" spans="6:13" x14ac:dyDescent="0.25">
      <c r="F8611" t="s">
        <v>8478</v>
      </c>
      <c r="G8611">
        <v>49835</v>
      </c>
      <c r="H8611">
        <v>3456</v>
      </c>
      <c r="I8611" s="25" t="s">
        <v>2074</v>
      </c>
      <c r="J8611" t="s">
        <v>2156</v>
      </c>
      <c r="M8611" s="49"/>
    </row>
    <row r="8612" spans="6:13" x14ac:dyDescent="0.25">
      <c r="F8612" t="s">
        <v>8479</v>
      </c>
      <c r="G8612">
        <v>29323</v>
      </c>
      <c r="H8612">
        <v>3351</v>
      </c>
      <c r="I8612" s="25" t="s">
        <v>2074</v>
      </c>
      <c r="J8612" t="s">
        <v>2096</v>
      </c>
      <c r="M8612" s="49"/>
    </row>
    <row r="8613" spans="6:13" x14ac:dyDescent="0.25">
      <c r="F8613" t="s">
        <v>8480</v>
      </c>
      <c r="G8613">
        <v>31613</v>
      </c>
      <c r="H8613">
        <v>3256</v>
      </c>
      <c r="I8613" s="25" t="s">
        <v>2074</v>
      </c>
      <c r="J8613" t="s">
        <v>2271</v>
      </c>
      <c r="M8613" s="49"/>
    </row>
    <row r="8614" spans="6:13" x14ac:dyDescent="0.25">
      <c r="F8614" t="s">
        <v>8481</v>
      </c>
      <c r="G8614">
        <v>29649</v>
      </c>
      <c r="H8614">
        <v>3358</v>
      </c>
      <c r="I8614" s="25" t="s">
        <v>2074</v>
      </c>
      <c r="J8614" t="s">
        <v>2371</v>
      </c>
      <c r="M8614" s="49"/>
    </row>
    <row r="8615" spans="6:13" x14ac:dyDescent="0.25">
      <c r="F8615" t="s">
        <v>8482</v>
      </c>
      <c r="G8615">
        <v>87487</v>
      </c>
      <c r="H8615">
        <v>9780</v>
      </c>
      <c r="I8615" s="25" t="s">
        <v>2050</v>
      </c>
      <c r="J8615" t="s">
        <v>2278</v>
      </c>
      <c r="M8615" s="49"/>
    </row>
    <row r="8616" spans="6:13" x14ac:dyDescent="0.25">
      <c r="F8616" t="s">
        <v>8483</v>
      </c>
      <c r="G8616">
        <v>91634</v>
      </c>
      <c r="H8616">
        <v>9571</v>
      </c>
      <c r="I8616" s="25" t="s">
        <v>2050</v>
      </c>
      <c r="J8616" t="s">
        <v>2113</v>
      </c>
      <c r="M8616" s="49"/>
    </row>
    <row r="8617" spans="6:13" x14ac:dyDescent="0.25">
      <c r="F8617" t="s">
        <v>8484</v>
      </c>
      <c r="G8617">
        <v>15745</v>
      </c>
      <c r="H8617">
        <v>12061</v>
      </c>
      <c r="I8617" s="25" t="s">
        <v>2356</v>
      </c>
      <c r="J8617" t="s">
        <v>3033</v>
      </c>
      <c r="M8617" s="49"/>
    </row>
    <row r="8618" spans="6:13" x14ac:dyDescent="0.25">
      <c r="F8618" t="s">
        <v>8485</v>
      </c>
      <c r="G8618">
        <v>72218</v>
      </c>
      <c r="H8618">
        <v>8235</v>
      </c>
      <c r="I8618" s="25" t="s">
        <v>2018</v>
      </c>
      <c r="J8618" t="s">
        <v>2422</v>
      </c>
      <c r="M8618" s="49"/>
    </row>
    <row r="8619" spans="6:13" x14ac:dyDescent="0.25">
      <c r="F8619" t="s">
        <v>8486</v>
      </c>
      <c r="G8619">
        <v>36208</v>
      </c>
      <c r="H8619">
        <v>6632</v>
      </c>
      <c r="I8619" s="25" t="s">
        <v>2046</v>
      </c>
      <c r="J8619" t="s">
        <v>2303</v>
      </c>
      <c r="M8619" s="49"/>
    </row>
    <row r="8620" spans="6:13" x14ac:dyDescent="0.25">
      <c r="F8620" t="s">
        <v>8487</v>
      </c>
      <c r="G8620">
        <v>38709</v>
      </c>
      <c r="H8620">
        <v>3153</v>
      </c>
      <c r="I8620" s="25" t="s">
        <v>2074</v>
      </c>
      <c r="J8620" t="s">
        <v>2152</v>
      </c>
      <c r="M8620" s="49"/>
    </row>
    <row r="8621" spans="6:13" x14ac:dyDescent="0.25">
      <c r="F8621" t="s">
        <v>8488</v>
      </c>
      <c r="G8621">
        <v>93359</v>
      </c>
      <c r="H8621">
        <v>9273</v>
      </c>
      <c r="I8621" s="25" t="s">
        <v>2050</v>
      </c>
      <c r="J8621" t="s">
        <v>2054</v>
      </c>
      <c r="M8621" s="49"/>
    </row>
    <row r="8622" spans="6:13" x14ac:dyDescent="0.25">
      <c r="F8622" t="s">
        <v>8489</v>
      </c>
      <c r="G8622">
        <v>56283</v>
      </c>
      <c r="H8622">
        <v>7137</v>
      </c>
      <c r="I8622" s="25" t="s">
        <v>2123</v>
      </c>
      <c r="J8622" t="s">
        <v>2246</v>
      </c>
      <c r="M8622" s="49"/>
    </row>
    <row r="8623" spans="6:13" x14ac:dyDescent="0.25">
      <c r="F8623" t="s">
        <v>8489</v>
      </c>
      <c r="G8623">
        <v>56283</v>
      </c>
      <c r="H8623">
        <v>7137</v>
      </c>
      <c r="I8623" s="25" t="s">
        <v>2123</v>
      </c>
      <c r="J8623" t="s">
        <v>2246</v>
      </c>
      <c r="M8623" s="49"/>
    </row>
    <row r="8624" spans="6:13" x14ac:dyDescent="0.25">
      <c r="F8624" t="s">
        <v>8489</v>
      </c>
      <c r="G8624">
        <v>56283</v>
      </c>
      <c r="H8624">
        <v>7140</v>
      </c>
      <c r="I8624" s="25" t="s">
        <v>2123</v>
      </c>
      <c r="J8624" t="s">
        <v>2329</v>
      </c>
      <c r="M8624" s="49"/>
    </row>
    <row r="8625" spans="6:13" x14ac:dyDescent="0.25">
      <c r="F8625" t="s">
        <v>8489</v>
      </c>
      <c r="G8625">
        <v>56283</v>
      </c>
      <c r="H8625">
        <v>7140</v>
      </c>
      <c r="I8625" s="25" t="s">
        <v>2123</v>
      </c>
      <c r="J8625" t="s">
        <v>2329</v>
      </c>
      <c r="M8625" s="49"/>
    </row>
    <row r="8626" spans="6:13" x14ac:dyDescent="0.25">
      <c r="F8626" t="s">
        <v>8490</v>
      </c>
      <c r="G8626">
        <v>27793</v>
      </c>
      <c r="H8626">
        <v>3458</v>
      </c>
      <c r="I8626" s="25" t="s">
        <v>2074</v>
      </c>
      <c r="J8626" t="s">
        <v>2285</v>
      </c>
      <c r="M8626" s="49"/>
    </row>
    <row r="8627" spans="6:13" x14ac:dyDescent="0.25">
      <c r="F8627" t="s">
        <v>8491</v>
      </c>
      <c r="G8627">
        <v>97772</v>
      </c>
      <c r="H8627">
        <v>9672</v>
      </c>
      <c r="I8627" s="25" t="s">
        <v>2050</v>
      </c>
      <c r="J8627" t="s">
        <v>2620</v>
      </c>
      <c r="M8627" s="49"/>
    </row>
    <row r="8628" spans="6:13" x14ac:dyDescent="0.25">
      <c r="F8628" t="s">
        <v>8492</v>
      </c>
      <c r="G8628">
        <v>87499</v>
      </c>
      <c r="H8628">
        <v>9780</v>
      </c>
      <c r="I8628" s="25" t="s">
        <v>2050</v>
      </c>
      <c r="J8628" t="s">
        <v>2278</v>
      </c>
      <c r="M8628" s="49"/>
    </row>
    <row r="8629" spans="6:13" x14ac:dyDescent="0.25">
      <c r="F8629" t="s">
        <v>8493</v>
      </c>
      <c r="G8629">
        <v>82409</v>
      </c>
      <c r="H8629">
        <v>9190</v>
      </c>
      <c r="I8629" s="25" t="s">
        <v>2050</v>
      </c>
      <c r="J8629" t="s">
        <v>2417</v>
      </c>
      <c r="M8629" s="49"/>
    </row>
    <row r="8630" spans="6:13" x14ac:dyDescent="0.25">
      <c r="F8630" t="s">
        <v>8494</v>
      </c>
      <c r="G8630">
        <v>76848</v>
      </c>
      <c r="H8630">
        <v>7340</v>
      </c>
      <c r="I8630" s="25" t="s">
        <v>2123</v>
      </c>
      <c r="J8630" t="s">
        <v>2826</v>
      </c>
      <c r="M8630" s="49"/>
    </row>
    <row r="8631" spans="6:13" x14ac:dyDescent="0.25">
      <c r="F8631" t="s">
        <v>8494</v>
      </c>
      <c r="G8631">
        <v>76848</v>
      </c>
      <c r="H8631">
        <v>7340</v>
      </c>
      <c r="I8631" s="25" t="s">
        <v>2123</v>
      </c>
      <c r="J8631" t="s">
        <v>2826</v>
      </c>
      <c r="M8631" s="49"/>
    </row>
    <row r="8632" spans="6:13" x14ac:dyDescent="0.25">
      <c r="F8632" t="s">
        <v>8495</v>
      </c>
      <c r="G8632">
        <v>88271</v>
      </c>
      <c r="H8632">
        <v>8436</v>
      </c>
      <c r="I8632" s="25" t="s">
        <v>2018</v>
      </c>
      <c r="J8632" t="s">
        <v>2068</v>
      </c>
      <c r="M8632" s="49"/>
    </row>
    <row r="8633" spans="6:13" x14ac:dyDescent="0.25">
      <c r="F8633" t="s">
        <v>8495</v>
      </c>
      <c r="G8633">
        <v>91489</v>
      </c>
      <c r="H8633">
        <v>9575</v>
      </c>
      <c r="I8633" s="25" t="s">
        <v>2050</v>
      </c>
      <c r="J8633" t="s">
        <v>2749</v>
      </c>
      <c r="M8633" s="49"/>
    </row>
    <row r="8634" spans="6:13" x14ac:dyDescent="0.25">
      <c r="F8634" t="s">
        <v>8496</v>
      </c>
      <c r="G8634">
        <v>69259</v>
      </c>
      <c r="H8634">
        <v>8226</v>
      </c>
      <c r="I8634" s="25" t="s">
        <v>2018</v>
      </c>
      <c r="J8634" t="s">
        <v>2442</v>
      </c>
      <c r="M8634" s="49"/>
    </row>
    <row r="8635" spans="6:13" x14ac:dyDescent="0.25">
      <c r="F8635" t="s">
        <v>8497</v>
      </c>
      <c r="G8635">
        <v>26382</v>
      </c>
      <c r="H8635">
        <v>3405</v>
      </c>
      <c r="I8635" s="25" t="s">
        <v>2074</v>
      </c>
      <c r="J8635" t="s">
        <v>2430</v>
      </c>
      <c r="M8635" s="49"/>
    </row>
    <row r="8636" spans="6:13" x14ac:dyDescent="0.25">
      <c r="F8636" t="s">
        <v>8497</v>
      </c>
      <c r="G8636">
        <v>26384</v>
      </c>
      <c r="H8636">
        <v>3405</v>
      </c>
      <c r="I8636" s="25" t="s">
        <v>2074</v>
      </c>
      <c r="J8636" t="s">
        <v>2430</v>
      </c>
      <c r="M8636" s="49"/>
    </row>
    <row r="8637" spans="6:13" x14ac:dyDescent="0.25">
      <c r="F8637" t="s">
        <v>8497</v>
      </c>
      <c r="G8637">
        <v>26388</v>
      </c>
      <c r="H8637">
        <v>3405</v>
      </c>
      <c r="I8637" s="25" t="s">
        <v>2074</v>
      </c>
      <c r="J8637" t="s">
        <v>2430</v>
      </c>
      <c r="M8637" s="49"/>
    </row>
    <row r="8638" spans="6:13" x14ac:dyDescent="0.25">
      <c r="F8638" t="s">
        <v>8497</v>
      </c>
      <c r="G8638">
        <v>26386</v>
      </c>
      <c r="H8638">
        <v>3405</v>
      </c>
      <c r="I8638" s="25" t="s">
        <v>2074</v>
      </c>
      <c r="J8638" t="s">
        <v>2430</v>
      </c>
      <c r="M8638" s="49"/>
    </row>
    <row r="8639" spans="6:13" x14ac:dyDescent="0.25">
      <c r="F8639" t="s">
        <v>8497</v>
      </c>
      <c r="G8639">
        <v>26389</v>
      </c>
      <c r="H8639">
        <v>3405</v>
      </c>
      <c r="I8639" s="25" t="s">
        <v>2074</v>
      </c>
      <c r="J8639" t="s">
        <v>2430</v>
      </c>
      <c r="M8639" s="49"/>
    </row>
    <row r="8640" spans="6:13" x14ac:dyDescent="0.25">
      <c r="F8640" t="s">
        <v>8498</v>
      </c>
      <c r="G8640">
        <v>96352</v>
      </c>
      <c r="H8640">
        <v>9476</v>
      </c>
      <c r="I8640" s="25" t="s">
        <v>2050</v>
      </c>
      <c r="J8640" t="s">
        <v>5435</v>
      </c>
      <c r="M8640" s="49"/>
    </row>
    <row r="8641" spans="6:13" x14ac:dyDescent="0.25">
      <c r="F8641" t="s">
        <v>8499</v>
      </c>
      <c r="G8641">
        <v>91452</v>
      </c>
      <c r="H8641">
        <v>9573</v>
      </c>
      <c r="I8641" s="25" t="s">
        <v>2050</v>
      </c>
      <c r="J8641" t="s">
        <v>2466</v>
      </c>
      <c r="M8641" s="49"/>
    </row>
    <row r="8642" spans="6:13" x14ac:dyDescent="0.25">
      <c r="F8642" t="s">
        <v>8500</v>
      </c>
      <c r="G8642">
        <v>8112</v>
      </c>
      <c r="H8642">
        <v>14524</v>
      </c>
      <c r="I8642" s="25" t="s">
        <v>2135</v>
      </c>
      <c r="J8642" t="s">
        <v>3424</v>
      </c>
      <c r="M8642" s="49"/>
    </row>
    <row r="8643" spans="6:13" x14ac:dyDescent="0.25">
      <c r="F8643" t="s">
        <v>8501</v>
      </c>
      <c r="G8643">
        <v>34439</v>
      </c>
      <c r="H8643">
        <v>5762</v>
      </c>
      <c r="I8643" s="25" t="s">
        <v>2023</v>
      </c>
      <c r="J8643" t="s">
        <v>2203</v>
      </c>
      <c r="M8643" s="49"/>
    </row>
    <row r="8644" spans="6:13" x14ac:dyDescent="0.25">
      <c r="F8644" t="s">
        <v>8502</v>
      </c>
      <c r="G8644">
        <v>47877</v>
      </c>
      <c r="H8644">
        <v>5166</v>
      </c>
      <c r="I8644" s="25" t="s">
        <v>2023</v>
      </c>
      <c r="J8644" t="s">
        <v>2412</v>
      </c>
      <c r="M8644" s="49"/>
    </row>
    <row r="8645" spans="6:13" x14ac:dyDescent="0.25">
      <c r="F8645" t="s">
        <v>8503</v>
      </c>
      <c r="G8645">
        <v>34508</v>
      </c>
      <c r="H8645">
        <v>6635</v>
      </c>
      <c r="I8645" s="25" t="s">
        <v>2046</v>
      </c>
      <c r="J8645" t="s">
        <v>2308</v>
      </c>
      <c r="M8645" s="49"/>
    </row>
    <row r="8646" spans="6:13" x14ac:dyDescent="0.25">
      <c r="F8646" t="s">
        <v>8504</v>
      </c>
      <c r="G8646">
        <v>34628</v>
      </c>
      <c r="H8646">
        <v>6634</v>
      </c>
      <c r="I8646" s="25" t="s">
        <v>2046</v>
      </c>
      <c r="J8646" t="s">
        <v>2360</v>
      </c>
      <c r="M8646" s="49"/>
    </row>
    <row r="8647" spans="6:13" x14ac:dyDescent="0.25">
      <c r="F8647" t="s">
        <v>8505</v>
      </c>
      <c r="G8647">
        <v>93497</v>
      </c>
      <c r="H8647">
        <v>9372</v>
      </c>
      <c r="I8647" s="25" t="s">
        <v>2050</v>
      </c>
      <c r="J8647" t="s">
        <v>2523</v>
      </c>
      <c r="M8647" s="49"/>
    </row>
    <row r="8648" spans="6:13" x14ac:dyDescent="0.25">
      <c r="F8648" t="s">
        <v>8506</v>
      </c>
      <c r="G8648">
        <v>56594</v>
      </c>
      <c r="H8648">
        <v>7132</v>
      </c>
      <c r="I8648" s="25" t="s">
        <v>2123</v>
      </c>
      <c r="J8648" t="s">
        <v>2401</v>
      </c>
      <c r="M8648" s="49"/>
    </row>
    <row r="8649" spans="6:13" x14ac:dyDescent="0.25">
      <c r="F8649" t="s">
        <v>8507</v>
      </c>
      <c r="G8649">
        <v>77731</v>
      </c>
      <c r="H8649">
        <v>8317</v>
      </c>
      <c r="I8649" s="25" t="s">
        <v>2018</v>
      </c>
      <c r="J8649" t="s">
        <v>2071</v>
      </c>
      <c r="M8649" s="49"/>
    </row>
    <row r="8650" spans="6:13" x14ac:dyDescent="0.25">
      <c r="F8650" t="s">
        <v>8508</v>
      </c>
      <c r="G8650">
        <v>57234</v>
      </c>
      <c r="H8650">
        <v>5970</v>
      </c>
      <c r="I8650" s="25" t="s">
        <v>2023</v>
      </c>
      <c r="J8650" t="s">
        <v>2366</v>
      </c>
      <c r="M8650" s="49"/>
    </row>
    <row r="8651" spans="6:13" x14ac:dyDescent="0.25">
      <c r="F8651" t="s">
        <v>8509</v>
      </c>
      <c r="G8651">
        <v>1723</v>
      </c>
      <c r="H8651">
        <v>14628</v>
      </c>
      <c r="I8651" s="25" t="s">
        <v>2135</v>
      </c>
      <c r="J8651" t="s">
        <v>2347</v>
      </c>
      <c r="M8651" s="49"/>
    </row>
    <row r="8652" spans="6:13" x14ac:dyDescent="0.25">
      <c r="F8652" t="s">
        <v>8510</v>
      </c>
      <c r="G8652">
        <v>25554</v>
      </c>
      <c r="H8652">
        <v>1061</v>
      </c>
      <c r="I8652" s="25" t="s">
        <v>2085</v>
      </c>
      <c r="J8652" t="s">
        <v>2377</v>
      </c>
      <c r="M8652" s="49"/>
    </row>
    <row r="8653" spans="6:13" x14ac:dyDescent="0.25">
      <c r="F8653" t="s">
        <v>8511</v>
      </c>
      <c r="G8653">
        <v>49849</v>
      </c>
      <c r="H8653">
        <v>3456</v>
      </c>
      <c r="I8653" s="25" t="s">
        <v>2074</v>
      </c>
      <c r="J8653" t="s">
        <v>2156</v>
      </c>
      <c r="M8653" s="49"/>
    </row>
    <row r="8654" spans="6:13" x14ac:dyDescent="0.25">
      <c r="F8654" t="s">
        <v>8512</v>
      </c>
      <c r="G8654">
        <v>2681</v>
      </c>
      <c r="H8654">
        <v>14625</v>
      </c>
      <c r="I8654" s="25" t="s">
        <v>2135</v>
      </c>
      <c r="J8654" t="s">
        <v>2041</v>
      </c>
      <c r="M8654" s="49"/>
    </row>
    <row r="8655" spans="6:13" x14ac:dyDescent="0.25">
      <c r="F8655" t="s">
        <v>8513</v>
      </c>
      <c r="G8655">
        <v>54459</v>
      </c>
      <c r="H8655">
        <v>7235</v>
      </c>
      <c r="I8655" s="25" t="s">
        <v>2123</v>
      </c>
      <c r="J8655" t="s">
        <v>2395</v>
      </c>
      <c r="M8655" s="49"/>
    </row>
    <row r="8656" spans="6:13" x14ac:dyDescent="0.25">
      <c r="F8656" t="s">
        <v>8514</v>
      </c>
      <c r="G8656">
        <v>71299</v>
      </c>
      <c r="H8656">
        <v>8236</v>
      </c>
      <c r="I8656" s="25" t="s">
        <v>2018</v>
      </c>
      <c r="J8656" t="s">
        <v>3087</v>
      </c>
      <c r="M8656" s="49"/>
    </row>
    <row r="8657" spans="6:13" x14ac:dyDescent="0.25">
      <c r="F8657" t="s">
        <v>8515</v>
      </c>
      <c r="G8657">
        <v>54457</v>
      </c>
      <c r="H8657">
        <v>7235</v>
      </c>
      <c r="I8657" s="25" t="s">
        <v>2123</v>
      </c>
      <c r="J8657" t="s">
        <v>2395</v>
      </c>
      <c r="M8657" s="49"/>
    </row>
    <row r="8658" spans="6:13" x14ac:dyDescent="0.25">
      <c r="F8658" t="s">
        <v>8516</v>
      </c>
      <c r="G8658">
        <v>86949</v>
      </c>
      <c r="H8658">
        <v>9181</v>
      </c>
      <c r="I8658" s="25" t="s">
        <v>2050</v>
      </c>
      <c r="J8658" t="s">
        <v>2505</v>
      </c>
      <c r="M8658" s="49"/>
    </row>
    <row r="8659" spans="6:13" x14ac:dyDescent="0.25">
      <c r="F8659" t="s">
        <v>8517</v>
      </c>
      <c r="G8659">
        <v>25729</v>
      </c>
      <c r="H8659">
        <v>1051</v>
      </c>
      <c r="I8659" s="25" t="s">
        <v>2085</v>
      </c>
      <c r="J8659" t="s">
        <v>2097</v>
      </c>
      <c r="M8659" s="49"/>
    </row>
    <row r="8660" spans="6:13" x14ac:dyDescent="0.25">
      <c r="F8660" t="s">
        <v>8518</v>
      </c>
      <c r="G8660">
        <v>51570</v>
      </c>
      <c r="H8660">
        <v>5382</v>
      </c>
      <c r="I8660" s="25" t="s">
        <v>2023</v>
      </c>
      <c r="J8660" t="s">
        <v>2298</v>
      </c>
      <c r="M8660" s="49"/>
    </row>
    <row r="8661" spans="6:13" x14ac:dyDescent="0.25">
      <c r="F8661" t="s">
        <v>8519</v>
      </c>
      <c r="G8661">
        <v>91635</v>
      </c>
      <c r="H8661">
        <v>9571</v>
      </c>
      <c r="I8661" s="25" t="s">
        <v>2050</v>
      </c>
      <c r="J8661" t="s">
        <v>2113</v>
      </c>
      <c r="M8661" s="49"/>
    </row>
    <row r="8662" spans="6:13" x14ac:dyDescent="0.25">
      <c r="F8662" t="s">
        <v>8520</v>
      </c>
      <c r="G8662">
        <v>79297</v>
      </c>
      <c r="H8662">
        <v>8316</v>
      </c>
      <c r="I8662" s="25" t="s">
        <v>2018</v>
      </c>
      <c r="J8662" t="s">
        <v>2764</v>
      </c>
      <c r="M8662" s="49"/>
    </row>
    <row r="8663" spans="6:13" x14ac:dyDescent="0.25">
      <c r="F8663" t="s">
        <v>8521</v>
      </c>
      <c r="G8663">
        <v>53578</v>
      </c>
      <c r="H8663">
        <v>7138</v>
      </c>
      <c r="I8663" s="25" t="s">
        <v>2123</v>
      </c>
      <c r="J8663" t="s">
        <v>2489</v>
      </c>
      <c r="M8663" s="49"/>
    </row>
    <row r="8664" spans="6:13" x14ac:dyDescent="0.25">
      <c r="F8664" t="s">
        <v>8522</v>
      </c>
      <c r="G8664">
        <v>92670</v>
      </c>
      <c r="H8664">
        <v>9374</v>
      </c>
      <c r="I8664" s="25" t="s">
        <v>2050</v>
      </c>
      <c r="J8664" t="s">
        <v>2420</v>
      </c>
      <c r="M8664" s="49"/>
    </row>
    <row r="8665" spans="6:13" x14ac:dyDescent="0.25">
      <c r="F8665" t="s">
        <v>8523</v>
      </c>
      <c r="G8665">
        <v>94575</v>
      </c>
      <c r="H8665">
        <v>9275</v>
      </c>
      <c r="I8665" s="25" t="s">
        <v>2050</v>
      </c>
      <c r="J8665" t="s">
        <v>2198</v>
      </c>
      <c r="M8665" s="49"/>
    </row>
    <row r="8666" spans="6:13" x14ac:dyDescent="0.25">
      <c r="F8666" t="s">
        <v>8524</v>
      </c>
      <c r="G8666">
        <v>91575</v>
      </c>
      <c r="H8666">
        <v>9571</v>
      </c>
      <c r="I8666" s="25" t="s">
        <v>2050</v>
      </c>
      <c r="J8666" t="s">
        <v>2113</v>
      </c>
      <c r="M8666" s="49"/>
    </row>
    <row r="8667" spans="6:13" x14ac:dyDescent="0.25">
      <c r="F8667" t="s">
        <v>8525</v>
      </c>
      <c r="G8667">
        <v>21789</v>
      </c>
      <c r="H8667">
        <v>3352</v>
      </c>
      <c r="I8667" s="25" t="s">
        <v>2074</v>
      </c>
      <c r="J8667" t="s">
        <v>2079</v>
      </c>
      <c r="M8667" s="49"/>
    </row>
    <row r="8668" spans="6:13" x14ac:dyDescent="0.25">
      <c r="F8668" t="s">
        <v>8526</v>
      </c>
      <c r="G8668">
        <v>84543</v>
      </c>
      <c r="H8668">
        <v>9171</v>
      </c>
      <c r="I8668" s="25" t="s">
        <v>2050</v>
      </c>
      <c r="J8668" t="s">
        <v>2446</v>
      </c>
      <c r="M8668" s="49"/>
    </row>
    <row r="8669" spans="6:13" x14ac:dyDescent="0.25">
      <c r="F8669" t="s">
        <v>8527</v>
      </c>
      <c r="G8669">
        <v>90610</v>
      </c>
      <c r="H8669">
        <v>9574</v>
      </c>
      <c r="I8669" s="25" t="s">
        <v>2050</v>
      </c>
      <c r="J8669" t="s">
        <v>2291</v>
      </c>
      <c r="M8669" s="49"/>
    </row>
    <row r="8670" spans="6:13" x14ac:dyDescent="0.25">
      <c r="F8670" t="s">
        <v>8528</v>
      </c>
      <c r="G8670">
        <v>92559</v>
      </c>
      <c r="H8670">
        <v>9376</v>
      </c>
      <c r="I8670" s="25" t="s">
        <v>2050</v>
      </c>
      <c r="J8670" t="s">
        <v>2390</v>
      </c>
      <c r="M8670" s="49"/>
    </row>
    <row r="8671" spans="6:13" x14ac:dyDescent="0.25">
      <c r="F8671" t="s">
        <v>8529</v>
      </c>
      <c r="G8671">
        <v>71364</v>
      </c>
      <c r="H8671">
        <v>8119</v>
      </c>
      <c r="I8671" s="25" t="s">
        <v>2018</v>
      </c>
      <c r="J8671" t="s">
        <v>2287</v>
      </c>
      <c r="M8671" s="49"/>
    </row>
    <row r="8672" spans="6:13" x14ac:dyDescent="0.25">
      <c r="F8672" t="s">
        <v>8530</v>
      </c>
      <c r="G8672">
        <v>25887</v>
      </c>
      <c r="H8672">
        <v>1054</v>
      </c>
      <c r="I8672" s="25" t="s">
        <v>2085</v>
      </c>
      <c r="J8672" t="s">
        <v>2195</v>
      </c>
      <c r="M8672" s="49"/>
    </row>
    <row r="8673" spans="6:13" x14ac:dyDescent="0.25">
      <c r="F8673" t="s">
        <v>8531</v>
      </c>
      <c r="G8673">
        <v>56333</v>
      </c>
      <c r="H8673">
        <v>7137</v>
      </c>
      <c r="I8673" s="25" t="s">
        <v>2123</v>
      </c>
      <c r="J8673" t="s">
        <v>2246</v>
      </c>
      <c r="M8673" s="49"/>
    </row>
    <row r="8674" spans="6:13" x14ac:dyDescent="0.25">
      <c r="F8674" t="s">
        <v>8532</v>
      </c>
      <c r="G8674">
        <v>67722</v>
      </c>
      <c r="H8674">
        <v>7333</v>
      </c>
      <c r="I8674" s="25" t="s">
        <v>2123</v>
      </c>
      <c r="J8674" t="s">
        <v>2103</v>
      </c>
      <c r="M8674" s="49"/>
    </row>
    <row r="8675" spans="6:13" x14ac:dyDescent="0.25">
      <c r="F8675" t="s">
        <v>8533</v>
      </c>
      <c r="G8675">
        <v>21423</v>
      </c>
      <c r="H8675">
        <v>3353</v>
      </c>
      <c r="I8675" s="25" t="s">
        <v>2074</v>
      </c>
      <c r="J8675" t="s">
        <v>2176</v>
      </c>
      <c r="M8675" s="49"/>
    </row>
    <row r="8676" spans="6:13" x14ac:dyDescent="0.25">
      <c r="F8676" t="s">
        <v>8533</v>
      </c>
      <c r="G8676">
        <v>21423</v>
      </c>
      <c r="H8676">
        <v>3353</v>
      </c>
      <c r="I8676" s="25" t="s">
        <v>2074</v>
      </c>
      <c r="J8676" t="s">
        <v>2176</v>
      </c>
      <c r="M8676" s="49"/>
    </row>
    <row r="8677" spans="6:13" x14ac:dyDescent="0.25">
      <c r="F8677" t="s">
        <v>8533</v>
      </c>
      <c r="G8677">
        <v>21423</v>
      </c>
      <c r="H8677">
        <v>3353</v>
      </c>
      <c r="I8677" s="25" t="s">
        <v>2074</v>
      </c>
      <c r="J8677" t="s">
        <v>2176</v>
      </c>
      <c r="M8677" s="49"/>
    </row>
    <row r="8678" spans="6:13" x14ac:dyDescent="0.25">
      <c r="F8678" t="s">
        <v>8534</v>
      </c>
      <c r="G8678">
        <v>29308</v>
      </c>
      <c r="H8678">
        <v>3351</v>
      </c>
      <c r="I8678" s="25" t="s">
        <v>2074</v>
      </c>
      <c r="J8678" t="s">
        <v>2096</v>
      </c>
      <c r="M8678" s="49"/>
    </row>
    <row r="8679" spans="6:13" x14ac:dyDescent="0.25">
      <c r="F8679" t="s">
        <v>8535</v>
      </c>
      <c r="G8679">
        <v>73650</v>
      </c>
      <c r="H8679">
        <v>8119</v>
      </c>
      <c r="I8679" s="25" t="s">
        <v>2018</v>
      </c>
      <c r="J8679" t="s">
        <v>2287</v>
      </c>
      <c r="M8679" s="49"/>
    </row>
    <row r="8680" spans="6:13" x14ac:dyDescent="0.25">
      <c r="F8680" t="s">
        <v>8535</v>
      </c>
      <c r="G8680">
        <v>89368</v>
      </c>
      <c r="H8680">
        <v>9774</v>
      </c>
      <c r="I8680" s="25" t="s">
        <v>2050</v>
      </c>
      <c r="J8680" t="s">
        <v>2205</v>
      </c>
      <c r="M8680" s="49"/>
    </row>
    <row r="8681" spans="6:13" x14ac:dyDescent="0.25">
      <c r="F8681" t="s">
        <v>8536</v>
      </c>
      <c r="G8681">
        <v>59955</v>
      </c>
      <c r="H8681">
        <v>5958</v>
      </c>
      <c r="I8681" s="25" t="s">
        <v>2023</v>
      </c>
      <c r="J8681" t="s">
        <v>2199</v>
      </c>
      <c r="M8681" s="49"/>
    </row>
    <row r="8682" spans="6:13" x14ac:dyDescent="0.25">
      <c r="F8682" t="s">
        <v>8537</v>
      </c>
      <c r="G8682">
        <v>67822</v>
      </c>
      <c r="H8682">
        <v>7333</v>
      </c>
      <c r="I8682" s="25" t="s">
        <v>2123</v>
      </c>
      <c r="J8682" t="s">
        <v>2103</v>
      </c>
      <c r="M8682" s="49"/>
    </row>
    <row r="8683" spans="6:13" x14ac:dyDescent="0.25">
      <c r="F8683" t="s">
        <v>8537</v>
      </c>
      <c r="G8683">
        <v>67822</v>
      </c>
      <c r="H8683">
        <v>7333</v>
      </c>
      <c r="I8683" s="25" t="s">
        <v>2123</v>
      </c>
      <c r="J8683" t="s">
        <v>2103</v>
      </c>
      <c r="M8683" s="49"/>
    </row>
    <row r="8684" spans="6:13" x14ac:dyDescent="0.25">
      <c r="F8684" t="s">
        <v>8537</v>
      </c>
      <c r="G8684">
        <v>67822</v>
      </c>
      <c r="H8684">
        <v>7333</v>
      </c>
      <c r="I8684" s="25" t="s">
        <v>2123</v>
      </c>
      <c r="J8684" t="s">
        <v>2103</v>
      </c>
      <c r="M8684" s="49"/>
    </row>
    <row r="8685" spans="6:13" x14ac:dyDescent="0.25">
      <c r="F8685" t="s">
        <v>8538</v>
      </c>
      <c r="G8685">
        <v>97286</v>
      </c>
      <c r="H8685">
        <v>9679</v>
      </c>
      <c r="I8685" s="25" t="s">
        <v>2050</v>
      </c>
      <c r="J8685" t="s">
        <v>2428</v>
      </c>
      <c r="M8685" s="49"/>
    </row>
    <row r="8686" spans="6:13" x14ac:dyDescent="0.25">
      <c r="F8686" t="s">
        <v>8539</v>
      </c>
      <c r="G8686">
        <v>72474</v>
      </c>
      <c r="H8686">
        <v>8417</v>
      </c>
      <c r="I8686" s="25" t="s">
        <v>2018</v>
      </c>
      <c r="J8686" t="s">
        <v>2269</v>
      </c>
      <c r="M8686" s="49"/>
    </row>
    <row r="8687" spans="6:13" x14ac:dyDescent="0.25">
      <c r="F8687" t="s">
        <v>8540</v>
      </c>
      <c r="G8687">
        <v>87785</v>
      </c>
      <c r="H8687">
        <v>9778</v>
      </c>
      <c r="I8687" s="25" t="s">
        <v>2050</v>
      </c>
      <c r="J8687" t="s">
        <v>2460</v>
      </c>
      <c r="M8687" s="49"/>
    </row>
    <row r="8688" spans="6:13" x14ac:dyDescent="0.25">
      <c r="F8688" t="s">
        <v>8541</v>
      </c>
      <c r="G8688">
        <v>67587</v>
      </c>
      <c r="H8688">
        <v>7339</v>
      </c>
      <c r="I8688" s="25" t="s">
        <v>2123</v>
      </c>
      <c r="J8688" t="s">
        <v>2238</v>
      </c>
      <c r="M8688" s="49"/>
    </row>
    <row r="8689" spans="6:13" x14ac:dyDescent="0.25">
      <c r="F8689" t="s">
        <v>8542</v>
      </c>
      <c r="G8689">
        <v>54616</v>
      </c>
      <c r="H8689">
        <v>7232</v>
      </c>
      <c r="I8689" s="25" t="s">
        <v>2123</v>
      </c>
      <c r="J8689" t="s">
        <v>2112</v>
      </c>
      <c r="M8689" s="49"/>
    </row>
    <row r="8690" spans="6:13" x14ac:dyDescent="0.25">
      <c r="F8690" t="s">
        <v>8543</v>
      </c>
      <c r="G8690">
        <v>54487</v>
      </c>
      <c r="H8690">
        <v>7231</v>
      </c>
      <c r="I8690" s="25" t="s">
        <v>2123</v>
      </c>
      <c r="J8690" t="s">
        <v>2043</v>
      </c>
      <c r="M8690" s="49"/>
    </row>
    <row r="8691" spans="6:13" x14ac:dyDescent="0.25">
      <c r="F8691" t="s">
        <v>8544</v>
      </c>
      <c r="G8691">
        <v>94577</v>
      </c>
      <c r="H8691">
        <v>9271</v>
      </c>
      <c r="I8691" s="25" t="s">
        <v>2050</v>
      </c>
      <c r="J8691" t="s">
        <v>2172</v>
      </c>
      <c r="M8691" s="49"/>
    </row>
    <row r="8692" spans="6:13" x14ac:dyDescent="0.25">
      <c r="F8692" t="s">
        <v>8545</v>
      </c>
      <c r="G8692">
        <v>97537</v>
      </c>
      <c r="H8692">
        <v>9678</v>
      </c>
      <c r="I8692" s="25" t="s">
        <v>2050</v>
      </c>
      <c r="J8692" t="s">
        <v>2918</v>
      </c>
      <c r="M8692" s="49"/>
    </row>
    <row r="8693" spans="6:13" x14ac:dyDescent="0.25">
      <c r="F8693" t="s">
        <v>8546</v>
      </c>
      <c r="G8693">
        <v>51688</v>
      </c>
      <c r="H8693">
        <v>5374</v>
      </c>
      <c r="I8693" s="25" t="s">
        <v>2023</v>
      </c>
      <c r="J8693" t="s">
        <v>2281</v>
      </c>
      <c r="M8693" s="49"/>
    </row>
    <row r="8694" spans="6:13" x14ac:dyDescent="0.25">
      <c r="F8694" t="s">
        <v>8547</v>
      </c>
      <c r="G8694">
        <v>56422</v>
      </c>
      <c r="H8694">
        <v>7143</v>
      </c>
      <c r="I8694" s="25" t="s">
        <v>2123</v>
      </c>
      <c r="J8694" t="s">
        <v>2331</v>
      </c>
      <c r="M8694" s="49"/>
    </row>
    <row r="8695" spans="6:13" x14ac:dyDescent="0.25">
      <c r="F8695" t="s">
        <v>8548</v>
      </c>
      <c r="G8695">
        <v>21737</v>
      </c>
      <c r="H8695">
        <v>3359</v>
      </c>
      <c r="I8695" s="25" t="s">
        <v>2074</v>
      </c>
      <c r="J8695" t="s">
        <v>2158</v>
      </c>
      <c r="M8695" s="49"/>
    </row>
    <row r="8696" spans="6:13" x14ac:dyDescent="0.25">
      <c r="F8696" t="s">
        <v>8549</v>
      </c>
      <c r="G8696">
        <v>23970</v>
      </c>
      <c r="H8696">
        <v>13074</v>
      </c>
      <c r="I8696" s="25" t="s">
        <v>2191</v>
      </c>
      <c r="J8696" t="s">
        <v>2275</v>
      </c>
      <c r="M8696" s="49"/>
    </row>
    <row r="8697" spans="6:13" x14ac:dyDescent="0.25">
      <c r="F8697" t="s">
        <v>8550</v>
      </c>
      <c r="G8697">
        <v>23966</v>
      </c>
      <c r="H8697">
        <v>13074</v>
      </c>
      <c r="I8697" s="25" t="s">
        <v>2191</v>
      </c>
      <c r="J8697" t="s">
        <v>2275</v>
      </c>
      <c r="M8697" s="49"/>
    </row>
    <row r="8698" spans="6:13" x14ac:dyDescent="0.25">
      <c r="F8698" t="s">
        <v>8550</v>
      </c>
      <c r="G8698">
        <v>23966</v>
      </c>
      <c r="H8698">
        <v>13074</v>
      </c>
      <c r="I8698" s="25" t="s">
        <v>2191</v>
      </c>
      <c r="J8698" t="s">
        <v>2275</v>
      </c>
      <c r="M8698" s="49"/>
    </row>
    <row r="8699" spans="6:13" x14ac:dyDescent="0.25">
      <c r="F8699" t="s">
        <v>8550</v>
      </c>
      <c r="G8699">
        <v>23966</v>
      </c>
      <c r="H8699">
        <v>13074</v>
      </c>
      <c r="I8699" s="25" t="s">
        <v>2191</v>
      </c>
      <c r="J8699" t="s">
        <v>2275</v>
      </c>
      <c r="M8699" s="49"/>
    </row>
    <row r="8700" spans="6:13" x14ac:dyDescent="0.25">
      <c r="F8700" t="s">
        <v>8551</v>
      </c>
      <c r="G8700">
        <v>57537</v>
      </c>
      <c r="H8700">
        <v>7132</v>
      </c>
      <c r="I8700" s="25" t="s">
        <v>2123</v>
      </c>
      <c r="J8700" t="s">
        <v>2401</v>
      </c>
      <c r="M8700" s="49"/>
    </row>
    <row r="8701" spans="6:13" x14ac:dyDescent="0.25">
      <c r="F8701" t="s">
        <v>8552</v>
      </c>
      <c r="G8701">
        <v>91749</v>
      </c>
      <c r="H8701">
        <v>9571</v>
      </c>
      <c r="I8701" s="25" t="s">
        <v>2050</v>
      </c>
      <c r="J8701" t="s">
        <v>2113</v>
      </c>
      <c r="M8701" s="49"/>
    </row>
    <row r="8702" spans="6:13" x14ac:dyDescent="0.25">
      <c r="F8702" t="s">
        <v>8553</v>
      </c>
      <c r="G8702">
        <v>58455</v>
      </c>
      <c r="H8702">
        <v>5954</v>
      </c>
      <c r="I8702" s="25" t="s">
        <v>2023</v>
      </c>
      <c r="J8702" t="s">
        <v>2124</v>
      </c>
      <c r="M8702" s="49"/>
    </row>
    <row r="8703" spans="6:13" x14ac:dyDescent="0.25">
      <c r="F8703" t="s">
        <v>8553</v>
      </c>
      <c r="G8703">
        <v>58453</v>
      </c>
      <c r="H8703">
        <v>5954</v>
      </c>
      <c r="I8703" s="25" t="s">
        <v>2023</v>
      </c>
      <c r="J8703" t="s">
        <v>2124</v>
      </c>
      <c r="M8703" s="49"/>
    </row>
    <row r="8704" spans="6:13" x14ac:dyDescent="0.25">
      <c r="F8704" t="s">
        <v>8553</v>
      </c>
      <c r="G8704">
        <v>58452</v>
      </c>
      <c r="H8704">
        <v>5954</v>
      </c>
      <c r="I8704" s="25" t="s">
        <v>2023</v>
      </c>
      <c r="J8704" t="s">
        <v>2124</v>
      </c>
      <c r="M8704" s="49"/>
    </row>
    <row r="8705" spans="6:13" x14ac:dyDescent="0.25">
      <c r="F8705" t="s">
        <v>8553</v>
      </c>
      <c r="G8705">
        <v>58454</v>
      </c>
      <c r="H8705">
        <v>5954</v>
      </c>
      <c r="I8705" s="25" t="s">
        <v>2023</v>
      </c>
      <c r="J8705" t="s">
        <v>2124</v>
      </c>
      <c r="M8705" s="49"/>
    </row>
    <row r="8706" spans="6:13" x14ac:dyDescent="0.25">
      <c r="F8706" t="s">
        <v>8553</v>
      </c>
      <c r="G8706">
        <v>58456</v>
      </c>
      <c r="H8706">
        <v>5954</v>
      </c>
      <c r="I8706" s="25" t="s">
        <v>2023</v>
      </c>
      <c r="J8706" t="s">
        <v>2124</v>
      </c>
      <c r="M8706" s="49"/>
    </row>
    <row r="8707" spans="6:13" x14ac:dyDescent="0.25">
      <c r="F8707" t="s">
        <v>1509</v>
      </c>
      <c r="G8707">
        <v>6886</v>
      </c>
      <c r="H8707">
        <v>15091</v>
      </c>
      <c r="I8707" s="25" t="s">
        <v>2241</v>
      </c>
      <c r="J8707" t="s">
        <v>1509</v>
      </c>
      <c r="M8707" s="49"/>
    </row>
    <row r="8708" spans="6:13" x14ac:dyDescent="0.25">
      <c r="F8708" t="s">
        <v>1509</v>
      </c>
      <c r="G8708">
        <v>6888</v>
      </c>
      <c r="H8708">
        <v>15091</v>
      </c>
      <c r="I8708" s="25" t="s">
        <v>2241</v>
      </c>
      <c r="J8708" t="s">
        <v>1509</v>
      </c>
      <c r="M8708" s="49"/>
    </row>
    <row r="8709" spans="6:13" x14ac:dyDescent="0.25">
      <c r="F8709" t="s">
        <v>1509</v>
      </c>
      <c r="G8709">
        <v>6888</v>
      </c>
      <c r="H8709">
        <v>15091</v>
      </c>
      <c r="I8709" s="25" t="s">
        <v>2241</v>
      </c>
      <c r="J8709" t="s">
        <v>1509</v>
      </c>
      <c r="M8709" s="49"/>
    </row>
    <row r="8710" spans="6:13" x14ac:dyDescent="0.25">
      <c r="F8710" t="s">
        <v>1509</v>
      </c>
      <c r="G8710">
        <v>6889</v>
      </c>
      <c r="H8710">
        <v>15091</v>
      </c>
      <c r="I8710" s="25" t="s">
        <v>2241</v>
      </c>
      <c r="J8710" t="s">
        <v>1509</v>
      </c>
      <c r="M8710" s="49"/>
    </row>
    <row r="8711" spans="6:13" x14ac:dyDescent="0.25">
      <c r="F8711" t="s">
        <v>8554</v>
      </c>
      <c r="G8711">
        <v>19322</v>
      </c>
      <c r="H8711">
        <v>12070</v>
      </c>
      <c r="I8711" s="25" t="s">
        <v>2356</v>
      </c>
      <c r="J8711" t="s">
        <v>2316</v>
      </c>
      <c r="M8711" s="49"/>
    </row>
    <row r="8712" spans="6:13" x14ac:dyDescent="0.25">
      <c r="F8712" t="s">
        <v>8554</v>
      </c>
      <c r="G8712">
        <v>19322</v>
      </c>
      <c r="H8712">
        <v>12070</v>
      </c>
      <c r="I8712" s="25" t="s">
        <v>2356</v>
      </c>
      <c r="J8712" t="s">
        <v>2316</v>
      </c>
      <c r="M8712" s="49"/>
    </row>
    <row r="8713" spans="6:13" x14ac:dyDescent="0.25">
      <c r="F8713" t="s">
        <v>8555</v>
      </c>
      <c r="G8713">
        <v>23829</v>
      </c>
      <c r="H8713">
        <v>1060</v>
      </c>
      <c r="I8713" s="25" t="s">
        <v>2085</v>
      </c>
      <c r="J8713" t="s">
        <v>2363</v>
      </c>
      <c r="M8713" s="49"/>
    </row>
    <row r="8714" spans="6:13" x14ac:dyDescent="0.25">
      <c r="F8714" t="s">
        <v>8556</v>
      </c>
      <c r="G8714">
        <v>19243</v>
      </c>
      <c r="H8714">
        <v>13076</v>
      </c>
      <c r="I8714" s="25" t="s">
        <v>2191</v>
      </c>
      <c r="J8714" t="s">
        <v>2234</v>
      </c>
      <c r="M8714" s="49"/>
    </row>
    <row r="8715" spans="6:13" x14ac:dyDescent="0.25">
      <c r="F8715" t="s">
        <v>8557</v>
      </c>
      <c r="G8715">
        <v>19073</v>
      </c>
      <c r="H8715">
        <v>13074</v>
      </c>
      <c r="I8715" s="25" t="s">
        <v>2191</v>
      </c>
      <c r="J8715" t="s">
        <v>2275</v>
      </c>
      <c r="M8715" s="49"/>
    </row>
    <row r="8716" spans="6:13" x14ac:dyDescent="0.25">
      <c r="F8716" t="s">
        <v>8557</v>
      </c>
      <c r="G8716">
        <v>19073</v>
      </c>
      <c r="H8716">
        <v>13076</v>
      </c>
      <c r="I8716" s="25" t="s">
        <v>2191</v>
      </c>
      <c r="J8716" t="s">
        <v>2234</v>
      </c>
      <c r="M8716" s="49"/>
    </row>
    <row r="8717" spans="6:13" x14ac:dyDescent="0.25">
      <c r="F8717" t="s">
        <v>8558</v>
      </c>
      <c r="G8717">
        <v>18510</v>
      </c>
      <c r="H8717">
        <v>13073</v>
      </c>
      <c r="I8717" s="25" t="s">
        <v>2191</v>
      </c>
      <c r="J8717" t="s">
        <v>2192</v>
      </c>
      <c r="M8717" s="49"/>
    </row>
    <row r="8718" spans="6:13" x14ac:dyDescent="0.25">
      <c r="F8718" t="s">
        <v>8559</v>
      </c>
      <c r="G8718">
        <v>84384</v>
      </c>
      <c r="H8718">
        <v>9277</v>
      </c>
      <c r="I8718" s="25" t="s">
        <v>2050</v>
      </c>
      <c r="J8718" t="s">
        <v>2529</v>
      </c>
      <c r="M8718" s="49"/>
    </row>
    <row r="8719" spans="6:13" x14ac:dyDescent="0.25">
      <c r="F8719" t="s">
        <v>8560</v>
      </c>
      <c r="G8719">
        <v>2997</v>
      </c>
      <c r="H8719">
        <v>14625</v>
      </c>
      <c r="I8719" s="25" t="s">
        <v>2135</v>
      </c>
      <c r="J8719" t="s">
        <v>2041</v>
      </c>
      <c r="M8719" s="49"/>
    </row>
    <row r="8720" spans="6:13" x14ac:dyDescent="0.25">
      <c r="F8720" t="s">
        <v>8561</v>
      </c>
      <c r="G8720">
        <v>97957</v>
      </c>
      <c r="H8720">
        <v>8128</v>
      </c>
      <c r="I8720" s="25" t="s">
        <v>2018</v>
      </c>
      <c r="J8720" t="s">
        <v>2175</v>
      </c>
      <c r="M8720" s="49"/>
    </row>
    <row r="8721" spans="6:13" x14ac:dyDescent="0.25">
      <c r="F8721" t="s">
        <v>8562</v>
      </c>
      <c r="G8721">
        <v>29378</v>
      </c>
      <c r="H8721">
        <v>3151</v>
      </c>
      <c r="I8721" s="25" t="s">
        <v>2074</v>
      </c>
      <c r="J8721" t="s">
        <v>2126</v>
      </c>
      <c r="M8721" s="49"/>
    </row>
    <row r="8722" spans="6:13" x14ac:dyDescent="0.25">
      <c r="F8722" t="s">
        <v>8562</v>
      </c>
      <c r="G8722">
        <v>29379</v>
      </c>
      <c r="H8722">
        <v>3151</v>
      </c>
      <c r="I8722" s="25" t="s">
        <v>2074</v>
      </c>
      <c r="J8722" t="s">
        <v>2126</v>
      </c>
      <c r="M8722" s="49"/>
    </row>
    <row r="8723" spans="6:13" x14ac:dyDescent="0.25">
      <c r="F8723" t="s">
        <v>8563</v>
      </c>
      <c r="G8723">
        <v>89426</v>
      </c>
      <c r="H8723">
        <v>9773</v>
      </c>
      <c r="I8723" s="25" t="s">
        <v>2050</v>
      </c>
      <c r="J8723" t="s">
        <v>2231</v>
      </c>
      <c r="M8723" s="49"/>
    </row>
    <row r="8724" spans="6:13" x14ac:dyDescent="0.25">
      <c r="F8724" t="s">
        <v>8564</v>
      </c>
      <c r="G8724">
        <v>54516</v>
      </c>
      <c r="H8724">
        <v>7231</v>
      </c>
      <c r="I8724" s="25" t="s">
        <v>2123</v>
      </c>
      <c r="J8724" t="s">
        <v>2043</v>
      </c>
      <c r="M8724" s="49"/>
    </row>
    <row r="8725" spans="6:13" x14ac:dyDescent="0.25">
      <c r="F8725" t="s">
        <v>8565</v>
      </c>
      <c r="G8725">
        <v>79599</v>
      </c>
      <c r="H8725">
        <v>8336</v>
      </c>
      <c r="I8725" s="25" t="s">
        <v>2018</v>
      </c>
      <c r="J8725" t="s">
        <v>2227</v>
      </c>
      <c r="M8725" s="49"/>
    </row>
    <row r="8726" spans="6:13" x14ac:dyDescent="0.25">
      <c r="F8726" t="s">
        <v>8566</v>
      </c>
      <c r="G8726">
        <v>38329</v>
      </c>
      <c r="H8726">
        <v>3158</v>
      </c>
      <c r="I8726" s="25" t="s">
        <v>2074</v>
      </c>
      <c r="J8726" t="s">
        <v>2434</v>
      </c>
      <c r="M8726" s="49"/>
    </row>
    <row r="8727" spans="6:13" x14ac:dyDescent="0.25">
      <c r="F8727" t="s">
        <v>2433</v>
      </c>
      <c r="G8727">
        <v>26409</v>
      </c>
      <c r="H8727">
        <v>3462</v>
      </c>
      <c r="I8727" s="25" t="s">
        <v>2074</v>
      </c>
      <c r="J8727" t="s">
        <v>2433</v>
      </c>
      <c r="M8727" s="49"/>
    </row>
    <row r="8728" spans="6:13" x14ac:dyDescent="0.25">
      <c r="F8728" t="s">
        <v>8567</v>
      </c>
      <c r="G8728">
        <v>79299</v>
      </c>
      <c r="H8728">
        <v>8315</v>
      </c>
      <c r="I8728" s="25" t="s">
        <v>2018</v>
      </c>
      <c r="J8728" t="s">
        <v>2061</v>
      </c>
      <c r="M8728" s="49"/>
    </row>
    <row r="8729" spans="6:13" x14ac:dyDescent="0.25">
      <c r="F8729" t="s">
        <v>8568</v>
      </c>
      <c r="G8729">
        <v>16909</v>
      </c>
      <c r="H8729">
        <v>12068</v>
      </c>
      <c r="I8729" s="25" t="s">
        <v>2356</v>
      </c>
      <c r="J8729" t="s">
        <v>2299</v>
      </c>
      <c r="M8729" s="49"/>
    </row>
    <row r="8730" spans="6:13" x14ac:dyDescent="0.25">
      <c r="F8730" t="s">
        <v>8569</v>
      </c>
      <c r="G8730">
        <v>37217</v>
      </c>
      <c r="H8730">
        <v>6636</v>
      </c>
      <c r="I8730" s="25" t="s">
        <v>2046</v>
      </c>
      <c r="J8730" t="s">
        <v>2733</v>
      </c>
      <c r="M8730" s="49"/>
    </row>
    <row r="8731" spans="6:13" x14ac:dyDescent="0.25">
      <c r="F8731" t="s">
        <v>8569</v>
      </c>
      <c r="G8731">
        <v>37215</v>
      </c>
      <c r="H8731">
        <v>6636</v>
      </c>
      <c r="I8731" s="25" t="s">
        <v>2046</v>
      </c>
      <c r="J8731" t="s">
        <v>2733</v>
      </c>
      <c r="M8731" s="49"/>
    </row>
    <row r="8732" spans="6:13" x14ac:dyDescent="0.25">
      <c r="F8732" t="s">
        <v>8569</v>
      </c>
      <c r="G8732">
        <v>37214</v>
      </c>
      <c r="H8732">
        <v>6636</v>
      </c>
      <c r="I8732" s="25" t="s">
        <v>2046</v>
      </c>
      <c r="J8732" t="s">
        <v>2733</v>
      </c>
      <c r="M8732" s="49"/>
    </row>
    <row r="8733" spans="6:13" x14ac:dyDescent="0.25">
      <c r="F8733" t="s">
        <v>8569</v>
      </c>
      <c r="G8733">
        <v>37213</v>
      </c>
      <c r="H8733">
        <v>6636</v>
      </c>
      <c r="I8733" s="25" t="s">
        <v>2046</v>
      </c>
      <c r="J8733" t="s">
        <v>2733</v>
      </c>
      <c r="M8733" s="49"/>
    </row>
    <row r="8734" spans="6:13" x14ac:dyDescent="0.25">
      <c r="F8734" t="s">
        <v>8569</v>
      </c>
      <c r="G8734">
        <v>37218</v>
      </c>
      <c r="H8734">
        <v>6636</v>
      </c>
      <c r="I8734" s="25" t="s">
        <v>2046</v>
      </c>
      <c r="J8734" t="s">
        <v>2733</v>
      </c>
      <c r="M8734" s="49"/>
    </row>
    <row r="8735" spans="6:13" x14ac:dyDescent="0.25">
      <c r="F8735" t="s">
        <v>8570</v>
      </c>
      <c r="G8735">
        <v>37216</v>
      </c>
      <c r="H8735">
        <v>6636</v>
      </c>
      <c r="I8735" s="25" t="s">
        <v>2046</v>
      </c>
      <c r="J8735" t="s">
        <v>2733</v>
      </c>
      <c r="M8735" s="49"/>
    </row>
    <row r="8736" spans="6:13" x14ac:dyDescent="0.25">
      <c r="F8736" t="s">
        <v>8571</v>
      </c>
      <c r="G8736">
        <v>22969</v>
      </c>
      <c r="H8736">
        <v>1062</v>
      </c>
      <c r="I8736" s="25" t="s">
        <v>2085</v>
      </c>
      <c r="J8736" t="s">
        <v>2188</v>
      </c>
      <c r="M8736" s="49"/>
    </row>
    <row r="8737" spans="6:13" x14ac:dyDescent="0.25">
      <c r="F8737" t="s">
        <v>8572</v>
      </c>
      <c r="G8737">
        <v>24899</v>
      </c>
      <c r="H8737">
        <v>1059</v>
      </c>
      <c r="I8737" s="25" t="s">
        <v>2085</v>
      </c>
      <c r="J8737" t="s">
        <v>2354</v>
      </c>
      <c r="M8737" s="49"/>
    </row>
    <row r="8738" spans="6:13" x14ac:dyDescent="0.25">
      <c r="F8738" t="s">
        <v>8573</v>
      </c>
      <c r="G8738">
        <v>35288</v>
      </c>
      <c r="H8738">
        <v>6534</v>
      </c>
      <c r="I8738" s="25" t="s">
        <v>2046</v>
      </c>
      <c r="J8738" t="s">
        <v>2471</v>
      </c>
      <c r="M8738" s="49"/>
    </row>
    <row r="8739" spans="6:13" x14ac:dyDescent="0.25">
      <c r="F8739" t="s">
        <v>8574</v>
      </c>
      <c r="G8739">
        <v>25797</v>
      </c>
      <c r="H8739">
        <v>1051</v>
      </c>
      <c r="I8739" s="25" t="s">
        <v>2085</v>
      </c>
      <c r="J8739" t="s">
        <v>2097</v>
      </c>
      <c r="M8739" s="49"/>
    </row>
    <row r="8740" spans="6:13" x14ac:dyDescent="0.25">
      <c r="F8740" t="s">
        <v>8575</v>
      </c>
      <c r="G8740">
        <v>17348</v>
      </c>
      <c r="H8740">
        <v>13071</v>
      </c>
      <c r="I8740" s="25" t="s">
        <v>2191</v>
      </c>
      <c r="J8740" t="s">
        <v>2091</v>
      </c>
      <c r="M8740" s="49"/>
    </row>
    <row r="8741" spans="6:13" x14ac:dyDescent="0.25">
      <c r="F8741" t="s">
        <v>8576</v>
      </c>
      <c r="G8741">
        <v>77709</v>
      </c>
      <c r="H8741">
        <v>8317</v>
      </c>
      <c r="I8741" s="25" t="s">
        <v>2018</v>
      </c>
      <c r="J8741" t="s">
        <v>2071</v>
      </c>
      <c r="M8741" s="49"/>
    </row>
    <row r="8742" spans="6:13" x14ac:dyDescent="0.25">
      <c r="F8742" t="s">
        <v>8577</v>
      </c>
      <c r="G8742">
        <v>88364</v>
      </c>
      <c r="H8742">
        <v>8436</v>
      </c>
      <c r="I8742" s="25" t="s">
        <v>2018</v>
      </c>
      <c r="J8742" t="s">
        <v>2068</v>
      </c>
      <c r="M8742" s="49"/>
    </row>
    <row r="8743" spans="6:13" x14ac:dyDescent="0.25">
      <c r="F8743" t="s">
        <v>2434</v>
      </c>
      <c r="G8743">
        <v>38300</v>
      </c>
      <c r="H8743">
        <v>3158</v>
      </c>
      <c r="I8743" s="25" t="s">
        <v>2074</v>
      </c>
      <c r="J8743" t="s">
        <v>2434</v>
      </c>
      <c r="M8743" s="49"/>
    </row>
    <row r="8744" spans="6:13" x14ac:dyDescent="0.25">
      <c r="F8744" t="s">
        <v>2434</v>
      </c>
      <c r="G8744">
        <v>38302</v>
      </c>
      <c r="H8744">
        <v>3158</v>
      </c>
      <c r="I8744" s="25" t="s">
        <v>2074</v>
      </c>
      <c r="J8744" t="s">
        <v>2434</v>
      </c>
      <c r="M8744" s="49"/>
    </row>
    <row r="8745" spans="6:13" x14ac:dyDescent="0.25">
      <c r="F8745" t="s">
        <v>2434</v>
      </c>
      <c r="G8745">
        <v>38304</v>
      </c>
      <c r="H8745">
        <v>3158</v>
      </c>
      <c r="I8745" s="25" t="s">
        <v>2074</v>
      </c>
      <c r="J8745" t="s">
        <v>2434</v>
      </c>
      <c r="M8745" s="49"/>
    </row>
    <row r="8746" spans="6:13" x14ac:dyDescent="0.25">
      <c r="F8746" t="s">
        <v>8578</v>
      </c>
      <c r="G8746">
        <v>61200</v>
      </c>
      <c r="H8746">
        <v>6440</v>
      </c>
      <c r="I8746" s="25" t="s">
        <v>2046</v>
      </c>
      <c r="J8746" t="s">
        <v>2415</v>
      </c>
      <c r="M8746" s="49"/>
    </row>
    <row r="8747" spans="6:13" x14ac:dyDescent="0.25">
      <c r="F8747" t="s">
        <v>8579</v>
      </c>
      <c r="G8747">
        <v>86709</v>
      </c>
      <c r="H8747">
        <v>9779</v>
      </c>
      <c r="I8747" s="25" t="s">
        <v>2050</v>
      </c>
      <c r="J8747" t="s">
        <v>2280</v>
      </c>
      <c r="M8747" s="49"/>
    </row>
    <row r="8748" spans="6:13" x14ac:dyDescent="0.25">
      <c r="F8748" t="s">
        <v>8580</v>
      </c>
      <c r="G8748">
        <v>87787</v>
      </c>
      <c r="H8748">
        <v>9778</v>
      </c>
      <c r="I8748" s="25" t="s">
        <v>2050</v>
      </c>
      <c r="J8748" t="s">
        <v>2460</v>
      </c>
      <c r="M8748" s="49"/>
    </row>
    <row r="8749" spans="6:13" x14ac:dyDescent="0.25">
      <c r="F8749" t="s">
        <v>8581</v>
      </c>
      <c r="G8749">
        <v>34466</v>
      </c>
      <c r="H8749">
        <v>6633</v>
      </c>
      <c r="I8749" s="25" t="s">
        <v>2046</v>
      </c>
      <c r="J8749" t="s">
        <v>2162</v>
      </c>
      <c r="M8749" s="49"/>
    </row>
    <row r="8750" spans="6:13" x14ac:dyDescent="0.25">
      <c r="F8750" t="s">
        <v>8582</v>
      </c>
      <c r="G8750">
        <v>91639</v>
      </c>
      <c r="H8750">
        <v>9571</v>
      </c>
      <c r="I8750" s="25" t="s">
        <v>2050</v>
      </c>
      <c r="J8750" t="s">
        <v>2113</v>
      </c>
      <c r="M8750" s="49"/>
    </row>
    <row r="8751" spans="6:13" x14ac:dyDescent="0.25">
      <c r="F8751" t="s">
        <v>8583</v>
      </c>
      <c r="G8751">
        <v>82515</v>
      </c>
      <c r="H8751">
        <v>9173</v>
      </c>
      <c r="I8751" s="25" t="s">
        <v>2050</v>
      </c>
      <c r="J8751" t="s">
        <v>2659</v>
      </c>
      <c r="M8751" s="49"/>
    </row>
    <row r="8752" spans="6:13" x14ac:dyDescent="0.25">
      <c r="F8752" t="s">
        <v>8584</v>
      </c>
      <c r="G8752">
        <v>38448</v>
      </c>
      <c r="H8752">
        <v>3103</v>
      </c>
      <c r="I8752" s="25" t="s">
        <v>2074</v>
      </c>
      <c r="J8752" t="s">
        <v>8585</v>
      </c>
      <c r="M8752" s="49"/>
    </row>
    <row r="8753" spans="6:13" x14ac:dyDescent="0.25">
      <c r="F8753" t="s">
        <v>8584</v>
      </c>
      <c r="G8753">
        <v>38440</v>
      </c>
      <c r="H8753">
        <v>3103</v>
      </c>
      <c r="I8753" s="25" t="s">
        <v>2074</v>
      </c>
      <c r="J8753" t="s">
        <v>8585</v>
      </c>
      <c r="M8753" s="49"/>
    </row>
    <row r="8754" spans="6:13" x14ac:dyDescent="0.25">
      <c r="F8754" t="s">
        <v>8584</v>
      </c>
      <c r="G8754">
        <v>38446</v>
      </c>
      <c r="H8754">
        <v>3103</v>
      </c>
      <c r="I8754" s="25" t="s">
        <v>2074</v>
      </c>
      <c r="J8754" t="s">
        <v>8585</v>
      </c>
      <c r="M8754" s="49"/>
    </row>
    <row r="8755" spans="6:13" x14ac:dyDescent="0.25">
      <c r="F8755" t="s">
        <v>8584</v>
      </c>
      <c r="G8755">
        <v>38444</v>
      </c>
      <c r="H8755">
        <v>3103</v>
      </c>
      <c r="I8755" s="25" t="s">
        <v>2074</v>
      </c>
      <c r="J8755" t="s">
        <v>8585</v>
      </c>
      <c r="M8755" s="49"/>
    </row>
    <row r="8756" spans="6:13" x14ac:dyDescent="0.25">
      <c r="F8756" t="s">
        <v>8584</v>
      </c>
      <c r="G8756">
        <v>38442</v>
      </c>
      <c r="H8756">
        <v>3103</v>
      </c>
      <c r="I8756" s="25" t="s">
        <v>2074</v>
      </c>
      <c r="J8756" t="s">
        <v>8585</v>
      </c>
      <c r="M8756" s="49"/>
    </row>
    <row r="8757" spans="6:13" x14ac:dyDescent="0.25">
      <c r="F8757" t="s">
        <v>8586</v>
      </c>
      <c r="G8757">
        <v>72649</v>
      </c>
      <c r="H8757">
        <v>8116</v>
      </c>
      <c r="I8757" s="25" t="s">
        <v>2018</v>
      </c>
      <c r="J8757" t="s">
        <v>2213</v>
      </c>
      <c r="M8757" s="49"/>
    </row>
    <row r="8758" spans="6:13" x14ac:dyDescent="0.25">
      <c r="F8758" t="s">
        <v>8587</v>
      </c>
      <c r="G8758">
        <v>93195</v>
      </c>
      <c r="H8758">
        <v>9375</v>
      </c>
      <c r="I8758" s="25" t="s">
        <v>2050</v>
      </c>
      <c r="J8758" t="s">
        <v>2365</v>
      </c>
      <c r="M8758" s="49"/>
    </row>
    <row r="8759" spans="6:13" x14ac:dyDescent="0.25">
      <c r="F8759" t="s">
        <v>8588</v>
      </c>
      <c r="G8759">
        <v>67752</v>
      </c>
      <c r="H8759">
        <v>7336</v>
      </c>
      <c r="I8759" s="25" t="s">
        <v>2123</v>
      </c>
      <c r="J8759" t="s">
        <v>2216</v>
      </c>
      <c r="M8759" s="49"/>
    </row>
    <row r="8760" spans="6:13" x14ac:dyDescent="0.25">
      <c r="F8760" t="s">
        <v>8589</v>
      </c>
      <c r="G8760">
        <v>17438</v>
      </c>
      <c r="H8760">
        <v>13075</v>
      </c>
      <c r="I8760" s="25" t="s">
        <v>2191</v>
      </c>
      <c r="J8760" t="s">
        <v>2160</v>
      </c>
      <c r="M8760" s="49"/>
    </row>
    <row r="8761" spans="6:13" x14ac:dyDescent="0.25">
      <c r="F8761" t="s">
        <v>8589</v>
      </c>
      <c r="G8761">
        <v>17438</v>
      </c>
      <c r="H8761">
        <v>13075</v>
      </c>
      <c r="I8761" s="25" t="s">
        <v>2191</v>
      </c>
      <c r="J8761" t="s">
        <v>2160</v>
      </c>
      <c r="M8761" s="49"/>
    </row>
    <row r="8762" spans="6:13" x14ac:dyDescent="0.25">
      <c r="F8762" t="s">
        <v>8589</v>
      </c>
      <c r="G8762">
        <v>17438</v>
      </c>
      <c r="H8762">
        <v>13075</v>
      </c>
      <c r="I8762" s="25" t="s">
        <v>2191</v>
      </c>
      <c r="J8762" t="s">
        <v>2160</v>
      </c>
      <c r="M8762" s="49"/>
    </row>
    <row r="8763" spans="6:13" x14ac:dyDescent="0.25">
      <c r="F8763" t="s">
        <v>8590</v>
      </c>
      <c r="G8763">
        <v>9429</v>
      </c>
      <c r="H8763">
        <v>14521</v>
      </c>
      <c r="I8763" s="25" t="s">
        <v>2135</v>
      </c>
      <c r="J8763" t="s">
        <v>2032</v>
      </c>
      <c r="M8763" s="49"/>
    </row>
    <row r="8764" spans="6:13" x14ac:dyDescent="0.25">
      <c r="F8764" t="s">
        <v>8591</v>
      </c>
      <c r="G8764">
        <v>61206</v>
      </c>
      <c r="H8764">
        <v>6440</v>
      </c>
      <c r="I8764" s="25" t="s">
        <v>2046</v>
      </c>
      <c r="J8764" t="s">
        <v>2415</v>
      </c>
      <c r="M8764" s="49"/>
    </row>
    <row r="8765" spans="6:13" x14ac:dyDescent="0.25">
      <c r="F8765" t="s">
        <v>8592</v>
      </c>
      <c r="G8765">
        <v>55597</v>
      </c>
      <c r="H8765">
        <v>7331</v>
      </c>
      <c r="I8765" s="25" t="s">
        <v>2123</v>
      </c>
      <c r="J8765" t="s">
        <v>2029</v>
      </c>
      <c r="M8765" s="49"/>
    </row>
    <row r="8766" spans="6:13" x14ac:dyDescent="0.25">
      <c r="F8766" t="s">
        <v>8593</v>
      </c>
      <c r="G8766">
        <v>39326</v>
      </c>
      <c r="H8766">
        <v>15083</v>
      </c>
      <c r="I8766" s="25" t="s">
        <v>2241</v>
      </c>
      <c r="J8766" t="s">
        <v>2052</v>
      </c>
      <c r="M8766" s="49"/>
    </row>
    <row r="8767" spans="6:13" x14ac:dyDescent="0.25">
      <c r="F8767" t="s">
        <v>8594</v>
      </c>
      <c r="G8767">
        <v>85283</v>
      </c>
      <c r="H8767">
        <v>9186</v>
      </c>
      <c r="I8767" s="25" t="s">
        <v>2050</v>
      </c>
      <c r="J8767" t="s">
        <v>2594</v>
      </c>
      <c r="M8767" s="49"/>
    </row>
    <row r="8768" spans="6:13" x14ac:dyDescent="0.25">
      <c r="F8768" t="s">
        <v>8595</v>
      </c>
      <c r="G8768">
        <v>74549</v>
      </c>
      <c r="H8768">
        <v>8127</v>
      </c>
      <c r="I8768" s="25" t="s">
        <v>2018</v>
      </c>
      <c r="J8768" t="s">
        <v>3126</v>
      </c>
      <c r="M8768" s="49"/>
    </row>
    <row r="8769" spans="6:13" x14ac:dyDescent="0.25">
      <c r="F8769" t="s">
        <v>8596</v>
      </c>
      <c r="G8769">
        <v>88284</v>
      </c>
      <c r="H8769">
        <v>8436</v>
      </c>
      <c r="I8769" s="25" t="s">
        <v>2018</v>
      </c>
      <c r="J8769" t="s">
        <v>2068</v>
      </c>
      <c r="M8769" s="49"/>
    </row>
    <row r="8770" spans="6:13" x14ac:dyDescent="0.25">
      <c r="F8770" t="s">
        <v>8597</v>
      </c>
      <c r="G8770">
        <v>31556</v>
      </c>
      <c r="H8770">
        <v>3257</v>
      </c>
      <c r="I8770" s="25" t="s">
        <v>2074</v>
      </c>
      <c r="J8770" t="s">
        <v>2167</v>
      </c>
      <c r="M8770" s="49"/>
    </row>
    <row r="8771" spans="6:13" x14ac:dyDescent="0.25">
      <c r="F8771" t="s">
        <v>8598</v>
      </c>
      <c r="G8771">
        <v>38379</v>
      </c>
      <c r="H8771">
        <v>3154</v>
      </c>
      <c r="I8771" s="25" t="s">
        <v>2074</v>
      </c>
      <c r="J8771" t="s">
        <v>2186</v>
      </c>
      <c r="M8771" s="49"/>
    </row>
    <row r="8772" spans="6:13" x14ac:dyDescent="0.25">
      <c r="F8772" t="s">
        <v>8599</v>
      </c>
      <c r="G8772">
        <v>29497</v>
      </c>
      <c r="H8772">
        <v>3354</v>
      </c>
      <c r="I8772" s="25" t="s">
        <v>2074</v>
      </c>
      <c r="J8772" t="s">
        <v>2232</v>
      </c>
      <c r="M8772" s="49"/>
    </row>
    <row r="8773" spans="6:13" x14ac:dyDescent="0.25">
      <c r="F8773" t="s">
        <v>8599</v>
      </c>
      <c r="G8773">
        <v>15569</v>
      </c>
      <c r="H8773">
        <v>12067</v>
      </c>
      <c r="I8773" s="25" t="s">
        <v>2356</v>
      </c>
      <c r="J8773" t="s">
        <v>2711</v>
      </c>
      <c r="M8773" s="49"/>
    </row>
    <row r="8774" spans="6:13" x14ac:dyDescent="0.25">
      <c r="F8774" t="s">
        <v>8600</v>
      </c>
      <c r="G8774">
        <v>21516</v>
      </c>
      <c r="H8774">
        <v>1053</v>
      </c>
      <c r="I8774" s="25" t="s">
        <v>2085</v>
      </c>
      <c r="J8774" t="s">
        <v>2193</v>
      </c>
      <c r="M8774" s="49"/>
    </row>
    <row r="8775" spans="6:13" x14ac:dyDescent="0.25">
      <c r="F8775" t="s">
        <v>8600</v>
      </c>
      <c r="G8775">
        <v>21516</v>
      </c>
      <c r="H8775">
        <v>1053</v>
      </c>
      <c r="I8775" s="25" t="s">
        <v>2085</v>
      </c>
      <c r="J8775" t="s">
        <v>2193</v>
      </c>
      <c r="M8775" s="49"/>
    </row>
    <row r="8776" spans="6:13" x14ac:dyDescent="0.25">
      <c r="F8776" t="s">
        <v>8601</v>
      </c>
      <c r="G8776">
        <v>97539</v>
      </c>
      <c r="H8776">
        <v>9674</v>
      </c>
      <c r="I8776" s="25" t="s">
        <v>2050</v>
      </c>
      <c r="J8776" t="s">
        <v>2218</v>
      </c>
      <c r="M8776" s="49"/>
    </row>
    <row r="8777" spans="6:13" x14ac:dyDescent="0.25">
      <c r="F8777" t="s">
        <v>8602</v>
      </c>
      <c r="G8777">
        <v>83379</v>
      </c>
      <c r="H8777">
        <v>9189</v>
      </c>
      <c r="I8777" s="25" t="s">
        <v>2050</v>
      </c>
      <c r="J8777" t="s">
        <v>2407</v>
      </c>
      <c r="M8777" s="49"/>
    </row>
    <row r="8778" spans="6:13" x14ac:dyDescent="0.25">
      <c r="F8778" t="s">
        <v>8603</v>
      </c>
      <c r="G8778">
        <v>96197</v>
      </c>
      <c r="H8778">
        <v>9477</v>
      </c>
      <c r="I8778" s="25" t="s">
        <v>2050</v>
      </c>
      <c r="J8778" t="s">
        <v>4385</v>
      </c>
      <c r="M8778" s="49"/>
    </row>
    <row r="8779" spans="6:13" x14ac:dyDescent="0.25">
      <c r="F8779" t="s">
        <v>8604</v>
      </c>
      <c r="G8779">
        <v>37339</v>
      </c>
      <c r="H8779">
        <v>16061</v>
      </c>
      <c r="I8779" s="25" t="s">
        <v>2384</v>
      </c>
      <c r="J8779" t="s">
        <v>2109</v>
      </c>
      <c r="M8779" s="49"/>
    </row>
    <row r="8780" spans="6:13" x14ac:dyDescent="0.25">
      <c r="F8780" t="s">
        <v>8605</v>
      </c>
      <c r="G8780">
        <v>87789</v>
      </c>
      <c r="H8780">
        <v>9778</v>
      </c>
      <c r="I8780" s="25" t="s">
        <v>2050</v>
      </c>
      <c r="J8780" t="s">
        <v>2460</v>
      </c>
      <c r="M8780" s="49"/>
    </row>
    <row r="8781" spans="6:13" x14ac:dyDescent="0.25">
      <c r="F8781" t="s">
        <v>8606</v>
      </c>
      <c r="G8781">
        <v>67551</v>
      </c>
      <c r="H8781">
        <v>7319</v>
      </c>
      <c r="I8781" s="25" t="s">
        <v>2123</v>
      </c>
      <c r="J8781" t="s">
        <v>8607</v>
      </c>
      <c r="M8781" s="49"/>
    </row>
    <row r="8782" spans="6:13" x14ac:dyDescent="0.25">
      <c r="F8782" t="s">
        <v>8606</v>
      </c>
      <c r="G8782">
        <v>67550</v>
      </c>
      <c r="H8782">
        <v>7319</v>
      </c>
      <c r="I8782" s="25" t="s">
        <v>2123</v>
      </c>
      <c r="J8782" t="s">
        <v>8607</v>
      </c>
      <c r="M8782" s="49"/>
    </row>
    <row r="8783" spans="6:13" x14ac:dyDescent="0.25">
      <c r="F8783" t="s">
        <v>8606</v>
      </c>
      <c r="G8783">
        <v>67549</v>
      </c>
      <c r="H8783">
        <v>7319</v>
      </c>
      <c r="I8783" s="25" t="s">
        <v>2123</v>
      </c>
      <c r="J8783" t="s">
        <v>8607</v>
      </c>
      <c r="M8783" s="49"/>
    </row>
    <row r="8784" spans="6:13" x14ac:dyDescent="0.25">
      <c r="F8784" t="s">
        <v>8606</v>
      </c>
      <c r="G8784">
        <v>67547</v>
      </c>
      <c r="H8784">
        <v>7319</v>
      </c>
      <c r="I8784" s="25" t="s">
        <v>2123</v>
      </c>
      <c r="J8784" t="s">
        <v>8607</v>
      </c>
      <c r="M8784" s="49"/>
    </row>
    <row r="8785" spans="6:13" x14ac:dyDescent="0.25">
      <c r="F8785" t="s">
        <v>8608</v>
      </c>
      <c r="G8785">
        <v>72299</v>
      </c>
      <c r="H8785">
        <v>8237</v>
      </c>
      <c r="I8785" s="25" t="s">
        <v>2018</v>
      </c>
      <c r="J8785" t="s">
        <v>2336</v>
      </c>
      <c r="M8785" s="49"/>
    </row>
    <row r="8786" spans="6:13" x14ac:dyDescent="0.25">
      <c r="F8786" t="s">
        <v>8609</v>
      </c>
      <c r="G8786">
        <v>91637</v>
      </c>
      <c r="H8786">
        <v>9571</v>
      </c>
      <c r="I8786" s="25" t="s">
        <v>2050</v>
      </c>
      <c r="J8786" t="s">
        <v>2113</v>
      </c>
      <c r="M8786" s="49"/>
    </row>
    <row r="8787" spans="6:13" x14ac:dyDescent="0.25">
      <c r="F8787" t="s">
        <v>8610</v>
      </c>
      <c r="G8787">
        <v>27726</v>
      </c>
      <c r="H8787">
        <v>3356</v>
      </c>
      <c r="I8787" s="25" t="s">
        <v>2074</v>
      </c>
      <c r="J8787" t="s">
        <v>2295</v>
      </c>
      <c r="M8787" s="49"/>
    </row>
    <row r="8788" spans="6:13" x14ac:dyDescent="0.25">
      <c r="F8788" t="s">
        <v>8610</v>
      </c>
      <c r="G8788">
        <v>27726</v>
      </c>
      <c r="H8788">
        <v>3357</v>
      </c>
      <c r="I8788" s="25" t="s">
        <v>2074</v>
      </c>
      <c r="J8788" t="s">
        <v>2339</v>
      </c>
      <c r="M8788" s="49"/>
    </row>
    <row r="8789" spans="6:13" x14ac:dyDescent="0.25">
      <c r="F8789" t="s">
        <v>8611</v>
      </c>
      <c r="G8789">
        <v>55286</v>
      </c>
      <c r="H8789">
        <v>7331</v>
      </c>
      <c r="I8789" s="25" t="s">
        <v>2123</v>
      </c>
      <c r="J8789" t="s">
        <v>2029</v>
      </c>
      <c r="M8789" s="49"/>
    </row>
    <row r="8790" spans="6:13" x14ac:dyDescent="0.25">
      <c r="F8790" t="s">
        <v>8612</v>
      </c>
      <c r="G8790">
        <v>73499</v>
      </c>
      <c r="H8790">
        <v>8136</v>
      </c>
      <c r="I8790" s="25" t="s">
        <v>2018</v>
      </c>
      <c r="J8790" t="s">
        <v>2039</v>
      </c>
      <c r="M8790" s="49"/>
    </row>
    <row r="8791" spans="6:13" x14ac:dyDescent="0.25">
      <c r="F8791" t="s">
        <v>8613</v>
      </c>
      <c r="G8791">
        <v>76744</v>
      </c>
      <c r="H8791">
        <v>7334</v>
      </c>
      <c r="I8791" s="25" t="s">
        <v>2123</v>
      </c>
      <c r="J8791" t="s">
        <v>2873</v>
      </c>
      <c r="M8791" s="49"/>
    </row>
    <row r="8792" spans="6:13" x14ac:dyDescent="0.25">
      <c r="F8792" t="s">
        <v>8613</v>
      </c>
      <c r="G8792">
        <v>85457</v>
      </c>
      <c r="H8792">
        <v>9177</v>
      </c>
      <c r="I8792" s="25" t="s">
        <v>2050</v>
      </c>
      <c r="J8792" t="s">
        <v>2915</v>
      </c>
      <c r="M8792" s="49"/>
    </row>
    <row r="8793" spans="6:13" x14ac:dyDescent="0.25">
      <c r="F8793" t="s">
        <v>8614</v>
      </c>
      <c r="G8793">
        <v>84109</v>
      </c>
      <c r="H8793">
        <v>9274</v>
      </c>
      <c r="I8793" s="25" t="s">
        <v>2050</v>
      </c>
      <c r="J8793" t="s">
        <v>2132</v>
      </c>
      <c r="M8793" s="49"/>
    </row>
    <row r="8794" spans="6:13" x14ac:dyDescent="0.25">
      <c r="F8794" t="s">
        <v>8615</v>
      </c>
      <c r="G8794">
        <v>63939</v>
      </c>
      <c r="H8794">
        <v>9676</v>
      </c>
      <c r="I8794" s="25" t="s">
        <v>2050</v>
      </c>
      <c r="J8794" t="s">
        <v>2381</v>
      </c>
      <c r="M8794" s="49"/>
    </row>
    <row r="8795" spans="6:13" x14ac:dyDescent="0.25">
      <c r="F8795" t="s">
        <v>8616</v>
      </c>
      <c r="G8795">
        <v>93086</v>
      </c>
      <c r="H8795">
        <v>9375</v>
      </c>
      <c r="I8795" s="25" t="s">
        <v>2050</v>
      </c>
      <c r="J8795" t="s">
        <v>2365</v>
      </c>
      <c r="M8795" s="49"/>
    </row>
    <row r="8796" spans="6:13" x14ac:dyDescent="0.25">
      <c r="F8796" t="s">
        <v>8617</v>
      </c>
      <c r="G8796">
        <v>82237</v>
      </c>
      <c r="H8796">
        <v>9188</v>
      </c>
      <c r="I8796" s="25" t="s">
        <v>2050</v>
      </c>
      <c r="J8796" t="s">
        <v>2481</v>
      </c>
      <c r="M8796" s="49"/>
    </row>
    <row r="8797" spans="6:13" x14ac:dyDescent="0.25">
      <c r="F8797" t="s">
        <v>8618</v>
      </c>
      <c r="G8797">
        <v>17209</v>
      </c>
      <c r="H8797">
        <v>13071</v>
      </c>
      <c r="I8797" s="25" t="s">
        <v>2191</v>
      </c>
      <c r="J8797" t="s">
        <v>2091</v>
      </c>
      <c r="M8797" s="49"/>
    </row>
    <row r="8798" spans="6:13" x14ac:dyDescent="0.25">
      <c r="F8798" t="s">
        <v>8619</v>
      </c>
      <c r="G8798">
        <v>29559</v>
      </c>
      <c r="H8798">
        <v>3360</v>
      </c>
      <c r="I8798" s="25" t="s">
        <v>2074</v>
      </c>
      <c r="J8798" t="s">
        <v>2400</v>
      </c>
      <c r="M8798" s="49"/>
    </row>
    <row r="8799" spans="6:13" x14ac:dyDescent="0.25">
      <c r="F8799" t="s">
        <v>8620</v>
      </c>
      <c r="G8799">
        <v>29565</v>
      </c>
      <c r="H8799">
        <v>3360</v>
      </c>
      <c r="I8799" s="25" t="s">
        <v>2074</v>
      </c>
      <c r="J8799" t="s">
        <v>2400</v>
      </c>
      <c r="M8799" s="49"/>
    </row>
    <row r="8800" spans="6:13" x14ac:dyDescent="0.25">
      <c r="F8800" t="s">
        <v>8621</v>
      </c>
      <c r="G8800">
        <v>16269</v>
      </c>
      <c r="H8800">
        <v>12064</v>
      </c>
      <c r="I8800" s="25" t="s">
        <v>2356</v>
      </c>
      <c r="J8800" t="s">
        <v>2243</v>
      </c>
      <c r="M8800" s="49"/>
    </row>
    <row r="8801" spans="6:13" x14ac:dyDescent="0.25">
      <c r="F8801" t="s">
        <v>8622</v>
      </c>
      <c r="G8801">
        <v>25563</v>
      </c>
      <c r="H8801">
        <v>1060</v>
      </c>
      <c r="I8801" s="25" t="s">
        <v>2085</v>
      </c>
      <c r="J8801" t="s">
        <v>2363</v>
      </c>
      <c r="M8801" s="49"/>
    </row>
    <row r="8802" spans="6:13" x14ac:dyDescent="0.25">
      <c r="F8802" t="s">
        <v>8622</v>
      </c>
      <c r="G8802">
        <v>25563</v>
      </c>
      <c r="H8802">
        <v>1061</v>
      </c>
      <c r="I8802" s="25" t="s">
        <v>2085</v>
      </c>
      <c r="J8802" t="s">
        <v>2377</v>
      </c>
      <c r="M8802" s="49"/>
    </row>
    <row r="8803" spans="6:13" x14ac:dyDescent="0.25">
      <c r="F8803" t="s">
        <v>8623</v>
      </c>
      <c r="G8803">
        <v>25799</v>
      </c>
      <c r="H8803">
        <v>1051</v>
      </c>
      <c r="I8803" s="25" t="s">
        <v>2085</v>
      </c>
      <c r="J8803" t="s">
        <v>2097</v>
      </c>
      <c r="M8803" s="49"/>
    </row>
    <row r="8804" spans="6:13" x14ac:dyDescent="0.25">
      <c r="F8804" t="s">
        <v>8624</v>
      </c>
      <c r="G8804">
        <v>42489</v>
      </c>
      <c r="H8804">
        <v>5158</v>
      </c>
      <c r="I8804" s="25" t="s">
        <v>2023</v>
      </c>
      <c r="J8804" t="s">
        <v>2252</v>
      </c>
      <c r="M8804" s="49"/>
    </row>
    <row r="8805" spans="6:13" x14ac:dyDescent="0.25">
      <c r="F8805" t="s">
        <v>8625</v>
      </c>
      <c r="G8805">
        <v>21445</v>
      </c>
      <c r="H8805">
        <v>3353</v>
      </c>
      <c r="I8805" s="25" t="s">
        <v>2074</v>
      </c>
      <c r="J8805" t="s">
        <v>2176</v>
      </c>
      <c r="M8805" s="49"/>
    </row>
    <row r="8806" spans="6:13" x14ac:dyDescent="0.25">
      <c r="F8806" t="s">
        <v>8626</v>
      </c>
      <c r="G8806">
        <v>37199</v>
      </c>
      <c r="H8806">
        <v>3159</v>
      </c>
      <c r="I8806" s="25" t="s">
        <v>2074</v>
      </c>
      <c r="J8806" t="s">
        <v>2093</v>
      </c>
      <c r="M8806" s="49"/>
    </row>
    <row r="8807" spans="6:13" x14ac:dyDescent="0.25">
      <c r="F8807" t="s">
        <v>8627</v>
      </c>
      <c r="G8807">
        <v>33181</v>
      </c>
      <c r="H8807">
        <v>5774</v>
      </c>
      <c r="I8807" s="25" t="s">
        <v>2023</v>
      </c>
      <c r="J8807" t="s">
        <v>2304</v>
      </c>
      <c r="M8807" s="49"/>
    </row>
    <row r="8808" spans="6:13" x14ac:dyDescent="0.25">
      <c r="F8808" t="s">
        <v>8628</v>
      </c>
      <c r="G8808">
        <v>95632</v>
      </c>
      <c r="H8808">
        <v>9479</v>
      </c>
      <c r="I8808" s="25" t="s">
        <v>2050</v>
      </c>
      <c r="J8808" t="s">
        <v>2436</v>
      </c>
      <c r="M8808" s="49"/>
    </row>
    <row r="8809" spans="6:13" x14ac:dyDescent="0.25">
      <c r="F8809" t="s">
        <v>8629</v>
      </c>
      <c r="G8809">
        <v>31515</v>
      </c>
      <c r="H8809">
        <v>3241</v>
      </c>
      <c r="I8809" s="25" t="s">
        <v>2074</v>
      </c>
      <c r="J8809" t="s">
        <v>2321</v>
      </c>
      <c r="M8809" s="49"/>
    </row>
    <row r="8810" spans="6:13" x14ac:dyDescent="0.25">
      <c r="F8810" t="s">
        <v>8630</v>
      </c>
      <c r="G8810">
        <v>42107</v>
      </c>
      <c r="H8810">
        <v>5124</v>
      </c>
      <c r="I8810" s="25" t="s">
        <v>2023</v>
      </c>
      <c r="J8810" t="s">
        <v>8631</v>
      </c>
      <c r="M8810" s="49"/>
    </row>
    <row r="8811" spans="6:13" x14ac:dyDescent="0.25">
      <c r="F8811" t="s">
        <v>8630</v>
      </c>
      <c r="G8811">
        <v>42105</v>
      </c>
      <c r="H8811">
        <v>5124</v>
      </c>
      <c r="I8811" s="25" t="s">
        <v>2023</v>
      </c>
      <c r="J8811" t="s">
        <v>8631</v>
      </c>
      <c r="M8811" s="49"/>
    </row>
    <row r="8812" spans="6:13" x14ac:dyDescent="0.25">
      <c r="F8812" t="s">
        <v>8630</v>
      </c>
      <c r="G8812">
        <v>42109</v>
      </c>
      <c r="H8812">
        <v>5124</v>
      </c>
      <c r="I8812" s="25" t="s">
        <v>2023</v>
      </c>
      <c r="J8812" t="s">
        <v>8631</v>
      </c>
      <c r="M8812" s="49"/>
    </row>
    <row r="8813" spans="6:13" x14ac:dyDescent="0.25">
      <c r="F8813" t="s">
        <v>8630</v>
      </c>
      <c r="G8813">
        <v>42329</v>
      </c>
      <c r="H8813">
        <v>5124</v>
      </c>
      <c r="I8813" s="25" t="s">
        <v>2023</v>
      </c>
      <c r="J8813" t="s">
        <v>8631</v>
      </c>
      <c r="M8813" s="49"/>
    </row>
    <row r="8814" spans="6:13" x14ac:dyDescent="0.25">
      <c r="F8814" t="s">
        <v>8630</v>
      </c>
      <c r="G8814">
        <v>42279</v>
      </c>
      <c r="H8814">
        <v>5124</v>
      </c>
      <c r="I8814" s="25" t="s">
        <v>2023</v>
      </c>
      <c r="J8814" t="s">
        <v>8631</v>
      </c>
      <c r="M8814" s="49"/>
    </row>
    <row r="8815" spans="6:13" x14ac:dyDescent="0.25">
      <c r="F8815" t="s">
        <v>8630</v>
      </c>
      <c r="G8815">
        <v>42349</v>
      </c>
      <c r="H8815">
        <v>5124</v>
      </c>
      <c r="I8815" s="25" t="s">
        <v>2023</v>
      </c>
      <c r="J8815" t="s">
        <v>8631</v>
      </c>
      <c r="M8815" s="49"/>
    </row>
    <row r="8816" spans="6:13" x14ac:dyDescent="0.25">
      <c r="F8816" t="s">
        <v>8630</v>
      </c>
      <c r="G8816">
        <v>42327</v>
      </c>
      <c r="H8816">
        <v>5124</v>
      </c>
      <c r="I8816" s="25" t="s">
        <v>2023</v>
      </c>
      <c r="J8816" t="s">
        <v>8631</v>
      </c>
      <c r="M8816" s="49"/>
    </row>
    <row r="8817" spans="6:13" x14ac:dyDescent="0.25">
      <c r="F8817" t="s">
        <v>8630</v>
      </c>
      <c r="G8817">
        <v>42285</v>
      </c>
      <c r="H8817">
        <v>5124</v>
      </c>
      <c r="I8817" s="25" t="s">
        <v>2023</v>
      </c>
      <c r="J8817" t="s">
        <v>8631</v>
      </c>
      <c r="M8817" s="49"/>
    </row>
    <row r="8818" spans="6:13" x14ac:dyDescent="0.25">
      <c r="F8818" t="s">
        <v>8630</v>
      </c>
      <c r="G8818">
        <v>42281</v>
      </c>
      <c r="H8818">
        <v>5124</v>
      </c>
      <c r="I8818" s="25" t="s">
        <v>2023</v>
      </c>
      <c r="J8818" t="s">
        <v>8631</v>
      </c>
      <c r="M8818" s="49"/>
    </row>
    <row r="8819" spans="6:13" x14ac:dyDescent="0.25">
      <c r="F8819" t="s">
        <v>8630</v>
      </c>
      <c r="G8819">
        <v>42115</v>
      </c>
      <c r="H8819">
        <v>5124</v>
      </c>
      <c r="I8819" s="25" t="s">
        <v>2023</v>
      </c>
      <c r="J8819" t="s">
        <v>8631</v>
      </c>
      <c r="M8819" s="49"/>
    </row>
    <row r="8820" spans="6:13" x14ac:dyDescent="0.25">
      <c r="F8820" t="s">
        <v>8630</v>
      </c>
      <c r="G8820">
        <v>42117</v>
      </c>
      <c r="H8820">
        <v>5124</v>
      </c>
      <c r="I8820" s="25" t="s">
        <v>2023</v>
      </c>
      <c r="J8820" t="s">
        <v>8631</v>
      </c>
      <c r="M8820" s="49"/>
    </row>
    <row r="8821" spans="6:13" x14ac:dyDescent="0.25">
      <c r="F8821" t="s">
        <v>8630</v>
      </c>
      <c r="G8821">
        <v>42369</v>
      </c>
      <c r="H8821">
        <v>5124</v>
      </c>
      <c r="I8821" s="25" t="s">
        <v>2023</v>
      </c>
      <c r="J8821" t="s">
        <v>8631</v>
      </c>
      <c r="M8821" s="49"/>
    </row>
    <row r="8822" spans="6:13" x14ac:dyDescent="0.25">
      <c r="F8822" t="s">
        <v>8630</v>
      </c>
      <c r="G8822">
        <v>42289</v>
      </c>
      <c r="H8822">
        <v>5124</v>
      </c>
      <c r="I8822" s="25" t="s">
        <v>2023</v>
      </c>
      <c r="J8822" t="s">
        <v>8631</v>
      </c>
      <c r="M8822" s="49"/>
    </row>
    <row r="8823" spans="6:13" x14ac:dyDescent="0.25">
      <c r="F8823" t="s">
        <v>8630</v>
      </c>
      <c r="G8823">
        <v>42283</v>
      </c>
      <c r="H8823">
        <v>5124</v>
      </c>
      <c r="I8823" s="25" t="s">
        <v>2023</v>
      </c>
      <c r="J8823" t="s">
        <v>8631</v>
      </c>
      <c r="M8823" s="49"/>
    </row>
    <row r="8824" spans="6:13" x14ac:dyDescent="0.25">
      <c r="F8824" t="s">
        <v>8630</v>
      </c>
      <c r="G8824">
        <v>42103</v>
      </c>
      <c r="H8824">
        <v>5124</v>
      </c>
      <c r="I8824" s="25" t="s">
        <v>2023</v>
      </c>
      <c r="J8824" t="s">
        <v>8631</v>
      </c>
      <c r="M8824" s="49"/>
    </row>
    <row r="8825" spans="6:13" x14ac:dyDescent="0.25">
      <c r="F8825" t="s">
        <v>8630</v>
      </c>
      <c r="G8825">
        <v>42277</v>
      </c>
      <c r="H8825">
        <v>5124</v>
      </c>
      <c r="I8825" s="25" t="s">
        <v>2023</v>
      </c>
      <c r="J8825" t="s">
        <v>8631</v>
      </c>
      <c r="M8825" s="49"/>
    </row>
    <row r="8826" spans="6:13" x14ac:dyDescent="0.25">
      <c r="F8826" t="s">
        <v>8630</v>
      </c>
      <c r="G8826">
        <v>42389</v>
      </c>
      <c r="H8826">
        <v>5124</v>
      </c>
      <c r="I8826" s="25" t="s">
        <v>2023</v>
      </c>
      <c r="J8826" t="s">
        <v>8631</v>
      </c>
      <c r="M8826" s="49"/>
    </row>
    <row r="8827" spans="6:13" x14ac:dyDescent="0.25">
      <c r="F8827" t="s">
        <v>8630</v>
      </c>
      <c r="G8827">
        <v>42113</v>
      </c>
      <c r="H8827">
        <v>5124</v>
      </c>
      <c r="I8827" s="25" t="s">
        <v>2023</v>
      </c>
      <c r="J8827" t="s">
        <v>8631</v>
      </c>
      <c r="M8827" s="49"/>
    </row>
    <row r="8828" spans="6:13" x14ac:dyDescent="0.25">
      <c r="F8828" t="s">
        <v>8630</v>
      </c>
      <c r="G8828">
        <v>42275</v>
      </c>
      <c r="H8828">
        <v>5124</v>
      </c>
      <c r="I8828" s="25" t="s">
        <v>2023</v>
      </c>
      <c r="J8828" t="s">
        <v>8631</v>
      </c>
      <c r="M8828" s="49"/>
    </row>
    <row r="8829" spans="6:13" x14ac:dyDescent="0.25">
      <c r="F8829" t="s">
        <v>8630</v>
      </c>
      <c r="G8829">
        <v>42111</v>
      </c>
      <c r="H8829">
        <v>5124</v>
      </c>
      <c r="I8829" s="25" t="s">
        <v>2023</v>
      </c>
      <c r="J8829" t="s">
        <v>8631</v>
      </c>
      <c r="M8829" s="49"/>
    </row>
    <row r="8830" spans="6:13" x14ac:dyDescent="0.25">
      <c r="F8830" t="s">
        <v>8630</v>
      </c>
      <c r="G8830">
        <v>42119</v>
      </c>
      <c r="H8830">
        <v>5124</v>
      </c>
      <c r="I8830" s="25" t="s">
        <v>2023</v>
      </c>
      <c r="J8830" t="s">
        <v>8631</v>
      </c>
      <c r="M8830" s="49"/>
    </row>
    <row r="8831" spans="6:13" x14ac:dyDescent="0.25">
      <c r="F8831" t="s">
        <v>8630</v>
      </c>
      <c r="G8831">
        <v>42287</v>
      </c>
      <c r="H8831">
        <v>5124</v>
      </c>
      <c r="I8831" s="25" t="s">
        <v>2023</v>
      </c>
      <c r="J8831" t="s">
        <v>8631</v>
      </c>
      <c r="M8831" s="49"/>
    </row>
    <row r="8832" spans="6:13" x14ac:dyDescent="0.25">
      <c r="F8832" t="s">
        <v>8630</v>
      </c>
      <c r="G8832">
        <v>42399</v>
      </c>
      <c r="H8832">
        <v>5124</v>
      </c>
      <c r="I8832" s="25" t="s">
        <v>2023</v>
      </c>
      <c r="J8832" t="s">
        <v>8631</v>
      </c>
      <c r="M8832" s="49"/>
    </row>
    <row r="8833" spans="6:13" x14ac:dyDescent="0.25">
      <c r="F8833" t="s">
        <v>8632</v>
      </c>
      <c r="G8833">
        <v>84329</v>
      </c>
      <c r="H8833">
        <v>9277</v>
      </c>
      <c r="I8833" s="25" t="s">
        <v>2050</v>
      </c>
      <c r="J8833" t="s">
        <v>2529</v>
      </c>
      <c r="M8833" s="49"/>
    </row>
    <row r="8834" spans="6:13" x14ac:dyDescent="0.25">
      <c r="F8834" t="s">
        <v>8633</v>
      </c>
      <c r="G8834">
        <v>75449</v>
      </c>
      <c r="H8834">
        <v>8236</v>
      </c>
      <c r="I8834" s="25" t="s">
        <v>2018</v>
      </c>
      <c r="J8834" t="s">
        <v>3087</v>
      </c>
      <c r="M8834" s="49"/>
    </row>
    <row r="8835" spans="6:13" x14ac:dyDescent="0.25">
      <c r="F8835" t="s">
        <v>8634</v>
      </c>
      <c r="G8835">
        <v>78573</v>
      </c>
      <c r="H8835">
        <v>8327</v>
      </c>
      <c r="I8835" s="25" t="s">
        <v>2018</v>
      </c>
      <c r="J8835" t="s">
        <v>2277</v>
      </c>
      <c r="M8835" s="49"/>
    </row>
    <row r="8836" spans="6:13" x14ac:dyDescent="0.25">
      <c r="F8836" t="s">
        <v>8635</v>
      </c>
      <c r="G8836">
        <v>84189</v>
      </c>
      <c r="H8836">
        <v>9274</v>
      </c>
      <c r="I8836" s="25" t="s">
        <v>2050</v>
      </c>
      <c r="J8836" t="s">
        <v>2132</v>
      </c>
      <c r="M8836" s="49"/>
    </row>
    <row r="8837" spans="6:13" x14ac:dyDescent="0.25">
      <c r="F8837" t="s">
        <v>8636</v>
      </c>
      <c r="G8837">
        <v>52146</v>
      </c>
      <c r="H8837">
        <v>5334</v>
      </c>
      <c r="I8837" s="25" t="s">
        <v>2023</v>
      </c>
      <c r="J8837" t="s">
        <v>2341</v>
      </c>
      <c r="M8837" s="49"/>
    </row>
    <row r="8838" spans="6:13" x14ac:dyDescent="0.25">
      <c r="F8838" t="s">
        <v>8637</v>
      </c>
      <c r="G8838">
        <v>27639</v>
      </c>
      <c r="H8838">
        <v>3352</v>
      </c>
      <c r="I8838" s="25" t="s">
        <v>2074</v>
      </c>
      <c r="J8838" t="s">
        <v>2079</v>
      </c>
      <c r="M8838" s="49"/>
    </row>
    <row r="8839" spans="6:13" x14ac:dyDescent="0.25">
      <c r="F8839" t="s">
        <v>8638</v>
      </c>
      <c r="G8839">
        <v>7343</v>
      </c>
      <c r="H8839">
        <v>16075</v>
      </c>
      <c r="I8839" s="25" t="s">
        <v>2384</v>
      </c>
      <c r="J8839" t="s">
        <v>4221</v>
      </c>
      <c r="M8839" s="49"/>
    </row>
    <row r="8840" spans="6:13" x14ac:dyDescent="0.25">
      <c r="F8840" t="s">
        <v>2428</v>
      </c>
      <c r="G8840">
        <v>97072</v>
      </c>
      <c r="H8840">
        <v>9663</v>
      </c>
      <c r="I8840" s="25" t="s">
        <v>2050</v>
      </c>
      <c r="J8840" t="s">
        <v>8639</v>
      </c>
      <c r="M8840" s="49"/>
    </row>
    <row r="8841" spans="6:13" x14ac:dyDescent="0.25">
      <c r="F8841" t="s">
        <v>2428</v>
      </c>
      <c r="G8841">
        <v>97080</v>
      </c>
      <c r="H8841">
        <v>9663</v>
      </c>
      <c r="I8841" s="25" t="s">
        <v>2050</v>
      </c>
      <c r="J8841" t="s">
        <v>8639</v>
      </c>
      <c r="M8841" s="49"/>
    </row>
    <row r="8842" spans="6:13" x14ac:dyDescent="0.25">
      <c r="F8842" t="s">
        <v>2428</v>
      </c>
      <c r="G8842">
        <v>97070</v>
      </c>
      <c r="H8842">
        <v>9663</v>
      </c>
      <c r="I8842" s="25" t="s">
        <v>2050</v>
      </c>
      <c r="J8842" t="s">
        <v>8639</v>
      </c>
      <c r="M8842" s="49"/>
    </row>
    <row r="8843" spans="6:13" x14ac:dyDescent="0.25">
      <c r="F8843" t="s">
        <v>2428</v>
      </c>
      <c r="G8843">
        <v>97082</v>
      </c>
      <c r="H8843">
        <v>9663</v>
      </c>
      <c r="I8843" s="25" t="s">
        <v>2050</v>
      </c>
      <c r="J8843" t="s">
        <v>8639</v>
      </c>
      <c r="M8843" s="49"/>
    </row>
    <row r="8844" spans="6:13" x14ac:dyDescent="0.25">
      <c r="F8844" t="s">
        <v>2428</v>
      </c>
      <c r="G8844">
        <v>97074</v>
      </c>
      <c r="H8844">
        <v>9663</v>
      </c>
      <c r="I8844" s="25" t="s">
        <v>2050</v>
      </c>
      <c r="J8844" t="s">
        <v>8639</v>
      </c>
      <c r="M8844" s="49"/>
    </row>
    <row r="8845" spans="6:13" x14ac:dyDescent="0.25">
      <c r="F8845" t="s">
        <v>2428</v>
      </c>
      <c r="G8845">
        <v>97078</v>
      </c>
      <c r="H8845">
        <v>9663</v>
      </c>
      <c r="I8845" s="25" t="s">
        <v>2050</v>
      </c>
      <c r="J8845" t="s">
        <v>8639</v>
      </c>
      <c r="M8845" s="49"/>
    </row>
    <row r="8846" spans="6:13" x14ac:dyDescent="0.25">
      <c r="F8846" t="s">
        <v>2428</v>
      </c>
      <c r="G8846">
        <v>97076</v>
      </c>
      <c r="H8846">
        <v>9663</v>
      </c>
      <c r="I8846" s="25" t="s">
        <v>2050</v>
      </c>
      <c r="J8846" t="s">
        <v>8639</v>
      </c>
      <c r="M8846" s="49"/>
    </row>
    <row r="8847" spans="6:13" x14ac:dyDescent="0.25">
      <c r="F8847" t="s">
        <v>2428</v>
      </c>
      <c r="G8847">
        <v>97084</v>
      </c>
      <c r="H8847">
        <v>9663</v>
      </c>
      <c r="I8847" s="25" t="s">
        <v>2050</v>
      </c>
      <c r="J8847" t="s">
        <v>8639</v>
      </c>
      <c r="M8847" s="49"/>
    </row>
    <row r="8848" spans="6:13" x14ac:dyDescent="0.25">
      <c r="F8848" t="s">
        <v>8640</v>
      </c>
      <c r="G8848">
        <v>4808</v>
      </c>
      <c r="H8848">
        <v>14729</v>
      </c>
      <c r="I8848" s="25" t="s">
        <v>2135</v>
      </c>
      <c r="J8848" t="s">
        <v>2684</v>
      </c>
      <c r="M8848" s="49"/>
    </row>
    <row r="8849" spans="6:13" x14ac:dyDescent="0.25">
      <c r="F8849" t="s">
        <v>8641</v>
      </c>
      <c r="G8849">
        <v>71543</v>
      </c>
      <c r="H8849">
        <v>8125</v>
      </c>
      <c r="I8849" s="25" t="s">
        <v>2018</v>
      </c>
      <c r="J8849" t="s">
        <v>2060</v>
      </c>
      <c r="M8849" s="49"/>
    </row>
    <row r="8850" spans="6:13" x14ac:dyDescent="0.25">
      <c r="F8850" t="s">
        <v>8642</v>
      </c>
      <c r="G8850">
        <v>16868</v>
      </c>
      <c r="H8850">
        <v>12068</v>
      </c>
      <c r="I8850" s="25" t="s">
        <v>2356</v>
      </c>
      <c r="J8850" t="s">
        <v>2299</v>
      </c>
      <c r="M8850" s="49"/>
    </row>
    <row r="8851" spans="6:13" x14ac:dyDescent="0.25">
      <c r="F8851" t="s">
        <v>8643</v>
      </c>
      <c r="G8851">
        <v>14789</v>
      </c>
      <c r="H8851">
        <v>12069</v>
      </c>
      <c r="I8851" s="25" t="s">
        <v>2356</v>
      </c>
      <c r="J8851" t="s">
        <v>2857</v>
      </c>
      <c r="M8851" s="49"/>
    </row>
    <row r="8852" spans="6:13" x14ac:dyDescent="0.25">
      <c r="F8852" t="s">
        <v>8644</v>
      </c>
      <c r="G8852">
        <v>29462</v>
      </c>
      <c r="H8852">
        <v>3354</v>
      </c>
      <c r="I8852" s="25" t="s">
        <v>2074</v>
      </c>
      <c r="J8852" t="s">
        <v>2232</v>
      </c>
      <c r="M8852" s="49"/>
    </row>
    <row r="8853" spans="6:13" x14ac:dyDescent="0.25">
      <c r="F8853" t="s">
        <v>8645</v>
      </c>
      <c r="G8853">
        <v>79879</v>
      </c>
      <c r="H8853">
        <v>8337</v>
      </c>
      <c r="I8853" s="25" t="s">
        <v>2018</v>
      </c>
      <c r="J8853" t="s">
        <v>2248</v>
      </c>
      <c r="M8853" s="49"/>
    </row>
    <row r="8854" spans="6:13" x14ac:dyDescent="0.25">
      <c r="F8854" t="s">
        <v>8646</v>
      </c>
      <c r="G8854">
        <v>99848</v>
      </c>
      <c r="H8854">
        <v>16063</v>
      </c>
      <c r="I8854" s="25" t="s">
        <v>2384</v>
      </c>
      <c r="J8854" t="s">
        <v>2687</v>
      </c>
      <c r="M8854" s="49"/>
    </row>
    <row r="8855" spans="6:13" x14ac:dyDescent="0.25">
      <c r="F8855" t="s">
        <v>8647</v>
      </c>
      <c r="G8855">
        <v>79793</v>
      </c>
      <c r="H8855">
        <v>8337</v>
      </c>
      <c r="I8855" s="25" t="s">
        <v>2018</v>
      </c>
      <c r="J8855" t="s">
        <v>2248</v>
      </c>
      <c r="M8855" s="49"/>
    </row>
    <row r="8856" spans="6:13" x14ac:dyDescent="0.25">
      <c r="F8856" t="s">
        <v>8648</v>
      </c>
      <c r="G8856">
        <v>79369</v>
      </c>
      <c r="H8856">
        <v>8316</v>
      </c>
      <c r="I8856" s="25" t="s">
        <v>2018</v>
      </c>
      <c r="J8856" t="s">
        <v>2764</v>
      </c>
      <c r="M8856" s="49"/>
    </row>
    <row r="8857" spans="6:13" x14ac:dyDescent="0.25">
      <c r="F8857" t="s">
        <v>8649</v>
      </c>
      <c r="G8857">
        <v>46509</v>
      </c>
      <c r="H8857">
        <v>5170</v>
      </c>
      <c r="I8857" s="25" t="s">
        <v>2023</v>
      </c>
      <c r="J8857" t="s">
        <v>2328</v>
      </c>
      <c r="M8857" s="49"/>
    </row>
    <row r="8858" spans="6:13" x14ac:dyDescent="0.25">
      <c r="F8858" t="s">
        <v>8650</v>
      </c>
      <c r="G8858">
        <v>74374</v>
      </c>
      <c r="H8858">
        <v>8125</v>
      </c>
      <c r="I8858" s="25" t="s">
        <v>2018</v>
      </c>
      <c r="J8858" t="s">
        <v>2060</v>
      </c>
      <c r="M8858" s="49"/>
    </row>
    <row r="8859" spans="6:13" x14ac:dyDescent="0.25">
      <c r="F8859" t="s">
        <v>8651</v>
      </c>
      <c r="G8859">
        <v>94239</v>
      </c>
      <c r="H8859">
        <v>9276</v>
      </c>
      <c r="I8859" s="25" t="s">
        <v>2050</v>
      </c>
      <c r="J8859" t="s">
        <v>2078</v>
      </c>
      <c r="M8859" s="49"/>
    </row>
    <row r="8860" spans="6:13" x14ac:dyDescent="0.25">
      <c r="F8860" t="s">
        <v>8652</v>
      </c>
      <c r="G8860">
        <v>6895</v>
      </c>
      <c r="H8860">
        <v>15091</v>
      </c>
      <c r="I8860" s="25" t="s">
        <v>2241</v>
      </c>
      <c r="J8860" t="s">
        <v>1509</v>
      </c>
      <c r="M8860" s="49"/>
    </row>
    <row r="8861" spans="6:13" x14ac:dyDescent="0.25">
      <c r="F8861" t="s">
        <v>8653</v>
      </c>
      <c r="G8861">
        <v>75059</v>
      </c>
      <c r="H8861">
        <v>8215</v>
      </c>
      <c r="I8861" s="25" t="s">
        <v>2018</v>
      </c>
      <c r="J8861" t="s">
        <v>2724</v>
      </c>
      <c r="M8861" s="49"/>
    </row>
    <row r="8862" spans="6:13" x14ac:dyDescent="0.25">
      <c r="F8862" t="s">
        <v>8654</v>
      </c>
      <c r="G8862">
        <v>93499</v>
      </c>
      <c r="H8862">
        <v>9372</v>
      </c>
      <c r="I8862" s="25" t="s">
        <v>2050</v>
      </c>
      <c r="J8862" t="s">
        <v>2523</v>
      </c>
      <c r="M8862" s="49"/>
    </row>
    <row r="8863" spans="6:13" x14ac:dyDescent="0.25">
      <c r="F8863" t="s">
        <v>8655</v>
      </c>
      <c r="G8863">
        <v>96199</v>
      </c>
      <c r="H8863">
        <v>9471</v>
      </c>
      <c r="I8863" s="25" t="s">
        <v>2050</v>
      </c>
      <c r="J8863" t="s">
        <v>2392</v>
      </c>
      <c r="M8863" s="49"/>
    </row>
    <row r="8864" spans="6:13" x14ac:dyDescent="0.25">
      <c r="F8864" t="s">
        <v>8656</v>
      </c>
      <c r="G8864">
        <v>23619</v>
      </c>
      <c r="H8864">
        <v>1062</v>
      </c>
      <c r="I8864" s="25" t="s">
        <v>2085</v>
      </c>
      <c r="J8864" t="s">
        <v>2188</v>
      </c>
      <c r="M8864" s="49"/>
    </row>
    <row r="8865" spans="6:13" x14ac:dyDescent="0.25">
      <c r="F8865" t="s">
        <v>8657</v>
      </c>
      <c r="G8865">
        <v>19246</v>
      </c>
      <c r="H8865">
        <v>13076</v>
      </c>
      <c r="I8865" s="25" t="s">
        <v>2191</v>
      </c>
      <c r="J8865" t="s">
        <v>2234</v>
      </c>
      <c r="M8865" s="49"/>
    </row>
    <row r="8866" spans="6:13" x14ac:dyDescent="0.25">
      <c r="F8866" t="s">
        <v>8658</v>
      </c>
      <c r="G8866">
        <v>16792</v>
      </c>
      <c r="H8866">
        <v>12065</v>
      </c>
      <c r="I8866" s="25" t="s">
        <v>2356</v>
      </c>
      <c r="J8866" t="s">
        <v>2283</v>
      </c>
      <c r="M8866" s="49"/>
    </row>
    <row r="8867" spans="6:13" x14ac:dyDescent="0.25">
      <c r="F8867" t="s">
        <v>8659</v>
      </c>
      <c r="G8867">
        <v>97475</v>
      </c>
      <c r="H8867">
        <v>9674</v>
      </c>
      <c r="I8867" s="25" t="s">
        <v>2050</v>
      </c>
      <c r="J8867" t="s">
        <v>2218</v>
      </c>
      <c r="M8867" s="49"/>
    </row>
    <row r="8868" spans="6:13" x14ac:dyDescent="0.25">
      <c r="F8868" t="s">
        <v>8660</v>
      </c>
      <c r="G8868">
        <v>67378</v>
      </c>
      <c r="H8868">
        <v>7334</v>
      </c>
      <c r="I8868" s="25" t="s">
        <v>2123</v>
      </c>
      <c r="J8868" t="s">
        <v>2873</v>
      </c>
      <c r="M8868" s="49"/>
    </row>
    <row r="8869" spans="6:13" x14ac:dyDescent="0.25">
      <c r="F8869" t="s">
        <v>8661</v>
      </c>
      <c r="G8869">
        <v>1619</v>
      </c>
      <c r="H8869">
        <v>14627</v>
      </c>
      <c r="I8869" s="25" t="s">
        <v>2135</v>
      </c>
      <c r="J8869" t="s">
        <v>2251</v>
      </c>
      <c r="M8869" s="49"/>
    </row>
    <row r="8870" spans="6:13" x14ac:dyDescent="0.25">
      <c r="F8870" t="s">
        <v>8662</v>
      </c>
      <c r="G8870">
        <v>93197</v>
      </c>
      <c r="H8870">
        <v>9375</v>
      </c>
      <c r="I8870" s="25" t="s">
        <v>2050</v>
      </c>
      <c r="J8870" t="s">
        <v>2365</v>
      </c>
      <c r="M8870" s="49"/>
    </row>
    <row r="8871" spans="6:13" x14ac:dyDescent="0.25">
      <c r="F8871" t="s">
        <v>8662</v>
      </c>
      <c r="G8871">
        <v>93197</v>
      </c>
      <c r="H8871">
        <v>9375</v>
      </c>
      <c r="I8871" s="25" t="s">
        <v>2050</v>
      </c>
      <c r="J8871" t="s">
        <v>2365</v>
      </c>
      <c r="M8871" s="49"/>
    </row>
    <row r="8872" spans="6:13" x14ac:dyDescent="0.25">
      <c r="F8872" t="s">
        <v>8663</v>
      </c>
      <c r="G8872">
        <v>97799</v>
      </c>
      <c r="H8872">
        <v>9672</v>
      </c>
      <c r="I8872" s="25" t="s">
        <v>2050</v>
      </c>
      <c r="J8872" t="s">
        <v>2620</v>
      </c>
      <c r="M8872" s="49"/>
    </row>
    <row r="8873" spans="6:13" x14ac:dyDescent="0.25">
      <c r="F8873" t="s">
        <v>8664</v>
      </c>
      <c r="G8873">
        <v>6711</v>
      </c>
      <c r="H8873">
        <v>15084</v>
      </c>
      <c r="I8873" s="25" t="s">
        <v>2241</v>
      </c>
      <c r="J8873" t="s">
        <v>2615</v>
      </c>
      <c r="M8873" s="49"/>
    </row>
    <row r="8874" spans="6:13" x14ac:dyDescent="0.25">
      <c r="F8874" t="s">
        <v>8665</v>
      </c>
      <c r="G8874">
        <v>6712</v>
      </c>
      <c r="H8874">
        <v>15084</v>
      </c>
      <c r="I8874" s="25" t="s">
        <v>2241</v>
      </c>
      <c r="J8874" t="s">
        <v>2615</v>
      </c>
      <c r="M8874" s="49"/>
    </row>
    <row r="8875" spans="6:13" x14ac:dyDescent="0.25">
      <c r="F8875" t="s">
        <v>8666</v>
      </c>
      <c r="G8875">
        <v>93199</v>
      </c>
      <c r="H8875">
        <v>9372</v>
      </c>
      <c r="I8875" s="25" t="s">
        <v>2050</v>
      </c>
      <c r="J8875" t="s">
        <v>2523</v>
      </c>
      <c r="M8875" s="49"/>
    </row>
    <row r="8876" spans="6:13" x14ac:dyDescent="0.25">
      <c r="F8876" t="s">
        <v>8666</v>
      </c>
      <c r="G8876">
        <v>95239</v>
      </c>
      <c r="H8876">
        <v>9475</v>
      </c>
      <c r="I8876" s="25" t="s">
        <v>2050</v>
      </c>
      <c r="J8876" t="s">
        <v>2201</v>
      </c>
      <c r="M8876" s="49"/>
    </row>
    <row r="8877" spans="6:13" x14ac:dyDescent="0.25">
      <c r="F8877" t="s">
        <v>8667</v>
      </c>
      <c r="G8877">
        <v>56856</v>
      </c>
      <c r="H8877">
        <v>7135</v>
      </c>
      <c r="I8877" s="25" t="s">
        <v>2123</v>
      </c>
      <c r="J8877" t="s">
        <v>2072</v>
      </c>
      <c r="M8877" s="49"/>
    </row>
    <row r="8878" spans="6:13" x14ac:dyDescent="0.25">
      <c r="F8878" t="s">
        <v>8668</v>
      </c>
      <c r="G8878">
        <v>97299</v>
      </c>
      <c r="H8878">
        <v>9679</v>
      </c>
      <c r="I8878" s="25" t="s">
        <v>2050</v>
      </c>
      <c r="J8878" t="s">
        <v>2428</v>
      </c>
      <c r="M8878" s="49"/>
    </row>
    <row r="8879" spans="6:13" x14ac:dyDescent="0.25">
      <c r="F8879" t="s">
        <v>8669</v>
      </c>
      <c r="G8879">
        <v>77736</v>
      </c>
      <c r="H8879">
        <v>8317</v>
      </c>
      <c r="I8879" s="25" t="s">
        <v>2018</v>
      </c>
      <c r="J8879" t="s">
        <v>2071</v>
      </c>
      <c r="M8879" s="49"/>
    </row>
    <row r="8880" spans="6:13" x14ac:dyDescent="0.25">
      <c r="F8880" t="s">
        <v>8670</v>
      </c>
      <c r="G8880">
        <v>79669</v>
      </c>
      <c r="H8880">
        <v>8336</v>
      </c>
      <c r="I8880" s="25" t="s">
        <v>2018</v>
      </c>
      <c r="J8880" t="s">
        <v>2227</v>
      </c>
      <c r="M8880" s="49"/>
    </row>
    <row r="8881" spans="6:13" x14ac:dyDescent="0.25">
      <c r="F8881" t="s">
        <v>8671</v>
      </c>
      <c r="G8881">
        <v>73119</v>
      </c>
      <c r="H8881">
        <v>8117</v>
      </c>
      <c r="I8881" s="25" t="s">
        <v>2018</v>
      </c>
      <c r="J8881" t="s">
        <v>2089</v>
      </c>
      <c r="M8881" s="49"/>
    </row>
    <row r="8882" spans="6:13" x14ac:dyDescent="0.25">
      <c r="F8882" t="s">
        <v>8672</v>
      </c>
      <c r="G8882">
        <v>98544</v>
      </c>
      <c r="H8882">
        <v>16066</v>
      </c>
      <c r="I8882" s="25" t="s">
        <v>2384</v>
      </c>
      <c r="J8882" t="s">
        <v>2358</v>
      </c>
      <c r="M8882" s="49"/>
    </row>
    <row r="8883" spans="6:13" x14ac:dyDescent="0.25">
      <c r="F8883" t="s">
        <v>8673</v>
      </c>
      <c r="G8883">
        <v>97225</v>
      </c>
      <c r="H8883">
        <v>9677</v>
      </c>
      <c r="I8883" s="25" t="s">
        <v>2050</v>
      </c>
      <c r="J8883" t="s">
        <v>2527</v>
      </c>
      <c r="M8883" s="49"/>
    </row>
    <row r="8884" spans="6:13" x14ac:dyDescent="0.25">
      <c r="F8884" t="s">
        <v>8674</v>
      </c>
      <c r="G8884">
        <v>54492</v>
      </c>
      <c r="H8884">
        <v>7231</v>
      </c>
      <c r="I8884" s="25" t="s">
        <v>2123</v>
      </c>
      <c r="J8884" t="s">
        <v>2043</v>
      </c>
      <c r="M8884" s="49"/>
    </row>
    <row r="8885" spans="6:13" x14ac:dyDescent="0.25">
      <c r="F8885" t="s">
        <v>8675</v>
      </c>
      <c r="G8885">
        <v>54313</v>
      </c>
      <c r="H8885">
        <v>7235</v>
      </c>
      <c r="I8885" s="25" t="s">
        <v>2123</v>
      </c>
      <c r="J8885" t="s">
        <v>2395</v>
      </c>
      <c r="M8885" s="49"/>
    </row>
    <row r="8886" spans="6:13" x14ac:dyDescent="0.25">
      <c r="F8886" t="s">
        <v>8676</v>
      </c>
      <c r="G8886">
        <v>94579</v>
      </c>
      <c r="H8886">
        <v>9272</v>
      </c>
      <c r="I8886" s="25" t="s">
        <v>2050</v>
      </c>
      <c r="J8886" t="s">
        <v>2140</v>
      </c>
      <c r="M8886" s="49"/>
    </row>
    <row r="8887" spans="6:13" x14ac:dyDescent="0.25">
      <c r="F8887" t="s">
        <v>8677</v>
      </c>
      <c r="G8887">
        <v>39261</v>
      </c>
      <c r="H8887">
        <v>15082</v>
      </c>
      <c r="I8887" s="25" t="s">
        <v>2241</v>
      </c>
      <c r="J8887" t="s">
        <v>2242</v>
      </c>
      <c r="M8887" s="49"/>
    </row>
    <row r="8888" spans="6:13" x14ac:dyDescent="0.25">
      <c r="F8888" t="s">
        <v>8678</v>
      </c>
      <c r="G8888">
        <v>54314</v>
      </c>
      <c r="H8888">
        <v>7235</v>
      </c>
      <c r="I8888" s="25" t="s">
        <v>2123</v>
      </c>
      <c r="J8888" t="s">
        <v>2395</v>
      </c>
      <c r="M8888" s="49"/>
    </row>
    <row r="8889" spans="6:13" x14ac:dyDescent="0.25">
      <c r="F8889" t="s">
        <v>8679</v>
      </c>
      <c r="G8889">
        <v>29499</v>
      </c>
      <c r="H8889">
        <v>3354</v>
      </c>
      <c r="I8889" s="25" t="s">
        <v>2074</v>
      </c>
      <c r="J8889" t="s">
        <v>2232</v>
      </c>
      <c r="M8889" s="49"/>
    </row>
    <row r="8890" spans="6:13" x14ac:dyDescent="0.25">
      <c r="F8890" t="s">
        <v>8680</v>
      </c>
      <c r="G8890">
        <v>15326</v>
      </c>
      <c r="H8890">
        <v>12064</v>
      </c>
      <c r="I8890" s="25" t="s">
        <v>2356</v>
      </c>
      <c r="J8890" t="s">
        <v>2243</v>
      </c>
      <c r="M8890" s="49"/>
    </row>
    <row r="8891" spans="6:13" x14ac:dyDescent="0.25">
      <c r="F8891" t="s">
        <v>8681</v>
      </c>
      <c r="G8891">
        <v>26340</v>
      </c>
      <c r="H8891">
        <v>3455</v>
      </c>
      <c r="I8891" s="25" t="s">
        <v>2074</v>
      </c>
      <c r="J8891" t="s">
        <v>2143</v>
      </c>
      <c r="M8891" s="49"/>
    </row>
    <row r="8892" spans="6:13" x14ac:dyDescent="0.25">
      <c r="F8892" t="s">
        <v>8682</v>
      </c>
      <c r="G8892">
        <v>7937</v>
      </c>
      <c r="H8892">
        <v>16076</v>
      </c>
      <c r="I8892" s="25" t="s">
        <v>2384</v>
      </c>
      <c r="J8892" t="s">
        <v>2583</v>
      </c>
      <c r="M8892" s="49"/>
    </row>
    <row r="8893" spans="6:13" x14ac:dyDescent="0.25">
      <c r="F8893" t="s">
        <v>8683</v>
      </c>
      <c r="G8893">
        <v>7950</v>
      </c>
      <c r="H8893">
        <v>16076</v>
      </c>
      <c r="I8893" s="25" t="s">
        <v>2384</v>
      </c>
      <c r="J8893" t="s">
        <v>2583</v>
      </c>
      <c r="M8893" s="49"/>
    </row>
    <row r="8894" spans="6:13" x14ac:dyDescent="0.25">
      <c r="F8894" t="s">
        <v>8684</v>
      </c>
      <c r="G8894">
        <v>15738</v>
      </c>
      <c r="H8894">
        <v>12061</v>
      </c>
      <c r="I8894" s="25" t="s">
        <v>2356</v>
      </c>
      <c r="J8894" t="s">
        <v>3033</v>
      </c>
      <c r="M8894" s="49"/>
    </row>
    <row r="8895" spans="6:13" x14ac:dyDescent="0.25">
      <c r="F8895" t="s">
        <v>8685</v>
      </c>
      <c r="G8895">
        <v>27404</v>
      </c>
      <c r="H8895">
        <v>3357</v>
      </c>
      <c r="I8895" s="25" t="s">
        <v>2074</v>
      </c>
      <c r="J8895" t="s">
        <v>2339</v>
      </c>
      <c r="M8895" s="49"/>
    </row>
    <row r="8896" spans="6:13" x14ac:dyDescent="0.25">
      <c r="F8896" t="s">
        <v>8686</v>
      </c>
      <c r="G8896">
        <v>7924</v>
      </c>
      <c r="H8896">
        <v>16075</v>
      </c>
      <c r="I8896" s="25" t="s">
        <v>2384</v>
      </c>
      <c r="J8896" t="s">
        <v>4221</v>
      </c>
      <c r="M8896" s="49"/>
    </row>
    <row r="8897" spans="6:13" x14ac:dyDescent="0.25">
      <c r="F8897" t="s">
        <v>8687</v>
      </c>
      <c r="G8897">
        <v>86473</v>
      </c>
      <c r="H8897">
        <v>9774</v>
      </c>
      <c r="I8897" s="25" t="s">
        <v>2050</v>
      </c>
      <c r="J8897" t="s">
        <v>2205</v>
      </c>
      <c r="M8897" s="49"/>
    </row>
    <row r="8898" spans="6:13" x14ac:dyDescent="0.25">
      <c r="F8898" t="s">
        <v>8688</v>
      </c>
      <c r="G8898">
        <v>34289</v>
      </c>
      <c r="H8898">
        <v>6633</v>
      </c>
      <c r="I8898" s="25" t="s">
        <v>2046</v>
      </c>
      <c r="J8898" t="s">
        <v>2162</v>
      </c>
      <c r="M8898" s="49"/>
    </row>
    <row r="8899" spans="6:13" x14ac:dyDescent="0.25">
      <c r="F8899" t="s">
        <v>8688</v>
      </c>
      <c r="G8899">
        <v>34289</v>
      </c>
      <c r="H8899">
        <v>6633</v>
      </c>
      <c r="I8899" s="25" t="s">
        <v>2046</v>
      </c>
      <c r="J8899" t="s">
        <v>2162</v>
      </c>
      <c r="M8899" s="49"/>
    </row>
    <row r="8900" spans="6:13" x14ac:dyDescent="0.25">
      <c r="F8900" t="s">
        <v>8689</v>
      </c>
      <c r="G8900">
        <v>89446</v>
      </c>
      <c r="H8900">
        <v>9773</v>
      </c>
      <c r="I8900" s="25" t="s">
        <v>2050</v>
      </c>
      <c r="J8900" t="s">
        <v>2231</v>
      </c>
      <c r="M8900" s="49"/>
    </row>
    <row r="8901" spans="6:13" x14ac:dyDescent="0.25">
      <c r="F8901" t="s">
        <v>8690</v>
      </c>
      <c r="G8901">
        <v>14793</v>
      </c>
      <c r="H8901">
        <v>12069</v>
      </c>
      <c r="I8901" s="25" t="s">
        <v>2356</v>
      </c>
      <c r="J8901" t="s">
        <v>2857</v>
      </c>
      <c r="M8901" s="49"/>
    </row>
    <row r="8902" spans="6:13" x14ac:dyDescent="0.25">
      <c r="F8902" t="s">
        <v>8691</v>
      </c>
      <c r="G8902">
        <v>23911</v>
      </c>
      <c r="H8902">
        <v>1053</v>
      </c>
      <c r="I8902" s="25" t="s">
        <v>2085</v>
      </c>
      <c r="J8902" t="s">
        <v>2193</v>
      </c>
      <c r="M8902" s="49"/>
    </row>
    <row r="8903" spans="6:13" x14ac:dyDescent="0.25">
      <c r="F8903" t="s">
        <v>8691</v>
      </c>
      <c r="G8903">
        <v>23911</v>
      </c>
      <c r="H8903">
        <v>1053</v>
      </c>
      <c r="I8903" s="25" t="s">
        <v>2085</v>
      </c>
      <c r="J8903" t="s">
        <v>2193</v>
      </c>
      <c r="M8903" s="49"/>
    </row>
    <row r="8904" spans="6:13" x14ac:dyDescent="0.25">
      <c r="F8904" t="s">
        <v>8692</v>
      </c>
      <c r="G8904">
        <v>78658</v>
      </c>
      <c r="H8904">
        <v>8325</v>
      </c>
      <c r="I8904" s="25" t="s">
        <v>2018</v>
      </c>
      <c r="J8904" t="s">
        <v>2208</v>
      </c>
      <c r="M8904" s="49"/>
    </row>
    <row r="8905" spans="6:13" x14ac:dyDescent="0.25">
      <c r="F8905" t="s">
        <v>8693</v>
      </c>
      <c r="G8905">
        <v>72369</v>
      </c>
      <c r="H8905">
        <v>8417</v>
      </c>
      <c r="I8905" s="25" t="s">
        <v>2018</v>
      </c>
      <c r="J8905" t="s">
        <v>2269</v>
      </c>
      <c r="M8905" s="49"/>
    </row>
    <row r="8906" spans="6:13" x14ac:dyDescent="0.25">
      <c r="F8906" t="s">
        <v>8694</v>
      </c>
      <c r="G8906">
        <v>18374</v>
      </c>
      <c r="H8906">
        <v>13073</v>
      </c>
      <c r="I8906" s="25" t="s">
        <v>2191</v>
      </c>
      <c r="J8906" t="s">
        <v>2192</v>
      </c>
      <c r="M8906" s="49"/>
    </row>
    <row r="8907" spans="6:13" x14ac:dyDescent="0.25">
      <c r="F8907" t="s">
        <v>8694</v>
      </c>
      <c r="G8907">
        <v>18374</v>
      </c>
      <c r="H8907">
        <v>13073</v>
      </c>
      <c r="I8907" s="25" t="s">
        <v>2191</v>
      </c>
      <c r="J8907" t="s">
        <v>2192</v>
      </c>
      <c r="M8907" s="49"/>
    </row>
    <row r="8908" spans="6:13" x14ac:dyDescent="0.25">
      <c r="F8908" t="s">
        <v>8695</v>
      </c>
      <c r="G8908">
        <v>17454</v>
      </c>
      <c r="H8908">
        <v>13075</v>
      </c>
      <c r="I8908" s="25" t="s">
        <v>2191</v>
      </c>
      <c r="J8908" t="s">
        <v>2160</v>
      </c>
      <c r="M8908" s="49"/>
    </row>
    <row r="8909" spans="6:13" x14ac:dyDescent="0.25">
      <c r="F8909" t="s">
        <v>8696</v>
      </c>
      <c r="G8909">
        <v>90513</v>
      </c>
      <c r="H8909">
        <v>9573</v>
      </c>
      <c r="I8909" s="25" t="s">
        <v>2050</v>
      </c>
      <c r="J8909" t="s">
        <v>2466</v>
      </c>
      <c r="M8909" s="49"/>
    </row>
    <row r="8910" spans="6:13" x14ac:dyDescent="0.25">
      <c r="F8910" t="s">
        <v>8697</v>
      </c>
      <c r="G8910">
        <v>2788</v>
      </c>
      <c r="H8910">
        <v>14626</v>
      </c>
      <c r="I8910" s="25" t="s">
        <v>2135</v>
      </c>
      <c r="J8910" t="s">
        <v>2150</v>
      </c>
      <c r="M8910" s="49"/>
    </row>
    <row r="8911" spans="6:13" x14ac:dyDescent="0.25">
      <c r="F8911" t="s">
        <v>8698</v>
      </c>
      <c r="G8911">
        <v>2763</v>
      </c>
      <c r="H8911">
        <v>14626</v>
      </c>
      <c r="I8911" s="25" t="s">
        <v>2135</v>
      </c>
      <c r="J8911" t="s">
        <v>2150</v>
      </c>
      <c r="M8911" s="49"/>
    </row>
    <row r="8912" spans="6:13" x14ac:dyDescent="0.25">
      <c r="F8912" t="s">
        <v>8699</v>
      </c>
      <c r="G8912">
        <v>85406</v>
      </c>
      <c r="H8912">
        <v>9178</v>
      </c>
      <c r="I8912" s="25" t="s">
        <v>2050</v>
      </c>
      <c r="J8912" t="s">
        <v>2315</v>
      </c>
      <c r="M8912" s="49"/>
    </row>
    <row r="8913" spans="6:13" x14ac:dyDescent="0.25">
      <c r="F8913" t="s">
        <v>8700</v>
      </c>
      <c r="G8913">
        <v>6780</v>
      </c>
      <c r="H8913">
        <v>15082</v>
      </c>
      <c r="I8913" s="25" t="s">
        <v>2241</v>
      </c>
      <c r="J8913" t="s">
        <v>2242</v>
      </c>
      <c r="M8913" s="49"/>
    </row>
    <row r="8914" spans="6:13" x14ac:dyDescent="0.25">
      <c r="F8914" t="s">
        <v>8701</v>
      </c>
      <c r="G8914">
        <v>85604</v>
      </c>
      <c r="H8914">
        <v>9175</v>
      </c>
      <c r="I8914" s="25" t="s">
        <v>2050</v>
      </c>
      <c r="J8914" t="s">
        <v>2500</v>
      </c>
      <c r="M8914" s="49"/>
    </row>
    <row r="8915" spans="6:13" x14ac:dyDescent="0.25">
      <c r="F8915" t="s">
        <v>8702</v>
      </c>
      <c r="G8915">
        <v>89447</v>
      </c>
      <c r="H8915">
        <v>9773</v>
      </c>
      <c r="I8915" s="25" t="s">
        <v>2050</v>
      </c>
      <c r="J8915" t="s">
        <v>2231</v>
      </c>
      <c r="M8915" s="49"/>
    </row>
    <row r="8916" spans="6:13" x14ac:dyDescent="0.25">
      <c r="F8916" t="s">
        <v>8703</v>
      </c>
      <c r="G8916">
        <v>15806</v>
      </c>
      <c r="H8916">
        <v>12072</v>
      </c>
      <c r="I8916" s="25" t="s">
        <v>2356</v>
      </c>
      <c r="J8916" t="s">
        <v>2456</v>
      </c>
      <c r="M8916" s="49"/>
    </row>
    <row r="8917" spans="6:13" x14ac:dyDescent="0.25">
      <c r="F8917" t="s">
        <v>8704</v>
      </c>
      <c r="G8917">
        <v>9434</v>
      </c>
      <c r="H8917">
        <v>14521</v>
      </c>
      <c r="I8917" s="25" t="s">
        <v>2135</v>
      </c>
      <c r="J8917" t="s">
        <v>2032</v>
      </c>
      <c r="M8917" s="49"/>
    </row>
    <row r="8918" spans="6:13" x14ac:dyDescent="0.25">
      <c r="F8918" t="s">
        <v>8705</v>
      </c>
      <c r="G8918">
        <v>9405</v>
      </c>
      <c r="H8918">
        <v>14521</v>
      </c>
      <c r="I8918" s="25" t="s">
        <v>2135</v>
      </c>
      <c r="J8918" t="s">
        <v>2032</v>
      </c>
      <c r="M8918" s="49"/>
    </row>
    <row r="8919" spans="6:13" x14ac:dyDescent="0.25">
      <c r="F8919" t="s">
        <v>8706</v>
      </c>
      <c r="G8919">
        <v>8321</v>
      </c>
      <c r="H8919">
        <v>14521</v>
      </c>
      <c r="I8919" s="25" t="s">
        <v>2135</v>
      </c>
      <c r="J8919" t="s">
        <v>2032</v>
      </c>
      <c r="M8919" s="49"/>
    </row>
    <row r="8920" spans="6:13" x14ac:dyDescent="0.25">
      <c r="F8920" t="s">
        <v>8707</v>
      </c>
      <c r="G8920">
        <v>53909</v>
      </c>
      <c r="H8920">
        <v>5366</v>
      </c>
      <c r="I8920" s="25" t="s">
        <v>2023</v>
      </c>
      <c r="J8920" t="s">
        <v>2127</v>
      </c>
      <c r="M8920" s="49"/>
    </row>
    <row r="8921" spans="6:13" x14ac:dyDescent="0.25">
      <c r="F8921" t="s">
        <v>8708</v>
      </c>
      <c r="G8921">
        <v>86441</v>
      </c>
      <c r="H8921">
        <v>9772</v>
      </c>
      <c r="I8921" s="25" t="s">
        <v>2050</v>
      </c>
      <c r="J8921" t="s">
        <v>2117</v>
      </c>
      <c r="M8921" s="49"/>
    </row>
    <row r="8922" spans="6:13" x14ac:dyDescent="0.25">
      <c r="F8922" t="s">
        <v>8709</v>
      </c>
      <c r="G8922">
        <v>74939</v>
      </c>
      <c r="H8922">
        <v>8226</v>
      </c>
      <c r="I8922" s="25" t="s">
        <v>2018</v>
      </c>
      <c r="J8922" t="s">
        <v>2442</v>
      </c>
      <c r="M8922" s="49"/>
    </row>
    <row r="8923" spans="6:13" x14ac:dyDescent="0.25">
      <c r="F8923" t="s">
        <v>8710</v>
      </c>
      <c r="G8923">
        <v>66482</v>
      </c>
      <c r="H8923">
        <v>7320</v>
      </c>
      <c r="I8923" s="25" t="s">
        <v>2123</v>
      </c>
      <c r="J8923" t="s">
        <v>8711</v>
      </c>
      <c r="M8923" s="49"/>
    </row>
    <row r="8924" spans="6:13" x14ac:dyDescent="0.25">
      <c r="F8924" t="s">
        <v>8712</v>
      </c>
      <c r="G8924">
        <v>74639</v>
      </c>
      <c r="H8924">
        <v>8126</v>
      </c>
      <c r="I8924" s="25" t="s">
        <v>2018</v>
      </c>
      <c r="J8924" t="s">
        <v>3280</v>
      </c>
      <c r="M8924" s="49"/>
    </row>
    <row r="8925" spans="6:13" x14ac:dyDescent="0.25">
      <c r="F8925" t="s">
        <v>8713</v>
      </c>
      <c r="G8925">
        <v>4442</v>
      </c>
      <c r="H8925">
        <v>14729</v>
      </c>
      <c r="I8925" s="25" t="s">
        <v>2135</v>
      </c>
      <c r="J8925" t="s">
        <v>2684</v>
      </c>
      <c r="M8925" s="49"/>
    </row>
    <row r="8926" spans="6:13" x14ac:dyDescent="0.25">
      <c r="F8926" t="s">
        <v>3424</v>
      </c>
      <c r="G8926">
        <v>8056</v>
      </c>
      <c r="H8926">
        <v>14524</v>
      </c>
      <c r="I8926" s="25" t="s">
        <v>2135</v>
      </c>
      <c r="J8926" t="s">
        <v>3424</v>
      </c>
      <c r="M8926" s="49"/>
    </row>
    <row r="8927" spans="6:13" x14ac:dyDescent="0.25">
      <c r="F8927" t="s">
        <v>3424</v>
      </c>
      <c r="G8927">
        <v>8066</v>
      </c>
      <c r="H8927">
        <v>14524</v>
      </c>
      <c r="I8927" s="25" t="s">
        <v>2135</v>
      </c>
      <c r="J8927" t="s">
        <v>3424</v>
      </c>
      <c r="M8927" s="49"/>
    </row>
    <row r="8928" spans="6:13" x14ac:dyDescent="0.25">
      <c r="F8928" t="s">
        <v>3424</v>
      </c>
      <c r="G8928">
        <v>8058</v>
      </c>
      <c r="H8928">
        <v>14524</v>
      </c>
      <c r="I8928" s="25" t="s">
        <v>2135</v>
      </c>
      <c r="J8928" t="s">
        <v>3424</v>
      </c>
      <c r="M8928" s="49"/>
    </row>
    <row r="8929" spans="6:13" x14ac:dyDescent="0.25">
      <c r="F8929" t="s">
        <v>3424</v>
      </c>
      <c r="G8929">
        <v>8062</v>
      </c>
      <c r="H8929">
        <v>14524</v>
      </c>
      <c r="I8929" s="25" t="s">
        <v>2135</v>
      </c>
      <c r="J8929" t="s">
        <v>3424</v>
      </c>
      <c r="M8929" s="49"/>
    </row>
    <row r="8930" spans="6:13" x14ac:dyDescent="0.25">
      <c r="F8930" t="s">
        <v>3424</v>
      </c>
      <c r="G8930">
        <v>8060</v>
      </c>
      <c r="H8930">
        <v>14524</v>
      </c>
      <c r="I8930" s="25" t="s">
        <v>2135</v>
      </c>
      <c r="J8930" t="s">
        <v>3424</v>
      </c>
      <c r="M8930" s="49"/>
    </row>
    <row r="8931" spans="6:13" x14ac:dyDescent="0.25">
      <c r="F8931" t="s">
        <v>3424</v>
      </c>
      <c r="G8931">
        <v>8064</v>
      </c>
      <c r="H8931">
        <v>14524</v>
      </c>
      <c r="I8931" s="25" t="s">
        <v>2135</v>
      </c>
      <c r="J8931" t="s">
        <v>3424</v>
      </c>
      <c r="M8931" s="49"/>
    </row>
    <row r="8932" spans="6:13" x14ac:dyDescent="0.25">
      <c r="F8932" t="s">
        <v>8714</v>
      </c>
      <c r="G8932">
        <v>88529</v>
      </c>
      <c r="H8932">
        <v>8415</v>
      </c>
      <c r="I8932" s="25" t="s">
        <v>2018</v>
      </c>
      <c r="J8932" t="s">
        <v>2325</v>
      </c>
      <c r="M8932" s="49"/>
    </row>
    <row r="8933" spans="6:13" x14ac:dyDescent="0.25">
      <c r="F8933" t="s">
        <v>8715</v>
      </c>
      <c r="G8933">
        <v>94227</v>
      </c>
      <c r="H8933">
        <v>9276</v>
      </c>
      <c r="I8933" s="25" t="s">
        <v>2050</v>
      </c>
      <c r="J8933" t="s">
        <v>2078</v>
      </c>
      <c r="M8933" s="49"/>
    </row>
    <row r="8934" spans="6:13" x14ac:dyDescent="0.25">
      <c r="F8934" t="s">
        <v>8716</v>
      </c>
      <c r="G8934">
        <v>64673</v>
      </c>
      <c r="H8934">
        <v>6431</v>
      </c>
      <c r="I8934" s="25" t="s">
        <v>2046</v>
      </c>
      <c r="J8934" t="s">
        <v>2065</v>
      </c>
      <c r="M8934" s="49"/>
    </row>
    <row r="8935" spans="6:13" x14ac:dyDescent="0.25">
      <c r="F8935" t="s">
        <v>8716</v>
      </c>
      <c r="G8935">
        <v>69439</v>
      </c>
      <c r="H8935">
        <v>8225</v>
      </c>
      <c r="I8935" s="25" t="s">
        <v>2018</v>
      </c>
      <c r="J8935" t="s">
        <v>2108</v>
      </c>
      <c r="M8935" s="49"/>
    </row>
    <row r="8936" spans="6:13" x14ac:dyDescent="0.25">
      <c r="F8936" t="s">
        <v>8717</v>
      </c>
      <c r="G8936">
        <v>8297</v>
      </c>
      <c r="H8936">
        <v>14521</v>
      </c>
      <c r="I8936" s="25" t="s">
        <v>2135</v>
      </c>
      <c r="J8936" t="s">
        <v>2032</v>
      </c>
      <c r="M8936" s="49"/>
    </row>
  </sheetData>
  <pageMargins left="0.7" right="0.7" top="0.78740157499999996" bottom="0.78740157499999996"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AF34-53C7-40D9-A39F-D6A16FCCB500}">
  <sheetPr>
    <tabColor rgb="FFFF0000"/>
  </sheetPr>
  <dimension ref="A1:C7"/>
  <sheetViews>
    <sheetView workbookViewId="0">
      <selection activeCell="C7" sqref="C7"/>
    </sheetView>
  </sheetViews>
  <sheetFormatPr baseColWidth="10" defaultColWidth="11.42578125" defaultRowHeight="15" x14ac:dyDescent="0.25"/>
  <cols>
    <col min="1" max="1" width="17.7109375" bestFit="1" customWidth="1"/>
    <col min="2" max="2" width="25.7109375" bestFit="1" customWidth="1"/>
    <col min="3" max="3" width="23.85546875" bestFit="1" customWidth="1"/>
  </cols>
  <sheetData>
    <row r="1" spans="1:3" x14ac:dyDescent="0.25">
      <c r="A1" s="22" t="s">
        <v>8718</v>
      </c>
      <c r="B1" s="22" t="s">
        <v>8719</v>
      </c>
      <c r="C1" s="22" t="s">
        <v>8720</v>
      </c>
    </row>
    <row r="2" spans="1:3" x14ac:dyDescent="0.25">
      <c r="A2" t="s">
        <v>8721</v>
      </c>
      <c r="B2" t="s">
        <v>8722</v>
      </c>
      <c r="C2">
        <v>1</v>
      </c>
    </row>
    <row r="3" spans="1:3" x14ac:dyDescent="0.25">
      <c r="A3" t="s">
        <v>8721</v>
      </c>
      <c r="B3" t="s">
        <v>8723</v>
      </c>
      <c r="C3">
        <v>1.5</v>
      </c>
    </row>
    <row r="4" spans="1:3" x14ac:dyDescent="0.25">
      <c r="A4" t="s">
        <v>8724</v>
      </c>
      <c r="B4" t="s">
        <v>8723</v>
      </c>
      <c r="C4">
        <v>1.5</v>
      </c>
    </row>
    <row r="5" spans="1:3" x14ac:dyDescent="0.25">
      <c r="A5" t="s">
        <v>8725</v>
      </c>
      <c r="B5" t="s">
        <v>8723</v>
      </c>
      <c r="C5">
        <v>2</v>
      </c>
    </row>
    <row r="6" spans="1:3" x14ac:dyDescent="0.25">
      <c r="A6" t="s">
        <v>8726</v>
      </c>
      <c r="B6" t="s">
        <v>8722</v>
      </c>
      <c r="C6">
        <v>4.5</v>
      </c>
    </row>
    <row r="7" spans="1:3" x14ac:dyDescent="0.25">
      <c r="A7" t="s">
        <v>8726</v>
      </c>
      <c r="B7" t="s">
        <v>8723</v>
      </c>
      <c r="C7">
        <v>4.5</v>
      </c>
    </row>
  </sheetData>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738A-10C0-46AF-AE46-28DD0F52338E}">
  <sheetPr>
    <tabColor rgb="FFFF0000"/>
  </sheetPr>
  <dimension ref="A1"/>
  <sheetViews>
    <sheetView workbookViewId="0">
      <selection activeCell="P36" sqref="P36"/>
    </sheetView>
  </sheetViews>
  <sheetFormatPr baseColWidth="10" defaultColWidth="11.42578125" defaultRowHeight="15" x14ac:dyDescent="0.25"/>
  <sheetData/>
  <pageMargins left="0.7" right="0.7" top="0.78740157499999996" bottom="0.78740157499999996"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D67D-9941-4590-856A-D3011179A0EB}">
  <dimension ref="A1:H5"/>
  <sheetViews>
    <sheetView workbookViewId="0">
      <selection activeCell="D1" sqref="D1"/>
    </sheetView>
  </sheetViews>
  <sheetFormatPr baseColWidth="10" defaultColWidth="11.42578125" defaultRowHeight="15" x14ac:dyDescent="0.25"/>
  <cols>
    <col min="1" max="1" width="51" customWidth="1"/>
    <col min="2" max="2" width="8.5703125" bestFit="1" customWidth="1"/>
    <col min="3" max="3" width="15.5703125" bestFit="1" customWidth="1"/>
    <col min="4" max="4" width="23.7109375" bestFit="1" customWidth="1"/>
    <col min="5" max="5" width="28.85546875" bestFit="1" customWidth="1"/>
    <col min="6" max="8" width="15.42578125" bestFit="1" customWidth="1"/>
  </cols>
  <sheetData>
    <row r="1" spans="1:8" x14ac:dyDescent="0.25">
      <c r="A1" t="s">
        <v>8727</v>
      </c>
      <c r="B1" t="s">
        <v>963</v>
      </c>
      <c r="C1" t="s">
        <v>8728</v>
      </c>
      <c r="D1" t="s">
        <v>8729</v>
      </c>
      <c r="E1" t="s">
        <v>8730</v>
      </c>
      <c r="F1" t="s">
        <v>8731</v>
      </c>
      <c r="G1" t="s">
        <v>8732</v>
      </c>
      <c r="H1" t="s">
        <v>8733</v>
      </c>
    </row>
    <row r="2" spans="1:8" x14ac:dyDescent="0.25">
      <c r="A2" t="s">
        <v>763</v>
      </c>
    </row>
    <row r="3" spans="1:8" x14ac:dyDescent="0.25">
      <c r="A3" t="s">
        <v>8734</v>
      </c>
    </row>
    <row r="4" spans="1:8" x14ac:dyDescent="0.25">
      <c r="A4" t="s">
        <v>8735</v>
      </c>
    </row>
    <row r="5" spans="1:8" x14ac:dyDescent="0.25">
      <c r="A5" t="s">
        <v>8736</v>
      </c>
    </row>
  </sheetData>
  <pageMargins left="0.7" right="0.7" top="0.78740157499999996" bottom="0.78740157499999996"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D76B-35B9-4026-BED2-5595115FD8E8}">
  <sheetPr>
    <tabColor rgb="FFFF00FF"/>
  </sheetPr>
  <dimension ref="C4:C8"/>
  <sheetViews>
    <sheetView workbookViewId="0">
      <selection activeCell="C9" sqref="C9"/>
    </sheetView>
  </sheetViews>
  <sheetFormatPr baseColWidth="10" defaultColWidth="11.42578125" defaultRowHeight="15" x14ac:dyDescent="0.25"/>
  <sheetData>
    <row r="4" spans="3:3" x14ac:dyDescent="0.25">
      <c r="C4" t="s">
        <v>8737</v>
      </c>
    </row>
    <row r="6" spans="3:3" x14ac:dyDescent="0.25">
      <c r="C6" t="s">
        <v>8738</v>
      </c>
    </row>
    <row r="7" spans="3:3" x14ac:dyDescent="0.25">
      <c r="C7" t="s">
        <v>8739</v>
      </c>
    </row>
    <row r="8" spans="3:3" x14ac:dyDescent="0.25">
      <c r="C8" t="s">
        <v>8740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324301-aa9a-40ff-acba-8a3a4392a5cc">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BC6B21063BEC234F803A787F759F8B43" ma:contentTypeVersion="13" ma:contentTypeDescription="Ein neues Dokument erstellen." ma:contentTypeScope="" ma:versionID="ca27dd32e0bd6e0265ce7058106ed7f5">
  <xsd:schema xmlns:xsd="http://www.w3.org/2001/XMLSchema" xmlns:xs="http://www.w3.org/2001/XMLSchema" xmlns:p="http://schemas.microsoft.com/office/2006/metadata/properties" xmlns:ns2="a1324301-aa9a-40ff-acba-8a3a4392a5cc" xmlns:ns3="289e94f9-cef6-4c9c-8824-802694da1ebb" targetNamespace="http://schemas.microsoft.com/office/2006/metadata/properties" ma:root="true" ma:fieldsID="878914ff4c96a8048ad464277a865c9b" ns2:_="" ns3:_="">
    <xsd:import namespace="a1324301-aa9a-40ff-acba-8a3a4392a5cc"/>
    <xsd:import namespace="289e94f9-cef6-4c9c-8824-802694da1eb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324301-aa9a-40ff-acba-8a3a4392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9e94f9-cef6-4c9c-8824-802694da1ebb"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7E142E-7619-422A-BFCA-6C7F7B419634}">
  <ds:schemaRefs>
    <ds:schemaRef ds:uri="http://schemas.microsoft.com/sharepoint/v3/contenttype/forms"/>
  </ds:schemaRefs>
</ds:datastoreItem>
</file>

<file path=customXml/itemProps2.xml><?xml version="1.0" encoding="utf-8"?>
<ds:datastoreItem xmlns:ds="http://schemas.openxmlformats.org/officeDocument/2006/customXml" ds:itemID="{A203BFF3-2BB4-43F0-AE8D-85D9B38AC958}">
  <ds:schemaRefs>
    <ds:schemaRef ds:uri="http://schemas.microsoft.com/DataMashup"/>
  </ds:schemaRefs>
</ds:datastoreItem>
</file>

<file path=customXml/itemProps3.xml><?xml version="1.0" encoding="utf-8"?>
<ds:datastoreItem xmlns:ds="http://schemas.openxmlformats.org/officeDocument/2006/customXml" ds:itemID="{C27AC229-5831-4C7C-A7E2-FE4AC28B6F6D}">
  <ds:schemaRefs>
    <ds:schemaRef ds:uri="http://schemas.microsoft.com/office/2006/metadata/properties"/>
    <ds:schemaRef ds:uri="http://schemas.microsoft.com/office/infopath/2007/PartnerControls"/>
    <ds:schemaRef ds:uri="a1324301-aa9a-40ff-acba-8a3a4392a5cc"/>
  </ds:schemaRefs>
</ds:datastoreItem>
</file>

<file path=customXml/itemProps4.xml><?xml version="1.0" encoding="utf-8"?>
<ds:datastoreItem xmlns:ds="http://schemas.openxmlformats.org/officeDocument/2006/customXml" ds:itemID="{A2CB66D0-5A77-43B0-A7C3-4AAC4DBC90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324301-aa9a-40ff-acba-8a3a4392a5cc"/>
    <ds:schemaRef ds:uri="289e94f9-cef6-4c9c-8824-802694da1e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32</vt:i4>
      </vt:variant>
      <vt:variant>
        <vt:lpstr>Benannte Bereiche</vt:lpstr>
      </vt:variant>
      <vt:variant>
        <vt:i4>67</vt:i4>
      </vt:variant>
    </vt:vector>
  </HeadingPairs>
  <TitlesOfParts>
    <vt:vector size="99" baseType="lpstr">
      <vt:lpstr>PAR</vt:lpstr>
      <vt:lpstr>Syntax</vt:lpstr>
      <vt:lpstr>Frontend_allg_OLD</vt:lpstr>
      <vt:lpstr>Frontend_Räume_OLD</vt:lpstr>
      <vt:lpstr>IN_build</vt:lpstr>
      <vt:lpstr>IN_rooms</vt:lpstr>
      <vt:lpstr>clc_load</vt:lpstr>
      <vt:lpstr>clc_power</vt:lpstr>
      <vt:lpstr>clc_valid</vt:lpstr>
      <vt:lpstr>clc_build</vt:lpstr>
      <vt:lpstr>TXT_rooms</vt:lpstr>
      <vt:lpstr>TXT_build</vt:lpstr>
      <vt:lpstr>OUT_rooms</vt:lpstr>
      <vt:lpstr>OUT_build</vt:lpstr>
      <vt:lpstr>clc_flat</vt:lpstr>
      <vt:lpstr>res_flat</vt:lpstr>
      <vt:lpstr>Umrechnungshilfe_705520</vt:lpstr>
      <vt:lpstr>clc_col</vt:lpstr>
      <vt:lpstr>res_col</vt:lpstr>
      <vt:lpstr>clc_tube</vt:lpstr>
      <vt:lpstr>res_tube</vt:lpstr>
      <vt:lpstr>U_GEG_A.7</vt:lpstr>
      <vt:lpstr>Daten</vt:lpstr>
      <vt:lpstr>Data_radiator</vt:lpstr>
      <vt:lpstr>Tabelle2</vt:lpstr>
      <vt:lpstr>U_Werte_IWU</vt:lpstr>
      <vt:lpstr>Normaußentemperatur_12831</vt:lpstr>
      <vt:lpstr>Windregionen</vt:lpstr>
      <vt:lpstr>Luftwechselrate</vt:lpstr>
      <vt:lpstr>Tabelle1</vt:lpstr>
      <vt:lpstr>Ausgabetexte</vt:lpstr>
      <vt:lpstr>Anmerkungen</vt:lpstr>
      <vt:lpstr>clc_col!Flachheizkörper</vt:lpstr>
      <vt:lpstr>clc_flat!Flachheizkörper</vt:lpstr>
      <vt:lpstr>clc_tube!Flachheizkörper</vt:lpstr>
      <vt:lpstr>Frontend_Räume_OLD!Flachheizkörper</vt:lpstr>
      <vt:lpstr>res_col!Flachheizkörper</vt:lpstr>
      <vt:lpstr>res_flat!Flachheizkörper</vt:lpstr>
      <vt:lpstr>res_tube!Flachheizkörper</vt:lpstr>
      <vt:lpstr>Umrechnungshilfe_705520!Flachheizkörper</vt:lpstr>
      <vt:lpstr>Flachheizkörper</vt:lpstr>
      <vt:lpstr>Frontend_Räume_OLD!Gewinderohr</vt:lpstr>
      <vt:lpstr>Umrechnungshilfe_705520!Gewinderohr</vt:lpstr>
      <vt:lpstr>Gewinderohr</vt:lpstr>
      <vt:lpstr>clc_col!Gliederheizkröper</vt:lpstr>
      <vt:lpstr>clc_flat!Gliederheizkröper</vt:lpstr>
      <vt:lpstr>clc_tube!Gliederheizkröper</vt:lpstr>
      <vt:lpstr>Frontend_Räume_OLD!Gliederheizkröper</vt:lpstr>
      <vt:lpstr>res_col!Gliederheizkröper</vt:lpstr>
      <vt:lpstr>res_flat!Gliederheizkröper</vt:lpstr>
      <vt:lpstr>res_tube!Gliederheizkröper</vt:lpstr>
      <vt:lpstr>Umrechnungshilfe_705520!Gliederheizkröper</vt:lpstr>
      <vt:lpstr>Gliederheizkröper</vt:lpstr>
      <vt:lpstr>clc_col!Heizkörpertypen</vt:lpstr>
      <vt:lpstr>clc_flat!Heizkörpertypen</vt:lpstr>
      <vt:lpstr>clc_tube!Heizkörpertypen</vt:lpstr>
      <vt:lpstr>Frontend_Räume_OLD!Heizkörpertypen</vt:lpstr>
      <vt:lpstr>res_col!Heizkörpertypen</vt:lpstr>
      <vt:lpstr>res_flat!Heizkörpertypen</vt:lpstr>
      <vt:lpstr>res_tube!Heizkörpertypen</vt:lpstr>
      <vt:lpstr>Umrechnungshilfe_705520!Heizkörpertypen</vt:lpstr>
      <vt:lpstr>Heizkörpertypen</vt:lpstr>
      <vt:lpstr>clc_col!Konvektor</vt:lpstr>
      <vt:lpstr>clc_flat!Konvektor</vt:lpstr>
      <vt:lpstr>clc_tube!Konvektor</vt:lpstr>
      <vt:lpstr>Frontend_Räume_OLD!Konvektor</vt:lpstr>
      <vt:lpstr>res_col!Konvektor</vt:lpstr>
      <vt:lpstr>res_flat!Konvektor</vt:lpstr>
      <vt:lpstr>res_tube!Konvektor</vt:lpstr>
      <vt:lpstr>Umrechnungshilfe_705520!Konvektor</vt:lpstr>
      <vt:lpstr>Konvektor</vt:lpstr>
      <vt:lpstr>lambda_ins_thick</vt:lpstr>
      <vt:lpstr>Frontend_Räume_OLD!Rohrheizkörper</vt:lpstr>
      <vt:lpstr>Umrechnungshilfe_705520!Rohrheizkörper</vt:lpstr>
      <vt:lpstr>Rohrheizkörper</vt:lpstr>
      <vt:lpstr>clc_col!Rohrradiator</vt:lpstr>
      <vt:lpstr>clc_flat!Rohrradiator</vt:lpstr>
      <vt:lpstr>clc_tube!Rohrradiator</vt:lpstr>
      <vt:lpstr>Frontend_Räume_OLD!Rohrradiator</vt:lpstr>
      <vt:lpstr>res_col!Rohrradiator</vt:lpstr>
      <vt:lpstr>res_flat!Rohrradiator</vt:lpstr>
      <vt:lpstr>res_tube!Rohrradiator</vt:lpstr>
      <vt:lpstr>Umrechnungshilfe_705520!Rohrradiator</vt:lpstr>
      <vt:lpstr>Rohrradiator</vt:lpstr>
      <vt:lpstr>clc_col!Rohrradiatoren</vt:lpstr>
      <vt:lpstr>clc_flat!Rohrradiatoren</vt:lpstr>
      <vt:lpstr>clc_tube!Rohrradiatoren</vt:lpstr>
      <vt:lpstr>Frontend_Räume_OLD!Rohrradiatoren</vt:lpstr>
      <vt:lpstr>res_col!Rohrradiatoren</vt:lpstr>
      <vt:lpstr>res_flat!Rohrradiatoren</vt:lpstr>
      <vt:lpstr>res_tube!Rohrradiatoren</vt:lpstr>
      <vt:lpstr>Umrechnungshilfe_705520!Rohrradiatoren</vt:lpstr>
      <vt:lpstr>Rohrradiatoren</vt:lpstr>
      <vt:lpstr>Frontend_Räume_OLD!Stahlrippenohr</vt:lpstr>
      <vt:lpstr>Umrechnungshilfe_705520!Stahlrippenohr</vt:lpstr>
      <vt:lpstr>Stahlrippenohr</vt:lpstr>
      <vt:lpstr>Frontend_Räume_OLD!Stahlrohr</vt:lpstr>
      <vt:lpstr>Umrechnungshilfe_705520!Stahlrohr</vt:lpstr>
      <vt:lpstr>Stahlrohr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Mellwig</dc:creator>
  <cp:keywords/>
  <dc:description/>
  <cp:lastModifiedBy>Jakob Metz</cp:lastModifiedBy>
  <cp:revision/>
  <dcterms:created xsi:type="dcterms:W3CDTF">2024-05-07T13:02:24Z</dcterms:created>
  <dcterms:modified xsi:type="dcterms:W3CDTF">2025-05-10T00:47:51Z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0x010100BC6B21063BEC234F803A787F759F8B43</vt:lpwstr>
  </property>
  <property fmtid="{D5CDD505-2E9C-101B-9397-08002B2CF9AE}" pid="3" name="MediaServiceImageTags">
    <vt:lpwstr/>
  </property>
</Properties>
</file>