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s\github\map\"/>
    </mc:Choice>
  </mc:AlternateContent>
  <xr:revisionPtr revIDLastSave="0" documentId="13_ncr:1_{E880673F-DD86-438C-9FD7-AE2BE4280A99}" xr6:coauthVersionLast="46" xr6:coauthVersionMax="46" xr10:uidLastSave="{00000000-0000-0000-0000-000000000000}"/>
  <bookViews>
    <workbookView xWindow="-98" yWindow="-98" windowWidth="22695" windowHeight="14746" activeTab="1" xr2:uid="{4E52873A-2E54-4D2E-9DDA-CDEB27E7976A}"/>
  </bookViews>
  <sheets>
    <sheet name="data" sheetId="1" r:id="rId1"/>
    <sheet name="html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1" l="1"/>
  <c r="Q24" i="1"/>
  <c r="R30" i="1" s="1"/>
  <c r="O26" i="1"/>
  <c r="O24" i="1"/>
  <c r="N24" i="1"/>
  <c r="P24" i="1" s="1"/>
  <c r="N23" i="1"/>
  <c r="L27" i="1"/>
  <c r="L26" i="1"/>
  <c r="L25" i="1"/>
  <c r="L24" i="1"/>
  <c r="L23" i="1"/>
  <c r="J27" i="1"/>
  <c r="Q27" i="1" s="1"/>
  <c r="I27" i="1"/>
  <c r="J26" i="1"/>
  <c r="Q26" i="1" s="1"/>
  <c r="R28" i="1" s="1"/>
  <c r="I26" i="1"/>
  <c r="J25" i="1"/>
  <c r="O25" i="1" s="1"/>
  <c r="I25" i="1"/>
  <c r="J24" i="1"/>
  <c r="I24" i="1"/>
  <c r="J23" i="1"/>
  <c r="Q23" i="1" s="1"/>
  <c r="R31" i="1" s="1"/>
  <c r="I23" i="1"/>
  <c r="D27" i="1"/>
  <c r="D26" i="1"/>
  <c r="D25" i="1"/>
  <c r="D24" i="1"/>
  <c r="D23" i="1"/>
  <c r="L36" i="1"/>
  <c r="J36" i="1"/>
  <c r="I36" i="1"/>
  <c r="D36" i="1"/>
  <c r="L22" i="1"/>
  <c r="J22" i="1"/>
  <c r="I22" i="1"/>
  <c r="L21" i="1"/>
  <c r="J21" i="1"/>
  <c r="I21" i="1"/>
  <c r="L20" i="1"/>
  <c r="J20" i="1"/>
  <c r="I20" i="1"/>
  <c r="D22" i="1"/>
  <c r="D21" i="1"/>
  <c r="D20" i="1"/>
  <c r="L69" i="1"/>
  <c r="L66" i="1"/>
  <c r="L65" i="1"/>
  <c r="L63" i="1"/>
  <c r="L62" i="1"/>
  <c r="L61" i="1"/>
  <c r="L60" i="1"/>
  <c r="L12" i="1"/>
  <c r="L13" i="1"/>
  <c r="L11" i="1"/>
  <c r="L10" i="1"/>
  <c r="L9" i="1"/>
  <c r="L8" i="1"/>
  <c r="L15" i="1"/>
  <c r="L64" i="1"/>
  <c r="L56" i="1"/>
  <c r="L55" i="1"/>
  <c r="L54" i="1"/>
  <c r="L53" i="1"/>
  <c r="L52" i="1"/>
  <c r="L45" i="1"/>
  <c r="L51" i="1"/>
  <c r="L50" i="1"/>
  <c r="L49" i="1"/>
  <c r="L48" i="1"/>
  <c r="L47" i="1"/>
  <c r="L44" i="1"/>
  <c r="L43" i="1"/>
  <c r="L67" i="1"/>
  <c r="L37" i="1"/>
  <c r="L35" i="1"/>
  <c r="L34" i="1"/>
  <c r="L33" i="1"/>
  <c r="L19" i="1"/>
  <c r="L18" i="1"/>
  <c r="L17" i="1"/>
  <c r="L14" i="1"/>
  <c r="L7" i="1"/>
  <c r="L6" i="1"/>
  <c r="J69" i="1"/>
  <c r="I69" i="1"/>
  <c r="J66" i="1"/>
  <c r="I66" i="1"/>
  <c r="J65" i="1"/>
  <c r="I65" i="1"/>
  <c r="J63" i="1"/>
  <c r="I63" i="1"/>
  <c r="J62" i="1"/>
  <c r="I62" i="1"/>
  <c r="J61" i="1"/>
  <c r="I61" i="1"/>
  <c r="J60" i="1"/>
  <c r="I60" i="1"/>
  <c r="J12" i="1"/>
  <c r="I12" i="1"/>
  <c r="J13" i="1"/>
  <c r="I13" i="1"/>
  <c r="J11" i="1"/>
  <c r="I11" i="1"/>
  <c r="J10" i="1"/>
  <c r="I10" i="1"/>
  <c r="J9" i="1"/>
  <c r="I9" i="1"/>
  <c r="J8" i="1"/>
  <c r="I8" i="1"/>
  <c r="J15" i="1"/>
  <c r="I15" i="1"/>
  <c r="J64" i="1"/>
  <c r="I64" i="1"/>
  <c r="J56" i="1"/>
  <c r="I56" i="1"/>
  <c r="J55" i="1"/>
  <c r="I55" i="1"/>
  <c r="J54" i="1"/>
  <c r="I54" i="1"/>
  <c r="J53" i="1"/>
  <c r="I53" i="1"/>
  <c r="J52" i="1"/>
  <c r="I52" i="1"/>
  <c r="J45" i="1"/>
  <c r="I45" i="1"/>
  <c r="J51" i="1"/>
  <c r="I51" i="1"/>
  <c r="J50" i="1"/>
  <c r="I50" i="1"/>
  <c r="J49" i="1"/>
  <c r="I49" i="1"/>
  <c r="J48" i="1"/>
  <c r="I48" i="1"/>
  <c r="J47" i="1"/>
  <c r="I47" i="1"/>
  <c r="J44" i="1"/>
  <c r="I44" i="1"/>
  <c r="J43" i="1"/>
  <c r="I43" i="1"/>
  <c r="J67" i="1"/>
  <c r="I67" i="1"/>
  <c r="J37" i="1"/>
  <c r="I37" i="1"/>
  <c r="J35" i="1"/>
  <c r="I35" i="1"/>
  <c r="J34" i="1"/>
  <c r="I34" i="1"/>
  <c r="J33" i="1"/>
  <c r="I33" i="1"/>
  <c r="J19" i="1"/>
  <c r="I19" i="1"/>
  <c r="J18" i="1"/>
  <c r="I18" i="1"/>
  <c r="J17" i="1"/>
  <c r="I17" i="1"/>
  <c r="J14" i="1"/>
  <c r="I14" i="1"/>
  <c r="J7" i="1"/>
  <c r="I7" i="1"/>
  <c r="J6" i="1"/>
  <c r="I6" i="1"/>
  <c r="J5" i="1"/>
  <c r="I5" i="1"/>
  <c r="L5" i="1"/>
  <c r="D69" i="1"/>
  <c r="D66" i="1"/>
  <c r="D65" i="1"/>
  <c r="D63" i="1"/>
  <c r="D62" i="1"/>
  <c r="D61" i="1"/>
  <c r="D60" i="1"/>
  <c r="D12" i="1"/>
  <c r="D13" i="1"/>
  <c r="D11" i="1"/>
  <c r="D10" i="1"/>
  <c r="D9" i="1"/>
  <c r="D8" i="1"/>
  <c r="D15" i="1"/>
  <c r="D64" i="1"/>
  <c r="D56" i="1"/>
  <c r="D55" i="1"/>
  <c r="D54" i="1"/>
  <c r="D53" i="1"/>
  <c r="D52" i="1"/>
  <c r="D49" i="1"/>
  <c r="D45" i="1"/>
  <c r="D50" i="1"/>
  <c r="D48" i="1"/>
  <c r="D51" i="1"/>
  <c r="D47" i="1"/>
  <c r="D44" i="1"/>
  <c r="D43" i="1"/>
  <c r="D67" i="1"/>
  <c r="D37" i="1"/>
  <c r="D35" i="1"/>
  <c r="D34" i="1"/>
  <c r="D33" i="1"/>
  <c r="D19" i="1"/>
  <c r="D18" i="1"/>
  <c r="D17" i="1"/>
  <c r="D14" i="1"/>
  <c r="D7" i="1"/>
  <c r="D6" i="1"/>
  <c r="D5" i="1"/>
  <c r="O27" i="1" l="1"/>
  <c r="N26" i="1"/>
  <c r="N27" i="1"/>
  <c r="P27" i="1" s="1"/>
  <c r="P26" i="1"/>
  <c r="Q25" i="1"/>
  <c r="R29" i="1" s="1"/>
  <c r="N25" i="1"/>
  <c r="P25" i="1" s="1"/>
  <c r="O23" i="1"/>
  <c r="P23" i="1" s="1"/>
  <c r="E2" i="1"/>
  <c r="F2" i="1"/>
  <c r="Q60" i="1"/>
  <c r="N22" i="1"/>
  <c r="N20" i="1"/>
  <c r="O36" i="1"/>
  <c r="N36" i="1"/>
  <c r="O21" i="1"/>
  <c r="O22" i="1"/>
  <c r="N21" i="1"/>
  <c r="O20" i="1"/>
  <c r="Q43" i="1"/>
  <c r="Q65" i="1"/>
  <c r="Q66" i="1"/>
  <c r="R68" i="1" s="1"/>
  <c r="Q45" i="1"/>
  <c r="Q13" i="1"/>
  <c r="Q63" i="1"/>
  <c r="Q67" i="1"/>
  <c r="Q62" i="1"/>
  <c r="Q69" i="1"/>
  <c r="Q64" i="1"/>
  <c r="O5" i="1"/>
  <c r="N7" i="1"/>
  <c r="O19" i="1"/>
  <c r="O37" i="1"/>
  <c r="O44" i="1"/>
  <c r="O50" i="1"/>
  <c r="O53" i="1"/>
  <c r="O64" i="1"/>
  <c r="N10" i="1"/>
  <c r="N60" i="1"/>
  <c r="O65" i="1"/>
  <c r="N67" i="1"/>
  <c r="N48" i="1"/>
  <c r="Q48" i="1"/>
  <c r="O6" i="1"/>
  <c r="O18" i="1"/>
  <c r="O35" i="1"/>
  <c r="O49" i="1"/>
  <c r="Q52" i="1"/>
  <c r="O56" i="1"/>
  <c r="O9" i="1"/>
  <c r="O12" i="1"/>
  <c r="O63" i="1"/>
  <c r="N18" i="1"/>
  <c r="N35" i="1"/>
  <c r="O14" i="1"/>
  <c r="O33" i="1"/>
  <c r="O47" i="1"/>
  <c r="N51" i="1"/>
  <c r="O54" i="1"/>
  <c r="O15" i="1"/>
  <c r="O11" i="1"/>
  <c r="O61" i="1"/>
  <c r="O66" i="1"/>
  <c r="O51" i="1"/>
  <c r="N54" i="1"/>
  <c r="O17" i="1"/>
  <c r="O34" i="1"/>
  <c r="O67" i="1"/>
  <c r="O48" i="1"/>
  <c r="O45" i="1"/>
  <c r="O55" i="1"/>
  <c r="O8" i="1"/>
  <c r="O13" i="1"/>
  <c r="O62" i="1"/>
  <c r="O69" i="1"/>
  <c r="N63" i="1"/>
  <c r="O7" i="1"/>
  <c r="N15" i="1"/>
  <c r="O10" i="1"/>
  <c r="O60" i="1"/>
  <c r="N19" i="1"/>
  <c r="N37" i="1"/>
  <c r="N43" i="1"/>
  <c r="N49" i="1"/>
  <c r="N45" i="1"/>
  <c r="N55" i="1"/>
  <c r="N11" i="1"/>
  <c r="N65" i="1"/>
  <c r="N5" i="1"/>
  <c r="N14" i="1"/>
  <c r="O43" i="1"/>
  <c r="N61" i="1"/>
  <c r="N33" i="1"/>
  <c r="N44" i="1"/>
  <c r="N50" i="1"/>
  <c r="N52" i="1"/>
  <c r="N56" i="1"/>
  <c r="N8" i="1"/>
  <c r="N13" i="1"/>
  <c r="N66" i="1"/>
  <c r="O52" i="1"/>
  <c r="N6" i="1"/>
  <c r="N17" i="1"/>
  <c r="N34" i="1"/>
  <c r="N47" i="1"/>
  <c r="N53" i="1"/>
  <c r="N64" i="1"/>
  <c r="N9" i="1"/>
  <c r="N12" i="1"/>
  <c r="N62" i="1"/>
  <c r="N69" i="1"/>
  <c r="Q56" i="1"/>
  <c r="Q47" i="1"/>
  <c r="Q54" i="1"/>
  <c r="Q55" i="1"/>
  <c r="Q50" i="1"/>
  <c r="Q51" i="1"/>
  <c r="Q44" i="1"/>
  <c r="R46" i="1" s="1"/>
  <c r="Q49" i="1"/>
  <c r="Q35" i="1"/>
  <c r="R38" i="1" s="1"/>
  <c r="Q6" i="1"/>
  <c r="Q18" i="1"/>
  <c r="R42" i="1" s="1"/>
  <c r="Q34" i="1"/>
  <c r="R39" i="1" s="1"/>
  <c r="Q14" i="1"/>
  <c r="R16" i="1" s="1"/>
  <c r="Q33" i="1"/>
  <c r="R40" i="1" s="1"/>
  <c r="Q19" i="1"/>
  <c r="R41" i="1" s="1"/>
  <c r="Q7" i="1"/>
  <c r="Q37" i="1"/>
  <c r="Q17" i="1"/>
  <c r="Q5" i="1"/>
  <c r="P36" i="1" l="1"/>
  <c r="P20" i="1"/>
  <c r="P21" i="1"/>
  <c r="P22" i="1"/>
  <c r="R57" i="1"/>
  <c r="R59" i="1"/>
  <c r="P7" i="1"/>
  <c r="P33" i="1"/>
  <c r="P66" i="1"/>
  <c r="P67" i="1"/>
  <c r="P37" i="1"/>
  <c r="P55" i="1"/>
  <c r="P64" i="1"/>
  <c r="P63" i="1"/>
  <c r="P5" i="1"/>
  <c r="P44" i="1"/>
  <c r="P48" i="1"/>
  <c r="P53" i="1"/>
  <c r="P14" i="1"/>
  <c r="P50" i="1"/>
  <c r="P45" i="1"/>
  <c r="P34" i="1"/>
  <c r="P54" i="1"/>
  <c r="P69" i="1"/>
  <c r="P35" i="1"/>
  <c r="P61" i="1"/>
  <c r="P49" i="1"/>
  <c r="P17" i="1"/>
  <c r="P19" i="1"/>
  <c r="P62" i="1"/>
  <c r="P6" i="1"/>
  <c r="P65" i="1"/>
  <c r="P60" i="1"/>
  <c r="P12" i="1"/>
  <c r="P11" i="1"/>
  <c r="P10" i="1"/>
  <c r="P15" i="1"/>
  <c r="P8" i="1"/>
  <c r="P56" i="1"/>
  <c r="P52" i="1"/>
  <c r="P47" i="1"/>
  <c r="P13" i="1"/>
  <c r="P18" i="1"/>
  <c r="P9" i="1"/>
  <c r="P51" i="1"/>
  <c r="P43" i="1"/>
</calcChain>
</file>

<file path=xl/sharedStrings.xml><?xml version="1.0" encoding="utf-8"?>
<sst xmlns="http://schemas.openxmlformats.org/spreadsheetml/2006/main" count="228" uniqueCount="141">
  <si>
    <t>成都</t>
    <phoneticPr fontId="1" type="noConversion"/>
  </si>
  <si>
    <t>雅安</t>
    <phoneticPr fontId="1" type="noConversion"/>
  </si>
  <si>
    <t>泸定</t>
    <phoneticPr fontId="1" type="noConversion"/>
  </si>
  <si>
    <t>义敦</t>
    <phoneticPr fontId="1" type="noConversion"/>
  </si>
  <si>
    <t>玛亚隆</t>
    <phoneticPr fontId="1" type="noConversion"/>
  </si>
  <si>
    <t>扎真</t>
    <phoneticPr fontId="1" type="noConversion"/>
  </si>
  <si>
    <t>经度</t>
    <phoneticPr fontId="1" type="noConversion"/>
  </si>
  <si>
    <t>纬度</t>
    <phoneticPr fontId="1" type="noConversion"/>
  </si>
  <si>
    <t>x偏移</t>
    <phoneticPr fontId="1" type="noConversion"/>
  </si>
  <si>
    <t>y偏移</t>
    <phoneticPr fontId="1" type="noConversion"/>
  </si>
  <si>
    <t>x</t>
    <phoneticPr fontId="1" type="noConversion"/>
  </si>
  <si>
    <t>y</t>
    <phoneticPr fontId="1" type="noConversion"/>
  </si>
  <si>
    <t>point</t>
    <phoneticPr fontId="1" type="noConversion"/>
  </si>
  <si>
    <t>贡关</t>
    <phoneticPr fontId="1" type="noConversion"/>
  </si>
  <si>
    <t>色烔玛</t>
    <phoneticPr fontId="1" type="noConversion"/>
  </si>
  <si>
    <t>⚪大小</t>
    <phoneticPr fontId="1" type="noConversion"/>
  </si>
  <si>
    <t>名称x位移</t>
    <phoneticPr fontId="1" type="noConversion"/>
  </si>
  <si>
    <t>名称y位移</t>
    <phoneticPr fontId="1" type="noConversion"/>
  </si>
  <si>
    <t>名称大小</t>
    <phoneticPr fontId="1" type="noConversion"/>
  </si>
  <si>
    <t>x比例</t>
    <phoneticPr fontId="1" type="noConversion"/>
  </si>
  <si>
    <t>y比例</t>
    <phoneticPr fontId="1" type="noConversion"/>
  </si>
  <si>
    <t>显示名</t>
    <phoneticPr fontId="1" type="noConversion"/>
  </si>
  <si>
    <t>经纬度名</t>
    <phoneticPr fontId="1" type="noConversion"/>
  </si>
  <si>
    <t>形状-x-y-大小-颜色，x-y-文字大小-名称</t>
    <phoneticPr fontId="1" type="noConversion"/>
  </si>
  <si>
    <t>red</t>
    <phoneticPr fontId="1" type="noConversion"/>
  </si>
  <si>
    <t>green</t>
    <phoneticPr fontId="1" type="noConversion"/>
  </si>
  <si>
    <t>color</t>
    <phoneticPr fontId="1" type="noConversion"/>
  </si>
  <si>
    <t>&lt;circle cx="1116.30670208493" cy="368.835624316719" r="6" fill="green"/&gt;&lt;text x="1124.30670208493" y="373.835624316719" font-size="12"&gt;成都&lt;/text&gt;</t>
  </si>
  <si>
    <t>color-set</t>
    <phoneticPr fontId="1" type="noConversion"/>
  </si>
  <si>
    <t>&lt;path d="</t>
  </si>
  <si>
    <t xml:space="preserve">M1116.30670208493 368.835624316719 </t>
  </si>
  <si>
    <t xml:space="preserve"> fill=transparent" stroke="black"/&gt;</t>
  </si>
  <si>
    <t>&lt;text font-size="20" y="0" x="0"&gt;</t>
  </si>
  <si>
    <t xml:space="preserve">      ∞</t>
  </si>
  <si>
    <t xml:space="preserve">      &lt;animateMotion path="</t>
  </si>
  <si>
    <t xml:space="preserve">    &lt;/text&gt;</t>
  </si>
  <si>
    <t>&lt;text x="10" y="30" font-size="12"&gt;图例：&lt;/text&gt;</t>
  </si>
  <si>
    <t>&lt;text x="10" y="46" font-size="12" fill="green"&gt;低于4000&lt;/text&gt;</t>
  </si>
  <si>
    <t>&lt;text x="10" y="62" font-size="12" fill="red"&gt;高于4000&lt;/text&gt;</t>
  </si>
  <si>
    <t>&lt;/svg&gt;</t>
  </si>
  <si>
    <r>
      <t>&lt;svg width="</t>
    </r>
    <r>
      <rPr>
        <sz val="11"/>
        <color rgb="FFFF0000"/>
        <rFont val="等线"/>
        <family val="3"/>
        <charset val="134"/>
        <scheme val="minor"/>
      </rPr>
      <t>1200</t>
    </r>
    <r>
      <rPr>
        <sz val="11"/>
        <color theme="1"/>
        <rFont val="等线"/>
        <family val="2"/>
        <charset val="134"/>
        <scheme val="minor"/>
      </rPr>
      <t>" height="</t>
    </r>
    <r>
      <rPr>
        <sz val="11"/>
        <color rgb="FFFF0000"/>
        <rFont val="等线"/>
        <family val="3"/>
        <charset val="134"/>
        <scheme val="minor"/>
      </rPr>
      <t>800</t>
    </r>
    <r>
      <rPr>
        <sz val="11"/>
        <color theme="1"/>
        <rFont val="等线"/>
        <family val="2"/>
        <charset val="134"/>
        <scheme val="minor"/>
      </rPr>
      <t>" style="border:1px solid black"&gt;</t>
    </r>
    <phoneticPr fontId="1" type="noConversion"/>
  </si>
  <si>
    <t>&lt;head&gt;</t>
  </si>
  <si>
    <t xml:space="preserve">    &lt;meta http-equiv="content-type" content="text/html; charset=UTF-8"/&gt;</t>
  </si>
  <si>
    <t xml:space="preserve">    &lt;title&gt;MAP&lt;/title&gt;</t>
  </si>
  <si>
    <t>&lt;/head&gt;</t>
  </si>
  <si>
    <t>形状</t>
    <phoneticPr fontId="1" type="noConversion"/>
  </si>
  <si>
    <t>rect</t>
    <phoneticPr fontId="1" type="noConversion"/>
  </si>
  <si>
    <t>circle</t>
    <phoneticPr fontId="1" type="noConversion"/>
  </si>
  <si>
    <t>□大小</t>
    <phoneticPr fontId="1" type="noConversion"/>
  </si>
  <si>
    <t>康定 26</t>
    <phoneticPr fontId="1" type="noConversion"/>
  </si>
  <si>
    <t>康定</t>
    <phoneticPr fontId="1" type="noConversion"/>
  </si>
  <si>
    <t>折多山</t>
    <phoneticPr fontId="1" type="noConversion"/>
  </si>
  <si>
    <t>折多山 43</t>
    <phoneticPr fontId="1" type="noConversion"/>
  </si>
  <si>
    <t>新都桥 35</t>
    <phoneticPr fontId="1" type="noConversion"/>
  </si>
  <si>
    <t>理塘</t>
    <phoneticPr fontId="1" type="noConversion"/>
  </si>
  <si>
    <t>理塘 40</t>
    <phoneticPr fontId="1" type="noConversion"/>
  </si>
  <si>
    <t>毛娅草原 40</t>
    <phoneticPr fontId="1" type="noConversion"/>
  </si>
  <si>
    <t>姊妹湖 47</t>
    <phoneticPr fontId="1" type="noConversion"/>
  </si>
  <si>
    <t>措普沟 32-45</t>
    <phoneticPr fontId="1" type="noConversion"/>
  </si>
  <si>
    <t>巴塘</t>
    <phoneticPr fontId="1" type="noConversion"/>
  </si>
  <si>
    <t>巴塘 30</t>
    <phoneticPr fontId="1" type="noConversion"/>
  </si>
  <si>
    <t>亚拉雪山</t>
  </si>
  <si>
    <t>梭坡古碉</t>
  </si>
  <si>
    <t>甲居藏寨</t>
  </si>
  <si>
    <t>丹巴</t>
  </si>
  <si>
    <t>中路藏寨</t>
  </si>
  <si>
    <t>巴郎山</t>
  </si>
  <si>
    <t>四姑娘山</t>
  </si>
  <si>
    <t>卧龙</t>
  </si>
  <si>
    <t>映秀</t>
  </si>
  <si>
    <t>都江堰</t>
  </si>
  <si>
    <t>塔公草原 37</t>
    <phoneticPr fontId="1" type="noConversion"/>
  </si>
  <si>
    <t>墨石公园 35</t>
    <phoneticPr fontId="1" type="noConversion"/>
  </si>
  <si>
    <t>党岭 33</t>
    <phoneticPr fontId="1" type="noConversion"/>
  </si>
  <si>
    <t>丹巴 19</t>
    <phoneticPr fontId="1" type="noConversion"/>
  </si>
  <si>
    <t>巴郎山 45</t>
    <phoneticPr fontId="1" type="noConversion"/>
  </si>
  <si>
    <t>四姑娘山 62</t>
    <phoneticPr fontId="1" type="noConversion"/>
  </si>
  <si>
    <t>马尔康</t>
  </si>
  <si>
    <t xml:space="preserve">脚木沟 </t>
    <phoneticPr fontId="1" type="noConversion"/>
  </si>
  <si>
    <t>塔公寺</t>
    <phoneticPr fontId="1" type="noConversion"/>
  </si>
  <si>
    <t>下瓦西村</t>
    <phoneticPr fontId="1" type="noConversion"/>
  </si>
  <si>
    <t xml:space="preserve">可子寺 </t>
    <phoneticPr fontId="1" type="noConversion"/>
  </si>
  <si>
    <t xml:space="preserve">宋达村 </t>
    <phoneticPr fontId="1" type="noConversion"/>
  </si>
  <si>
    <t xml:space="preserve">八美沟 </t>
    <phoneticPr fontId="1" type="noConversion"/>
  </si>
  <si>
    <t xml:space="preserve">俄满村 </t>
    <phoneticPr fontId="1" type="noConversion"/>
  </si>
  <si>
    <t>木格措 37</t>
    <phoneticPr fontId="1" type="noConversion"/>
  </si>
  <si>
    <t xml:space="preserve">木格措 </t>
    <phoneticPr fontId="1" type="noConversion"/>
  </si>
  <si>
    <t>燕子沟红石公园</t>
    <phoneticPr fontId="1" type="noConversion"/>
  </si>
  <si>
    <t>泉华滩</t>
    <phoneticPr fontId="1" type="noConversion"/>
  </si>
  <si>
    <t>雅家梗红石滩</t>
    <phoneticPr fontId="1" type="noConversion"/>
  </si>
  <si>
    <t>海螺沟 29</t>
    <phoneticPr fontId="1" type="noConversion"/>
  </si>
  <si>
    <t>磨西古镇</t>
    <phoneticPr fontId="1" type="noConversion"/>
  </si>
  <si>
    <t>贡嘎山</t>
    <phoneticPr fontId="1" type="noConversion"/>
  </si>
  <si>
    <t xml:space="preserve">龙坝尾 </t>
    <phoneticPr fontId="1" type="noConversion"/>
  </si>
  <si>
    <t xml:space="preserve">咱地村 </t>
    <phoneticPr fontId="1" type="noConversion"/>
  </si>
  <si>
    <t>rect</t>
    <phoneticPr fontId="1" type="noConversion"/>
  </si>
  <si>
    <t>贡嘎山 75</t>
    <phoneticPr fontId="1" type="noConversion"/>
  </si>
  <si>
    <t>汶川 13</t>
    <phoneticPr fontId="1" type="noConversion"/>
  </si>
  <si>
    <t>毕棚沟</t>
    <phoneticPr fontId="1" type="noConversion"/>
  </si>
  <si>
    <t>理县</t>
    <phoneticPr fontId="1" type="noConversion"/>
  </si>
  <si>
    <t>米亚罗 28-34</t>
    <phoneticPr fontId="1" type="noConversion"/>
  </si>
  <si>
    <t>观音桥</t>
    <phoneticPr fontId="1" type="noConversion"/>
  </si>
  <si>
    <t>翁达</t>
    <phoneticPr fontId="1" type="noConversion"/>
  </si>
  <si>
    <t>色达 39</t>
    <phoneticPr fontId="1" type="noConversion"/>
  </si>
  <si>
    <t>卡萨湖</t>
    <phoneticPr fontId="1" type="noConversion"/>
  </si>
  <si>
    <t>汶川</t>
    <phoneticPr fontId="1" type="noConversion"/>
  </si>
  <si>
    <t>色达</t>
    <phoneticPr fontId="1" type="noConversion"/>
  </si>
  <si>
    <t>龙洞子沟</t>
    <phoneticPr fontId="1" type="noConversion"/>
  </si>
  <si>
    <t xml:space="preserve">列门 </t>
    <phoneticPr fontId="1" type="noConversion"/>
  </si>
  <si>
    <t>翁达镇</t>
    <phoneticPr fontId="1" type="noConversion"/>
  </si>
  <si>
    <t>shape</t>
    <phoneticPr fontId="1" type="noConversion"/>
  </si>
  <si>
    <t>颜色</t>
    <phoneticPr fontId="1" type="noConversion"/>
  </si>
  <si>
    <t>←</t>
    <phoneticPr fontId="1" type="noConversion"/>
  </si>
  <si>
    <t>web</t>
    <phoneticPr fontId="1" type="noConversion"/>
  </si>
  <si>
    <t>↑</t>
    <phoneticPr fontId="1" type="noConversion"/>
  </si>
  <si>
    <t>↖</t>
    <phoneticPr fontId="1" type="noConversion"/>
  </si>
  <si>
    <t>text</t>
    <phoneticPr fontId="1" type="noConversion"/>
  </si>
  <si>
    <t>回程点</t>
    <phoneticPr fontId="1" type="noConversion"/>
  </si>
  <si>
    <t>route-back</t>
    <phoneticPr fontId="1" type="noConversion"/>
  </si>
  <si>
    <t>web名</t>
    <phoneticPr fontId="1" type="noConversion"/>
  </si>
  <si>
    <t>&lt;circle cx="15" cy="74" r="5" fill="black"/&gt;&lt;text x="26" y="78" font-size="12"&gt;景点&lt;/text&gt;</t>
  </si>
  <si>
    <t xml:space="preserve"> begin=0s" dur="30s" repeatCount="indefinite" /&gt;</t>
    <phoneticPr fontId="1" type="noConversion"/>
  </si>
  <si>
    <t>&lt;rect x="10" y="84" width="10" height="10" fill="black"/&gt;&lt;text x="26" y="94" font-size="12"&gt;住宿/城市&lt;/text&gt;</t>
    <phoneticPr fontId="1" type="noConversion"/>
  </si>
  <si>
    <t>长青春科尔寺</t>
    <phoneticPr fontId="1" type="noConversion"/>
  </si>
  <si>
    <t>格聂之眼</t>
    <phoneticPr fontId="1" type="noConversion"/>
  </si>
  <si>
    <t>千户藏寨</t>
    <phoneticPr fontId="1" type="noConversion"/>
  </si>
  <si>
    <t>route-go</t>
    <phoneticPr fontId="1" type="noConversion"/>
  </si>
  <si>
    <t>扎金甲博神山</t>
    <phoneticPr fontId="1" type="noConversion"/>
  </si>
  <si>
    <t>x-range</t>
    <phoneticPr fontId="1" type="noConversion"/>
  </si>
  <si>
    <t>y-range</t>
    <phoneticPr fontId="1" type="noConversion"/>
  </si>
  <si>
    <t>url</t>
    <phoneticPr fontId="1" type="noConversion"/>
  </si>
  <si>
    <t>https://maplocation.sjfkai.com/</t>
    <phoneticPr fontId="1" type="noConversion"/>
  </si>
  <si>
    <t>稻城 37</t>
    <phoneticPr fontId="1" type="noConversion"/>
  </si>
  <si>
    <t>日瓦 29</t>
    <phoneticPr fontId="1" type="noConversion"/>
  </si>
  <si>
    <t>海子山</t>
    <phoneticPr fontId="1" type="noConversion"/>
  </si>
  <si>
    <t>桑堆红草地</t>
    <phoneticPr fontId="1" type="noConversion"/>
  </si>
  <si>
    <t>稻城</t>
    <phoneticPr fontId="1" type="noConversion"/>
  </si>
  <si>
    <t xml:space="preserve">牛奶海 </t>
    <phoneticPr fontId="1" type="noConversion"/>
  </si>
  <si>
    <t xml:space="preserve">霍亚然 </t>
    <phoneticPr fontId="1" type="noConversion"/>
  </si>
  <si>
    <t>银母</t>
    <phoneticPr fontId="1" type="noConversion"/>
  </si>
  <si>
    <t>亚丁 40-46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</si>
</sst>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3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5" fillId="0" borderId="1" xfId="2" applyFill="1" applyBorder="1">
      <alignment vertical="center"/>
    </xf>
  </cellXfs>
  <cellStyles count="3">
    <cellStyle name="常规" xfId="0" builtinId="0"/>
    <cellStyle name="常规 2" xfId="1" xr:uid="{14A8975D-2D17-4770-BE50-E9802ECC2273}"/>
    <cellStyle name="超链接" xfId="2" builtinId="8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location.sjfka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E20D-EB13-420A-910A-D120BEE25FD9}">
  <dimension ref="A1:R71"/>
  <sheetViews>
    <sheetView workbookViewId="0">
      <pane ySplit="3" topLeftCell="A4" activePane="bottomLeft" state="frozen"/>
      <selection pane="bottomLeft" activeCell="R57" sqref="Q5:R57"/>
    </sheetView>
  </sheetViews>
  <sheetFormatPr defaultRowHeight="13.9" x14ac:dyDescent="0.4"/>
  <cols>
    <col min="1" max="3" width="9.06640625" style="3"/>
    <col min="4" max="4" width="9.06640625" style="9"/>
    <col min="5" max="5" width="8.59765625" style="7" bestFit="1" customWidth="1"/>
    <col min="6" max="6" width="7.86328125" style="7" bestFit="1" customWidth="1"/>
    <col min="7" max="7" width="5.796875" style="3" bestFit="1" customWidth="1"/>
    <col min="8" max="8" width="6.06640625" style="3" bestFit="1" customWidth="1"/>
    <col min="9" max="9" width="5.06640625" style="9" bestFit="1" customWidth="1"/>
    <col min="10" max="10" width="4.06640625" style="9" bestFit="1" customWidth="1"/>
    <col min="11" max="11" width="8.6640625" style="3" bestFit="1" customWidth="1"/>
    <col min="12" max="12" width="5.9296875" style="9" bestFit="1" customWidth="1"/>
    <col min="13" max="13" width="5.265625" style="3" bestFit="1" customWidth="1"/>
    <col min="14" max="15" width="4.73046875" style="9" customWidth="1"/>
    <col min="16" max="16" width="9.9296875" style="4" customWidth="1"/>
    <col min="17" max="18" width="9.06640625" style="4"/>
    <col min="19" max="16384" width="9.06640625" style="2"/>
  </cols>
  <sheetData>
    <row r="1" spans="1:18" s="1" customFormat="1" x14ac:dyDescent="0.4">
      <c r="B1" s="2" t="s">
        <v>18</v>
      </c>
      <c r="C1" s="2" t="s">
        <v>16</v>
      </c>
      <c r="D1" s="2" t="s">
        <v>17</v>
      </c>
      <c r="E1" s="12" t="s">
        <v>128</v>
      </c>
      <c r="F1" s="12" t="s">
        <v>129</v>
      </c>
      <c r="G1" s="2" t="s">
        <v>8</v>
      </c>
      <c r="H1" s="2" t="s">
        <v>9</v>
      </c>
      <c r="I1" s="2" t="s">
        <v>19</v>
      </c>
      <c r="J1" s="2" t="s">
        <v>20</v>
      </c>
      <c r="K1" s="2"/>
      <c r="L1" s="2" t="s">
        <v>111</v>
      </c>
      <c r="M1" s="2" t="s">
        <v>15</v>
      </c>
      <c r="N1" s="2" t="s">
        <v>48</v>
      </c>
      <c r="O1" s="2"/>
      <c r="Q1" s="1" t="s">
        <v>130</v>
      </c>
    </row>
    <row r="2" spans="1:18" s="1" customFormat="1" x14ac:dyDescent="0.4">
      <c r="B2" s="2">
        <v>12</v>
      </c>
      <c r="C2" s="2">
        <v>8</v>
      </c>
      <c r="D2" s="2">
        <v>5</v>
      </c>
      <c r="E2" s="12" t="str">
        <f>TEXT(MIN(I5:I1009),"#")&amp;" "&amp;TEXT(MAX(I5:I1009),"#")</f>
        <v>123 1116</v>
      </c>
      <c r="F2" s="12" t="str">
        <f>TEXT(MIN(J5:J1009),"#")&amp;" "&amp;TEXT(MAX(J5:J1009),"#")</f>
        <v>45 714</v>
      </c>
      <c r="G2" s="2">
        <v>98.5</v>
      </c>
      <c r="H2" s="2">
        <v>32.4</v>
      </c>
      <c r="I2" s="2">
        <v>200</v>
      </c>
      <c r="J2" s="2">
        <v>200</v>
      </c>
      <c r="K2" s="2"/>
      <c r="L2" s="2" t="s">
        <v>25</v>
      </c>
      <c r="M2" s="2">
        <v>6</v>
      </c>
      <c r="N2" s="2">
        <v>5</v>
      </c>
      <c r="O2" s="2"/>
      <c r="Q2" s="13" t="s">
        <v>131</v>
      </c>
    </row>
    <row r="3" spans="1:18" s="1" customFormat="1" x14ac:dyDescent="0.4">
      <c r="A3" s="5" t="s">
        <v>117</v>
      </c>
      <c r="B3" s="5" t="s">
        <v>21</v>
      </c>
      <c r="C3" s="5" t="s">
        <v>22</v>
      </c>
      <c r="D3" s="5" t="s">
        <v>119</v>
      </c>
      <c r="E3" s="8" t="s">
        <v>6</v>
      </c>
      <c r="F3" s="8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28</v>
      </c>
      <c r="L3" s="5" t="s">
        <v>26</v>
      </c>
      <c r="M3" s="3" t="s">
        <v>45</v>
      </c>
      <c r="N3" s="3" t="s">
        <v>110</v>
      </c>
      <c r="O3" s="3" t="s">
        <v>116</v>
      </c>
      <c r="P3" s="1" t="s">
        <v>12</v>
      </c>
      <c r="Q3" s="1" t="s">
        <v>126</v>
      </c>
      <c r="R3" s="1" t="s">
        <v>118</v>
      </c>
    </row>
    <row r="4" spans="1:18" s="1" customFormat="1" x14ac:dyDescent="0.4">
      <c r="D4" s="1" t="s">
        <v>112</v>
      </c>
      <c r="E4" s="6" t="s">
        <v>113</v>
      </c>
      <c r="F4" s="1" t="s">
        <v>113</v>
      </c>
      <c r="I4" s="1" t="s">
        <v>115</v>
      </c>
      <c r="J4" s="1" t="s">
        <v>115</v>
      </c>
      <c r="L4" s="1" t="s">
        <v>114</v>
      </c>
      <c r="N4" s="1" t="s">
        <v>115</v>
      </c>
      <c r="O4" s="1" t="s">
        <v>115</v>
      </c>
      <c r="P4" s="1" t="s">
        <v>23</v>
      </c>
      <c r="Q4" s="1" t="s">
        <v>112</v>
      </c>
    </row>
    <row r="5" spans="1:18" x14ac:dyDescent="0.4">
      <c r="B5" s="3" t="s">
        <v>0</v>
      </c>
      <c r="D5" s="9" t="str">
        <f>IF(C5&lt;&gt;"",C5,B5)</f>
        <v>成都</v>
      </c>
      <c r="E5" s="7">
        <v>104.08153351042463</v>
      </c>
      <c r="F5" s="7">
        <v>30.655821878416408</v>
      </c>
      <c r="I5" s="9">
        <f>ROUND((E5-G$2)*I$2+G5,0)</f>
        <v>1116</v>
      </c>
      <c r="J5" s="9">
        <f>ROUND((H$2-F5)*J$2+H5,0)</f>
        <v>349</v>
      </c>
      <c r="L5" s="9" t="str">
        <f>IF(K5&lt;&gt;"",K5,L$2)</f>
        <v>green</v>
      </c>
      <c r="M5" s="3" t="s">
        <v>46</v>
      </c>
      <c r="N5" s="9" t="str">
        <f>IF(M5="circle","&lt;circle cx="""&amp;I5&amp;""" cy="""&amp;J5&amp;""" r="""&amp;M$2&amp;""" ","&lt;rect x="""&amp;I5-N$2&amp;""" y="""&amp;J5-N$2&amp;""" width="""&amp;N$2*2&amp;""" height="""&amp;N$2*2&amp;""" ")</f>
        <v xml:space="preserve">&lt;rect x="1111" y="344" width="10" height="10" </v>
      </c>
      <c r="O5" s="9" t="str">
        <f>"&lt;text x="""&amp;I5+C$2&amp;""" y="""&amp;J5+D$2&amp;""" font-size="""&amp;B$2&amp;"""&gt;"</f>
        <v>&lt;text x="1124" y="354" font-size="12"&gt;</v>
      </c>
      <c r="P5" s="4" t="str">
        <f>N5&amp;"fill="""&amp;L5&amp;"""/&gt;"&amp;O5&amp;B5&amp;"&lt;/text&gt;"</f>
        <v>&lt;rect x="1111" y="344" width="10" height="10" fill="green"/&gt;&lt;text x="1124" y="354" font-size="12"&gt;成都&lt;/text&gt;</v>
      </c>
      <c r="Q5" s="11" t="str">
        <f>"M"&amp;I5&amp;" "&amp;J5&amp;" "</f>
        <v xml:space="preserve">M1116 349 </v>
      </c>
    </row>
    <row r="6" spans="1:18" x14ac:dyDescent="0.4">
      <c r="B6" s="3" t="s">
        <v>1</v>
      </c>
      <c r="D6" s="9" t="str">
        <f t="shared" ref="D6:D66" si="0">IF(C6&lt;&gt;"",C6,B6)</f>
        <v>雅安</v>
      </c>
      <c r="E6" s="7">
        <v>103.04954262360451</v>
      </c>
      <c r="F6" s="7">
        <v>30.016792545706071</v>
      </c>
      <c r="I6" s="9">
        <f t="shared" ref="I6:I66" si="1">ROUND((E6-G$2)*I$2+G6,0)</f>
        <v>910</v>
      </c>
      <c r="J6" s="9">
        <f t="shared" ref="J6:J66" si="2">ROUND((H$2-F6)*J$2+H6,0)</f>
        <v>477</v>
      </c>
      <c r="L6" s="9" t="str">
        <f t="shared" ref="L6:L66" si="3">IF(K6&lt;&gt;"",K6,L$2)</f>
        <v>green</v>
      </c>
      <c r="M6" s="3" t="s">
        <v>46</v>
      </c>
      <c r="N6" s="9" t="str">
        <f t="shared" ref="N6:N66" si="4">IF(M6="circle","&lt;circle cx="""&amp;I6&amp;""" cy="""&amp;J6&amp;""" r="""&amp;M$2&amp;""" ","&lt;rect x="""&amp;I6-N$2&amp;""" y="""&amp;J6-N$2&amp;""" width="""&amp;N$2*2&amp;""" height="""&amp;N$2*2&amp;""" ")</f>
        <v xml:space="preserve">&lt;rect x="905" y="472" width="10" height="10" </v>
      </c>
      <c r="O6" s="9" t="str">
        <f t="shared" ref="O6:O66" si="5">"&lt;text x="""&amp;I6+C$2&amp;""" y="""&amp;J6+D$2&amp;""" font-size="""&amp;B$2&amp;"""&gt;"</f>
        <v>&lt;text x="918" y="482" font-size="12"&gt;</v>
      </c>
      <c r="P6" s="4" t="str">
        <f t="shared" ref="P6:P66" si="6">N6&amp;"fill="""&amp;L6&amp;"""/&gt;"&amp;O6&amp;B6&amp;"&lt;/text&gt;"</f>
        <v>&lt;rect x="905" y="472" width="10" height="10" fill="green"/&gt;&lt;text x="918" y="482" font-size="12"&gt;雅安&lt;/text&gt;</v>
      </c>
      <c r="Q6" s="4" t="str">
        <f>"L"&amp;I6&amp;" "&amp;J6&amp;" "</f>
        <v xml:space="preserve">L910 477 </v>
      </c>
    </row>
    <row r="7" spans="1:18" x14ac:dyDescent="0.4">
      <c r="B7" s="3" t="s">
        <v>2</v>
      </c>
      <c r="D7" s="9" t="str">
        <f t="shared" si="0"/>
        <v>泸定</v>
      </c>
      <c r="E7" s="7">
        <v>102.24143209630797</v>
      </c>
      <c r="F7" s="7">
        <v>29.920401664951392</v>
      </c>
      <c r="I7" s="9">
        <f t="shared" si="1"/>
        <v>748</v>
      </c>
      <c r="J7" s="9">
        <f t="shared" si="2"/>
        <v>496</v>
      </c>
      <c r="L7" s="9" t="str">
        <f t="shared" si="3"/>
        <v>green</v>
      </c>
      <c r="M7" s="3" t="s">
        <v>46</v>
      </c>
      <c r="N7" s="9" t="str">
        <f t="shared" si="4"/>
        <v xml:space="preserve">&lt;rect x="743" y="491" width="10" height="10" </v>
      </c>
      <c r="O7" s="9" t="str">
        <f t="shared" si="5"/>
        <v>&lt;text x="756" y="501" font-size="12"&gt;</v>
      </c>
      <c r="P7" s="4" t="str">
        <f t="shared" si="6"/>
        <v>&lt;rect x="743" y="491" width="10" height="10" fill="green"/&gt;&lt;text x="756" y="501" font-size="12"&gt;泸定&lt;/text&gt;</v>
      </c>
      <c r="Q7" s="4" t="str">
        <f t="shared" ref="Q7:Q37" si="7">"L"&amp;I7&amp;" "&amp;J7&amp;" "</f>
        <v xml:space="preserve">L748 496 </v>
      </c>
    </row>
    <row r="8" spans="1:18" x14ac:dyDescent="0.4">
      <c r="B8" s="3" t="s">
        <v>87</v>
      </c>
      <c r="C8" s="3" t="s">
        <v>93</v>
      </c>
      <c r="D8" s="9" t="str">
        <f t="shared" ref="D8:D13" si="8">IF(C8&lt;&gt;"",C8,B8)</f>
        <v xml:space="preserve">龙坝尾 </v>
      </c>
      <c r="E8" s="7">
        <v>102.08516754103201</v>
      </c>
      <c r="F8" s="7">
        <v>29.6678219286336</v>
      </c>
      <c r="G8" s="3">
        <v>-10</v>
      </c>
      <c r="H8" s="3">
        <v>-30</v>
      </c>
      <c r="I8" s="9">
        <f t="shared" ref="I8:I13" si="9">ROUND((E8-G$2)*I$2+G8,0)</f>
        <v>707</v>
      </c>
      <c r="J8" s="9">
        <f t="shared" ref="J8:J13" si="10">ROUND((H$2-F8)*J$2+H8,0)</f>
        <v>516</v>
      </c>
      <c r="L8" s="9" t="str">
        <f t="shared" ref="L8:L13" si="11">IF(K8&lt;&gt;"",K8,L$2)</f>
        <v>green</v>
      </c>
      <c r="M8" s="3" t="s">
        <v>47</v>
      </c>
      <c r="N8" s="9" t="str">
        <f t="shared" ref="N8:N13" si="12">IF(M8="circle","&lt;circle cx="""&amp;I8&amp;""" cy="""&amp;J8&amp;""" r="""&amp;M$2&amp;""" ","&lt;rect x="""&amp;I8-N$2&amp;""" y="""&amp;J8-N$2&amp;""" width="""&amp;N$2*2&amp;""" height="""&amp;N$2*2&amp;""" ")</f>
        <v xml:space="preserve">&lt;circle cx="707" cy="516" r="6" </v>
      </c>
      <c r="O8" s="9" t="str">
        <f t="shared" ref="O8:O13" si="13">"&lt;text x="""&amp;I8+C$2&amp;""" y="""&amp;J8+D$2&amp;""" font-size="""&amp;B$2&amp;"""&gt;"</f>
        <v>&lt;text x="715" y="521" font-size="12"&gt;</v>
      </c>
      <c r="P8" s="4" t="str">
        <f t="shared" ref="P8:P13" si="14">N8&amp;"fill="""&amp;L8&amp;"""/&gt;"&amp;O8&amp;B8&amp;"&lt;/text&gt;"</f>
        <v>&lt;circle cx="707" cy="516" r="6" fill="green"/&gt;&lt;text x="715" y="521" font-size="12"&gt;燕子沟红石公园&lt;/text&gt;</v>
      </c>
    </row>
    <row r="9" spans="1:18" x14ac:dyDescent="0.4">
      <c r="B9" s="3" t="s">
        <v>88</v>
      </c>
      <c r="D9" s="9" t="str">
        <f t="shared" si="8"/>
        <v>泉华滩</v>
      </c>
      <c r="E9" s="7">
        <v>101.683658934153</v>
      </c>
      <c r="F9" s="7">
        <v>29.587319374211798</v>
      </c>
      <c r="H9" s="3">
        <v>15</v>
      </c>
      <c r="I9" s="9">
        <f t="shared" si="9"/>
        <v>637</v>
      </c>
      <c r="J9" s="9">
        <f t="shared" si="10"/>
        <v>578</v>
      </c>
      <c r="L9" s="9" t="str">
        <f t="shared" si="11"/>
        <v>green</v>
      </c>
      <c r="M9" s="3" t="s">
        <v>47</v>
      </c>
      <c r="N9" s="9" t="str">
        <f t="shared" si="12"/>
        <v xml:space="preserve">&lt;circle cx="637" cy="578" r="6" </v>
      </c>
      <c r="O9" s="9" t="str">
        <f t="shared" si="13"/>
        <v>&lt;text x="645" y="583" font-size="12"&gt;</v>
      </c>
      <c r="P9" s="4" t="str">
        <f t="shared" si="14"/>
        <v>&lt;circle cx="637" cy="578" r="6" fill="green"/&gt;&lt;text x="645" y="583" font-size="12"&gt;泉华滩&lt;/text&gt;</v>
      </c>
    </row>
    <row r="10" spans="1:18" x14ac:dyDescent="0.4">
      <c r="B10" s="3" t="s">
        <v>89</v>
      </c>
      <c r="C10" s="3" t="s">
        <v>93</v>
      </c>
      <c r="D10" s="9" t="str">
        <f t="shared" si="8"/>
        <v xml:space="preserve">龙坝尾 </v>
      </c>
      <c r="E10" s="7">
        <v>102.08516754103201</v>
      </c>
      <c r="F10" s="7">
        <v>29.6678219286336</v>
      </c>
      <c r="G10" s="3">
        <v>-5</v>
      </c>
      <c r="H10" s="3">
        <v>-15</v>
      </c>
      <c r="I10" s="9">
        <f t="shared" si="9"/>
        <v>712</v>
      </c>
      <c r="J10" s="9">
        <f t="shared" si="10"/>
        <v>531</v>
      </c>
      <c r="L10" s="9" t="str">
        <f t="shared" si="11"/>
        <v>green</v>
      </c>
      <c r="M10" s="3" t="s">
        <v>47</v>
      </c>
      <c r="N10" s="9" t="str">
        <f t="shared" si="12"/>
        <v xml:space="preserve">&lt;circle cx="712" cy="531" r="6" </v>
      </c>
      <c r="O10" s="9" t="str">
        <f t="shared" si="13"/>
        <v>&lt;text x="720" y="536" font-size="12"&gt;</v>
      </c>
      <c r="P10" s="4" t="str">
        <f t="shared" si="14"/>
        <v>&lt;circle cx="712" cy="531" r="6" fill="green"/&gt;&lt;text x="720" y="536" font-size="12"&gt;雅家梗红石滩&lt;/text&gt;</v>
      </c>
    </row>
    <row r="11" spans="1:18" x14ac:dyDescent="0.4">
      <c r="B11" s="3" t="s">
        <v>90</v>
      </c>
      <c r="C11" s="3" t="s">
        <v>93</v>
      </c>
      <c r="D11" s="9" t="str">
        <f t="shared" si="8"/>
        <v xml:space="preserve">龙坝尾 </v>
      </c>
      <c r="E11" s="7">
        <v>102.08516754103201</v>
      </c>
      <c r="F11" s="7">
        <v>29.6678219286336</v>
      </c>
      <c r="I11" s="9">
        <f t="shared" si="9"/>
        <v>717</v>
      </c>
      <c r="J11" s="9">
        <f t="shared" si="10"/>
        <v>546</v>
      </c>
      <c r="L11" s="9" t="str">
        <f t="shared" si="11"/>
        <v>green</v>
      </c>
      <c r="M11" s="3" t="s">
        <v>47</v>
      </c>
      <c r="N11" s="9" t="str">
        <f t="shared" si="12"/>
        <v xml:space="preserve">&lt;circle cx="717" cy="546" r="6" </v>
      </c>
      <c r="O11" s="9" t="str">
        <f t="shared" si="13"/>
        <v>&lt;text x="725" y="551" font-size="12"&gt;</v>
      </c>
      <c r="P11" s="4" t="str">
        <f t="shared" si="14"/>
        <v>&lt;circle cx="717" cy="546" r="6" fill="green"/&gt;&lt;text x="725" y="551" font-size="12"&gt;海螺沟 29&lt;/text&gt;</v>
      </c>
    </row>
    <row r="12" spans="1:18" x14ac:dyDescent="0.4">
      <c r="B12" s="3" t="s">
        <v>96</v>
      </c>
      <c r="C12" s="3" t="s">
        <v>92</v>
      </c>
      <c r="D12" s="9" t="str">
        <f t="shared" si="8"/>
        <v>贡嘎山</v>
      </c>
      <c r="E12" s="7">
        <v>101.88727919148999</v>
      </c>
      <c r="F12" s="7">
        <v>29.599381768531</v>
      </c>
      <c r="G12" s="3">
        <v>-20</v>
      </c>
      <c r="I12" s="9">
        <f t="shared" si="9"/>
        <v>657</v>
      </c>
      <c r="J12" s="9">
        <f t="shared" si="10"/>
        <v>560</v>
      </c>
      <c r="K12" s="3" t="s">
        <v>24</v>
      </c>
      <c r="L12" s="9" t="str">
        <f t="shared" si="11"/>
        <v>red</v>
      </c>
      <c r="M12" s="3" t="s">
        <v>47</v>
      </c>
      <c r="N12" s="9" t="str">
        <f t="shared" si="12"/>
        <v xml:space="preserve">&lt;circle cx="657" cy="560" r="6" </v>
      </c>
      <c r="O12" s="9" t="str">
        <f t="shared" si="13"/>
        <v>&lt;text x="665" y="565" font-size="12"&gt;</v>
      </c>
      <c r="P12" s="4" t="str">
        <f t="shared" si="14"/>
        <v>&lt;circle cx="657" cy="560" r="6" fill="red"/&gt;&lt;text x="665" y="565" font-size="12"&gt;贡嘎山 75&lt;/text&gt;</v>
      </c>
    </row>
    <row r="13" spans="1:18" x14ac:dyDescent="0.4">
      <c r="B13" s="3" t="s">
        <v>91</v>
      </c>
      <c r="C13" s="3" t="s">
        <v>94</v>
      </c>
      <c r="D13" s="9" t="str">
        <f t="shared" si="8"/>
        <v xml:space="preserve">咱地村 </v>
      </c>
      <c r="E13" s="7">
        <v>102.144887879452</v>
      </c>
      <c r="F13" s="7">
        <v>29.633846859262999</v>
      </c>
      <c r="H13" s="3">
        <v>30</v>
      </c>
      <c r="I13" s="9">
        <f t="shared" si="9"/>
        <v>729</v>
      </c>
      <c r="J13" s="9">
        <f t="shared" si="10"/>
        <v>583</v>
      </c>
      <c r="L13" s="9" t="str">
        <f t="shared" si="11"/>
        <v>green</v>
      </c>
      <c r="M13" s="3" t="s">
        <v>95</v>
      </c>
      <c r="N13" s="9" t="str">
        <f t="shared" si="12"/>
        <v xml:space="preserve">&lt;rect x="724" y="578" width="10" height="10" </v>
      </c>
      <c r="O13" s="9" t="str">
        <f t="shared" si="13"/>
        <v>&lt;text x="737" y="588" font-size="12"&gt;</v>
      </c>
      <c r="P13" s="4" t="str">
        <f t="shared" si="14"/>
        <v>&lt;rect x="724" y="578" width="10" height="10" fill="green"/&gt;&lt;text x="737" y="588" font-size="12"&gt;磨西古镇&lt;/text&gt;</v>
      </c>
      <c r="Q13" s="4" t="str">
        <f t="shared" si="7"/>
        <v xml:space="preserve">L729 583 </v>
      </c>
    </row>
    <row r="14" spans="1:18" x14ac:dyDescent="0.4">
      <c r="B14" s="3" t="s">
        <v>49</v>
      </c>
      <c r="C14" s="3" t="s">
        <v>50</v>
      </c>
      <c r="D14" s="9" t="str">
        <f t="shared" si="0"/>
        <v>康定</v>
      </c>
      <c r="E14" s="7">
        <v>101.96355522139348</v>
      </c>
      <c r="F14" s="7">
        <v>30.004407384261924</v>
      </c>
      <c r="I14" s="9">
        <f t="shared" si="1"/>
        <v>693</v>
      </c>
      <c r="J14" s="9">
        <f t="shared" si="2"/>
        <v>479</v>
      </c>
      <c r="L14" s="9" t="str">
        <f t="shared" si="3"/>
        <v>green</v>
      </c>
      <c r="M14" s="3" t="s">
        <v>46</v>
      </c>
      <c r="N14" s="9" t="str">
        <f t="shared" si="4"/>
        <v xml:space="preserve">&lt;rect x="688" y="474" width="10" height="10" </v>
      </c>
      <c r="O14" s="9" t="str">
        <f t="shared" si="5"/>
        <v>&lt;text x="701" y="484" font-size="12"&gt;</v>
      </c>
      <c r="P14" s="4" t="str">
        <f t="shared" si="6"/>
        <v>&lt;rect x="688" y="474" width="10" height="10" fill="green"/&gt;&lt;text x="701" y="484" font-size="12"&gt;康定 26&lt;/text&gt;</v>
      </c>
      <c r="Q14" s="4" t="str">
        <f t="shared" si="7"/>
        <v xml:space="preserve">L693 479 </v>
      </c>
    </row>
    <row r="15" spans="1:18" x14ac:dyDescent="0.4">
      <c r="B15" s="3" t="s">
        <v>85</v>
      </c>
      <c r="C15" s="3" t="s">
        <v>86</v>
      </c>
      <c r="D15" s="9" t="str">
        <f>IF(C15&lt;&gt;"",C15,B15)</f>
        <v xml:space="preserve">木格措 </v>
      </c>
      <c r="E15" s="7">
        <v>101.907244132025</v>
      </c>
      <c r="F15" s="7">
        <v>30.195336172269801</v>
      </c>
      <c r="I15" s="9">
        <f>ROUND((E15-G$2)*I$2+G15,0)</f>
        <v>681</v>
      </c>
      <c r="J15" s="9">
        <f>ROUND((H$2-F15)*J$2+H15,0)</f>
        <v>441</v>
      </c>
      <c r="L15" s="9" t="str">
        <f>IF(K15&lt;&gt;"",K15,L$2)</f>
        <v>green</v>
      </c>
      <c r="M15" s="3" t="s">
        <v>47</v>
      </c>
      <c r="N15" s="9" t="str">
        <f>IF(M15="circle","&lt;circle cx="""&amp;I15&amp;""" cy="""&amp;J15&amp;""" r="""&amp;M$2&amp;""" ","&lt;rect x="""&amp;I15-N$2&amp;""" y="""&amp;J15-N$2&amp;""" width="""&amp;N$2*2&amp;""" height="""&amp;N$2*2&amp;""" ")</f>
        <v xml:space="preserve">&lt;circle cx="681" cy="441" r="6" </v>
      </c>
      <c r="O15" s="9" t="str">
        <f>"&lt;text x="""&amp;I15+C$2&amp;""" y="""&amp;J15+D$2&amp;""" font-size="""&amp;B$2&amp;"""&gt;"</f>
        <v>&lt;text x="689" y="446" font-size="12"&gt;</v>
      </c>
      <c r="P15" s="4" t="str">
        <f>N15&amp;"fill="""&amp;L15&amp;"""/&gt;"&amp;O15&amp;B15&amp;"&lt;/text&gt;"</f>
        <v>&lt;circle cx="681" cy="441" r="6" fill="green"/&gt;&lt;text x="689" y="446" font-size="12"&gt;木格措 37&lt;/text&gt;</v>
      </c>
    </row>
    <row r="16" spans="1:18" x14ac:dyDescent="0.4">
      <c r="A16" s="3" t="s">
        <v>49</v>
      </c>
      <c r="R16" s="4" t="str">
        <f>VLOOKUP(A16,B:Q,16,0)</f>
        <v xml:space="preserve">L693 479 </v>
      </c>
    </row>
    <row r="17" spans="1:18" x14ac:dyDescent="0.4">
      <c r="B17" s="3" t="s">
        <v>52</v>
      </c>
      <c r="C17" s="3" t="s">
        <v>51</v>
      </c>
      <c r="D17" s="9" t="str">
        <f t="shared" si="0"/>
        <v>折多山</v>
      </c>
      <c r="E17" s="7">
        <v>101.80449181558892</v>
      </c>
      <c r="F17" s="7">
        <v>30.121096178354858</v>
      </c>
      <c r="I17" s="9">
        <f t="shared" si="1"/>
        <v>661</v>
      </c>
      <c r="J17" s="9">
        <f t="shared" si="2"/>
        <v>456</v>
      </c>
      <c r="K17" s="3" t="s">
        <v>24</v>
      </c>
      <c r="L17" s="9" t="str">
        <f t="shared" si="3"/>
        <v>red</v>
      </c>
      <c r="M17" s="3" t="s">
        <v>47</v>
      </c>
      <c r="N17" s="9" t="str">
        <f t="shared" si="4"/>
        <v xml:space="preserve">&lt;circle cx="661" cy="456" r="6" </v>
      </c>
      <c r="O17" s="9" t="str">
        <f t="shared" si="5"/>
        <v>&lt;text x="669" y="461" font-size="12"&gt;</v>
      </c>
      <c r="P17" s="4" t="str">
        <f t="shared" si="6"/>
        <v>&lt;circle cx="661" cy="456" r="6" fill="red"/&gt;&lt;text x="669" y="461" font-size="12"&gt;折多山 43&lt;/text&gt;</v>
      </c>
      <c r="Q17" s="4" t="str">
        <f t="shared" si="7"/>
        <v xml:space="preserve">L661 456 </v>
      </c>
    </row>
    <row r="18" spans="1:18" x14ac:dyDescent="0.4">
      <c r="B18" s="3" t="s">
        <v>53</v>
      </c>
      <c r="C18" s="3" t="s">
        <v>5</v>
      </c>
      <c r="D18" s="9" t="str">
        <f t="shared" si="0"/>
        <v>扎真</v>
      </c>
      <c r="E18" s="7">
        <v>101.50001098332079</v>
      </c>
      <c r="F18" s="7">
        <v>30.058379282380514</v>
      </c>
      <c r="I18" s="9">
        <f t="shared" si="1"/>
        <v>600</v>
      </c>
      <c r="J18" s="9">
        <f t="shared" si="2"/>
        <v>468</v>
      </c>
      <c r="L18" s="9" t="str">
        <f t="shared" si="3"/>
        <v>green</v>
      </c>
      <c r="M18" s="3" t="s">
        <v>47</v>
      </c>
      <c r="N18" s="9" t="str">
        <f t="shared" si="4"/>
        <v xml:space="preserve">&lt;circle cx="600" cy="468" r="6" </v>
      </c>
      <c r="O18" s="9" t="str">
        <f t="shared" si="5"/>
        <v>&lt;text x="608" y="473" font-size="12"&gt;</v>
      </c>
      <c r="P18" s="4" t="str">
        <f t="shared" si="6"/>
        <v>&lt;circle cx="600" cy="468" r="6" fill="green"/&gt;&lt;text x="608" y="473" font-size="12"&gt;新都桥 35&lt;/text&gt;</v>
      </c>
      <c r="Q18" s="4" t="str">
        <f t="shared" si="7"/>
        <v xml:space="preserve">L600 468 </v>
      </c>
    </row>
    <row r="19" spans="1:18" x14ac:dyDescent="0.4">
      <c r="B19" s="3" t="s">
        <v>55</v>
      </c>
      <c r="C19" s="3" t="s">
        <v>54</v>
      </c>
      <c r="D19" s="9" t="str">
        <f t="shared" si="0"/>
        <v>理塘</v>
      </c>
      <c r="E19" s="7">
        <v>100.27557457997872</v>
      </c>
      <c r="F19" s="7">
        <v>30.000030621750792</v>
      </c>
      <c r="I19" s="9">
        <f t="shared" si="1"/>
        <v>355</v>
      </c>
      <c r="J19" s="9">
        <f t="shared" si="2"/>
        <v>480</v>
      </c>
      <c r="K19" s="3" t="s">
        <v>24</v>
      </c>
      <c r="L19" s="9" t="str">
        <f t="shared" si="3"/>
        <v>red</v>
      </c>
      <c r="M19" s="3" t="s">
        <v>47</v>
      </c>
      <c r="N19" s="9" t="str">
        <f t="shared" si="4"/>
        <v xml:space="preserve">&lt;circle cx="355" cy="480" r="6" </v>
      </c>
      <c r="O19" s="9" t="str">
        <f t="shared" si="5"/>
        <v>&lt;text x="363" y="485" font-size="12"&gt;</v>
      </c>
      <c r="P19" s="4" t="str">
        <f t="shared" si="6"/>
        <v>&lt;circle cx="355" cy="480" r="6" fill="red"/&gt;&lt;text x="363" y="485" font-size="12"&gt;理塘 40&lt;/text&gt;</v>
      </c>
      <c r="Q19" s="4" t="str">
        <f t="shared" si="7"/>
        <v xml:space="preserve">L355 480 </v>
      </c>
    </row>
    <row r="20" spans="1:18" x14ac:dyDescent="0.4">
      <c r="B20" s="3" t="s">
        <v>123</v>
      </c>
      <c r="C20" s="3" t="s">
        <v>54</v>
      </c>
      <c r="D20" s="9" t="str">
        <f t="shared" si="0"/>
        <v>理塘</v>
      </c>
      <c r="E20" s="7">
        <v>100.27557457997872</v>
      </c>
      <c r="F20" s="7">
        <v>30.000030621750792</v>
      </c>
      <c r="H20" s="3">
        <v>-45</v>
      </c>
      <c r="I20" s="9">
        <f t="shared" ref="I20:I24" si="15">ROUND((E20-G$2)*I$2+G20,0)</f>
        <v>355</v>
      </c>
      <c r="J20" s="9">
        <f t="shared" ref="J20:J22" si="16">ROUND((H$2-F20)*J$2+H20,0)</f>
        <v>435</v>
      </c>
      <c r="K20" s="3" t="s">
        <v>24</v>
      </c>
      <c r="L20" s="9" t="str">
        <f t="shared" si="3"/>
        <v>red</v>
      </c>
      <c r="M20" s="3" t="s">
        <v>47</v>
      </c>
      <c r="N20" s="9" t="str">
        <f t="shared" ref="N20:N22" si="17">IF(M20="circle","&lt;circle cx="""&amp;I20&amp;""" cy="""&amp;J20&amp;""" r="""&amp;M$2&amp;""" ","&lt;rect x="""&amp;I20-N$2&amp;""" y="""&amp;J20-N$2&amp;""" width="""&amp;N$2*2&amp;""" height="""&amp;N$2*2&amp;""" ")</f>
        <v xml:space="preserve">&lt;circle cx="355" cy="435" r="6" </v>
      </c>
      <c r="O20" s="9" t="str">
        <f t="shared" ref="O20:O22" si="18">"&lt;text x="""&amp;I20+C$2&amp;""" y="""&amp;J20+D$2&amp;""" font-size="""&amp;B$2&amp;"""&gt;"</f>
        <v>&lt;text x="363" y="440" font-size="12"&gt;</v>
      </c>
      <c r="P20" s="4" t="str">
        <f t="shared" ref="P20:P22" si="19">N20&amp;"fill="""&amp;L20&amp;"""/&gt;"&amp;O20&amp;B20&amp;"&lt;/text&gt;"</f>
        <v>&lt;circle cx="355" cy="435" r="6" fill="red"/&gt;&lt;text x="363" y="440" font-size="12"&gt;长青春科尔寺&lt;/text&gt;</v>
      </c>
    </row>
    <row r="21" spans="1:18" x14ac:dyDescent="0.4">
      <c r="B21" s="3" t="s">
        <v>124</v>
      </c>
      <c r="C21" s="3" t="s">
        <v>54</v>
      </c>
      <c r="D21" s="9" t="str">
        <f t="shared" si="0"/>
        <v>理塘</v>
      </c>
      <c r="E21" s="7">
        <v>100.27557457997872</v>
      </c>
      <c r="F21" s="7">
        <v>30.000030621750792</v>
      </c>
      <c r="H21" s="3">
        <v>-30</v>
      </c>
      <c r="I21" s="9">
        <f t="shared" si="15"/>
        <v>355</v>
      </c>
      <c r="J21" s="9">
        <f t="shared" si="16"/>
        <v>450</v>
      </c>
      <c r="K21" s="3" t="s">
        <v>24</v>
      </c>
      <c r="L21" s="9" t="str">
        <f t="shared" si="3"/>
        <v>red</v>
      </c>
      <c r="M21" s="3" t="s">
        <v>47</v>
      </c>
      <c r="N21" s="9" t="str">
        <f t="shared" si="17"/>
        <v xml:space="preserve">&lt;circle cx="355" cy="450" r="6" </v>
      </c>
      <c r="O21" s="9" t="str">
        <f t="shared" si="18"/>
        <v>&lt;text x="363" y="455" font-size="12"&gt;</v>
      </c>
      <c r="P21" s="4" t="str">
        <f t="shared" si="19"/>
        <v>&lt;circle cx="355" cy="450" r="6" fill="red"/&gt;&lt;text x="363" y="455" font-size="12"&gt;格聂之眼&lt;/text&gt;</v>
      </c>
    </row>
    <row r="22" spans="1:18" x14ac:dyDescent="0.4">
      <c r="B22" s="3" t="s">
        <v>125</v>
      </c>
      <c r="C22" s="3" t="s">
        <v>54</v>
      </c>
      <c r="D22" s="9" t="str">
        <f t="shared" si="0"/>
        <v>理塘</v>
      </c>
      <c r="E22" s="7">
        <v>100.27557457997872</v>
      </c>
      <c r="F22" s="7">
        <v>30.000030621750792</v>
      </c>
      <c r="H22" s="3">
        <v>-15</v>
      </c>
      <c r="I22" s="9">
        <f t="shared" si="15"/>
        <v>355</v>
      </c>
      <c r="J22" s="9">
        <f t="shared" si="16"/>
        <v>465</v>
      </c>
      <c r="K22" s="3" t="s">
        <v>24</v>
      </c>
      <c r="L22" s="9" t="str">
        <f t="shared" si="3"/>
        <v>red</v>
      </c>
      <c r="M22" s="3" t="s">
        <v>47</v>
      </c>
      <c r="N22" s="9" t="str">
        <f t="shared" si="17"/>
        <v xml:space="preserve">&lt;circle cx="355" cy="465" r="6" </v>
      </c>
      <c r="O22" s="9" t="str">
        <f t="shared" si="18"/>
        <v>&lt;text x="363" y="470" font-size="12"&gt;</v>
      </c>
      <c r="P22" s="4" t="str">
        <f t="shared" si="19"/>
        <v>&lt;circle cx="355" cy="465" r="6" fill="red"/&gt;&lt;text x="363" y="470" font-size="12"&gt;千户藏寨&lt;/text&gt;</v>
      </c>
    </row>
    <row r="23" spans="1:18" x14ac:dyDescent="0.4">
      <c r="B23" s="3" t="s">
        <v>134</v>
      </c>
      <c r="C23" s="3" t="s">
        <v>138</v>
      </c>
      <c r="D23" s="9" t="str">
        <f t="shared" si="0"/>
        <v xml:space="preserve">霍亚然 </v>
      </c>
      <c r="E23" s="7">
        <v>100.127829543944</v>
      </c>
      <c r="F23" s="7">
        <v>29.416866997312201</v>
      </c>
      <c r="H23" s="3">
        <v>-60</v>
      </c>
      <c r="I23" s="9">
        <f t="shared" ref="I23:I27" si="20">ROUND((E23-G$2)*I$2+G23,0)</f>
        <v>326</v>
      </c>
      <c r="J23" s="9">
        <f t="shared" ref="J23:J27" si="21">ROUND((H$2-F23)*J$2+H23,0)</f>
        <v>537</v>
      </c>
      <c r="L23" s="9" t="str">
        <f t="shared" si="3"/>
        <v>green</v>
      </c>
      <c r="M23" s="3" t="s">
        <v>47</v>
      </c>
      <c r="N23" s="9" t="str">
        <f t="shared" ref="N23:N27" si="22">IF(M23="circle","&lt;circle cx="""&amp;I23&amp;""" cy="""&amp;J23&amp;""" r="""&amp;M$2&amp;""" ","&lt;rect x="""&amp;I23-N$2&amp;""" y="""&amp;J23-N$2&amp;""" width="""&amp;N$2*2&amp;""" height="""&amp;N$2*2&amp;""" ")</f>
        <v xml:space="preserve">&lt;circle cx="326" cy="537" r="6" </v>
      </c>
      <c r="O23" s="9" t="str">
        <f t="shared" ref="O23:O27" si="23">"&lt;text x="""&amp;I23+C$2&amp;""" y="""&amp;J23+D$2&amp;""" font-size="""&amp;B$2&amp;"""&gt;"</f>
        <v>&lt;text x="334" y="542" font-size="12"&gt;</v>
      </c>
      <c r="P23" s="4" t="str">
        <f t="shared" ref="P23:P27" si="24">N23&amp;"fill="""&amp;L23&amp;"""/&gt;"&amp;O23&amp;B23&amp;"&lt;/text&gt;"</f>
        <v>&lt;circle cx="326" cy="537" r="6" fill="green"/&gt;&lt;text x="334" y="542" font-size="12"&gt;海子山&lt;/text&gt;</v>
      </c>
      <c r="Q23" s="4" t="str">
        <f t="shared" si="7"/>
        <v xml:space="preserve">L326 537 </v>
      </c>
    </row>
    <row r="24" spans="1:18" x14ac:dyDescent="0.4">
      <c r="B24" s="3" t="s">
        <v>135</v>
      </c>
      <c r="C24" s="3" t="s">
        <v>139</v>
      </c>
      <c r="D24" s="9" t="str">
        <f t="shared" si="0"/>
        <v>银母</v>
      </c>
      <c r="E24" s="7">
        <v>100.21847485801</v>
      </c>
      <c r="F24" s="7">
        <v>29.111890113716701</v>
      </c>
      <c r="H24" s="3">
        <v>-70</v>
      </c>
      <c r="I24" s="9">
        <f t="shared" si="20"/>
        <v>344</v>
      </c>
      <c r="J24" s="9">
        <f t="shared" si="21"/>
        <v>588</v>
      </c>
      <c r="L24" s="9" t="str">
        <f t="shared" si="3"/>
        <v>green</v>
      </c>
      <c r="M24" s="3" t="s">
        <v>47</v>
      </c>
      <c r="N24" s="9" t="str">
        <f t="shared" si="22"/>
        <v xml:space="preserve">&lt;circle cx="344" cy="588" r="6" </v>
      </c>
      <c r="O24" s="9" t="str">
        <f t="shared" si="23"/>
        <v>&lt;text x="352" y="593" font-size="12"&gt;</v>
      </c>
      <c r="P24" s="4" t="str">
        <f t="shared" si="24"/>
        <v>&lt;circle cx="344" cy="588" r="6" fill="green"/&gt;&lt;text x="352" y="593" font-size="12"&gt;桑堆红草地&lt;/text&gt;</v>
      </c>
      <c r="Q24" s="4" t="str">
        <f t="shared" si="7"/>
        <v xml:space="preserve">L344 588 </v>
      </c>
    </row>
    <row r="25" spans="1:18" x14ac:dyDescent="0.4">
      <c r="B25" s="3" t="s">
        <v>132</v>
      </c>
      <c r="C25" s="3" t="s">
        <v>136</v>
      </c>
      <c r="D25" s="9" t="str">
        <f t="shared" si="0"/>
        <v>稻城</v>
      </c>
      <c r="E25" s="7">
        <v>100.30446155970201</v>
      </c>
      <c r="F25" s="7">
        <v>29.043121558126298</v>
      </c>
      <c r="H25" s="3">
        <v>-60</v>
      </c>
      <c r="I25" s="9">
        <f t="shared" si="20"/>
        <v>361</v>
      </c>
      <c r="J25" s="9">
        <f t="shared" si="21"/>
        <v>611</v>
      </c>
      <c r="L25" s="9" t="str">
        <f t="shared" si="3"/>
        <v>green</v>
      </c>
      <c r="M25" s="3" t="s">
        <v>46</v>
      </c>
      <c r="N25" s="9" t="str">
        <f t="shared" si="22"/>
        <v xml:space="preserve">&lt;rect x="356" y="606" width="10" height="10" </v>
      </c>
      <c r="O25" s="9" t="str">
        <f t="shared" si="23"/>
        <v>&lt;text x="369" y="616" font-size="12"&gt;</v>
      </c>
      <c r="P25" s="4" t="str">
        <f t="shared" si="24"/>
        <v>&lt;rect x="356" y="606" width="10" height="10" fill="green"/&gt;&lt;text x="369" y="616" font-size="12"&gt;稻城 37&lt;/text&gt;</v>
      </c>
      <c r="Q25" s="4" t="str">
        <f t="shared" si="7"/>
        <v xml:space="preserve">L361 611 </v>
      </c>
    </row>
    <row r="26" spans="1:18" x14ac:dyDescent="0.4">
      <c r="B26" s="3" t="s">
        <v>133</v>
      </c>
      <c r="C26" s="3" t="s">
        <v>13</v>
      </c>
      <c r="D26" s="9" t="str">
        <f t="shared" si="0"/>
        <v>贡关</v>
      </c>
      <c r="E26" s="7">
        <v>100.467542726676</v>
      </c>
      <c r="F26" s="7">
        <v>28.5624425825897</v>
      </c>
      <c r="H26" s="3">
        <v>-90</v>
      </c>
      <c r="I26" s="9">
        <f t="shared" si="20"/>
        <v>394</v>
      </c>
      <c r="J26" s="9">
        <f t="shared" si="21"/>
        <v>678</v>
      </c>
      <c r="L26" s="9" t="str">
        <f t="shared" si="3"/>
        <v>green</v>
      </c>
      <c r="M26" s="3" t="s">
        <v>46</v>
      </c>
      <c r="N26" s="9" t="str">
        <f t="shared" si="22"/>
        <v xml:space="preserve">&lt;rect x="389" y="673" width="10" height="10" </v>
      </c>
      <c r="O26" s="9" t="str">
        <f t="shared" si="23"/>
        <v>&lt;text x="402" y="683" font-size="12"&gt;</v>
      </c>
      <c r="P26" s="4" t="str">
        <f t="shared" si="24"/>
        <v>&lt;rect x="389" y="673" width="10" height="10" fill="green"/&gt;&lt;text x="402" y="683" font-size="12"&gt;日瓦 29&lt;/text&gt;</v>
      </c>
      <c r="Q26" s="4" t="str">
        <f t="shared" si="7"/>
        <v xml:space="preserve">L394 678 </v>
      </c>
    </row>
    <row r="27" spans="1:18" x14ac:dyDescent="0.4">
      <c r="B27" s="3" t="s">
        <v>140</v>
      </c>
      <c r="C27" s="3" t="s">
        <v>137</v>
      </c>
      <c r="D27" s="9" t="str">
        <f t="shared" si="0"/>
        <v xml:space="preserve">牛奶海 </v>
      </c>
      <c r="E27" s="7">
        <v>100.35553822284599</v>
      </c>
      <c r="F27" s="7">
        <v>28.378361347195899</v>
      </c>
      <c r="H27" s="3">
        <v>-90</v>
      </c>
      <c r="I27" s="9">
        <f t="shared" si="20"/>
        <v>371</v>
      </c>
      <c r="J27" s="9">
        <f t="shared" si="21"/>
        <v>714</v>
      </c>
      <c r="K27" s="3" t="s">
        <v>24</v>
      </c>
      <c r="L27" s="9" t="str">
        <f t="shared" si="3"/>
        <v>red</v>
      </c>
      <c r="M27" s="3" t="s">
        <v>47</v>
      </c>
      <c r="N27" s="9" t="str">
        <f t="shared" si="22"/>
        <v xml:space="preserve">&lt;circle cx="371" cy="714" r="6" </v>
      </c>
      <c r="O27" s="9" t="str">
        <f t="shared" si="23"/>
        <v>&lt;text x="379" y="719" font-size="12"&gt;</v>
      </c>
      <c r="P27" s="4" t="str">
        <f t="shared" si="24"/>
        <v>&lt;circle cx="371" cy="714" r="6" fill="red"/&gt;&lt;text x="379" y="719" font-size="12"&gt;亚丁 40-46&lt;/text&gt;</v>
      </c>
      <c r="Q27" s="4" t="str">
        <f t="shared" si="7"/>
        <v xml:space="preserve">L371 714 </v>
      </c>
    </row>
    <row r="28" spans="1:18" x14ac:dyDescent="0.4">
      <c r="A28" s="3" t="s">
        <v>133</v>
      </c>
      <c r="R28" s="4" t="str">
        <f t="shared" ref="R28:R32" si="25">VLOOKUP(A28,B:Q,16,0)</f>
        <v xml:space="preserve">L394 678 </v>
      </c>
    </row>
    <row r="29" spans="1:18" x14ac:dyDescent="0.4">
      <c r="A29" s="3" t="s">
        <v>132</v>
      </c>
      <c r="R29" s="4" t="str">
        <f t="shared" si="25"/>
        <v xml:space="preserve">L361 611 </v>
      </c>
    </row>
    <row r="30" spans="1:18" x14ac:dyDescent="0.4">
      <c r="A30" s="3" t="s">
        <v>135</v>
      </c>
      <c r="R30" s="4" t="str">
        <f t="shared" si="25"/>
        <v xml:space="preserve">L344 588 </v>
      </c>
    </row>
    <row r="31" spans="1:18" x14ac:dyDescent="0.4">
      <c r="A31" s="3" t="s">
        <v>134</v>
      </c>
      <c r="R31" s="4" t="str">
        <f t="shared" si="25"/>
        <v xml:space="preserve">L326 537 </v>
      </c>
    </row>
    <row r="32" spans="1:18" x14ac:dyDescent="0.4">
      <c r="A32" s="3" t="s">
        <v>55</v>
      </c>
      <c r="R32" s="4" t="str">
        <f t="shared" si="25"/>
        <v xml:space="preserve">L355 480 </v>
      </c>
    </row>
    <row r="33" spans="1:18" x14ac:dyDescent="0.4">
      <c r="B33" s="3" t="s">
        <v>56</v>
      </c>
      <c r="C33" s="3" t="s">
        <v>4</v>
      </c>
      <c r="D33" s="9" t="str">
        <f t="shared" si="0"/>
        <v>玛亚隆</v>
      </c>
      <c r="E33" s="7">
        <v>99.678584183821201</v>
      </c>
      <c r="F33" s="7">
        <v>30.325251381243874</v>
      </c>
      <c r="H33" s="3">
        <v>20</v>
      </c>
      <c r="I33" s="9">
        <f t="shared" si="1"/>
        <v>236</v>
      </c>
      <c r="J33" s="9">
        <f t="shared" si="2"/>
        <v>435</v>
      </c>
      <c r="K33" s="3" t="s">
        <v>24</v>
      </c>
      <c r="L33" s="9" t="str">
        <f t="shared" si="3"/>
        <v>red</v>
      </c>
      <c r="M33" s="3" t="s">
        <v>47</v>
      </c>
      <c r="N33" s="9" t="str">
        <f t="shared" si="4"/>
        <v xml:space="preserve">&lt;circle cx="236" cy="435" r="6" </v>
      </c>
      <c r="O33" s="9" t="str">
        <f t="shared" si="5"/>
        <v>&lt;text x="244" y="440" font-size="12"&gt;</v>
      </c>
      <c r="P33" s="4" t="str">
        <f t="shared" si="6"/>
        <v>&lt;circle cx="236" cy="435" r="6" fill="red"/&gt;&lt;text x="244" y="440" font-size="12"&gt;毛娅草原 40&lt;/text&gt;</v>
      </c>
      <c r="Q33" s="4" t="str">
        <f t="shared" si="7"/>
        <v xml:space="preserve">L236 435 </v>
      </c>
    </row>
    <row r="34" spans="1:18" x14ac:dyDescent="0.4">
      <c r="B34" s="3" t="s">
        <v>57</v>
      </c>
      <c r="C34" s="3" t="s">
        <v>14</v>
      </c>
      <c r="D34" s="9" t="str">
        <f t="shared" si="0"/>
        <v>色烔玛</v>
      </c>
      <c r="E34" s="7">
        <v>99.455180005186605</v>
      </c>
      <c r="F34" s="7">
        <v>30.3123774737365</v>
      </c>
      <c r="H34" s="3">
        <v>-12</v>
      </c>
      <c r="I34" s="9">
        <f t="shared" si="1"/>
        <v>191</v>
      </c>
      <c r="J34" s="9">
        <f t="shared" si="2"/>
        <v>406</v>
      </c>
      <c r="K34" s="3" t="s">
        <v>24</v>
      </c>
      <c r="L34" s="9" t="str">
        <f t="shared" si="3"/>
        <v>red</v>
      </c>
      <c r="M34" s="3" t="s">
        <v>47</v>
      </c>
      <c r="N34" s="9" t="str">
        <f t="shared" si="4"/>
        <v xml:space="preserve">&lt;circle cx="191" cy="406" r="6" </v>
      </c>
      <c r="O34" s="9" t="str">
        <f t="shared" si="5"/>
        <v>&lt;text x="199" y="411" font-size="12"&gt;</v>
      </c>
      <c r="P34" s="4" t="str">
        <f t="shared" si="6"/>
        <v>&lt;circle cx="191" cy="406" r="6" fill="red"/&gt;&lt;text x="199" y="411" font-size="12"&gt;姊妹湖 47&lt;/text&gt;</v>
      </c>
      <c r="Q34" s="4" t="str">
        <f t="shared" si="7"/>
        <v xml:space="preserve">L191 406 </v>
      </c>
    </row>
    <row r="35" spans="1:18" x14ac:dyDescent="0.4">
      <c r="B35" s="3" t="s">
        <v>58</v>
      </c>
      <c r="C35" s="3" t="s">
        <v>3</v>
      </c>
      <c r="D35" s="9" t="str">
        <f t="shared" si="0"/>
        <v>义敦</v>
      </c>
      <c r="E35" s="7">
        <v>99.358396389880539</v>
      </c>
      <c r="F35" s="7">
        <v>30.318605727541321</v>
      </c>
      <c r="G35" s="3">
        <v>-10</v>
      </c>
      <c r="H35" s="3">
        <v>5</v>
      </c>
      <c r="I35" s="9">
        <f t="shared" si="1"/>
        <v>162</v>
      </c>
      <c r="J35" s="9">
        <f t="shared" si="2"/>
        <v>421</v>
      </c>
      <c r="K35" s="3" t="s">
        <v>24</v>
      </c>
      <c r="L35" s="9" t="str">
        <f t="shared" si="3"/>
        <v>red</v>
      </c>
      <c r="M35" s="3" t="s">
        <v>47</v>
      </c>
      <c r="N35" s="9" t="str">
        <f t="shared" si="4"/>
        <v xml:space="preserve">&lt;circle cx="162" cy="421" r="6" </v>
      </c>
      <c r="O35" s="9" t="str">
        <f t="shared" si="5"/>
        <v>&lt;text x="170" y="426" font-size="12"&gt;</v>
      </c>
      <c r="P35" s="4" t="str">
        <f t="shared" si="6"/>
        <v>&lt;circle cx="162" cy="421" r="6" fill="red"/&gt;&lt;text x="170" y="426" font-size="12"&gt;措普沟 32-45&lt;/text&gt;</v>
      </c>
      <c r="Q35" s="4" t="str">
        <f t="shared" si="7"/>
        <v xml:space="preserve">L162 421 </v>
      </c>
    </row>
    <row r="36" spans="1:18" x14ac:dyDescent="0.4">
      <c r="B36" s="3" t="s">
        <v>127</v>
      </c>
      <c r="C36" s="3" t="s">
        <v>3</v>
      </c>
      <c r="D36" s="9" t="str">
        <f t="shared" ref="D36" si="26">IF(C36&lt;&gt;"",C36,B36)</f>
        <v>义敦</v>
      </c>
      <c r="E36" s="7">
        <v>99.358396389880539</v>
      </c>
      <c r="F36" s="7">
        <v>30.318605727541321</v>
      </c>
      <c r="G36" s="3">
        <v>-15</v>
      </c>
      <c r="H36" s="3">
        <v>-25</v>
      </c>
      <c r="I36" s="9">
        <f t="shared" ref="I36" si="27">ROUND((E36-G$2)*I$2+G36,0)</f>
        <v>157</v>
      </c>
      <c r="J36" s="9">
        <f t="shared" ref="J36" si="28">ROUND((H$2-F36)*J$2+H36,0)</f>
        <v>391</v>
      </c>
      <c r="K36" s="3" t="s">
        <v>24</v>
      </c>
      <c r="L36" s="9" t="str">
        <f t="shared" si="3"/>
        <v>red</v>
      </c>
      <c r="M36" s="3" t="s">
        <v>47</v>
      </c>
      <c r="N36" s="9" t="str">
        <f t="shared" ref="N36" si="29">IF(M36="circle","&lt;circle cx="""&amp;I36&amp;""" cy="""&amp;J36&amp;""" r="""&amp;M$2&amp;""" ","&lt;rect x="""&amp;I36-N$2&amp;""" y="""&amp;J36-N$2&amp;""" width="""&amp;N$2*2&amp;""" height="""&amp;N$2*2&amp;""" ")</f>
        <v xml:space="preserve">&lt;circle cx="157" cy="391" r="6" </v>
      </c>
      <c r="O36" s="9" t="str">
        <f t="shared" ref="O36" si="30">"&lt;text x="""&amp;I36+C$2&amp;""" y="""&amp;J36+D$2&amp;""" font-size="""&amp;B$2&amp;"""&gt;"</f>
        <v>&lt;text x="165" y="396" font-size="12"&gt;</v>
      </c>
      <c r="P36" s="4" t="str">
        <f t="shared" ref="P36" si="31">N36&amp;"fill="""&amp;L36&amp;"""/&gt;"&amp;O36&amp;B36&amp;"&lt;/text&gt;"</f>
        <v>&lt;circle cx="157" cy="391" r="6" fill="red"/&gt;&lt;text x="165" y="396" font-size="12"&gt;扎金甲博神山&lt;/text&gt;</v>
      </c>
    </row>
    <row r="37" spans="1:18" x14ac:dyDescent="0.4">
      <c r="B37" s="3" t="s">
        <v>60</v>
      </c>
      <c r="C37" s="3" t="s">
        <v>59</v>
      </c>
      <c r="D37" s="9" t="str">
        <f t="shared" si="0"/>
        <v>巴塘</v>
      </c>
      <c r="E37" s="7">
        <v>99.116726695819992</v>
      </c>
      <c r="F37" s="7">
        <v>30.011661707376408</v>
      </c>
      <c r="I37" s="9">
        <f t="shared" si="1"/>
        <v>123</v>
      </c>
      <c r="J37" s="9">
        <f t="shared" si="2"/>
        <v>478</v>
      </c>
      <c r="L37" s="9" t="str">
        <f t="shared" si="3"/>
        <v>green</v>
      </c>
      <c r="M37" s="3" t="s">
        <v>46</v>
      </c>
      <c r="N37" s="9" t="str">
        <f t="shared" si="4"/>
        <v xml:space="preserve">&lt;rect x="118" y="473" width="10" height="10" </v>
      </c>
      <c r="O37" s="9" t="str">
        <f t="shared" si="5"/>
        <v>&lt;text x="131" y="483" font-size="12"&gt;</v>
      </c>
      <c r="P37" s="4" t="str">
        <f t="shared" si="6"/>
        <v>&lt;rect x="118" y="473" width="10" height="10" fill="green"/&gt;&lt;text x="131" y="483" font-size="12"&gt;巴塘 30&lt;/text&gt;</v>
      </c>
      <c r="Q37" s="4" t="str">
        <f t="shared" si="7"/>
        <v xml:space="preserve">L123 478 </v>
      </c>
    </row>
    <row r="38" spans="1:18" x14ac:dyDescent="0.4">
      <c r="A38" s="3" t="s">
        <v>58</v>
      </c>
      <c r="R38" s="4" t="str">
        <f>VLOOKUP(A38,B:Q,16,0)</f>
        <v xml:space="preserve">L162 421 </v>
      </c>
    </row>
    <row r="39" spans="1:18" x14ac:dyDescent="0.4">
      <c r="A39" s="3" t="s">
        <v>57</v>
      </c>
      <c r="R39" s="4" t="str">
        <f>VLOOKUP(A39,B:Q,16,0)</f>
        <v xml:space="preserve">L191 406 </v>
      </c>
    </row>
    <row r="40" spans="1:18" x14ac:dyDescent="0.4">
      <c r="A40" s="3" t="s">
        <v>56</v>
      </c>
      <c r="R40" s="4" t="str">
        <f>VLOOKUP(A40,B:Q,16,0)</f>
        <v xml:space="preserve">L236 435 </v>
      </c>
    </row>
    <row r="41" spans="1:18" x14ac:dyDescent="0.4">
      <c r="A41" s="3" t="s">
        <v>55</v>
      </c>
      <c r="R41" s="4" t="str">
        <f>VLOOKUP(A41,B:Q,16,0)</f>
        <v xml:space="preserve">L355 480 </v>
      </c>
    </row>
    <row r="42" spans="1:18" x14ac:dyDescent="0.4">
      <c r="A42" s="3" t="s">
        <v>53</v>
      </c>
      <c r="R42" s="4" t="str">
        <f>VLOOKUP(A42,B:Q,16,0)</f>
        <v xml:space="preserve">L600 468 </v>
      </c>
    </row>
    <row r="43" spans="1:18" x14ac:dyDescent="0.4">
      <c r="B43" s="3" t="s">
        <v>71</v>
      </c>
      <c r="C43" s="3" t="s">
        <v>79</v>
      </c>
      <c r="D43" s="9" t="str">
        <f t="shared" si="0"/>
        <v>塔公寺</v>
      </c>
      <c r="E43" s="7">
        <v>101.528742835904</v>
      </c>
      <c r="F43" s="7">
        <v>30.3249315436282</v>
      </c>
      <c r="I43" s="9">
        <f t="shared" si="1"/>
        <v>606</v>
      </c>
      <c r="J43" s="9">
        <f t="shared" si="2"/>
        <v>415</v>
      </c>
      <c r="L43" s="9" t="str">
        <f t="shared" si="3"/>
        <v>green</v>
      </c>
      <c r="M43" s="3" t="s">
        <v>47</v>
      </c>
      <c r="N43" s="9" t="str">
        <f t="shared" si="4"/>
        <v xml:space="preserve">&lt;circle cx="606" cy="415" r="6" </v>
      </c>
      <c r="O43" s="9" t="str">
        <f t="shared" si="5"/>
        <v>&lt;text x="614" y="420" font-size="12"&gt;</v>
      </c>
      <c r="P43" s="4" t="str">
        <f t="shared" si="6"/>
        <v>&lt;circle cx="606" cy="415" r="6" fill="green"/&gt;&lt;text x="614" y="420" font-size="12"&gt;塔公草原 37&lt;/text&gt;</v>
      </c>
      <c r="Q43" s="4" t="str">
        <f t="shared" ref="Q43" si="32">"L"&amp;I43&amp;" "&amp;J43&amp;" "</f>
        <v xml:space="preserve">L606 415 </v>
      </c>
    </row>
    <row r="44" spans="1:18" x14ac:dyDescent="0.4">
      <c r="B44" s="3" t="s">
        <v>72</v>
      </c>
      <c r="C44" s="3" t="s">
        <v>80</v>
      </c>
      <c r="D44" s="9" t="str">
        <f t="shared" si="0"/>
        <v>下瓦西村</v>
      </c>
      <c r="E44" s="7">
        <v>101.56605215865</v>
      </c>
      <c r="F44" s="7">
        <v>30.445635306429899</v>
      </c>
      <c r="I44" s="9">
        <f t="shared" si="1"/>
        <v>613</v>
      </c>
      <c r="J44" s="9">
        <f t="shared" si="2"/>
        <v>391</v>
      </c>
      <c r="L44" s="9" t="str">
        <f t="shared" si="3"/>
        <v>green</v>
      </c>
      <c r="M44" s="3" t="s">
        <v>47</v>
      </c>
      <c r="N44" s="9" t="str">
        <f t="shared" si="4"/>
        <v xml:space="preserve">&lt;circle cx="613" cy="391" r="6" </v>
      </c>
      <c r="O44" s="9" t="str">
        <f t="shared" si="5"/>
        <v>&lt;text x="621" y="396" font-size="12"&gt;</v>
      </c>
      <c r="P44" s="4" t="str">
        <f t="shared" si="6"/>
        <v>&lt;circle cx="613" cy="391" r="6" fill="green"/&gt;&lt;text x="621" y="396" font-size="12"&gt;墨石公园 35&lt;/text&gt;</v>
      </c>
      <c r="Q44" s="4" t="str">
        <f t="shared" ref="Q44:Q51" si="33">"L"&amp;I44&amp;" "&amp;J44&amp;" "</f>
        <v xml:space="preserve">L613 391 </v>
      </c>
    </row>
    <row r="45" spans="1:18" x14ac:dyDescent="0.4">
      <c r="B45" s="3" t="s">
        <v>73</v>
      </c>
      <c r="C45" s="3" t="s">
        <v>83</v>
      </c>
      <c r="D45" s="9" t="str">
        <f>IF(C45&lt;&gt;"",C45,B45)</f>
        <v xml:space="preserve">八美沟 </v>
      </c>
      <c r="E45" s="7">
        <v>101.438509754207</v>
      </c>
      <c r="F45" s="7">
        <v>30.995421142445199</v>
      </c>
      <c r="I45" s="9">
        <f>ROUND((E45-G$2)*I$2+G45,0)</f>
        <v>588</v>
      </c>
      <c r="J45" s="9">
        <f>ROUND((H$2-F45)*J$2+H45,0)</f>
        <v>281</v>
      </c>
      <c r="L45" s="9" t="str">
        <f>IF(K45&lt;&gt;"",K45,L$2)</f>
        <v>green</v>
      </c>
      <c r="M45" s="3" t="s">
        <v>47</v>
      </c>
      <c r="N45" s="9" t="str">
        <f>IF(M45="circle","&lt;circle cx="""&amp;I45&amp;""" cy="""&amp;J45&amp;""" r="""&amp;M$2&amp;""" ","&lt;rect x="""&amp;I45-N$2&amp;""" y="""&amp;J45-N$2&amp;""" width="""&amp;N$2*2&amp;""" height="""&amp;N$2*2&amp;""" ")</f>
        <v xml:space="preserve">&lt;circle cx="588" cy="281" r="6" </v>
      </c>
      <c r="O45" s="9" t="str">
        <f>"&lt;text x="""&amp;I45+C$2&amp;""" y="""&amp;J45+D$2&amp;""" font-size="""&amp;B$2&amp;"""&gt;"</f>
        <v>&lt;text x="596" y="286" font-size="12"&gt;</v>
      </c>
      <c r="P45" s="4" t="str">
        <f>N45&amp;"fill="""&amp;L45&amp;"""/&gt;"&amp;O45&amp;B45&amp;"&lt;/text&gt;"</f>
        <v>&lt;circle cx="588" cy="281" r="6" fill="green"/&gt;&lt;text x="596" y="286" font-size="12"&gt;党岭 33&lt;/text&gt;</v>
      </c>
      <c r="Q45" s="4" t="str">
        <f t="shared" si="33"/>
        <v xml:space="preserve">L588 281 </v>
      </c>
    </row>
    <row r="46" spans="1:18" x14ac:dyDescent="0.4">
      <c r="A46" s="3" t="s">
        <v>72</v>
      </c>
      <c r="R46" s="4" t="str">
        <f>VLOOKUP(A46,B:Q,16,0)</f>
        <v xml:space="preserve">L613 391 </v>
      </c>
    </row>
    <row r="47" spans="1:18" x14ac:dyDescent="0.4">
      <c r="B47" s="3" t="s">
        <v>61</v>
      </c>
      <c r="C47" s="3" t="s">
        <v>81</v>
      </c>
      <c r="D47" s="9" t="str">
        <f t="shared" si="0"/>
        <v xml:space="preserve">可子寺 </v>
      </c>
      <c r="E47" s="7">
        <v>101.5435568819</v>
      </c>
      <c r="F47" s="7">
        <v>30.5542786875186</v>
      </c>
      <c r="I47" s="9">
        <f t="shared" si="1"/>
        <v>609</v>
      </c>
      <c r="J47" s="9">
        <f t="shared" si="2"/>
        <v>369</v>
      </c>
      <c r="L47" s="9" t="str">
        <f t="shared" si="3"/>
        <v>green</v>
      </c>
      <c r="M47" s="3" t="s">
        <v>47</v>
      </c>
      <c r="N47" s="9" t="str">
        <f t="shared" si="4"/>
        <v xml:space="preserve">&lt;circle cx="609" cy="369" r="6" </v>
      </c>
      <c r="O47" s="9" t="str">
        <f t="shared" si="5"/>
        <v>&lt;text x="617" y="374" font-size="12"&gt;</v>
      </c>
      <c r="P47" s="4" t="str">
        <f t="shared" si="6"/>
        <v>&lt;circle cx="609" cy="369" r="6" fill="green"/&gt;&lt;text x="617" y="374" font-size="12"&gt;亚拉雪山&lt;/text&gt;</v>
      </c>
      <c r="Q47" s="4" t="str">
        <f t="shared" si="33"/>
        <v xml:space="preserve">L609 369 </v>
      </c>
    </row>
    <row r="48" spans="1:18" x14ac:dyDescent="0.4">
      <c r="B48" s="3" t="s">
        <v>63</v>
      </c>
      <c r="D48" s="9" t="str">
        <f>IF(C48&lt;&gt;"",C48,B48)</f>
        <v>甲居藏寨</v>
      </c>
      <c r="E48" s="7">
        <v>101.88079999999999</v>
      </c>
      <c r="F48" s="7">
        <v>30.92324</v>
      </c>
      <c r="H48" s="3">
        <v>25</v>
      </c>
      <c r="I48" s="9">
        <f t="shared" si="1"/>
        <v>676</v>
      </c>
      <c r="J48" s="9">
        <f t="shared" si="2"/>
        <v>320</v>
      </c>
      <c r="L48" s="9" t="str">
        <f t="shared" si="3"/>
        <v>green</v>
      </c>
      <c r="M48" s="3" t="s">
        <v>47</v>
      </c>
      <c r="N48" s="9" t="str">
        <f t="shared" si="4"/>
        <v xml:space="preserve">&lt;circle cx="676" cy="320" r="6" </v>
      </c>
      <c r="O48" s="9" t="str">
        <f t="shared" si="5"/>
        <v>&lt;text x="684" y="325" font-size="12"&gt;</v>
      </c>
      <c r="P48" s="4" t="str">
        <f t="shared" si="6"/>
        <v>&lt;circle cx="676" cy="320" r="6" fill="green"/&gt;&lt;text x="684" y="325" font-size="12"&gt;甲居藏寨&lt;/text&gt;</v>
      </c>
      <c r="Q48" s="4" t="str">
        <f t="shared" si="33"/>
        <v xml:space="preserve">L676 320 </v>
      </c>
    </row>
    <row r="49" spans="1:18" x14ac:dyDescent="0.4">
      <c r="B49" s="3" t="s">
        <v>65</v>
      </c>
      <c r="C49" s="3" t="s">
        <v>84</v>
      </c>
      <c r="D49" s="9" t="str">
        <f>IF(C49&lt;&gt;"",C49,B49)</f>
        <v xml:space="preserve">俄满村 </v>
      </c>
      <c r="E49" s="7">
        <v>101.93311577986501</v>
      </c>
      <c r="F49" s="7">
        <v>30.9086779323606</v>
      </c>
      <c r="H49" s="3">
        <v>10</v>
      </c>
      <c r="I49" s="9">
        <f t="shared" si="1"/>
        <v>687</v>
      </c>
      <c r="J49" s="9">
        <f t="shared" si="2"/>
        <v>308</v>
      </c>
      <c r="L49" s="9" t="str">
        <f t="shared" si="3"/>
        <v>green</v>
      </c>
      <c r="M49" s="3" t="s">
        <v>47</v>
      </c>
      <c r="N49" s="9" t="str">
        <f t="shared" si="4"/>
        <v xml:space="preserve">&lt;circle cx="687" cy="308" r="6" </v>
      </c>
      <c r="O49" s="9" t="str">
        <f t="shared" si="5"/>
        <v>&lt;text x="695" y="313" font-size="12"&gt;</v>
      </c>
      <c r="P49" s="4" t="str">
        <f t="shared" si="6"/>
        <v>&lt;circle cx="687" cy="308" r="6" fill="green"/&gt;&lt;text x="695" y="313" font-size="12"&gt;中路藏寨&lt;/text&gt;</v>
      </c>
      <c r="Q49" s="4" t="str">
        <f t="shared" si="33"/>
        <v xml:space="preserve">L687 308 </v>
      </c>
    </row>
    <row r="50" spans="1:18" x14ac:dyDescent="0.4">
      <c r="B50" s="3" t="s">
        <v>74</v>
      </c>
      <c r="C50" s="3" t="s">
        <v>64</v>
      </c>
      <c r="D50" s="9" t="str">
        <f>IF(C50&lt;&gt;"",C50,B50)</f>
        <v>丹巴</v>
      </c>
      <c r="E50" s="7">
        <v>101.8964</v>
      </c>
      <c r="F50" s="7">
        <v>30.88477</v>
      </c>
      <c r="H50" s="3">
        <v>-10</v>
      </c>
      <c r="I50" s="9">
        <f t="shared" si="1"/>
        <v>679</v>
      </c>
      <c r="J50" s="9">
        <f t="shared" si="2"/>
        <v>293</v>
      </c>
      <c r="L50" s="9" t="str">
        <f t="shared" si="3"/>
        <v>green</v>
      </c>
      <c r="M50" s="3" t="s">
        <v>46</v>
      </c>
      <c r="N50" s="9" t="str">
        <f t="shared" si="4"/>
        <v xml:space="preserve">&lt;rect x="674" y="288" width="10" height="10" </v>
      </c>
      <c r="O50" s="9" t="str">
        <f t="shared" si="5"/>
        <v>&lt;text x="687" y="298" font-size="12"&gt;</v>
      </c>
      <c r="P50" s="4" t="str">
        <f t="shared" si="6"/>
        <v>&lt;rect x="674" y="288" width="10" height="10" fill="green"/&gt;&lt;text x="687" y="298" font-size="12"&gt;丹巴 19&lt;/text&gt;</v>
      </c>
      <c r="Q50" s="4" t="str">
        <f t="shared" si="33"/>
        <v xml:space="preserve">L679 293 </v>
      </c>
    </row>
    <row r="51" spans="1:18" x14ac:dyDescent="0.4">
      <c r="B51" s="3" t="s">
        <v>62</v>
      </c>
      <c r="C51" s="3" t="s">
        <v>82</v>
      </c>
      <c r="D51" s="9" t="str">
        <f>IF(C51&lt;&gt;"",C51,B51)</f>
        <v xml:space="preserve">宋达村 </v>
      </c>
      <c r="E51" s="7">
        <v>101.934586575477</v>
      </c>
      <c r="F51" s="7">
        <v>30.855898351717698</v>
      </c>
      <c r="H51" s="3">
        <v>-30</v>
      </c>
      <c r="I51" s="9">
        <f t="shared" si="1"/>
        <v>687</v>
      </c>
      <c r="J51" s="9">
        <f t="shared" si="2"/>
        <v>279</v>
      </c>
      <c r="L51" s="9" t="str">
        <f t="shared" si="3"/>
        <v>green</v>
      </c>
      <c r="M51" s="3" t="s">
        <v>47</v>
      </c>
      <c r="N51" s="9" t="str">
        <f t="shared" si="4"/>
        <v xml:space="preserve">&lt;circle cx="687" cy="279" r="6" </v>
      </c>
      <c r="O51" s="9" t="str">
        <f t="shared" si="5"/>
        <v>&lt;text x="695" y="284" font-size="12"&gt;</v>
      </c>
      <c r="P51" s="4" t="str">
        <f t="shared" si="6"/>
        <v>&lt;circle cx="687" cy="279" r="6" fill="green"/&gt;&lt;text x="695" y="284" font-size="12"&gt;梭坡古碉&lt;/text&gt;</v>
      </c>
      <c r="Q51" s="4" t="str">
        <f t="shared" si="33"/>
        <v xml:space="preserve">L687 279 </v>
      </c>
    </row>
    <row r="52" spans="1:18" x14ac:dyDescent="0.4">
      <c r="B52" s="3" t="s">
        <v>75</v>
      </c>
      <c r="C52" s="3" t="s">
        <v>66</v>
      </c>
      <c r="D52" s="9" t="str">
        <f t="shared" si="0"/>
        <v>巴郎山</v>
      </c>
      <c r="E52" s="7">
        <v>102.9085</v>
      </c>
      <c r="F52" s="7">
        <v>30.94097</v>
      </c>
      <c r="I52" s="9">
        <f t="shared" si="1"/>
        <v>882</v>
      </c>
      <c r="J52" s="9">
        <f t="shared" si="2"/>
        <v>292</v>
      </c>
      <c r="K52" s="3" t="s">
        <v>24</v>
      </c>
      <c r="L52" s="9" t="str">
        <f t="shared" si="3"/>
        <v>red</v>
      </c>
      <c r="M52" s="3" t="s">
        <v>47</v>
      </c>
      <c r="N52" s="9" t="str">
        <f t="shared" si="4"/>
        <v xml:space="preserve">&lt;circle cx="882" cy="292" r="6" </v>
      </c>
      <c r="O52" s="9" t="str">
        <f t="shared" si="5"/>
        <v>&lt;text x="890" y="297" font-size="12"&gt;</v>
      </c>
      <c r="P52" s="4" t="str">
        <f t="shared" si="6"/>
        <v>&lt;circle cx="882" cy="292" r="6" fill="red"/&gt;&lt;text x="890" y="297" font-size="12"&gt;巴郎山 45&lt;/text&gt;</v>
      </c>
      <c r="Q52" s="4" t="str">
        <f>"L"&amp;I52&amp;" "&amp;J52&amp;" "</f>
        <v xml:space="preserve">L882 292 </v>
      </c>
    </row>
    <row r="53" spans="1:18" x14ac:dyDescent="0.4">
      <c r="B53" s="3" t="s">
        <v>76</v>
      </c>
      <c r="C53" s="3" t="s">
        <v>67</v>
      </c>
      <c r="D53" s="9" t="str">
        <f t="shared" si="0"/>
        <v>四姑娘山</v>
      </c>
      <c r="E53" s="7">
        <v>102.81870000000001</v>
      </c>
      <c r="F53" s="7">
        <v>31.035119999999999</v>
      </c>
      <c r="G53" s="3">
        <v>-5</v>
      </c>
      <c r="I53" s="9">
        <f t="shared" si="1"/>
        <v>859</v>
      </c>
      <c r="J53" s="9">
        <f t="shared" si="2"/>
        <v>273</v>
      </c>
      <c r="K53" s="3" t="s">
        <v>24</v>
      </c>
      <c r="L53" s="9" t="str">
        <f t="shared" si="3"/>
        <v>red</v>
      </c>
      <c r="M53" s="3" t="s">
        <v>47</v>
      </c>
      <c r="N53" s="9" t="str">
        <f t="shared" si="4"/>
        <v xml:space="preserve">&lt;circle cx="859" cy="273" r="6" </v>
      </c>
      <c r="O53" s="9" t="str">
        <f t="shared" si="5"/>
        <v>&lt;text x="867" y="278" font-size="12"&gt;</v>
      </c>
      <c r="P53" s="4" t="str">
        <f t="shared" si="6"/>
        <v>&lt;circle cx="859" cy="273" r="6" fill="red"/&gt;&lt;text x="867" y="278" font-size="12"&gt;四姑娘山 62&lt;/text&gt;</v>
      </c>
    </row>
    <row r="54" spans="1:18" x14ac:dyDescent="0.4">
      <c r="B54" s="3" t="s">
        <v>68</v>
      </c>
      <c r="C54" s="3" t="s">
        <v>78</v>
      </c>
      <c r="D54" s="9" t="str">
        <f t="shared" si="0"/>
        <v xml:space="preserve">脚木沟 </v>
      </c>
      <c r="E54" s="7">
        <v>103.20159062269801</v>
      </c>
      <c r="F54" s="7">
        <v>31.0574249622195</v>
      </c>
      <c r="I54" s="9">
        <f t="shared" si="1"/>
        <v>940</v>
      </c>
      <c r="J54" s="9">
        <f t="shared" si="2"/>
        <v>269</v>
      </c>
      <c r="L54" s="9" t="str">
        <f t="shared" si="3"/>
        <v>green</v>
      </c>
      <c r="M54" s="3" t="s">
        <v>46</v>
      </c>
      <c r="N54" s="9" t="str">
        <f t="shared" si="4"/>
        <v xml:space="preserve">&lt;rect x="935" y="264" width="10" height="10" </v>
      </c>
      <c r="O54" s="9" t="str">
        <f t="shared" si="5"/>
        <v>&lt;text x="948" y="274" font-size="12"&gt;</v>
      </c>
      <c r="P54" s="4" t="str">
        <f t="shared" si="6"/>
        <v>&lt;rect x="935" y="264" width="10" height="10" fill="green"/&gt;&lt;text x="948" y="274" font-size="12"&gt;卧龙&lt;/text&gt;</v>
      </c>
      <c r="Q54" s="4" t="str">
        <f t="shared" ref="Q54:Q56" si="34">"L"&amp;I54&amp;" "&amp;J54&amp;" "</f>
        <v xml:space="preserve">L940 269 </v>
      </c>
    </row>
    <row r="55" spans="1:18" x14ac:dyDescent="0.4">
      <c r="B55" s="3" t="s">
        <v>69</v>
      </c>
      <c r="D55" s="9" t="str">
        <f t="shared" si="0"/>
        <v>映秀</v>
      </c>
      <c r="E55" s="7">
        <v>103.4939</v>
      </c>
      <c r="F55" s="7">
        <v>31.059889999999999</v>
      </c>
      <c r="I55" s="9">
        <f t="shared" si="1"/>
        <v>999</v>
      </c>
      <c r="J55" s="9">
        <f t="shared" si="2"/>
        <v>268</v>
      </c>
      <c r="L55" s="9" t="str">
        <f t="shared" si="3"/>
        <v>green</v>
      </c>
      <c r="M55" s="3" t="s">
        <v>46</v>
      </c>
      <c r="N55" s="9" t="str">
        <f t="shared" si="4"/>
        <v xml:space="preserve">&lt;rect x="994" y="263" width="10" height="10" </v>
      </c>
      <c r="O55" s="9" t="str">
        <f t="shared" si="5"/>
        <v>&lt;text x="1007" y="273" font-size="12"&gt;</v>
      </c>
      <c r="P55" s="4" t="str">
        <f t="shared" si="6"/>
        <v>&lt;rect x="994" y="263" width="10" height="10" fill="green"/&gt;&lt;text x="1007" y="273" font-size="12"&gt;映秀&lt;/text&gt;</v>
      </c>
      <c r="Q55" s="4" t="str">
        <f t="shared" si="34"/>
        <v xml:space="preserve">L999 268 </v>
      </c>
    </row>
    <row r="56" spans="1:18" x14ac:dyDescent="0.4">
      <c r="B56" s="3" t="s">
        <v>70</v>
      </c>
      <c r="D56" s="9" t="str">
        <f t="shared" si="0"/>
        <v>都江堰</v>
      </c>
      <c r="E56" s="7">
        <v>103.65349999999999</v>
      </c>
      <c r="F56" s="7">
        <v>30.994260000000001</v>
      </c>
      <c r="I56" s="9">
        <f t="shared" si="1"/>
        <v>1031</v>
      </c>
      <c r="J56" s="9">
        <f t="shared" si="2"/>
        <v>281</v>
      </c>
      <c r="L56" s="9" t="str">
        <f t="shared" si="3"/>
        <v>green</v>
      </c>
      <c r="M56" s="3" t="s">
        <v>47</v>
      </c>
      <c r="N56" s="9" t="str">
        <f t="shared" si="4"/>
        <v xml:space="preserve">&lt;circle cx="1031" cy="281" r="6" </v>
      </c>
      <c r="O56" s="9" t="str">
        <f t="shared" si="5"/>
        <v>&lt;text x="1039" y="286" font-size="12"&gt;</v>
      </c>
      <c r="P56" s="4" t="str">
        <f t="shared" si="6"/>
        <v>&lt;circle cx="1031" cy="281" r="6" fill="green"/&gt;&lt;text x="1039" y="286" font-size="12"&gt;都江堰&lt;/text&gt;</v>
      </c>
      <c r="Q56" s="4" t="str">
        <f t="shared" si="34"/>
        <v xml:space="preserve">L1031 281 </v>
      </c>
    </row>
    <row r="57" spans="1:18" x14ac:dyDescent="0.4">
      <c r="A57" s="3" t="s">
        <v>0</v>
      </c>
      <c r="R57" s="11" t="str">
        <f>SUBSTITUTE(Q5,"M","L")</f>
        <v xml:space="preserve">L1116 349 </v>
      </c>
    </row>
    <row r="58" spans="1:18" s="1" customFormat="1" x14ac:dyDescent="0.4">
      <c r="E58" s="6"/>
      <c r="F58" s="6"/>
    </row>
    <row r="59" spans="1:18" x14ac:dyDescent="0.4">
      <c r="A59" s="3" t="s">
        <v>0</v>
      </c>
      <c r="R59" s="11" t="str">
        <f>Q5</f>
        <v xml:space="preserve">M1116 349 </v>
      </c>
    </row>
    <row r="60" spans="1:18" x14ac:dyDescent="0.4">
      <c r="B60" s="3" t="s">
        <v>97</v>
      </c>
      <c r="C60" s="3" t="s">
        <v>105</v>
      </c>
      <c r="D60" s="9" t="str">
        <f>IF(C60&lt;&gt;"",C60,B60)</f>
        <v>汶川</v>
      </c>
      <c r="E60" s="7">
        <v>103.59650000000001</v>
      </c>
      <c r="F60" s="7">
        <v>31.48301</v>
      </c>
      <c r="H60" s="3">
        <v>20</v>
      </c>
      <c r="I60" s="9">
        <f>ROUND((E60-G$2)*I$2+G60,0)</f>
        <v>1019</v>
      </c>
      <c r="J60" s="9">
        <f>ROUND((H$2-F60)*J$2+H60,0)</f>
        <v>203</v>
      </c>
      <c r="L60" s="9" t="str">
        <f>IF(K60&lt;&gt;"",K60,L$2)</f>
        <v>green</v>
      </c>
      <c r="M60" s="3" t="s">
        <v>95</v>
      </c>
      <c r="N60" s="9" t="str">
        <f>IF(M60="circle","&lt;circle cx="""&amp;I60&amp;""" cy="""&amp;J60&amp;""" r="""&amp;M$2&amp;""" ","&lt;rect x="""&amp;I60-N$2&amp;""" y="""&amp;J60-N$2&amp;""" width="""&amp;N$2*2&amp;""" height="""&amp;N$2*2&amp;""" ")</f>
        <v xml:space="preserve">&lt;rect x="1014" y="198" width="10" height="10" </v>
      </c>
      <c r="O60" s="9" t="str">
        <f>"&lt;text x="""&amp;I60+C$2&amp;""" y="""&amp;J60+D$2&amp;""" font-size="""&amp;B$2&amp;"""&gt;"</f>
        <v>&lt;text x="1027" y="208" font-size="12"&gt;</v>
      </c>
      <c r="P60" s="4" t="str">
        <f>N60&amp;"fill="""&amp;L60&amp;"""/&gt;"&amp;O60&amp;B60&amp;"&lt;/text&gt;"</f>
        <v>&lt;rect x="1014" y="198" width="10" height="10" fill="green"/&gt;&lt;text x="1027" y="208" font-size="12"&gt;汶川 13&lt;/text&gt;</v>
      </c>
      <c r="Q60" s="4" t="str">
        <f t="shared" ref="Q60:Q67" si="35">"L"&amp;I60&amp;" "&amp;J60&amp;" "</f>
        <v xml:space="preserve">L1019 203 </v>
      </c>
    </row>
    <row r="61" spans="1:18" x14ac:dyDescent="0.4">
      <c r="B61" s="3" t="s">
        <v>98</v>
      </c>
      <c r="D61" s="9" t="str">
        <f>IF(C61&lt;&gt;"",C61,B61)</f>
        <v>毕棚沟</v>
      </c>
      <c r="E61" s="7">
        <v>103.0793</v>
      </c>
      <c r="F61" s="7">
        <v>31.411359999999998</v>
      </c>
      <c r="H61" s="3">
        <v>20</v>
      </c>
      <c r="I61" s="9">
        <f>ROUND((E61-G$2)*I$2+G61,0)</f>
        <v>916</v>
      </c>
      <c r="J61" s="9">
        <f>ROUND((H$2-F61)*J$2+H61,0)</f>
        <v>218</v>
      </c>
      <c r="L61" s="9" t="str">
        <f>IF(K61&lt;&gt;"",K61,L$2)</f>
        <v>green</v>
      </c>
      <c r="M61" s="3" t="s">
        <v>47</v>
      </c>
      <c r="N61" s="9" t="str">
        <f>IF(M61="circle","&lt;circle cx="""&amp;I61&amp;""" cy="""&amp;J61&amp;""" r="""&amp;M$2&amp;""" ","&lt;rect x="""&amp;I61-N$2&amp;""" y="""&amp;J61-N$2&amp;""" width="""&amp;N$2*2&amp;""" height="""&amp;N$2*2&amp;""" ")</f>
        <v xml:space="preserve">&lt;circle cx="916" cy="218" r="6" </v>
      </c>
      <c r="O61" s="9" t="str">
        <f>"&lt;text x="""&amp;I61+C$2&amp;""" y="""&amp;J61+D$2&amp;""" font-size="""&amp;B$2&amp;"""&gt;"</f>
        <v>&lt;text x="924" y="223" font-size="12"&gt;</v>
      </c>
      <c r="P61" s="4" t="str">
        <f>N61&amp;"fill="""&amp;L61&amp;"""/&gt;"&amp;O61&amp;B61&amp;"&lt;/text&gt;"</f>
        <v>&lt;circle cx="916" cy="218" r="6" fill="green"/&gt;&lt;text x="924" y="223" font-size="12"&gt;毕棚沟&lt;/text&gt;</v>
      </c>
    </row>
    <row r="62" spans="1:18" x14ac:dyDescent="0.4">
      <c r="B62" s="3" t="s">
        <v>99</v>
      </c>
      <c r="D62" s="9" t="str">
        <f>IF(C62&lt;&gt;"",C62,B62)</f>
        <v>理县</v>
      </c>
      <c r="E62" s="7">
        <v>103.1735</v>
      </c>
      <c r="F62" s="7">
        <v>31.442550000000001</v>
      </c>
      <c r="H62" s="3">
        <v>10</v>
      </c>
      <c r="I62" s="9">
        <f>ROUND((E62-G$2)*I$2+G62,0)</f>
        <v>935</v>
      </c>
      <c r="J62" s="9">
        <f>ROUND((H$2-F62)*J$2+H62,0)</f>
        <v>201</v>
      </c>
      <c r="L62" s="9" t="str">
        <f>IF(K62&lt;&gt;"",K62,L$2)</f>
        <v>green</v>
      </c>
      <c r="M62" s="3" t="s">
        <v>95</v>
      </c>
      <c r="N62" s="9" t="str">
        <f>IF(M62="circle","&lt;circle cx="""&amp;I62&amp;""" cy="""&amp;J62&amp;""" r="""&amp;M$2&amp;""" ","&lt;rect x="""&amp;I62-N$2&amp;""" y="""&amp;J62-N$2&amp;""" width="""&amp;N$2*2&amp;""" height="""&amp;N$2*2&amp;""" ")</f>
        <v xml:space="preserve">&lt;rect x="930" y="196" width="10" height="10" </v>
      </c>
      <c r="O62" s="9" t="str">
        <f>"&lt;text x="""&amp;I62+C$2&amp;""" y="""&amp;J62+D$2&amp;""" font-size="""&amp;B$2&amp;"""&gt;"</f>
        <v>&lt;text x="943" y="206" font-size="12"&gt;</v>
      </c>
      <c r="P62" s="4" t="str">
        <f>N62&amp;"fill="""&amp;L62&amp;"""/&gt;"&amp;O62&amp;B62&amp;"&lt;/text&gt;"</f>
        <v>&lt;rect x="930" y="196" width="10" height="10" fill="green"/&gt;&lt;text x="943" y="206" font-size="12"&gt;理县&lt;/text&gt;</v>
      </c>
      <c r="Q62" s="4" t="str">
        <f t="shared" si="35"/>
        <v xml:space="preserve">L935 201 </v>
      </c>
    </row>
    <row r="63" spans="1:18" x14ac:dyDescent="0.4">
      <c r="B63" s="3" t="s">
        <v>100</v>
      </c>
      <c r="C63" s="3" t="s">
        <v>107</v>
      </c>
      <c r="D63" s="9" t="str">
        <f>IF(C63&lt;&gt;"",C63,B63)</f>
        <v>龙洞子沟</v>
      </c>
      <c r="E63" s="7">
        <v>102.762139657047</v>
      </c>
      <c r="F63" s="7">
        <v>31.612624620149202</v>
      </c>
      <c r="H63" s="3">
        <v>20</v>
      </c>
      <c r="I63" s="9">
        <f>ROUND((E63-G$2)*I$2+G63,0)</f>
        <v>852</v>
      </c>
      <c r="J63" s="9">
        <f>ROUND((H$2-F63)*J$2+H63,0)</f>
        <v>177</v>
      </c>
      <c r="L63" s="9" t="str">
        <f>IF(K63&lt;&gt;"",K63,L$2)</f>
        <v>green</v>
      </c>
      <c r="M63" s="3" t="s">
        <v>47</v>
      </c>
      <c r="N63" s="9" t="str">
        <f>IF(M63="circle","&lt;circle cx="""&amp;I63&amp;""" cy="""&amp;J63&amp;""" r="""&amp;M$2&amp;""" ","&lt;rect x="""&amp;I63-N$2&amp;""" y="""&amp;J63-N$2&amp;""" width="""&amp;N$2*2&amp;""" height="""&amp;N$2*2&amp;""" ")</f>
        <v xml:space="preserve">&lt;circle cx="852" cy="177" r="6" </v>
      </c>
      <c r="O63" s="9" t="str">
        <f>"&lt;text x="""&amp;I63+C$2&amp;""" y="""&amp;J63+D$2&amp;""" font-size="""&amp;B$2&amp;"""&gt;"</f>
        <v>&lt;text x="860" y="182" font-size="12"&gt;</v>
      </c>
      <c r="P63" s="4" t="str">
        <f>N63&amp;"fill="""&amp;L63&amp;"""/&gt;"&amp;O63&amp;B63&amp;"&lt;/text&gt;"</f>
        <v>&lt;circle cx="852" cy="177" r="6" fill="green"/&gt;&lt;text x="860" y="182" font-size="12"&gt;米亚罗 28-34&lt;/text&gt;</v>
      </c>
      <c r="Q63" s="4" t="str">
        <f t="shared" si="35"/>
        <v xml:space="preserve">L852 177 </v>
      </c>
    </row>
    <row r="64" spans="1:18" x14ac:dyDescent="0.4">
      <c r="B64" s="3" t="s">
        <v>77</v>
      </c>
      <c r="D64" s="9" t="str">
        <f t="shared" si="0"/>
        <v>马尔康</v>
      </c>
      <c r="E64" s="7">
        <v>102.21350208208401</v>
      </c>
      <c r="F64" s="7">
        <v>31.911747955647702</v>
      </c>
      <c r="H64" s="3">
        <v>20</v>
      </c>
      <c r="I64" s="9">
        <f t="shared" si="1"/>
        <v>743</v>
      </c>
      <c r="J64" s="9">
        <f t="shared" si="2"/>
        <v>118</v>
      </c>
      <c r="L64" s="9" t="str">
        <f t="shared" si="3"/>
        <v>green</v>
      </c>
      <c r="M64" s="3" t="s">
        <v>46</v>
      </c>
      <c r="N64" s="9" t="str">
        <f t="shared" si="4"/>
        <v xml:space="preserve">&lt;rect x="738" y="113" width="10" height="10" </v>
      </c>
      <c r="O64" s="9" t="str">
        <f t="shared" si="5"/>
        <v>&lt;text x="751" y="123" font-size="12"&gt;</v>
      </c>
      <c r="P64" s="4" t="str">
        <f t="shared" si="6"/>
        <v>&lt;rect x="738" y="113" width="10" height="10" fill="green"/&gt;&lt;text x="751" y="123" font-size="12"&gt;马尔康&lt;/text&gt;</v>
      </c>
      <c r="Q64" s="4" t="str">
        <f t="shared" si="35"/>
        <v xml:space="preserve">L743 118 </v>
      </c>
    </row>
    <row r="65" spans="1:18" x14ac:dyDescent="0.4">
      <c r="B65" s="3" t="s">
        <v>101</v>
      </c>
      <c r="C65" s="3" t="s">
        <v>108</v>
      </c>
      <c r="D65" s="9" t="str">
        <f t="shared" si="0"/>
        <v xml:space="preserve">列门 </v>
      </c>
      <c r="E65" s="7">
        <v>101.691240373843</v>
      </c>
      <c r="F65" s="7">
        <v>31.824893182642001</v>
      </c>
      <c r="H65" s="3">
        <v>20</v>
      </c>
      <c r="I65" s="9">
        <f t="shared" si="1"/>
        <v>638</v>
      </c>
      <c r="J65" s="9">
        <f t="shared" si="2"/>
        <v>135</v>
      </c>
      <c r="L65" s="9" t="str">
        <f t="shared" si="3"/>
        <v>green</v>
      </c>
      <c r="M65" s="3" t="s">
        <v>95</v>
      </c>
      <c r="N65" s="9" t="str">
        <f t="shared" si="4"/>
        <v xml:space="preserve">&lt;rect x="633" y="130" width="10" height="10" </v>
      </c>
      <c r="O65" s="9" t="str">
        <f t="shared" si="5"/>
        <v>&lt;text x="646" y="140" font-size="12"&gt;</v>
      </c>
      <c r="P65" s="4" t="str">
        <f t="shared" si="6"/>
        <v>&lt;rect x="633" y="130" width="10" height="10" fill="green"/&gt;&lt;text x="646" y="140" font-size="12"&gt;观音桥&lt;/text&gt;</v>
      </c>
      <c r="Q65" s="4" t="str">
        <f t="shared" si="35"/>
        <v xml:space="preserve">L638 135 </v>
      </c>
    </row>
    <row r="66" spans="1:18" x14ac:dyDescent="0.4">
      <c r="B66" s="3" t="s">
        <v>102</v>
      </c>
      <c r="C66" s="3" t="s">
        <v>109</v>
      </c>
      <c r="D66" s="9" t="str">
        <f t="shared" si="0"/>
        <v>翁达镇</v>
      </c>
      <c r="E66" s="7">
        <v>100.736582093121</v>
      </c>
      <c r="F66" s="7">
        <v>31.877294798859602</v>
      </c>
      <c r="H66" s="3">
        <v>20</v>
      </c>
      <c r="I66" s="9">
        <f t="shared" si="1"/>
        <v>447</v>
      </c>
      <c r="J66" s="9">
        <f t="shared" si="2"/>
        <v>125</v>
      </c>
      <c r="L66" s="9" t="str">
        <f t="shared" si="3"/>
        <v>green</v>
      </c>
      <c r="M66" s="3" t="s">
        <v>95</v>
      </c>
      <c r="N66" s="9" t="str">
        <f t="shared" si="4"/>
        <v xml:space="preserve">&lt;rect x="442" y="120" width="10" height="10" </v>
      </c>
      <c r="O66" s="9" t="str">
        <f t="shared" si="5"/>
        <v>&lt;text x="455" y="130" font-size="12"&gt;</v>
      </c>
      <c r="P66" s="4" t="str">
        <f t="shared" si="6"/>
        <v>&lt;rect x="442" y="120" width="10" height="10" fill="green"/&gt;&lt;text x="455" y="130" font-size="12"&gt;翁达&lt;/text&gt;</v>
      </c>
      <c r="Q66" s="4" t="str">
        <f t="shared" si="35"/>
        <v xml:space="preserve">L447 125 </v>
      </c>
    </row>
    <row r="67" spans="1:18" x14ac:dyDescent="0.4">
      <c r="B67" s="3" t="s">
        <v>103</v>
      </c>
      <c r="C67" s="3" t="s">
        <v>106</v>
      </c>
      <c r="D67" s="9" t="str">
        <f>IF(C67&lt;&gt;"",C67,B67)</f>
        <v>色达</v>
      </c>
      <c r="E67" s="7">
        <v>100.339413649181</v>
      </c>
      <c r="F67" s="7">
        <v>32.2743304132267</v>
      </c>
      <c r="H67" s="3">
        <v>20</v>
      </c>
      <c r="I67" s="9">
        <f>ROUND((E67-G$2)*I$2+G67,0)</f>
        <v>368</v>
      </c>
      <c r="J67" s="9">
        <f>ROUND((H$2-F67)*J$2+H67,0)</f>
        <v>45</v>
      </c>
      <c r="L67" s="9" t="str">
        <f>IF(K67&lt;&gt;"",K67,L$2)</f>
        <v>green</v>
      </c>
      <c r="M67" s="3" t="s">
        <v>47</v>
      </c>
      <c r="N67" s="9" t="str">
        <f>IF(M67="circle","&lt;circle cx="""&amp;I67&amp;""" cy="""&amp;J67&amp;""" r="""&amp;M$2&amp;""" ","&lt;rect x="""&amp;I67-N$2&amp;""" y="""&amp;J67-N$2&amp;""" width="""&amp;N$2*2&amp;""" height="""&amp;N$2*2&amp;""" ")</f>
        <v xml:space="preserve">&lt;circle cx="368" cy="45" r="6" </v>
      </c>
      <c r="O67" s="9" t="str">
        <f>"&lt;text x="""&amp;I67+C$2&amp;""" y="""&amp;J67+D$2&amp;""" font-size="""&amp;B$2&amp;"""&gt;"</f>
        <v>&lt;text x="376" y="50" font-size="12"&gt;</v>
      </c>
      <c r="P67" s="4" t="str">
        <f>N67&amp;"fill="""&amp;L67&amp;"""/&gt;"&amp;O67&amp;B67&amp;"&lt;/text&gt;"</f>
        <v>&lt;circle cx="368" cy="45" r="6" fill="green"/&gt;&lt;text x="376" y="50" font-size="12"&gt;色达 39&lt;/text&gt;</v>
      </c>
      <c r="Q67" s="4" t="str">
        <f t="shared" si="35"/>
        <v xml:space="preserve">L368 45 </v>
      </c>
    </row>
    <row r="68" spans="1:18" x14ac:dyDescent="0.4">
      <c r="A68" s="3" t="s">
        <v>102</v>
      </c>
      <c r="R68" s="4" t="str">
        <f>VLOOKUP(A68,B:Q,16,0)</f>
        <v xml:space="preserve">L447 125 </v>
      </c>
    </row>
    <row r="69" spans="1:18" x14ac:dyDescent="0.4">
      <c r="B69" s="3" t="s">
        <v>104</v>
      </c>
      <c r="D69" s="9" t="str">
        <f>IF(C69&lt;&gt;"",C69,B69)</f>
        <v>卡萨湖</v>
      </c>
      <c r="E69" s="7">
        <v>100.265</v>
      </c>
      <c r="F69" s="7">
        <v>31.66338</v>
      </c>
      <c r="H69" s="3">
        <v>20</v>
      </c>
      <c r="I69" s="9">
        <f>ROUND((E69-G$2)*I$2+G69,0)</f>
        <v>353</v>
      </c>
      <c r="J69" s="9">
        <f>ROUND((H$2-F69)*J$2+H69,0)</f>
        <v>167</v>
      </c>
      <c r="L69" s="9" t="str">
        <f>IF(K69&lt;&gt;"",K69,L$2)</f>
        <v>green</v>
      </c>
      <c r="M69" s="3" t="s">
        <v>47</v>
      </c>
      <c r="N69" s="9" t="str">
        <f>IF(M69="circle","&lt;circle cx="""&amp;I69&amp;""" cy="""&amp;J69&amp;""" r="""&amp;M$2&amp;""" ","&lt;rect x="""&amp;I69-N$2&amp;""" y="""&amp;J69-N$2&amp;""" width="""&amp;N$2*2&amp;""" height="""&amp;N$2*2&amp;""" ")</f>
        <v xml:space="preserve">&lt;circle cx="353" cy="167" r="6" </v>
      </c>
      <c r="O69" s="9" t="str">
        <f>"&lt;text x="""&amp;I69+C$2&amp;""" y="""&amp;J69+D$2&amp;""" font-size="""&amp;B$2&amp;"""&gt;"</f>
        <v>&lt;text x="361" y="172" font-size="12"&gt;</v>
      </c>
      <c r="P69" s="4" t="str">
        <f>N69&amp;"fill="""&amp;L69&amp;"""/&gt;"&amp;O69&amp;B69&amp;"&lt;/text&gt;"</f>
        <v>&lt;circle cx="353" cy="167" r="6" fill="green"/&gt;&lt;text x="361" y="172" font-size="12"&gt;卡萨湖&lt;/text&gt;</v>
      </c>
      <c r="Q69" s="4" t="str">
        <f>"L"&amp;I69&amp;" "&amp;J69&amp;" "</f>
        <v xml:space="preserve">L353 167 </v>
      </c>
    </row>
    <row r="71" spans="1:18" s="1" customFormat="1" x14ac:dyDescent="0.4">
      <c r="E71" s="6"/>
      <c r="F71" s="6"/>
    </row>
  </sheetData>
  <phoneticPr fontId="1" type="noConversion"/>
  <conditionalFormatting sqref="M37:M58 M60:M1048576 M1:M35">
    <cfRule type="cellIs" dxfId="2" priority="4" operator="equal">
      <formula>"rect"</formula>
    </cfRule>
  </conditionalFormatting>
  <conditionalFormatting sqref="M59">
    <cfRule type="cellIs" dxfId="1" priority="3" operator="equal">
      <formula>"rect"</formula>
    </cfRule>
  </conditionalFormatting>
  <conditionalFormatting sqref="M36">
    <cfRule type="cellIs" dxfId="0" priority="1" operator="equal">
      <formula>"rect"</formula>
    </cfRule>
  </conditionalFormatting>
  <hyperlinks>
    <hyperlink ref="Q2" r:id="rId1" xr:uid="{1D951DC8-D115-4EC6-9004-5DEA034427AA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FDD0F-2EC1-4512-B8A2-C238EEC40632}">
  <dimension ref="A1:A26"/>
  <sheetViews>
    <sheetView tabSelected="1" workbookViewId="0">
      <selection activeCell="B15" sqref="B15"/>
    </sheetView>
  </sheetViews>
  <sheetFormatPr defaultRowHeight="13.9" x14ac:dyDescent="0.4"/>
  <sheetData>
    <row r="1" spans="1:1" x14ac:dyDescent="0.4">
      <c r="A1" t="s">
        <v>41</v>
      </c>
    </row>
    <row r="2" spans="1:1" x14ac:dyDescent="0.4">
      <c r="A2" t="s">
        <v>42</v>
      </c>
    </row>
    <row r="3" spans="1:1" x14ac:dyDescent="0.4">
      <c r="A3" t="s">
        <v>43</v>
      </c>
    </row>
    <row r="4" spans="1:1" x14ac:dyDescent="0.4">
      <c r="A4" t="s">
        <v>44</v>
      </c>
    </row>
    <row r="5" spans="1:1" x14ac:dyDescent="0.4">
      <c r="A5" t="s">
        <v>40</v>
      </c>
    </row>
    <row r="7" spans="1:1" x14ac:dyDescent="0.4">
      <c r="A7" s="10" t="s">
        <v>27</v>
      </c>
    </row>
    <row r="9" spans="1:1" x14ac:dyDescent="0.4">
      <c r="A9" t="s">
        <v>29</v>
      </c>
    </row>
    <row r="10" spans="1:1" x14ac:dyDescent="0.4">
      <c r="A10" s="10" t="s">
        <v>30</v>
      </c>
    </row>
    <row r="11" spans="1:1" x14ac:dyDescent="0.4">
      <c r="A11" t="s">
        <v>31</v>
      </c>
    </row>
    <row r="13" spans="1:1" x14ac:dyDescent="0.4">
      <c r="A13" t="s">
        <v>32</v>
      </c>
    </row>
    <row r="14" spans="1:1" x14ac:dyDescent="0.4">
      <c r="A14" t="s">
        <v>33</v>
      </c>
    </row>
    <row r="15" spans="1:1" x14ac:dyDescent="0.4">
      <c r="A15" t="s">
        <v>34</v>
      </c>
    </row>
    <row r="16" spans="1:1" x14ac:dyDescent="0.4">
      <c r="A16" s="10" t="s">
        <v>30</v>
      </c>
    </row>
    <row r="17" spans="1:1" x14ac:dyDescent="0.4">
      <c r="A17" t="s">
        <v>121</v>
      </c>
    </row>
    <row r="18" spans="1:1" x14ac:dyDescent="0.4">
      <c r="A18" t="s">
        <v>35</v>
      </c>
    </row>
    <row r="20" spans="1:1" x14ac:dyDescent="0.4">
      <c r="A20" t="s">
        <v>36</v>
      </c>
    </row>
    <row r="21" spans="1:1" x14ac:dyDescent="0.4">
      <c r="A21" t="s">
        <v>37</v>
      </c>
    </row>
    <row r="22" spans="1:1" x14ac:dyDescent="0.4">
      <c r="A22" t="s">
        <v>38</v>
      </c>
    </row>
    <row r="23" spans="1:1" x14ac:dyDescent="0.4">
      <c r="A23" t="s">
        <v>120</v>
      </c>
    </row>
    <row r="24" spans="1:1" x14ac:dyDescent="0.4">
      <c r="A24" t="s">
        <v>122</v>
      </c>
    </row>
    <row r="26" spans="1:1" x14ac:dyDescent="0.4">
      <c r="A26" t="s">
        <v>39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tingfu zou</dc:creator>
  <cp:lastModifiedBy>tingfu zou</cp:lastModifiedBy>
  <dcterms:created xsi:type="dcterms:W3CDTF">2021-04-15T13:14:13Z</dcterms:created>
  <dcterms:modified xsi:type="dcterms:W3CDTF">2021-04-17T11:00:10Z</dcterms:modified>
</cp:coreProperties>
</file>