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Z:\IODLab\Consulting\TIM\tim-inst_modl\optics_analysis\"/>
    </mc:Choice>
  </mc:AlternateContent>
  <xr:revisionPtr revIDLastSave="0" documentId="13_ncr:1_{9907E24C-C885-4B3C-9383-85FE5E38D090}" xr6:coauthVersionLast="45" xr6:coauthVersionMax="45" xr10:uidLastSave="{00000000-0000-0000-0000-000000000000}"/>
  <bookViews>
    <workbookView xWindow="-21720" yWindow="-8790" windowWidth="21840" windowHeight="38040" xr2:uid="{389EF5AB-58B1-4FD0-BB67-880618441655}"/>
  </bookViews>
  <sheets>
    <sheet name="Spectrometer Design" sheetId="8" r:id="rId1"/>
    <sheet name="Telescope Design" sheetId="5" r:id="rId2"/>
    <sheet name="F Lambda Specs" sheetId="1" r:id="rId3"/>
    <sheet name="ResPow Specs" sheetId="7" r:id="rId4"/>
    <sheet name="Ibsen Spectrometer Design" sheetId="2" r:id="rId5"/>
    <sheet name="Old Calcs" sheetId="4" r:id="rId6"/>
  </sheets>
  <definedNames>
    <definedName name="solver_adj" localSheetId="2" hidden="1">'F Lambda Specs'!$B$67</definedName>
    <definedName name="solver_cvg" localSheetId="2" hidden="1">0.0001</definedName>
    <definedName name="solver_drv" localSheetId="2" hidden="1">2</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'F Lambda Specs'!$B$69</definedName>
    <definedName name="solver_pre" localSheetId="2" hidden="1">0.000001</definedName>
    <definedName name="solver_rbv" localSheetId="2" hidden="1">2</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9" i="8" l="1"/>
  <c r="B98" i="8" l="1"/>
  <c r="B99" i="8"/>
  <c r="B100" i="8"/>
  <c r="B101" i="8"/>
  <c r="B32" i="8" l="1"/>
  <c r="B73" i="8"/>
  <c r="B43" i="8" l="1"/>
  <c r="C92" i="8" l="1"/>
  <c r="C93" i="8"/>
  <c r="C94" i="8"/>
  <c r="B94" i="8"/>
  <c r="B93" i="8"/>
  <c r="B92" i="8"/>
  <c r="C85" i="8"/>
  <c r="C86" i="8" s="1"/>
  <c r="B85" i="8"/>
  <c r="B86" i="8" s="1"/>
  <c r="B96" i="8" l="1"/>
  <c r="B87" i="8"/>
  <c r="B88" i="8" s="1"/>
  <c r="C96" i="8"/>
  <c r="C87" i="8"/>
  <c r="C88" i="8" s="1"/>
  <c r="K4" i="5"/>
  <c r="H4" i="5"/>
  <c r="A4" i="5"/>
  <c r="C4" i="5" s="1"/>
  <c r="L4" i="5" l="1"/>
  <c r="B16" i="8"/>
  <c r="C12" i="8" l="1"/>
  <c r="C19" i="8" s="1"/>
  <c r="C20" i="8" s="1"/>
  <c r="B12" i="8"/>
  <c r="B62" i="8"/>
  <c r="C51" i="8"/>
  <c r="B59" i="8"/>
  <c r="C47" i="8"/>
  <c r="C46" i="8"/>
  <c r="C64" i="8" s="1"/>
  <c r="B46" i="8"/>
  <c r="B61" i="8" s="1"/>
  <c r="C45" i="8"/>
  <c r="C60" i="8" s="1"/>
  <c r="B45" i="8"/>
  <c r="C43" i="8"/>
  <c r="C40" i="8"/>
  <c r="C41" i="8" s="1"/>
  <c r="B40" i="8"/>
  <c r="B17" i="8"/>
  <c r="C62" i="8"/>
  <c r="B36" i="7"/>
  <c r="B41" i="7"/>
  <c r="C41" i="7"/>
  <c r="C40" i="7"/>
  <c r="B40" i="7"/>
  <c r="B12" i="7"/>
  <c r="C12" i="7"/>
  <c r="C18" i="7" s="1"/>
  <c r="C19" i="7" s="1"/>
  <c r="C20" i="7" s="1"/>
  <c r="C42" i="8" l="1"/>
  <c r="C61" i="8"/>
  <c r="B19" i="8"/>
  <c r="B20" i="8" s="1"/>
  <c r="C63" i="8"/>
  <c r="B63" i="8"/>
  <c r="C21" i="8"/>
  <c r="C27" i="8"/>
  <c r="C28" i="8" s="1"/>
  <c r="C65" i="8" s="1"/>
  <c r="B51" i="8"/>
  <c r="B52" i="8" s="1"/>
  <c r="B64" i="8"/>
  <c r="B67" i="8" s="1"/>
  <c r="C38" i="8"/>
  <c r="C67" i="8"/>
  <c r="B42" i="8"/>
  <c r="B38" i="8" s="1"/>
  <c r="B41" i="8"/>
  <c r="C52" i="8"/>
  <c r="B47" i="8"/>
  <c r="B48" i="8"/>
  <c r="B60" i="8"/>
  <c r="C48" i="8"/>
  <c r="B13" i="1"/>
  <c r="B18" i="7"/>
  <c r="B16" i="7"/>
  <c r="C57" i="7" s="1"/>
  <c r="C56" i="7"/>
  <c r="C55" i="7"/>
  <c r="B55" i="7"/>
  <c r="B56" i="7"/>
  <c r="C54" i="7"/>
  <c r="C46" i="7" s="1"/>
  <c r="B54" i="7"/>
  <c r="B46" i="7" s="1"/>
  <c r="C98" i="8" l="1"/>
  <c r="C99" i="8"/>
  <c r="C100" i="8"/>
  <c r="C101" i="8"/>
  <c r="B105" i="8"/>
  <c r="B107" i="8"/>
  <c r="B104" i="8"/>
  <c r="B106" i="8"/>
  <c r="B103" i="8"/>
  <c r="B97" i="8"/>
  <c r="C72" i="8"/>
  <c r="C73" i="8" s="1"/>
  <c r="C104" i="8"/>
  <c r="C105" i="8"/>
  <c r="C103" i="8"/>
  <c r="C106" i="8"/>
  <c r="C107" i="8"/>
  <c r="C97" i="8"/>
  <c r="B27" i="8"/>
  <c r="B28" i="8" s="1"/>
  <c r="B65" i="8" s="1"/>
  <c r="B66" i="8" s="1"/>
  <c r="B21" i="8"/>
  <c r="C71" i="8"/>
  <c r="C75" i="8" s="1"/>
  <c r="C77" i="8" s="1"/>
  <c r="C70" i="8"/>
  <c r="C74" i="8" s="1"/>
  <c r="C76" i="8" s="1"/>
  <c r="C68" i="8"/>
  <c r="B72" i="8"/>
  <c r="B68" i="8"/>
  <c r="B71" i="8"/>
  <c r="B75" i="8" s="1"/>
  <c r="B77" i="8" s="1"/>
  <c r="B70" i="8"/>
  <c r="B74" i="8" s="1"/>
  <c r="B76" i="8" s="1"/>
  <c r="B57" i="7"/>
  <c r="C75" i="1"/>
  <c r="C76" i="1"/>
  <c r="C58" i="1"/>
  <c r="C59" i="1"/>
  <c r="C60" i="1"/>
  <c r="B60" i="1"/>
  <c r="B59" i="1"/>
  <c r="B58" i="1"/>
  <c r="C79" i="8" l="1"/>
  <c r="C81" i="8" s="1"/>
  <c r="C78" i="8"/>
  <c r="C80" i="8" s="1"/>
  <c r="B79" i="8"/>
  <c r="B81" i="8" s="1"/>
  <c r="B78" i="8"/>
  <c r="B80" i="8" s="1"/>
  <c r="C66" i="8"/>
  <c r="C69" i="8"/>
  <c r="B69" i="8"/>
  <c r="B12" i="1"/>
  <c r="B50" i="1" l="1"/>
  <c r="B61" i="1" l="1"/>
  <c r="B64" i="1"/>
  <c r="B68" i="1"/>
  <c r="C57" i="1"/>
  <c r="B57" i="1"/>
  <c r="B76" i="1" l="1"/>
  <c r="B79" i="1" s="1"/>
  <c r="B81" i="1" s="1"/>
  <c r="B75" i="1"/>
  <c r="B78" i="1" s="1"/>
  <c r="B70" i="1"/>
  <c r="C68" i="1"/>
  <c r="C70" i="1"/>
  <c r="C59" i="7"/>
  <c r="B59" i="7"/>
  <c r="C58" i="7"/>
  <c r="B58" i="7"/>
  <c r="C47" i="7"/>
  <c r="B47" i="7"/>
  <c r="C43" i="7"/>
  <c r="B43" i="7"/>
  <c r="C42" i="7"/>
  <c r="B42" i="7"/>
  <c r="C38" i="7"/>
  <c r="B38" i="7"/>
  <c r="C37" i="7"/>
  <c r="B37" i="7"/>
  <c r="C36" i="7"/>
  <c r="C35" i="7"/>
  <c r="B35" i="7"/>
  <c r="B17" i="7"/>
  <c r="B19" i="7"/>
  <c r="C33" i="7" l="1"/>
  <c r="B62" i="7"/>
  <c r="B65" i="7" s="1"/>
  <c r="B33" i="7"/>
  <c r="C62" i="7"/>
  <c r="C65" i="7" s="1"/>
  <c r="B26" i="7"/>
  <c r="B27" i="7" s="1"/>
  <c r="B20" i="7"/>
  <c r="B63" i="7" l="1"/>
  <c r="B66" i="7"/>
  <c r="B69" i="7" s="1"/>
  <c r="B71" i="7" s="1"/>
  <c r="B67" i="7"/>
  <c r="C67" i="7"/>
  <c r="C73" i="7" s="1"/>
  <c r="C75" i="7" s="1"/>
  <c r="C63" i="7"/>
  <c r="C66" i="7"/>
  <c r="C69" i="7" s="1"/>
  <c r="C71" i="7" s="1"/>
  <c r="C72" i="7"/>
  <c r="C74" i="7" s="1"/>
  <c r="C68" i="7"/>
  <c r="C70" i="7" s="1"/>
  <c r="B68" i="7"/>
  <c r="B70" i="7" s="1"/>
  <c r="C60" i="7"/>
  <c r="B60" i="7"/>
  <c r="B64" i="7" s="1"/>
  <c r="C36" i="1"/>
  <c r="C38" i="1" s="1"/>
  <c r="B36" i="1"/>
  <c r="B38" i="1" s="1"/>
  <c r="B73" i="7" l="1"/>
  <c r="B75" i="7" s="1"/>
  <c r="B72" i="7"/>
  <c r="B74" i="7" s="1"/>
  <c r="C37" i="1"/>
  <c r="B37" i="1"/>
  <c r="B61" i="7"/>
  <c r="C61" i="7"/>
  <c r="C64" i="7"/>
  <c r="G4" i="5"/>
  <c r="L5" i="5"/>
  <c r="C5" i="5"/>
  <c r="D5" i="5" s="1"/>
  <c r="B5" i="5" s="1"/>
  <c r="G5" i="5"/>
  <c r="F5" i="5" s="1"/>
  <c r="E5" i="5" s="1"/>
  <c r="C50" i="1" l="1"/>
  <c r="C61" i="1" s="1"/>
  <c r="C63" i="1"/>
  <c r="B69" i="1"/>
  <c r="B63" i="1"/>
  <c r="I5" i="5"/>
  <c r="J5" i="5" s="1"/>
  <c r="B77" i="1" l="1"/>
  <c r="B82" i="1" s="1"/>
  <c r="B73" i="1"/>
  <c r="C73" i="1"/>
  <c r="C77" i="1"/>
  <c r="C62" i="1"/>
  <c r="C64" i="1"/>
  <c r="C69" i="1" s="1"/>
  <c r="B62" i="1"/>
  <c r="B74" i="1" l="1"/>
  <c r="C74" i="1"/>
  <c r="C44" i="1" l="1"/>
  <c r="B44" i="1"/>
  <c r="C43" i="1"/>
  <c r="B43" i="1"/>
  <c r="B47" i="1" l="1"/>
  <c r="B48" i="1" s="1"/>
  <c r="C47" i="1"/>
  <c r="C48" i="1" s="1"/>
  <c r="I16" i="2"/>
  <c r="J16" i="2"/>
  <c r="I11" i="2"/>
  <c r="J11" i="2"/>
  <c r="B80" i="1" l="1"/>
  <c r="J4" i="2"/>
  <c r="I4" i="2"/>
  <c r="G16" i="2"/>
  <c r="D16" i="2"/>
  <c r="C16" i="2"/>
  <c r="H11" i="2"/>
  <c r="G11" i="2"/>
  <c r="D11" i="2"/>
  <c r="C11" i="2"/>
  <c r="H7" i="2"/>
  <c r="J7" i="2" s="1"/>
  <c r="G7" i="2"/>
  <c r="I7" i="2" s="1"/>
  <c r="D7" i="2"/>
  <c r="D8" i="2" s="1"/>
  <c r="D9" i="2" s="1"/>
  <c r="C7" i="2"/>
  <c r="H6" i="2"/>
  <c r="J6" i="2" s="1"/>
  <c r="G6" i="2"/>
  <c r="I6" i="2" s="1"/>
  <c r="D6" i="2"/>
  <c r="C6" i="2"/>
  <c r="H5" i="2"/>
  <c r="G5" i="2"/>
  <c r="D5" i="2"/>
  <c r="C5" i="2"/>
  <c r="G4" i="2"/>
  <c r="H4" i="2"/>
  <c r="D4" i="2"/>
  <c r="C3" i="2"/>
  <c r="C8" i="2" s="1"/>
  <c r="C9" i="2" s="1"/>
  <c r="C4" i="2" l="1"/>
  <c r="I8" i="2"/>
  <c r="I9" i="2" s="1"/>
  <c r="J8" i="2"/>
  <c r="J9" i="2" s="1"/>
  <c r="G8" i="2"/>
  <c r="G9" i="2" s="1"/>
  <c r="H8" i="2"/>
  <c r="H9" i="2" s="1"/>
  <c r="H16" i="2"/>
  <c r="C14" i="4"/>
  <c r="B14" i="4"/>
  <c r="B52" i="4"/>
  <c r="F3" i="2"/>
  <c r="B3" i="2"/>
  <c r="F2" i="2"/>
  <c r="B2" i="2"/>
  <c r="C39" i="1"/>
  <c r="B39" i="1"/>
  <c r="B58" i="4"/>
  <c r="C44" i="4"/>
  <c r="B44" i="4"/>
  <c r="C41" i="4"/>
  <c r="C43" i="4" s="1"/>
  <c r="B41" i="4"/>
  <c r="B43" i="4" s="1"/>
  <c r="C38" i="4"/>
  <c r="C42" i="4" s="1"/>
  <c r="B38" i="4"/>
  <c r="B42" i="4" s="1"/>
  <c r="C34" i="4"/>
  <c r="C52" i="4" s="1"/>
  <c r="B34" i="4"/>
  <c r="C23" i="4"/>
  <c r="D23" i="4" s="1"/>
  <c r="B23" i="4"/>
  <c r="E22" i="4"/>
  <c r="C19" i="4"/>
  <c r="E19" i="4" s="1"/>
  <c r="B19" i="4"/>
  <c r="D19" i="4" s="1"/>
  <c r="F18" i="4"/>
  <c r="G18" i="4" s="1"/>
  <c r="E18" i="4"/>
  <c r="C18" i="4"/>
  <c r="B18" i="4"/>
  <c r="D18" i="4" s="1"/>
  <c r="F17" i="4"/>
  <c r="H17" i="4" s="1"/>
  <c r="C17" i="4"/>
  <c r="B17" i="4"/>
  <c r="F16" i="4"/>
  <c r="G16" i="4" s="1"/>
  <c r="C16" i="4"/>
  <c r="B16" i="4"/>
  <c r="H15" i="4"/>
  <c r="G15" i="4"/>
  <c r="C15" i="4"/>
  <c r="B6" i="4" s="1"/>
  <c r="H14" i="4"/>
  <c r="G14" i="4"/>
  <c r="C13" i="4"/>
  <c r="B13" i="4"/>
  <c r="B4" i="4"/>
  <c r="C47" i="4" s="1"/>
  <c r="B34" i="1" l="1"/>
  <c r="D2" i="2"/>
  <c r="C2" i="2"/>
  <c r="F4" i="2"/>
  <c r="G2" i="2"/>
  <c r="H2" i="2" s="1"/>
  <c r="I2" i="2" s="1"/>
  <c r="B4" i="2"/>
  <c r="B8" i="2"/>
  <c r="B10" i="2" s="1"/>
  <c r="F8" i="2"/>
  <c r="F10" i="2" s="1"/>
  <c r="F12" i="2" s="1"/>
  <c r="B47" i="4"/>
  <c r="H16" i="4"/>
  <c r="G17" i="4"/>
  <c r="C46" i="4"/>
  <c r="H18" i="4"/>
  <c r="B36" i="4"/>
  <c r="B15" i="4"/>
  <c r="B46" i="4" s="1"/>
  <c r="C36" i="4"/>
  <c r="B83" i="1" l="1"/>
  <c r="B85" i="1" s="1"/>
  <c r="C82" i="1"/>
  <c r="C84" i="1" s="1"/>
  <c r="C83" i="1"/>
  <c r="C85" i="1" s="1"/>
  <c r="C78" i="1"/>
  <c r="C80" i="1" s="1"/>
  <c r="C79" i="1"/>
  <c r="C81" i="1" s="1"/>
  <c r="J2" i="2"/>
  <c r="D10" i="2"/>
  <c r="C10" i="2"/>
  <c r="B12" i="2"/>
  <c r="B9" i="2"/>
  <c r="F9" i="2"/>
  <c r="B84" i="1" l="1"/>
  <c r="B17" i="2"/>
  <c r="B18" i="2" s="1"/>
  <c r="B19" i="2" s="1"/>
  <c r="B20" i="2" s="1"/>
  <c r="B21" i="2" s="1"/>
  <c r="D12" i="2"/>
  <c r="D17" i="2" s="1"/>
  <c r="D18" i="2" s="1"/>
  <c r="D19" i="2" s="1"/>
  <c r="D20" i="2" s="1"/>
  <c r="D21" i="2" s="1"/>
  <c r="C12" i="2"/>
  <c r="C17" i="2" s="1"/>
  <c r="C18" i="2" s="1"/>
  <c r="C19" i="2" s="1"/>
  <c r="C20" i="2" s="1"/>
  <c r="C21" i="2" s="1"/>
  <c r="F13" i="2"/>
  <c r="G10" i="2"/>
  <c r="I10" i="2" s="1"/>
  <c r="H10" i="2"/>
  <c r="J10" i="2" s="1"/>
  <c r="B13" i="2"/>
  <c r="C22" i="2" l="1"/>
  <c r="D22" i="2"/>
  <c r="D13" i="2"/>
  <c r="C13" i="2"/>
  <c r="G12" i="2"/>
  <c r="I12" i="2" s="1"/>
  <c r="H12" i="2"/>
  <c r="J12" i="2" s="1"/>
  <c r="F17" i="2"/>
  <c r="F18" i="2" s="1"/>
  <c r="F19" i="2" s="1"/>
  <c r="F20" i="2" s="1"/>
  <c r="B22" i="2"/>
  <c r="J17" i="2" l="1"/>
  <c r="J18" i="2" s="1"/>
  <c r="J19" i="2" s="1"/>
  <c r="J20" i="2" s="1"/>
  <c r="J13" i="2"/>
  <c r="I17" i="2"/>
  <c r="I18" i="2" s="1"/>
  <c r="I19" i="2" s="1"/>
  <c r="I20" i="2" s="1"/>
  <c r="I21" i="2" s="1"/>
  <c r="I13" i="2"/>
  <c r="G17" i="2"/>
  <c r="G18" i="2" s="1"/>
  <c r="G19" i="2" s="1"/>
  <c r="G20" i="2" s="1"/>
  <c r="G13" i="2"/>
  <c r="F21" i="2"/>
  <c r="F22" i="2"/>
  <c r="H17" i="2"/>
  <c r="H18" i="2" s="1"/>
  <c r="H19" i="2" s="1"/>
  <c r="H20" i="2" s="1"/>
  <c r="H13" i="2"/>
  <c r="I22" i="2" l="1"/>
  <c r="J21" i="2"/>
  <c r="J22" i="2"/>
  <c r="H21" i="2"/>
  <c r="H22" i="2"/>
  <c r="G21" i="2"/>
  <c r="G22" i="2"/>
  <c r="B17" i="1" l="1"/>
  <c r="B18" i="1" s="1"/>
  <c r="C65" i="1" s="1"/>
  <c r="C66" i="1" s="1"/>
  <c r="B65" i="1" l="1"/>
  <c r="B28" i="1" s="1"/>
  <c r="B21" i="1" s="1"/>
  <c r="B19" i="1" s="1"/>
  <c r="C19" i="1" s="1"/>
  <c r="F4" i="5"/>
  <c r="E4" i="5" s="1"/>
  <c r="I4" i="5" s="1"/>
  <c r="J4" i="5" s="1"/>
  <c r="B15" i="8" s="1"/>
  <c r="B16" i="1" l="1"/>
  <c r="B15" i="7"/>
  <c r="B66" i="1"/>
  <c r="D4" i="5"/>
  <c r="B4" i="5" s="1"/>
  <c r="C5" i="7" l="1"/>
  <c r="B22" i="8"/>
  <c r="B5" i="1"/>
  <c r="B22" i="1" s="1"/>
  <c r="B5" i="7"/>
  <c r="B21" i="7" s="1"/>
  <c r="B27" i="1"/>
  <c r="B20" i="1" l="1"/>
</calcChain>
</file>

<file path=xl/sharedStrings.xml><?xml version="1.0" encoding="utf-8"?>
<sst xmlns="http://schemas.openxmlformats.org/spreadsheetml/2006/main" count="477" uniqueCount="233">
  <si>
    <t>Entrance Pupil Dia. (mm)</t>
  </si>
  <si>
    <t>Telescope</t>
  </si>
  <si>
    <t>Cold Optics</t>
  </si>
  <si>
    <t>F/#</t>
  </si>
  <si>
    <t>Illuminated Dia. (mm)</t>
  </si>
  <si>
    <t>Radius</t>
  </si>
  <si>
    <t>Height</t>
  </si>
  <si>
    <t>Cryostat Volume (mm)</t>
  </si>
  <si>
    <t>Wavelengths (um)</t>
  </si>
  <si>
    <t>Lyot Stop</t>
  </si>
  <si>
    <t>Mechanical</t>
  </si>
  <si>
    <t>Optical Requirements</t>
  </si>
  <si>
    <t>Czerny-Turner spectrometer</t>
  </si>
  <si>
    <t>Telecentric Image Space</t>
  </si>
  <si>
    <t>Working Distance (mm)</t>
  </si>
  <si>
    <t>Feed Horn Spacing (mm)</t>
  </si>
  <si>
    <t>arcmin</t>
  </si>
  <si>
    <t>deg</t>
  </si>
  <si>
    <t>Window Radius (mm)</t>
  </si>
  <si>
    <t>Total Emissivity to 300K</t>
  </si>
  <si>
    <t>Blocked Image of Secondary</t>
  </si>
  <si>
    <t>Spectrometer Slit Spacing (mm)</t>
  </si>
  <si>
    <t>Spectrometer Slit Length (mm)</t>
  </si>
  <si>
    <t>Spectrometer Slit Width (mm)</t>
  </si>
  <si>
    <t>MIP</t>
  </si>
  <si>
    <t>FFOV</t>
  </si>
  <si>
    <t>EFL (mm)</t>
  </si>
  <si>
    <t>Image Size (mm)</t>
  </si>
  <si>
    <t>Full FOV (deg)</t>
  </si>
  <si>
    <t>spacing = (1.5*F/#*Lambda)</t>
  </si>
  <si>
    <t>Plate Scale (deg)</t>
  </si>
  <si>
    <t>Chromatic Resolution</t>
  </si>
  <si>
    <t>Number of Grating Lines</t>
  </si>
  <si>
    <t>Grating Order</t>
  </si>
  <si>
    <t>Free Spectral Range (um)</t>
  </si>
  <si>
    <t>Grating Frequency (lines per micron)</t>
  </si>
  <si>
    <t>Grating Spacing (um)</t>
  </si>
  <si>
    <t>Number of Feeds (Spatial)</t>
  </si>
  <si>
    <t>Number of Feeds (Spectral)</t>
  </si>
  <si>
    <t>Grating Incident Angle (deg)</t>
  </si>
  <si>
    <t>Grating FFoV (deg)</t>
  </si>
  <si>
    <t>HFoV (deg)</t>
  </si>
  <si>
    <t>HFOV (deg)</t>
  </si>
  <si>
    <t>As Designed</t>
  </si>
  <si>
    <t>Grating Focus EFL (mm)</t>
  </si>
  <si>
    <t>Spatial Detector Size (mm)</t>
  </si>
  <si>
    <t>Spectral Detector Size (mm)</t>
  </si>
  <si>
    <t>Spectral Image Size (mm)</t>
  </si>
  <si>
    <t>Grating Diffracted Angle</t>
  </si>
  <si>
    <t>Grating Semi Diameter (mm)</t>
  </si>
  <si>
    <t>Maximum Spectral F/#</t>
  </si>
  <si>
    <t>Slit Orientation</t>
  </si>
  <si>
    <t>Elevation</t>
  </si>
  <si>
    <t>TIM Balloon Optical Specifications</t>
  </si>
  <si>
    <t>Grating Pupil Proj.</t>
  </si>
  <si>
    <t>F/# (Short Wav in Band)</t>
  </si>
  <si>
    <t>F/# (Long Wav in Band)</t>
  </si>
  <si>
    <t>Distortion Y (Spatial)</t>
  </si>
  <si>
    <t>Field (deg)</t>
  </si>
  <si>
    <t>SW Ideal (mm)</t>
  </si>
  <si>
    <t>LW Ideal (mm)</t>
  </si>
  <si>
    <t>Half Width</t>
  </si>
  <si>
    <t>First Order Spectrometer Design</t>
  </si>
  <si>
    <t>Wavelength Range (um)</t>
  </si>
  <si>
    <t>Center Wavelength (um)</t>
  </si>
  <si>
    <t>Optical Resolution (um)</t>
  </si>
  <si>
    <t>Short Wave</t>
  </si>
  <si>
    <t>Long Wave</t>
  </si>
  <si>
    <t>Spectrometer</t>
  </si>
  <si>
    <t>Detector Spacing (mm)</t>
  </si>
  <si>
    <t>Detector Spatial Length (mm)</t>
  </si>
  <si>
    <t>Detector Spectral Length (mm)</t>
  </si>
  <si>
    <t>Optical</t>
  </si>
  <si>
    <t>Comments</t>
  </si>
  <si>
    <t>Min Wavelength (um)</t>
  </si>
  <si>
    <t>Max Wavelength (um)</t>
  </si>
  <si>
    <t>Number of Spatial Detectors</t>
  </si>
  <si>
    <t>Number of Spectral Detectors</t>
  </si>
  <si>
    <t>Relay</t>
  </si>
  <si>
    <t>Geometry</t>
  </si>
  <si>
    <t>Czerny-Turner</t>
  </si>
  <si>
    <t>Offner</t>
  </si>
  <si>
    <t>Distance from primary backing to the front plate of the gondola. Set by re-using the BLAST-TNG gondola design.</t>
  </si>
  <si>
    <t>Chromatic Resolving Power</t>
  </si>
  <si>
    <t>Angle of Incidence (deg)</t>
  </si>
  <si>
    <t>Diffraction Angle (deg)</t>
  </si>
  <si>
    <t>Total Diffracted Angle</t>
  </si>
  <si>
    <t>Diffraction Order</t>
  </si>
  <si>
    <t>Camera Mirror Focal Length (mm)</t>
  </si>
  <si>
    <t>Magnification</t>
  </si>
  <si>
    <t>Collimator Focal Length (mm)</t>
  </si>
  <si>
    <t>Slit Width (mm)</t>
  </si>
  <si>
    <t>Evaluate Design</t>
  </si>
  <si>
    <t>Grating Diameter (mm)</t>
  </si>
  <si>
    <t>NA</t>
  </si>
  <si>
    <t>Theta NA</t>
  </si>
  <si>
    <t>Optics Diffraction Limitted FWHM Resolution (um)</t>
  </si>
  <si>
    <t>Grating Diffraction Limited FWHM Resolution (um)</t>
  </si>
  <si>
    <t>Min Short</t>
  </si>
  <si>
    <t>Max Short</t>
  </si>
  <si>
    <t>Min Long</t>
  </si>
  <si>
    <t>Max Long</t>
  </si>
  <si>
    <t>Input F/#</t>
  </si>
  <si>
    <t>Output F/#</t>
  </si>
  <si>
    <t>Center Short</t>
  </si>
  <si>
    <t>Center Long</t>
  </si>
  <si>
    <t>Wavelength Band (um)</t>
  </si>
  <si>
    <t>Focal Length (mm)</t>
  </si>
  <si>
    <t>Primary Diameter (mm)</t>
  </si>
  <si>
    <t>Secondary Diameter (mm)</t>
  </si>
  <si>
    <t>% Area Obscuration</t>
  </si>
  <si>
    <t>Angular Resolution (rad)</t>
  </si>
  <si>
    <t>Half Field of View (deg)</t>
  </si>
  <si>
    <t>Chromatic Resolution (um)</t>
  </si>
  <si>
    <t>Camera Focal Length (mm)</t>
  </si>
  <si>
    <t>Taken at the smallest wavelength to provide the lower bound to achieve the required chromatic resolution. At longer wavelengths, this means we resolve more than is necessary.</t>
  </si>
  <si>
    <t>Full Image Size (mm)</t>
  </si>
  <si>
    <t>Grating Angle of Incidence (deg)</t>
  </si>
  <si>
    <t>Spectrometer First Order Design</t>
  </si>
  <si>
    <t>Grating Pitch (lines/um)</t>
  </si>
  <si>
    <t>Grating Angle of Diffraction (deg)</t>
  </si>
  <si>
    <t>Spectral FOV (deg)</t>
  </si>
  <si>
    <t>Spatial FOV (deg)</t>
  </si>
  <si>
    <t>FOV Ratio</t>
  </si>
  <si>
    <t>Apect Ratio</t>
  </si>
  <si>
    <t>Set to match the spectral detector length based on the input spectral FOV</t>
  </si>
  <si>
    <t>Index Before</t>
  </si>
  <si>
    <t>Index After</t>
  </si>
  <si>
    <t>Collimator Radius (mm)</t>
  </si>
  <si>
    <t>Camera Radius (mm)</t>
  </si>
  <si>
    <t>Spatial Image Size (mm)</t>
  </si>
  <si>
    <t>Image Height (mm)</t>
  </si>
  <si>
    <t>Spectral F/#</t>
  </si>
  <si>
    <t>Spatial F/#</t>
  </si>
  <si>
    <t>Spectral F/# * Lambda (mm)</t>
  </si>
  <si>
    <t>Spatial F/# * Lambda (mm)</t>
  </si>
  <si>
    <t>Taken from the Zemax model</t>
  </si>
  <si>
    <t>Angle between min and max diffracted wavelengths</t>
  </si>
  <si>
    <t>Input Parameter</t>
  </si>
  <si>
    <t>Set to give the required number of lines illuminated to achieve the desired chromatic resolving power.</t>
  </si>
  <si>
    <t>Ratio of Spatial FOV to Spectral FOV should match the aspect ratio of the detector (25/72) to within 1%.</t>
  </si>
  <si>
    <t>Given R1 = -4000 mm, WD, and EFL, solve for R2, F/#, EPD, and linear Obs.</t>
  </si>
  <si>
    <t>Frac Linear Obs</t>
  </si>
  <si>
    <t>Marg. Ray Angle</t>
  </si>
  <si>
    <t>Sec Height</t>
  </si>
  <si>
    <t>C1</t>
  </si>
  <si>
    <t>R1</t>
  </si>
  <si>
    <t>C2</t>
  </si>
  <si>
    <t>R2</t>
  </si>
  <si>
    <t>Working Dist. (mm)</t>
  </si>
  <si>
    <t>TIM</t>
  </si>
  <si>
    <t>BLAST-TNG</t>
  </si>
  <si>
    <t>Design</t>
  </si>
  <si>
    <t>Primary Mirror Radius (mm)</t>
  </si>
  <si>
    <t>Set by manufacturing limits</t>
  </si>
  <si>
    <t>Secondary Mirror Radius (mm)</t>
  </si>
  <si>
    <t>Could be pupil stopped, so the illuminated diameter could be smaller. Cannot exceed mechanical diameter</t>
  </si>
  <si>
    <t>Sets limit on entrance pupil diameter</t>
  </si>
  <si>
    <t>Chosen to provide a 'good' F/#</t>
  </si>
  <si>
    <t>Ease of geometry and standard</t>
  </si>
  <si>
    <t>B (Back Focal Length)</t>
  </si>
  <si>
    <t>D (Mirror Separation)</t>
  </si>
  <si>
    <t>Spatial Pitch Ratio (Hex Packed)</t>
  </si>
  <si>
    <t>Spectral image size is set at the exact length of the focal plane. Cell is green when the size is less than the detector length in order to ensure that all wavelengths fit on the array.</t>
  </si>
  <si>
    <t>Spatial Pixel Pitch</t>
  </si>
  <si>
    <t>Spectral Pixel Pitch (F/#*Lambda)</t>
  </si>
  <si>
    <t>Min Wavelength</t>
  </si>
  <si>
    <t>Max Wavelength</t>
  </si>
  <si>
    <t>Use min wavelength to determine smallest scale. More flexible (0.5 mm  - 2 mm ) is okay</t>
  </si>
  <si>
    <t>Max wavelength for largest scale</t>
  </si>
  <si>
    <t>Use min wavelength to determine smallest scale. Want closer to 1 mm for better point source coupling in a single channel. Makes the most use of each spatial pixel.</t>
  </si>
  <si>
    <t>Spatial Pixel Pitch (F/#*Lamda)</t>
  </si>
  <si>
    <t>Set by matching the slit size to the detector spatial size</t>
  </si>
  <si>
    <t>Use max wavelength to set the upper bound on the F/#</t>
  </si>
  <si>
    <t>Spatial HFOV (deg)</t>
  </si>
  <si>
    <t>Spectral HFOV (deg)</t>
  </si>
  <si>
    <t>Calc Spectral FOV (deg)</t>
  </si>
  <si>
    <t>Spectral FOV Diff (deg)</t>
  </si>
  <si>
    <t>First Order Design Checks</t>
  </si>
  <si>
    <t>Pixel Pitch (F/#*Lambda)</t>
  </si>
  <si>
    <t>Should be zero. Cell is red when this number deviates more than 10^-6</t>
  </si>
  <si>
    <t>Solve for this parameter using Solver, with the objective of setting the FOV diff cell to zero.</t>
  </si>
  <si>
    <t>Pitch Limit Chromatic Resolving Power</t>
  </si>
  <si>
    <t>Actual chromatic resolving power determined by the number of grating lines illuminated. Cell is green when this number is greater than the pitch limit R.</t>
  </si>
  <si>
    <t>Pitch Limit Chromatic Resolution (um)</t>
  </si>
  <si>
    <t>Cell is green when the size is less than or equal to the detector width in order to ensure that all field points fit on the array.</t>
  </si>
  <si>
    <t>Cell is green when the size is less than or equal to the detector length in order to ensure that all wavelengths fit on the array.</t>
  </si>
  <si>
    <t>Spatial Pupil Diameter (mm)</t>
  </si>
  <si>
    <t>Projected spatial pupil</t>
  </si>
  <si>
    <t>Uses the spatial pupil diameter</t>
  </si>
  <si>
    <t>N beams spaced by 2 times the diffraction limit</t>
  </si>
  <si>
    <t>Use resolution set by average wavelength.</t>
  </si>
  <si>
    <t>Chosen to minimize the collimator focal length</t>
  </si>
  <si>
    <t>Takes the projected pupil and scales it by the projection due to diffraction at the min wavelength.</t>
  </si>
  <si>
    <t>Takes the projected pupil and scales it by the projection due to diffraction at the max wavelength.</t>
  </si>
  <si>
    <t>Calculated at the center wavelength. Should be greater than zero. Cell is red when this is not met.</t>
  </si>
  <si>
    <t>Calculated at the min wavelength</t>
  </si>
  <si>
    <t>Calculated at the max wavelength</t>
  </si>
  <si>
    <t>Grating Spatial Diameter (mm)</t>
  </si>
  <si>
    <t>Calculated from the grating spatial diameter, pitch, and angle of incidence (i.e. # of illuminated lines)</t>
  </si>
  <si>
    <t>Grating Spectral Diameter (mm)</t>
  </si>
  <si>
    <t>Spectral F/# (max lambda)</t>
  </si>
  <si>
    <t>Spectral F/# (min lambda)</t>
  </si>
  <si>
    <t>Use resolution set by largest wavelength in each band so that at the shorter wavelengths, the beams on the sky are spaced by smaller than 2 * F# * Lambda.</t>
  </si>
  <si>
    <t>N beams spaced by 2 times the diffraction limit. Note that N is different per module to achieve the same FOV on sky</t>
  </si>
  <si>
    <t>Distance from primary to the front plate of the gondola. Set by re-using the BLAST-TNG gondola design.</t>
  </si>
  <si>
    <t>Use resolution set by shortest wavelength in each band so that at the longer wavelengths, the beams on the sky are spaced by smaller than 2 * F# * Lambda.</t>
  </si>
  <si>
    <t>Beam Spacing On Sky</t>
  </si>
  <si>
    <t>Spectrometer Optimization</t>
  </si>
  <si>
    <t>Wavelength #1</t>
  </si>
  <si>
    <t>Wavelength #2</t>
  </si>
  <si>
    <t>Wavelength #3</t>
  </si>
  <si>
    <t>Wavelength #4</t>
  </si>
  <si>
    <t>Wavelength #5</t>
  </si>
  <si>
    <t>XFIE</t>
  </si>
  <si>
    <t>YFIE #1</t>
  </si>
  <si>
    <t>YFIE #2</t>
  </si>
  <si>
    <t>YFIE #3</t>
  </si>
  <si>
    <t>YFIE #4</t>
  </si>
  <si>
    <t>YFIE #5</t>
  </si>
  <si>
    <t>Distortion W1</t>
  </si>
  <si>
    <t>Distortion W2</t>
  </si>
  <si>
    <t>Distortion W3</t>
  </si>
  <si>
    <t>Distortion W4</t>
  </si>
  <si>
    <t>Distortion W5</t>
  </si>
  <si>
    <t>Distortion Wavelength Ref</t>
  </si>
  <si>
    <t>Distortion F1</t>
  </si>
  <si>
    <t>Distortion F2</t>
  </si>
  <si>
    <t>Distortion F3</t>
  </si>
  <si>
    <t>Distortion F4</t>
  </si>
  <si>
    <t>Distortion F5</t>
  </si>
  <si>
    <t>mm Array for Pointing (MAP)</t>
  </si>
  <si>
    <t>Wavelength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</si>
</sst>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E+00"/>
    <numFmt numFmtId="166" formatCode="0.00000"/>
    <numFmt numFmtId="167" formatCode="0.0000"/>
    <numFmt numFmtId="168" formatCode="0.000"/>
  </numFmts>
  <fonts count="10" x14ac:knownFonts="1">
    <font>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sz val="11"/>
      <color rgb="FF3F3F76"/>
      <name val="Calibri"/>
      <family val="2"/>
      <scheme val="minor"/>
    </font>
    <font>
      <i/>
      <sz val="11"/>
      <color rgb="FF7F7F7F"/>
      <name val="Calibri"/>
      <family val="2"/>
      <scheme val="minor"/>
    </font>
    <font>
      <sz val="8"/>
      <name val="Calibri"/>
      <family val="2"/>
      <scheme val="minor"/>
    </font>
  </fonts>
  <fills count="4">
    <fill>
      <patternFill patternType="none"/>
    </fill>
    <fill>
      <patternFill patternType="gray125"/>
    </fill>
    <fill>
      <patternFill patternType="solid">
        <fgColor rgb="FFFFFFCC"/>
      </patternFill>
    </fill>
    <fill>
      <patternFill patternType="solid">
        <fgColor rgb="FFFFCC99"/>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2" borderId="1" applyNumberFormat="0" applyFont="0" applyAlignment="0" applyProtection="0"/>
    <xf numFmtId="0" fontId="7" fillId="3" borderId="2" applyNumberFormat="0" applyAlignment="0" applyProtection="0"/>
    <xf numFmtId="0" fontId="8" fillId="0" borderId="0" applyNumberFormat="0" applyFill="0" applyBorder="0" applyAlignment="0" applyProtection="0"/>
  </cellStyleXfs>
  <cellXfs count="31">
    <xf numFmtId="0" fontId="0" fillId="0" borderId="0" xfId="0"/>
    <xf numFmtId="0" fontId="3" fillId="0" borderId="0" xfId="0" applyFont="1" applyAlignment="1"/>
    <xf numFmtId="0" fontId="0" fillId="0" borderId="0" xfId="0" applyFont="1" applyAlignment="1">
      <alignment horizontal="center"/>
    </xf>
    <xf numFmtId="0" fontId="2" fillId="0" borderId="0" xfId="0" applyFont="1" applyAlignment="1">
      <alignment vertical="center"/>
    </xf>
    <xf numFmtId="0" fontId="1" fillId="0" borderId="0" xfId="0" applyFont="1" applyAlignment="1">
      <alignment vertical="center"/>
    </xf>
    <xf numFmtId="0" fontId="0" fillId="0" borderId="0" xfId="0" applyFont="1" applyAlignment="1">
      <alignment vertical="center"/>
    </xf>
    <xf numFmtId="10" fontId="0" fillId="0" borderId="0" xfId="0" applyNumberFormat="1"/>
    <xf numFmtId="0" fontId="0" fillId="0" borderId="0" xfId="0" applyAlignment="1"/>
    <xf numFmtId="0" fontId="4" fillId="0" borderId="0" xfId="0" applyFont="1" applyAlignment="1">
      <alignment vertic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right"/>
    </xf>
    <xf numFmtId="0" fontId="0" fillId="2" borderId="1" xfId="1" applyFont="1"/>
    <xf numFmtId="0" fontId="6" fillId="0" borderId="0" xfId="0" applyFont="1" applyAlignment="1">
      <alignment vertical="center"/>
    </xf>
    <xf numFmtId="0" fontId="4" fillId="0" borderId="0" xfId="0" applyFont="1" applyFill="1" applyAlignment="1">
      <alignment vertical="center"/>
    </xf>
    <xf numFmtId="0" fontId="7" fillId="3" borderId="2" xfId="2"/>
    <xf numFmtId="0" fontId="7" fillId="3" borderId="2" xfId="2" applyAlignment="1">
      <alignment vertical="center"/>
    </xf>
    <xf numFmtId="0" fontId="8" fillId="0" borderId="0" xfId="3" applyAlignment="1">
      <alignment horizontal="left" wrapText="1"/>
    </xf>
    <xf numFmtId="2" fontId="0" fillId="0" borderId="0" xfId="0" applyNumberFormat="1" applyFont="1" applyAlignment="1">
      <alignment horizontal="right"/>
    </xf>
    <xf numFmtId="2" fontId="0" fillId="0" borderId="0" xfId="0" applyNumberFormat="1"/>
    <xf numFmtId="2" fontId="0" fillId="0" borderId="0" xfId="0" applyNumberFormat="1" applyFont="1" applyAlignment="1">
      <alignment horizontal="center"/>
    </xf>
    <xf numFmtId="164"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NumberFormat="1"/>
    <xf numFmtId="0" fontId="3" fillId="0" borderId="0" xfId="0" applyFont="1" applyAlignment="1">
      <alignment horizontal="center"/>
    </xf>
    <xf numFmtId="0" fontId="0" fillId="0" borderId="0" xfId="0" applyAlignment="1">
      <alignment horizontal="center"/>
    </xf>
  </cellXfs>
  <cellStyles count="4">
    <cellStyle name="Explanatory Text" xfId="3" builtinId="53"/>
    <cellStyle name="Input" xfId="2" builtinId="20"/>
    <cellStyle name="Normal" xfId="0" builtinId="0"/>
    <cellStyle name="Note" xfId="1" builtinId="10"/>
  </cellStyles>
  <dxfs count="30">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96856-282B-40CF-8DBB-94DCDACCA298}">
  <dimension ref="A1:G125"/>
  <sheetViews>
    <sheetView tabSelected="1" topLeftCell="A5" workbookViewId="0">
      <selection activeCell="C5" sqref="C5"/>
    </sheetView>
  </sheetViews>
  <sheetFormatPr defaultRowHeight="15" x14ac:dyDescent="0.25"/>
  <cols>
    <col min="1" max="1" width="34.7109375" bestFit="1" customWidth="1"/>
    <col min="2" max="2" width="13.5703125" bestFit="1" customWidth="1"/>
    <col min="3" max="3" width="20.7109375" bestFit="1" customWidth="1"/>
    <col min="4" max="4" width="77.85546875" style="18" customWidth="1"/>
    <col min="6" max="6" width="11.42578125" bestFit="1" customWidth="1"/>
    <col min="7" max="7" width="14.140625" bestFit="1" customWidth="1"/>
    <col min="8" max="8" width="14" bestFit="1" customWidth="1"/>
  </cols>
  <sheetData>
    <row r="1" spans="1:4" ht="21" x14ac:dyDescent="0.35">
      <c r="A1" s="29" t="s">
        <v>53</v>
      </c>
      <c r="B1" s="29"/>
      <c r="C1" s="29"/>
    </row>
    <row r="2" spans="1:4" ht="18.75" x14ac:dyDescent="0.25">
      <c r="A2" s="3" t="s">
        <v>1</v>
      </c>
      <c r="B2" s="10" t="s">
        <v>66</v>
      </c>
      <c r="C2" s="10" t="s">
        <v>67</v>
      </c>
      <c r="D2" t="s">
        <v>73</v>
      </c>
    </row>
    <row r="3" spans="1:4" x14ac:dyDescent="0.25">
      <c r="A3" s="9" t="s">
        <v>10</v>
      </c>
      <c r="B3" s="10"/>
      <c r="C3" s="2"/>
    </row>
    <row r="4" spans="1:4" x14ac:dyDescent="0.25">
      <c r="A4" s="16" t="s">
        <v>108</v>
      </c>
      <c r="B4" s="12">
        <v>2000</v>
      </c>
      <c r="C4" s="12">
        <v>2000</v>
      </c>
      <c r="D4" s="18" t="s">
        <v>157</v>
      </c>
    </row>
    <row r="5" spans="1:4" x14ac:dyDescent="0.25">
      <c r="A5" t="s">
        <v>109</v>
      </c>
      <c r="B5">
        <v>580</v>
      </c>
      <c r="C5">
        <v>580</v>
      </c>
      <c r="D5" s="18" t="s">
        <v>136</v>
      </c>
    </row>
    <row r="6" spans="1:4" ht="30" x14ac:dyDescent="0.25">
      <c r="A6" s="16" t="s">
        <v>14</v>
      </c>
      <c r="B6" s="12">
        <v>650</v>
      </c>
      <c r="C6" s="12">
        <v>650</v>
      </c>
      <c r="D6" s="18" t="s">
        <v>205</v>
      </c>
    </row>
    <row r="7" spans="1:4" x14ac:dyDescent="0.25">
      <c r="A7" s="9"/>
      <c r="B7" s="2"/>
      <c r="C7" s="2"/>
    </row>
    <row r="8" spans="1:4" x14ac:dyDescent="0.25">
      <c r="A8" s="9" t="s">
        <v>72</v>
      </c>
      <c r="B8" s="2"/>
      <c r="C8" s="2"/>
    </row>
    <row r="9" spans="1:4" ht="30" x14ac:dyDescent="0.25">
      <c r="A9" s="16" t="s">
        <v>0</v>
      </c>
      <c r="B9">
        <v>2000</v>
      </c>
      <c r="C9">
        <v>2000</v>
      </c>
      <c r="D9" s="18" t="s">
        <v>156</v>
      </c>
    </row>
    <row r="10" spans="1:4" x14ac:dyDescent="0.25">
      <c r="A10" s="16" t="s">
        <v>74</v>
      </c>
      <c r="B10">
        <v>240</v>
      </c>
      <c r="C10">
        <v>317</v>
      </c>
    </row>
    <row r="11" spans="1:4" x14ac:dyDescent="0.25">
      <c r="A11" s="16" t="s">
        <v>75</v>
      </c>
      <c r="B11">
        <v>317</v>
      </c>
      <c r="C11">
        <v>420</v>
      </c>
    </row>
    <row r="12" spans="1:4" ht="30" x14ac:dyDescent="0.25">
      <c r="A12" t="s">
        <v>111</v>
      </c>
      <c r="B12">
        <f>B10/(1000*B9)</f>
        <v>1.2E-4</v>
      </c>
      <c r="C12">
        <f>C10/(1000*C9)</f>
        <v>1.585E-4</v>
      </c>
      <c r="D12" s="18" t="s">
        <v>206</v>
      </c>
    </row>
    <row r="13" spans="1:4" x14ac:dyDescent="0.25">
      <c r="A13" s="16" t="s">
        <v>107</v>
      </c>
      <c r="B13">
        <v>8000</v>
      </c>
      <c r="D13" s="18" t="s">
        <v>158</v>
      </c>
    </row>
    <row r="14" spans="1:4" x14ac:dyDescent="0.25">
      <c r="A14" s="16" t="s">
        <v>153</v>
      </c>
      <c r="B14">
        <v>-4000</v>
      </c>
      <c r="D14" s="18" t="s">
        <v>154</v>
      </c>
    </row>
    <row r="15" spans="1:4" x14ac:dyDescent="0.25">
      <c r="A15" t="s">
        <v>155</v>
      </c>
      <c r="B15">
        <f>'Telescope Design'!J4</f>
        <v>-1413.3333333333335</v>
      </c>
    </row>
    <row r="16" spans="1:4" x14ac:dyDescent="0.25">
      <c r="A16" t="s">
        <v>3</v>
      </c>
      <c r="B16">
        <f>B13/B9</f>
        <v>4</v>
      </c>
    </row>
    <row r="17" spans="1:4" x14ac:dyDescent="0.25">
      <c r="A17" t="s">
        <v>94</v>
      </c>
      <c r="B17">
        <f>ASIN(1/(2*B16))</f>
        <v>0.12532783116806537</v>
      </c>
    </row>
    <row r="18" spans="1:4" x14ac:dyDescent="0.25">
      <c r="A18" t="s">
        <v>207</v>
      </c>
      <c r="B18">
        <v>2.25</v>
      </c>
      <c r="C18">
        <v>2.25</v>
      </c>
    </row>
    <row r="19" spans="1:4" ht="30" x14ac:dyDescent="0.25">
      <c r="A19" t="s">
        <v>112</v>
      </c>
      <c r="B19">
        <f>DEGREES(B36/2*B12)*B18</f>
        <v>0.46409581405596684</v>
      </c>
      <c r="C19">
        <f>DEGREES(C36/2*C12)*C18</f>
        <v>0.46996146948361867</v>
      </c>
      <c r="D19" s="18" t="s">
        <v>204</v>
      </c>
    </row>
    <row r="20" spans="1:4" x14ac:dyDescent="0.25">
      <c r="A20" t="s">
        <v>116</v>
      </c>
      <c r="B20">
        <f>2*B13*TAN(RADIANS(B19))</f>
        <v>129.60283442638672</v>
      </c>
      <c r="C20">
        <f>2*B13*TAN(RADIANS(C19))</f>
        <v>131.24094326440141</v>
      </c>
    </row>
    <row r="21" spans="1:4" x14ac:dyDescent="0.25">
      <c r="A21" t="s">
        <v>131</v>
      </c>
      <c r="B21">
        <f>B20/2</f>
        <v>64.801417213193361</v>
      </c>
      <c r="C21">
        <f>C20/2</f>
        <v>65.620471632200704</v>
      </c>
    </row>
    <row r="22" spans="1:4" x14ac:dyDescent="0.25">
      <c r="A22" t="s">
        <v>110</v>
      </c>
      <c r="B22">
        <f>100*(B5/B9)^2</f>
        <v>8.41</v>
      </c>
    </row>
    <row r="24" spans="1:4" ht="18.75" x14ac:dyDescent="0.25">
      <c r="A24" s="3" t="s">
        <v>78</v>
      </c>
    </row>
    <row r="25" spans="1:4" x14ac:dyDescent="0.25">
      <c r="A25" t="s">
        <v>79</v>
      </c>
      <c r="B25" t="s">
        <v>81</v>
      </c>
    </row>
    <row r="26" spans="1:4" x14ac:dyDescent="0.25">
      <c r="A26" s="16" t="s">
        <v>89</v>
      </c>
      <c r="B26">
        <v>1</v>
      </c>
      <c r="C26">
        <v>1</v>
      </c>
      <c r="D26" s="18" t="s">
        <v>159</v>
      </c>
    </row>
    <row r="27" spans="1:4" x14ac:dyDescent="0.25">
      <c r="A27" t="s">
        <v>27</v>
      </c>
      <c r="B27">
        <f>B26*B20</f>
        <v>129.60283442638672</v>
      </c>
      <c r="C27">
        <f>C26*C20</f>
        <v>131.24094326440141</v>
      </c>
    </row>
    <row r="28" spans="1:4" x14ac:dyDescent="0.25">
      <c r="A28" t="s">
        <v>131</v>
      </c>
      <c r="B28">
        <f>B27/2</f>
        <v>64.801417213193361</v>
      </c>
      <c r="C28">
        <f>C27/2</f>
        <v>65.620471632200704</v>
      </c>
    </row>
    <row r="30" spans="1:4" ht="18.75" x14ac:dyDescent="0.25">
      <c r="A30" s="3" t="s">
        <v>231</v>
      </c>
    </row>
    <row r="31" spans="1:4" x14ac:dyDescent="0.25">
      <c r="A31" t="s">
        <v>232</v>
      </c>
      <c r="B31">
        <v>1</v>
      </c>
    </row>
    <row r="32" spans="1:4" x14ac:dyDescent="0.25">
      <c r="A32" t="s">
        <v>112</v>
      </c>
      <c r="B32">
        <f>5/60*SQRT(2)</f>
        <v>0.11785113019775792</v>
      </c>
    </row>
    <row r="34" spans="1:7" ht="18.75" x14ac:dyDescent="0.25">
      <c r="A34" s="3" t="s">
        <v>68</v>
      </c>
      <c r="B34" s="10" t="s">
        <v>66</v>
      </c>
      <c r="C34" s="10" t="s">
        <v>67</v>
      </c>
      <c r="F34" s="7"/>
      <c r="G34" s="7"/>
    </row>
    <row r="35" spans="1:7" x14ac:dyDescent="0.25">
      <c r="A35" s="9" t="s">
        <v>10</v>
      </c>
    </row>
    <row r="36" spans="1:7" x14ac:dyDescent="0.25">
      <c r="A36" s="17" t="s">
        <v>76</v>
      </c>
      <c r="B36">
        <v>60</v>
      </c>
      <c r="C36">
        <v>46</v>
      </c>
    </row>
    <row r="37" spans="1:7" x14ac:dyDescent="0.25">
      <c r="A37" s="17" t="s">
        <v>77</v>
      </c>
      <c r="B37">
        <v>60</v>
      </c>
      <c r="C37">
        <v>60</v>
      </c>
    </row>
    <row r="38" spans="1:7" x14ac:dyDescent="0.25">
      <c r="A38" s="5" t="s">
        <v>124</v>
      </c>
      <c r="B38">
        <f>B42/B43</f>
        <v>0.8660254037844386</v>
      </c>
      <c r="C38">
        <f>C42/C43</f>
        <v>0.66395280956806957</v>
      </c>
    </row>
    <row r="39" spans="1:7" x14ac:dyDescent="0.25">
      <c r="A39" s="17" t="s">
        <v>69</v>
      </c>
      <c r="B39">
        <v>2.2999999999999998</v>
      </c>
      <c r="C39">
        <v>2.5</v>
      </c>
    </row>
    <row r="40" spans="1:7" x14ac:dyDescent="0.25">
      <c r="A40" s="17" t="s">
        <v>162</v>
      </c>
      <c r="B40">
        <f>SQRT(3)/2</f>
        <v>0.8660254037844386</v>
      </c>
      <c r="C40">
        <f>SQRT(3)/2</f>
        <v>0.8660254037844386</v>
      </c>
    </row>
    <row r="41" spans="1:7" x14ac:dyDescent="0.25">
      <c r="A41" t="s">
        <v>164</v>
      </c>
      <c r="B41">
        <f>B39*B40</f>
        <v>1.9918584287042087</v>
      </c>
      <c r="C41">
        <f>C39*C40</f>
        <v>2.1650635094610964</v>
      </c>
    </row>
    <row r="42" spans="1:7" x14ac:dyDescent="0.25">
      <c r="A42" s="5" t="s">
        <v>70</v>
      </c>
      <c r="B42">
        <f>B39*B36*B40</f>
        <v>119.51150572225252</v>
      </c>
      <c r="C42">
        <f>C39*C36*C40</f>
        <v>99.592921435210442</v>
      </c>
    </row>
    <row r="43" spans="1:7" x14ac:dyDescent="0.25">
      <c r="A43" s="5" t="s">
        <v>71</v>
      </c>
      <c r="B43">
        <f>B39*B37</f>
        <v>138</v>
      </c>
      <c r="C43">
        <f>C39*C37</f>
        <v>150</v>
      </c>
      <c r="E43" s="7"/>
    </row>
    <row r="44" spans="1:7" x14ac:dyDescent="0.25">
      <c r="A44" s="8" t="s">
        <v>72</v>
      </c>
      <c r="E44" s="7"/>
    </row>
    <row r="45" spans="1:7" x14ac:dyDescent="0.25">
      <c r="A45" t="s">
        <v>74</v>
      </c>
      <c r="B45">
        <f>B10</f>
        <v>240</v>
      </c>
      <c r="C45">
        <f>C10</f>
        <v>317</v>
      </c>
      <c r="E45" s="7"/>
    </row>
    <row r="46" spans="1:7" x14ac:dyDescent="0.25">
      <c r="A46" t="s">
        <v>75</v>
      </c>
      <c r="B46">
        <f>B11</f>
        <v>317</v>
      </c>
      <c r="C46">
        <f>C11</f>
        <v>420</v>
      </c>
      <c r="E46" s="7"/>
    </row>
    <row r="47" spans="1:7" x14ac:dyDescent="0.25">
      <c r="A47" s="5" t="s">
        <v>64</v>
      </c>
      <c r="B47">
        <f>AVERAGE(B45:B46)</f>
        <v>278.5</v>
      </c>
      <c r="C47">
        <f>AVERAGE(C45:C46)</f>
        <v>368.5</v>
      </c>
      <c r="E47" s="7"/>
    </row>
    <row r="48" spans="1:7" x14ac:dyDescent="0.25">
      <c r="A48" s="5" t="s">
        <v>106</v>
      </c>
      <c r="B48">
        <f>B46-B45</f>
        <v>77</v>
      </c>
      <c r="C48">
        <f>C46-C45</f>
        <v>103</v>
      </c>
      <c r="E48" s="7"/>
    </row>
    <row r="49" spans="1:5" x14ac:dyDescent="0.25">
      <c r="A49" s="5" t="s">
        <v>79</v>
      </c>
      <c r="B49" t="s">
        <v>80</v>
      </c>
      <c r="C49" t="s">
        <v>80</v>
      </c>
      <c r="E49" s="7"/>
    </row>
    <row r="50" spans="1:5" x14ac:dyDescent="0.25">
      <c r="A50" s="17" t="s">
        <v>87</v>
      </c>
      <c r="B50">
        <v>-1</v>
      </c>
      <c r="C50">
        <v>-1</v>
      </c>
      <c r="E50" s="7"/>
    </row>
    <row r="51" spans="1:5" ht="30" x14ac:dyDescent="0.25">
      <c r="A51" t="s">
        <v>83</v>
      </c>
      <c r="B51">
        <f>ABS(B50)*B59*1000*B56</f>
        <v>347.22921081052687</v>
      </c>
      <c r="C51">
        <f>ABS(C50)*C59*1000*C56</f>
        <v>349.80265109925188</v>
      </c>
      <c r="D51" s="18" t="s">
        <v>199</v>
      </c>
    </row>
    <row r="52" spans="1:5" ht="45" x14ac:dyDescent="0.25">
      <c r="A52" s="5" t="s">
        <v>113</v>
      </c>
      <c r="B52">
        <f>B45/B51</f>
        <v>0.69118608840476037</v>
      </c>
      <c r="C52">
        <f>C45/C51</f>
        <v>0.90622526445648766</v>
      </c>
      <c r="D52" s="18" t="s">
        <v>115</v>
      </c>
    </row>
    <row r="53" spans="1:5" x14ac:dyDescent="0.25">
      <c r="A53" s="15" t="s">
        <v>118</v>
      </c>
    </row>
    <row r="54" spans="1:5" x14ac:dyDescent="0.25">
      <c r="A54" s="17" t="s">
        <v>126</v>
      </c>
      <c r="B54">
        <v>1</v>
      </c>
      <c r="C54">
        <v>1</v>
      </c>
    </row>
    <row r="55" spans="1:5" x14ac:dyDescent="0.25">
      <c r="A55" s="17" t="s">
        <v>127</v>
      </c>
      <c r="B55">
        <v>-1</v>
      </c>
      <c r="C55">
        <v>-1</v>
      </c>
    </row>
    <row r="56" spans="1:5" x14ac:dyDescent="0.25">
      <c r="A56" s="17" t="s">
        <v>119</v>
      </c>
      <c r="B56">
        <v>2.99E-3</v>
      </c>
      <c r="C56">
        <v>2.2729999999999998E-3</v>
      </c>
      <c r="D56" s="18" t="s">
        <v>138</v>
      </c>
    </row>
    <row r="57" spans="1:5" ht="30" x14ac:dyDescent="0.25">
      <c r="A57" s="17" t="s">
        <v>198</v>
      </c>
      <c r="B57">
        <v>115</v>
      </c>
      <c r="C57">
        <v>152</v>
      </c>
      <c r="D57" s="18" t="s">
        <v>139</v>
      </c>
    </row>
    <row r="58" spans="1:5" x14ac:dyDescent="0.25">
      <c r="A58" s="17" t="s">
        <v>117</v>
      </c>
      <c r="B58">
        <v>8</v>
      </c>
      <c r="C58">
        <v>9</v>
      </c>
      <c r="D58" s="18" t="s">
        <v>138</v>
      </c>
    </row>
    <row r="59" spans="1:5" x14ac:dyDescent="0.25">
      <c r="A59" t="s">
        <v>200</v>
      </c>
      <c r="B59" s="27">
        <f>B57/COS(RADIANS(B58))</f>
        <v>116.13017083964108</v>
      </c>
      <c r="C59" s="27">
        <f>C57/COS(RADIANS(C58))</f>
        <v>153.89469911977645</v>
      </c>
    </row>
    <row r="60" spans="1:5" x14ac:dyDescent="0.25">
      <c r="A60" s="5" t="s">
        <v>120</v>
      </c>
      <c r="B60" s="27">
        <f>DEGREES(ASIN((B$50*B$45*B$56 + B$54*SIN(RADIANS(B$58)))/B$55))</f>
        <v>35.339974995111646</v>
      </c>
      <c r="C60" s="27">
        <f>DEGREES(ASIN((C50*C45*C56 + C54*SIN(RADIANS(C58)))/C55))</f>
        <v>34.340270482554416</v>
      </c>
      <c r="D60" s="18" t="s">
        <v>166</v>
      </c>
    </row>
    <row r="61" spans="1:5" x14ac:dyDescent="0.25">
      <c r="A61" s="5" t="s">
        <v>120</v>
      </c>
      <c r="B61" s="27">
        <f>DEGREES(ASIN((B$50*B$46*B$56 + B$54*SIN(RADIANS(B$58)))/B$55))</f>
        <v>53.964913626392374</v>
      </c>
      <c r="C61" s="27">
        <f>DEGREES(ASIN((C$50*C$46*C$56 + C$54*SIN(RADIANS(C$58)))/C$55))</f>
        <v>52.960985959097115</v>
      </c>
      <c r="D61" s="18" t="s">
        <v>167</v>
      </c>
    </row>
    <row r="62" spans="1:5" x14ac:dyDescent="0.25">
      <c r="A62" s="5" t="s">
        <v>90</v>
      </c>
      <c r="B62" s="27">
        <f>B57/(2*TAN(ASIN(1/(2*$B16))))</f>
        <v>456.39210115864194</v>
      </c>
      <c r="C62" s="27">
        <f>C57/(2*TAN(ASIN(1/(2*$B16))))</f>
        <v>603.23129892272675</v>
      </c>
    </row>
    <row r="63" spans="1:5" x14ac:dyDescent="0.25">
      <c r="A63" s="5" t="s">
        <v>128</v>
      </c>
      <c r="B63" s="27">
        <f>2*B62</f>
        <v>912.78420231728387</v>
      </c>
      <c r="C63" s="27">
        <f>2*C62</f>
        <v>1206.4625978454535</v>
      </c>
    </row>
    <row r="64" spans="1:5" x14ac:dyDescent="0.25">
      <c r="A64" s="5" t="s">
        <v>121</v>
      </c>
      <c r="B64" s="27">
        <f>DEGREES(ASIN((B50*B46*B56+B54*SIN(RADIANS(B58)))/B55) - ASIN((B50*B45*B56+B54*SIN(RADIANS(B58)))/B55))</f>
        <v>18.624938631280724</v>
      </c>
      <c r="C64" s="27">
        <f>DEGREES(ASIN((C50*C46*C56+C54*SIN(RADIANS(C58)))/C55) - ASIN((C50*C45*C56+C54*SIN(RADIANS(C58)))/C55))</f>
        <v>18.620715476542696</v>
      </c>
      <c r="D64" s="18" t="s">
        <v>137</v>
      </c>
    </row>
    <row r="65" spans="1:4" x14ac:dyDescent="0.25">
      <c r="A65" s="5" t="s">
        <v>122</v>
      </c>
      <c r="B65" s="27">
        <f>2*DEGREES(ATAN($B$28/B62))</f>
        <v>16.162395280139727</v>
      </c>
      <c r="C65" s="27">
        <f>2*DEGREES(ATAN($C$28/C62))</f>
        <v>12.416630687810692</v>
      </c>
    </row>
    <row r="66" spans="1:4" ht="30" x14ac:dyDescent="0.25">
      <c r="A66" s="5" t="s">
        <v>123</v>
      </c>
      <c r="B66" s="27">
        <f>B65/B64</f>
        <v>0.86778247166918787</v>
      </c>
      <c r="C66" s="27">
        <f>C65/C64</f>
        <v>0.66681813077765173</v>
      </c>
      <c r="D66" s="18" t="s">
        <v>140</v>
      </c>
    </row>
    <row r="67" spans="1:4" x14ac:dyDescent="0.25">
      <c r="A67" s="5" t="s">
        <v>114</v>
      </c>
      <c r="B67" s="27">
        <f>B43/(2*TAN(RADIANS(B64/2)))</f>
        <v>420.78365183067052</v>
      </c>
      <c r="C67" s="27">
        <f>C43/(2*TAN(RADIANS(C64/2)))</f>
        <v>457.47911576035671</v>
      </c>
      <c r="D67" s="18" t="s">
        <v>125</v>
      </c>
    </row>
    <row r="68" spans="1:4" x14ac:dyDescent="0.25">
      <c r="A68" s="5" t="s">
        <v>129</v>
      </c>
      <c r="B68" s="27">
        <f>2*B67</f>
        <v>841.56730366134104</v>
      </c>
      <c r="C68" s="27">
        <f>2*C67</f>
        <v>914.95823152071341</v>
      </c>
    </row>
    <row r="69" spans="1:4" ht="45" x14ac:dyDescent="0.25">
      <c r="A69" s="14" t="s">
        <v>130</v>
      </c>
      <c r="B69" s="27">
        <f>2*B67*TAN(RADIANS(B65/2))</f>
        <v>119.49101182753482</v>
      </c>
      <c r="C69" s="27">
        <f>2*C67*TAN(RADIANS(C65/2))</f>
        <v>99.530629102593295</v>
      </c>
      <c r="D69" s="18" t="s">
        <v>163</v>
      </c>
    </row>
    <row r="70" spans="1:4" x14ac:dyDescent="0.25">
      <c r="A70" s="5" t="s">
        <v>202</v>
      </c>
      <c r="B70" s="27">
        <f>B$67/(B$59*COS(RADIANS(B60)))</f>
        <v>4.4418624994883098</v>
      </c>
      <c r="C70" s="27">
        <f>C$67/(C$59*COS(RADIANS(C60)))</f>
        <v>3.6001804382732696</v>
      </c>
    </row>
    <row r="71" spans="1:4" x14ac:dyDescent="0.25">
      <c r="A71" s="5" t="s">
        <v>201</v>
      </c>
      <c r="B71" s="27">
        <f>B$67/(B$59*COS(RADIANS(B61)))</f>
        <v>6.1592707432699934</v>
      </c>
      <c r="C71" s="27">
        <f>C$67/(C$59*COS(RADIANS(C61)))</f>
        <v>4.9350599148916041</v>
      </c>
    </row>
    <row r="72" spans="1:4" x14ac:dyDescent="0.25">
      <c r="A72" s="5" t="s">
        <v>133</v>
      </c>
      <c r="B72" s="27">
        <f>B67/B57</f>
        <v>3.6589882767884392</v>
      </c>
      <c r="C72" s="27">
        <f>C67/C57</f>
        <v>3.0097310247391889</v>
      </c>
    </row>
    <row r="73" spans="1:4" x14ac:dyDescent="0.25">
      <c r="A73" s="5" t="s">
        <v>91</v>
      </c>
      <c r="B73" s="27">
        <f>1.5*B72*B46/1000</f>
        <v>1.7398489256129031</v>
      </c>
      <c r="C73" s="27">
        <f>1.5*C72*C46/1000</f>
        <v>1.8961305455856889</v>
      </c>
    </row>
    <row r="74" spans="1:4" ht="30" x14ac:dyDescent="0.25">
      <c r="A74" s="5" t="s">
        <v>134</v>
      </c>
      <c r="B74" s="27">
        <f>B70*B45/1000</f>
        <v>1.0660469998771944</v>
      </c>
      <c r="C74" s="27">
        <f>C70*C45/1000</f>
        <v>1.1412571989326266</v>
      </c>
      <c r="D74" s="18" t="s">
        <v>168</v>
      </c>
    </row>
    <row r="75" spans="1:4" x14ac:dyDescent="0.25">
      <c r="A75" s="5" t="s">
        <v>134</v>
      </c>
      <c r="B75" s="27">
        <f>B71*B46/1000</f>
        <v>1.952488825616588</v>
      </c>
      <c r="C75" s="27">
        <f>C71*C46/1000</f>
        <v>2.0727251642544737</v>
      </c>
      <c r="D75" s="18" t="s">
        <v>169</v>
      </c>
    </row>
    <row r="76" spans="1:4" x14ac:dyDescent="0.25">
      <c r="A76" s="5" t="s">
        <v>165</v>
      </c>
      <c r="B76" s="27">
        <f>B$39/B74</f>
        <v>2.1575033748652293</v>
      </c>
      <c r="C76" s="27">
        <f>C$39/C74</f>
        <v>2.1905666858777781</v>
      </c>
      <c r="D76" s="18" t="s">
        <v>166</v>
      </c>
    </row>
    <row r="77" spans="1:4" x14ac:dyDescent="0.25">
      <c r="A77" s="5" t="s">
        <v>165</v>
      </c>
      <c r="B77" s="27">
        <f>B$39/B75</f>
        <v>1.17798369436182</v>
      </c>
      <c r="C77" s="27">
        <f>C$39/C75</f>
        <v>1.2061415778194646</v>
      </c>
      <c r="D77" s="18" t="s">
        <v>167</v>
      </c>
    </row>
    <row r="78" spans="1:4" ht="30" x14ac:dyDescent="0.25">
      <c r="A78" s="5" t="s">
        <v>135</v>
      </c>
      <c r="B78" s="27">
        <f>B72*B45/1000</f>
        <v>0.87815718642922536</v>
      </c>
      <c r="C78" s="27">
        <f>C72*C45/1000</f>
        <v>0.95408473484232281</v>
      </c>
      <c r="D78" s="18" t="s">
        <v>170</v>
      </c>
    </row>
    <row r="79" spans="1:4" x14ac:dyDescent="0.25">
      <c r="A79" s="5" t="s">
        <v>135</v>
      </c>
      <c r="B79" s="27">
        <f>B72*B46/1000</f>
        <v>1.1598992837419353</v>
      </c>
      <c r="C79" s="27">
        <f>C72*C46/1000</f>
        <v>1.2640870303904594</v>
      </c>
      <c r="D79" s="18" t="s">
        <v>169</v>
      </c>
    </row>
    <row r="80" spans="1:4" x14ac:dyDescent="0.25">
      <c r="A80" s="5" t="s">
        <v>171</v>
      </c>
      <c r="B80" s="27">
        <f>B$41/B78</f>
        <v>2.2682253923167566</v>
      </c>
      <c r="C80" s="27">
        <f>C$41/C78</f>
        <v>2.2692570485564958</v>
      </c>
      <c r="D80" s="18" t="s">
        <v>166</v>
      </c>
    </row>
    <row r="81" spans="1:4" x14ac:dyDescent="0.25">
      <c r="A81" s="5" t="s">
        <v>171</v>
      </c>
      <c r="B81" s="27">
        <f>B$41/B79</f>
        <v>1.7172684358234116</v>
      </c>
      <c r="C81" s="27">
        <f>C$41/C79</f>
        <v>1.7127487723628787</v>
      </c>
      <c r="D81" s="18" t="s">
        <v>167</v>
      </c>
    </row>
    <row r="82" spans="1:4" x14ac:dyDescent="0.25">
      <c r="A82" s="5"/>
    </row>
    <row r="83" spans="1:4" x14ac:dyDescent="0.25">
      <c r="A83" s="8" t="s">
        <v>208</v>
      </c>
    </row>
    <row r="84" spans="1:4" x14ac:dyDescent="0.25">
      <c r="A84" s="5" t="s">
        <v>209</v>
      </c>
      <c r="B84">
        <v>240</v>
      </c>
      <c r="C84">
        <v>317</v>
      </c>
    </row>
    <row r="85" spans="1:4" x14ac:dyDescent="0.25">
      <c r="A85" s="5" t="s">
        <v>210</v>
      </c>
      <c r="B85">
        <f>B84+19.25</f>
        <v>259.25</v>
      </c>
      <c r="C85">
        <f>C84+25.75</f>
        <v>342.75</v>
      </c>
    </row>
    <row r="86" spans="1:4" x14ac:dyDescent="0.25">
      <c r="A86" s="5" t="s">
        <v>211</v>
      </c>
      <c r="B86">
        <f t="shared" ref="B86:B88" si="0">B85+19.25</f>
        <v>278.5</v>
      </c>
      <c r="C86">
        <f t="shared" ref="C86:C88" si="1">C85+25.75</f>
        <v>368.5</v>
      </c>
    </row>
    <row r="87" spans="1:4" x14ac:dyDescent="0.25">
      <c r="A87" s="5" t="s">
        <v>212</v>
      </c>
      <c r="B87">
        <f t="shared" si="0"/>
        <v>297.75</v>
      </c>
      <c r="C87">
        <f t="shared" si="1"/>
        <v>394.25</v>
      </c>
    </row>
    <row r="88" spans="1:4" x14ac:dyDescent="0.25">
      <c r="A88" s="5" t="s">
        <v>213</v>
      </c>
      <c r="B88">
        <f t="shared" si="0"/>
        <v>317</v>
      </c>
      <c r="C88">
        <f t="shared" si="1"/>
        <v>420</v>
      </c>
    </row>
    <row r="89" spans="1:4" x14ac:dyDescent="0.25">
      <c r="A89" s="5" t="s">
        <v>214</v>
      </c>
      <c r="B89">
        <v>3.2500000000000001E-2</v>
      </c>
      <c r="C89">
        <v>-3.2500000000000001E-2</v>
      </c>
    </row>
    <row r="90" spans="1:4" x14ac:dyDescent="0.25">
      <c r="A90" s="5" t="s">
        <v>215</v>
      </c>
      <c r="B90">
        <v>0</v>
      </c>
      <c r="C90">
        <v>0</v>
      </c>
    </row>
    <row r="91" spans="1:4" x14ac:dyDescent="0.25">
      <c r="A91" s="5" t="s">
        <v>216</v>
      </c>
      <c r="B91">
        <v>0.23200000000000001</v>
      </c>
      <c r="C91">
        <v>0.23499999999999999</v>
      </c>
    </row>
    <row r="92" spans="1:4" x14ac:dyDescent="0.25">
      <c r="A92" s="5" t="s">
        <v>217</v>
      </c>
      <c r="B92">
        <f>B91*2</f>
        <v>0.46400000000000002</v>
      </c>
      <c r="C92">
        <f>C91*2</f>
        <v>0.47</v>
      </c>
    </row>
    <row r="93" spans="1:4" x14ac:dyDescent="0.25">
      <c r="A93" s="5" t="s">
        <v>218</v>
      </c>
      <c r="B93">
        <f>B91*-1</f>
        <v>-0.23200000000000001</v>
      </c>
      <c r="C93">
        <f>C91*-1</f>
        <v>-0.23499999999999999</v>
      </c>
    </row>
    <row r="94" spans="1:4" x14ac:dyDescent="0.25">
      <c r="A94" s="5" t="s">
        <v>219</v>
      </c>
      <c r="B94">
        <f>B91*-2</f>
        <v>-0.46400000000000002</v>
      </c>
      <c r="C94">
        <f>C91*-2</f>
        <v>-0.47</v>
      </c>
    </row>
    <row r="96" spans="1:4" x14ac:dyDescent="0.25">
      <c r="A96" s="5" t="s">
        <v>225</v>
      </c>
      <c r="B96">
        <f>ASIN((B$50*B86*B$56+B$54*SIN(RADIANS(B$58)))/B$55)</f>
        <v>0.76639395374515906</v>
      </c>
      <c r="C96">
        <f>ASIN((C$50*C86*C$56+C$54*SIN(RADIANS(C$58)))/C$55)</f>
        <v>0.74935412039166005</v>
      </c>
    </row>
    <row r="97" spans="1:3" x14ac:dyDescent="0.25">
      <c r="A97" s="5" t="s">
        <v>220</v>
      </c>
      <c r="B97">
        <f>B$67 * TAN(ASIN((B$50*B84*B$56 + B$54*SIN(RADIANS(B$58)))/B$55) - B$96)</f>
        <v>-63.420943595754522</v>
      </c>
      <c r="C97">
        <f>C$67 * TAN(ASIN((C$50*C84*C$56 + C$54*SIN(RADIANS(C$58)))/C$55) - C$96)</f>
        <v>-69.142766201458457</v>
      </c>
    </row>
    <row r="98" spans="1:3" x14ac:dyDescent="0.25">
      <c r="A98" s="5" t="s">
        <v>221</v>
      </c>
      <c r="B98">
        <f t="shared" ref="B98:B101" si="2">B$67 * TAN(ASIN((B$50*B85*B$56 + B$54*SIN(RADIANS(B$58)))/B$55) - B$96)</f>
        <v>-32.511293583485532</v>
      </c>
      <c r="C98">
        <f t="shared" ref="C98:C101" si="3">C$67 * TAN(ASIN((C$50*C85*C$56 + C$54*SIN(RADIANS(C$58)))/C$55) - C$96)</f>
        <v>-35.40930583094336</v>
      </c>
    </row>
    <row r="99" spans="1:3" x14ac:dyDescent="0.25">
      <c r="A99" s="5" t="s">
        <v>222</v>
      </c>
      <c r="B99">
        <f t="shared" si="2"/>
        <v>0</v>
      </c>
      <c r="C99">
        <f t="shared" si="3"/>
        <v>0</v>
      </c>
    </row>
    <row r="100" spans="1:3" x14ac:dyDescent="0.25">
      <c r="A100" s="5" t="s">
        <v>223</v>
      </c>
      <c r="B100">
        <f t="shared" si="2"/>
        <v>35.146063281169006</v>
      </c>
      <c r="C100">
        <f t="shared" si="3"/>
        <v>38.179840778570941</v>
      </c>
    </row>
    <row r="101" spans="1:3" x14ac:dyDescent="0.25">
      <c r="A101" s="5" t="s">
        <v>224</v>
      </c>
      <c r="B101">
        <f t="shared" si="2"/>
        <v>74.602781180701911</v>
      </c>
      <c r="C101">
        <f t="shared" si="3"/>
        <v>80.881277122658034</v>
      </c>
    </row>
    <row r="103" spans="1:3" x14ac:dyDescent="0.25">
      <c r="A103" s="5" t="s">
        <v>226</v>
      </c>
      <c r="B103" s="28">
        <f>B$67 * TAN(B90*$B$13/B$62)</f>
        <v>0</v>
      </c>
      <c r="C103" s="28">
        <f>C$67 * TAN(C90*$B$13/C$62)</f>
        <v>0</v>
      </c>
    </row>
    <row r="104" spans="1:3" x14ac:dyDescent="0.25">
      <c r="A104" s="5" t="s">
        <v>227</v>
      </c>
      <c r="B104" s="28">
        <f t="shared" ref="B104:C107" si="4">B$67 * TAN(RADIANS(B91*$B$13/B$62))</f>
        <v>29.916185830804324</v>
      </c>
      <c r="C104" s="28">
        <f t="shared" si="4"/>
        <v>24.908709991071401</v>
      </c>
    </row>
    <row r="105" spans="1:3" x14ac:dyDescent="0.25">
      <c r="A105" s="5" t="s">
        <v>228</v>
      </c>
      <c r="B105" s="28">
        <f t="shared" si="4"/>
        <v>60.136342371383464</v>
      </c>
      <c r="C105" s="28">
        <f t="shared" si="4"/>
        <v>49.965545731922802</v>
      </c>
    </row>
    <row r="106" spans="1:3" x14ac:dyDescent="0.25">
      <c r="A106" s="5" t="s">
        <v>229</v>
      </c>
      <c r="B106" s="28">
        <f t="shared" si="4"/>
        <v>-29.916185830804324</v>
      </c>
      <c r="C106" s="28">
        <f t="shared" si="4"/>
        <v>-24.908709991071401</v>
      </c>
    </row>
    <row r="107" spans="1:3" x14ac:dyDescent="0.25">
      <c r="A107" s="5" t="s">
        <v>230</v>
      </c>
      <c r="B107" s="28">
        <f t="shared" si="4"/>
        <v>-60.136342371383464</v>
      </c>
      <c r="C107" s="28">
        <f t="shared" si="4"/>
        <v>-49.965545731922802</v>
      </c>
    </row>
    <row r="109" spans="1:3" x14ac:dyDescent="0.25">
      <c r="A109" s="5"/>
    </row>
    <row r="110" spans="1:3" x14ac:dyDescent="0.25">
      <c r="A110" s="5"/>
    </row>
    <row r="111" spans="1:3" x14ac:dyDescent="0.25">
      <c r="A111" s="5"/>
    </row>
    <row r="112" spans="1:3" x14ac:dyDescent="0.25">
      <c r="A112" s="5"/>
    </row>
    <row r="113" spans="1:1" x14ac:dyDescent="0.25">
      <c r="A113" s="5"/>
    </row>
    <row r="115" spans="1:1" x14ac:dyDescent="0.25">
      <c r="A115" s="5"/>
    </row>
    <row r="116" spans="1:1" x14ac:dyDescent="0.25">
      <c r="A116" s="5"/>
    </row>
    <row r="117" spans="1:1" x14ac:dyDescent="0.25">
      <c r="A117" s="5"/>
    </row>
    <row r="118" spans="1:1" x14ac:dyDescent="0.25">
      <c r="A118" s="5"/>
    </row>
    <row r="119" spans="1:1" x14ac:dyDescent="0.25">
      <c r="A119" s="5"/>
    </row>
    <row r="121" spans="1:1" x14ac:dyDescent="0.25">
      <c r="A121" s="5"/>
    </row>
    <row r="122" spans="1:1" x14ac:dyDescent="0.25">
      <c r="A122" s="5"/>
    </row>
    <row r="123" spans="1:1" x14ac:dyDescent="0.25">
      <c r="A123" s="5"/>
    </row>
    <row r="124" spans="1:1" x14ac:dyDescent="0.25">
      <c r="A124" s="5"/>
    </row>
    <row r="125" spans="1:1" x14ac:dyDescent="0.25">
      <c r="A125" s="5"/>
    </row>
  </sheetData>
  <mergeCells count="1">
    <mergeCell ref="A1:C1"/>
  </mergeCells>
  <phoneticPr fontId="9" type="noConversion"/>
  <conditionalFormatting sqref="B66:C66">
    <cfRule type="cellIs" dxfId="29" priority="6" operator="notBetween">
      <formula>$B$38-0.01*$B$38</formula>
      <formula>$B$38+0.01*$B$38</formula>
    </cfRule>
    <cfRule type="cellIs" dxfId="28" priority="7" operator="between">
      <formula>$B$38-0.01*$B$38</formula>
      <formula>$B$38+0.01*$B$38</formula>
    </cfRule>
  </conditionalFormatting>
  <conditionalFormatting sqref="B9">
    <cfRule type="cellIs" dxfId="27" priority="5" operator="greaterThan">
      <formula>$B$4</formula>
    </cfRule>
  </conditionalFormatting>
  <conditionalFormatting sqref="B69">
    <cfRule type="cellIs" dxfId="26" priority="3" operator="greaterThan">
      <formula>$B$42</formula>
    </cfRule>
    <cfRule type="cellIs" dxfId="25" priority="4" operator="lessThan">
      <formula>$B$42</formula>
    </cfRule>
  </conditionalFormatting>
  <conditionalFormatting sqref="C69">
    <cfRule type="cellIs" dxfId="24" priority="1" operator="lessThan">
      <formula>$C$42</formula>
    </cfRule>
    <cfRule type="cellIs" dxfId="23" priority="2" operator="greaterThan">
      <formula>$C$42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67033-BADF-4D73-A126-394CBE3D01CB}">
  <dimension ref="A2:M9"/>
  <sheetViews>
    <sheetView workbookViewId="0">
      <selection activeCell="J4" sqref="J4"/>
    </sheetView>
  </sheetViews>
  <sheetFormatPr defaultRowHeight="15" x14ac:dyDescent="0.25"/>
  <cols>
    <col min="1" max="1" width="10.140625" customWidth="1"/>
    <col min="2" max="2" width="14.42578125" bestFit="1" customWidth="1"/>
    <col min="3" max="3" width="15.28515625" bestFit="1" customWidth="1"/>
    <col min="4" max="4" width="17.28515625" customWidth="1"/>
    <col min="5" max="5" width="19.7109375" bestFit="1" customWidth="1"/>
    <col min="6" max="6" width="20" bestFit="1" customWidth="1"/>
    <col min="11" max="11" width="18" customWidth="1"/>
  </cols>
  <sheetData>
    <row r="2" spans="1:13" x14ac:dyDescent="0.25">
      <c r="A2" s="9" t="s">
        <v>141</v>
      </c>
      <c r="B2" s="9"/>
    </row>
    <row r="3" spans="1:13" x14ac:dyDescent="0.25">
      <c r="A3" t="s">
        <v>26</v>
      </c>
      <c r="B3" t="s">
        <v>142</v>
      </c>
      <c r="C3" t="s">
        <v>143</v>
      </c>
      <c r="D3" t="s">
        <v>144</v>
      </c>
      <c r="E3" t="s">
        <v>160</v>
      </c>
      <c r="F3" t="s">
        <v>161</v>
      </c>
      <c r="G3" t="s">
        <v>145</v>
      </c>
      <c r="H3" t="s">
        <v>146</v>
      </c>
      <c r="I3" t="s">
        <v>147</v>
      </c>
      <c r="J3" t="s">
        <v>148</v>
      </c>
      <c r="K3" t="s">
        <v>149</v>
      </c>
      <c r="L3" t="s">
        <v>3</v>
      </c>
      <c r="M3" t="s">
        <v>152</v>
      </c>
    </row>
    <row r="4" spans="1:13" x14ac:dyDescent="0.25">
      <c r="A4">
        <f>'Spectrometer Design'!B13</f>
        <v>8000</v>
      </c>
      <c r="B4">
        <f>D4/('Spectrometer Design'!B9/2)</f>
        <v>0.26500000000000001</v>
      </c>
      <c r="C4">
        <f>'Spectrometer Design'!B9/2/A4</f>
        <v>0.125</v>
      </c>
      <c r="D4">
        <f t="shared" ref="D4:D5" si="0">C4*E4</f>
        <v>265</v>
      </c>
      <c r="E4">
        <f t="shared" ref="E4" si="1">F4+K4</f>
        <v>2120</v>
      </c>
      <c r="F4">
        <f t="shared" ref="F4" si="2">(K4-A4)/(2*A4*G4-1)</f>
        <v>1470</v>
      </c>
      <c r="G4">
        <f t="shared" ref="G4:G5" si="3">1/H4</f>
        <v>-2.5000000000000001E-4</v>
      </c>
      <c r="H4">
        <f>'Spectrometer Design'!B14</f>
        <v>-4000</v>
      </c>
      <c r="I4">
        <f t="shared" ref="I4:I5" si="4">(E4+F4-A4)/(2*F4*E4)</f>
        <v>-7.0754716981132071E-4</v>
      </c>
      <c r="J4">
        <f t="shared" ref="J4:J5" si="5">1/I4</f>
        <v>-1413.3333333333335</v>
      </c>
      <c r="K4">
        <f>'Spectrometer Design'!B6</f>
        <v>650</v>
      </c>
      <c r="L4">
        <f>A4/'Spectrometer Design'!B9</f>
        <v>4</v>
      </c>
      <c r="M4" t="s">
        <v>150</v>
      </c>
    </row>
    <row r="5" spans="1:13" x14ac:dyDescent="0.25">
      <c r="A5">
        <v>9698.82</v>
      </c>
      <c r="B5">
        <f>D5/('F Lambda Specs'!$B$9/2)</f>
        <v>0.23043636247728935</v>
      </c>
      <c r="C5">
        <f>'F Lambda Specs'!$B$9/2/A5</f>
        <v>0.10310532621494162</v>
      </c>
      <c r="D5">
        <f t="shared" si="0"/>
        <v>230.43636247728935</v>
      </c>
      <c r="E5">
        <f>F5+K5</f>
        <v>2234.9608011219834</v>
      </c>
      <c r="F5">
        <f>(K5-A5)/(2*A5*G5-1)</f>
        <v>1589.9608011219836</v>
      </c>
      <c r="G5">
        <f t="shared" si="3"/>
        <v>-2.4200711016889679E-4</v>
      </c>
      <c r="H5">
        <v>-4132.1099999999997</v>
      </c>
      <c r="I5">
        <f t="shared" si="4"/>
        <v>-8.2649476416811712E-4</v>
      </c>
      <c r="J5">
        <f t="shared" si="5"/>
        <v>-1209.9290199454792</v>
      </c>
      <c r="K5">
        <v>645</v>
      </c>
      <c r="L5">
        <f>A5/'F Lambda Specs'!$B$9</f>
        <v>4.8494099999999998</v>
      </c>
      <c r="M5" t="s">
        <v>151</v>
      </c>
    </row>
    <row r="9" spans="1:13" x14ac:dyDescent="0.25">
      <c r="A9"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231C3-1175-4161-9ABE-FC68B61A5FA7}">
  <dimension ref="A1:G109"/>
  <sheetViews>
    <sheetView workbookViewId="0">
      <selection activeCell="D13" sqref="D13"/>
    </sheetView>
  </sheetViews>
  <sheetFormatPr defaultRowHeight="15" x14ac:dyDescent="0.25"/>
  <cols>
    <col min="1" max="1" width="34.7109375" bestFit="1" customWidth="1"/>
    <col min="2" max="2" width="13.5703125" bestFit="1" customWidth="1"/>
    <col min="3" max="3" width="13.7109375" bestFit="1" customWidth="1"/>
    <col min="4" max="4" width="77.85546875" style="18" customWidth="1"/>
    <col min="6" max="6" width="11.42578125" bestFit="1" customWidth="1"/>
    <col min="7" max="7" width="14.140625" bestFit="1" customWidth="1"/>
    <col min="8" max="8" width="14" bestFit="1" customWidth="1"/>
  </cols>
  <sheetData>
    <row r="1" spans="1:4" ht="21" x14ac:dyDescent="0.35">
      <c r="A1" s="29" t="s">
        <v>53</v>
      </c>
      <c r="B1" s="29"/>
      <c r="C1" s="29"/>
    </row>
    <row r="2" spans="1:4" ht="18.75" x14ac:dyDescent="0.25">
      <c r="A2" s="3" t="s">
        <v>1</v>
      </c>
      <c r="B2" s="10"/>
      <c r="C2" s="2"/>
      <c r="D2" t="s">
        <v>73</v>
      </c>
    </row>
    <row r="3" spans="1:4" x14ac:dyDescent="0.25">
      <c r="A3" s="9" t="s">
        <v>10</v>
      </c>
      <c r="B3" s="10"/>
      <c r="C3" s="2"/>
    </row>
    <row r="4" spans="1:4" x14ac:dyDescent="0.25">
      <c r="A4" s="16" t="s">
        <v>108</v>
      </c>
      <c r="B4" s="19">
        <v>2000</v>
      </c>
      <c r="C4" s="2"/>
      <c r="D4" s="18" t="s">
        <v>157</v>
      </c>
    </row>
    <row r="5" spans="1:4" x14ac:dyDescent="0.25">
      <c r="A5" t="s">
        <v>109</v>
      </c>
      <c r="B5" s="20">
        <f>2*'Telescope Design'!D4</f>
        <v>530</v>
      </c>
      <c r="C5" s="2"/>
      <c r="D5" s="18" t="s">
        <v>136</v>
      </c>
    </row>
    <row r="6" spans="1:4" ht="30" x14ac:dyDescent="0.25">
      <c r="A6" s="16" t="s">
        <v>14</v>
      </c>
      <c r="B6" s="19">
        <v>650</v>
      </c>
      <c r="C6" s="2"/>
      <c r="D6" s="18" t="s">
        <v>82</v>
      </c>
    </row>
    <row r="7" spans="1:4" x14ac:dyDescent="0.25">
      <c r="A7" s="9"/>
      <c r="B7" s="21"/>
      <c r="C7" s="2"/>
    </row>
    <row r="8" spans="1:4" x14ac:dyDescent="0.25">
      <c r="A8" s="9" t="s">
        <v>72</v>
      </c>
      <c r="B8" s="21"/>
      <c r="C8" s="2"/>
    </row>
    <row r="9" spans="1:4" ht="30" x14ac:dyDescent="0.25">
      <c r="A9" s="16" t="s">
        <v>0</v>
      </c>
      <c r="B9" s="20">
        <v>2000</v>
      </c>
      <c r="D9" s="18" t="s">
        <v>156</v>
      </c>
    </row>
    <row r="10" spans="1:4" x14ac:dyDescent="0.25">
      <c r="A10" s="16" t="s">
        <v>74</v>
      </c>
      <c r="B10" s="20">
        <v>240</v>
      </c>
    </row>
    <row r="11" spans="1:4" x14ac:dyDescent="0.25">
      <c r="A11" s="16" t="s">
        <v>75</v>
      </c>
      <c r="B11" s="20">
        <v>420</v>
      </c>
    </row>
    <row r="12" spans="1:4" x14ac:dyDescent="0.25">
      <c r="A12" t="s">
        <v>111</v>
      </c>
      <c r="B12" s="25">
        <f>(B10+B11)/2/(1000*B9)</f>
        <v>1.65E-4</v>
      </c>
      <c r="D12" s="18" t="s">
        <v>191</v>
      </c>
    </row>
    <row r="13" spans="1:4" x14ac:dyDescent="0.25">
      <c r="A13" t="s">
        <v>112</v>
      </c>
      <c r="B13" s="25">
        <f>DEGREES(B12)*B32</f>
        <v>0.23634509049146457</v>
      </c>
      <c r="D13" s="18" t="s">
        <v>190</v>
      </c>
    </row>
    <row r="14" spans="1:4" x14ac:dyDescent="0.25">
      <c r="A14" s="16" t="s">
        <v>107</v>
      </c>
      <c r="B14" s="20">
        <v>10000</v>
      </c>
      <c r="D14" s="18" t="s">
        <v>192</v>
      </c>
    </row>
    <row r="15" spans="1:4" x14ac:dyDescent="0.25">
      <c r="A15" s="16" t="s">
        <v>153</v>
      </c>
      <c r="B15" s="20">
        <v>-4000</v>
      </c>
      <c r="D15" s="18" t="s">
        <v>154</v>
      </c>
    </row>
    <row r="16" spans="1:4" x14ac:dyDescent="0.25">
      <c r="A16" t="s">
        <v>155</v>
      </c>
      <c r="B16" s="20">
        <f>'Telescope Design'!J4</f>
        <v>-1413.3333333333335</v>
      </c>
    </row>
    <row r="17" spans="1:7" x14ac:dyDescent="0.25">
      <c r="A17" t="s">
        <v>3</v>
      </c>
      <c r="B17" s="20">
        <f>B14/B9</f>
        <v>5</v>
      </c>
    </row>
    <row r="18" spans="1:7" x14ac:dyDescent="0.25">
      <c r="A18" t="s">
        <v>94</v>
      </c>
      <c r="B18" s="20">
        <f>ASIN(1/(2*B17))</f>
        <v>0.1001674211615598</v>
      </c>
    </row>
    <row r="19" spans="1:7" x14ac:dyDescent="0.25">
      <c r="A19" t="s">
        <v>112</v>
      </c>
      <c r="B19" s="26">
        <f>DEGREES(ATAN(B21/B14))</f>
        <v>0.22589533101475026</v>
      </c>
      <c r="C19" s="23">
        <f>B19-B13</f>
        <v>-1.044975947671431E-2</v>
      </c>
      <c r="D19" s="18" t="s">
        <v>172</v>
      </c>
    </row>
    <row r="20" spans="1:7" x14ac:dyDescent="0.25">
      <c r="A20" t="s">
        <v>116</v>
      </c>
      <c r="B20" s="20">
        <f>B21*2</f>
        <v>78.85275439069963</v>
      </c>
    </row>
    <row r="21" spans="1:7" x14ac:dyDescent="0.25">
      <c r="A21" t="s">
        <v>131</v>
      </c>
      <c r="B21" s="20">
        <f>B28*B26</f>
        <v>39.426377195349815</v>
      </c>
    </row>
    <row r="22" spans="1:7" x14ac:dyDescent="0.25">
      <c r="A22" t="s">
        <v>110</v>
      </c>
      <c r="B22" s="20">
        <f>100*(B5/B9)^2</f>
        <v>7.0225000000000009</v>
      </c>
    </row>
    <row r="24" spans="1:7" ht="18.75" x14ac:dyDescent="0.25">
      <c r="A24" s="3" t="s">
        <v>78</v>
      </c>
    </row>
    <row r="25" spans="1:7" x14ac:dyDescent="0.25">
      <c r="A25" t="s">
        <v>79</v>
      </c>
      <c r="B25" t="s">
        <v>81</v>
      </c>
    </row>
    <row r="26" spans="1:7" x14ac:dyDescent="0.25">
      <c r="A26" s="16" t="s">
        <v>89</v>
      </c>
      <c r="B26">
        <v>1</v>
      </c>
      <c r="D26" s="18" t="s">
        <v>159</v>
      </c>
    </row>
    <row r="27" spans="1:7" x14ac:dyDescent="0.25">
      <c r="A27" t="s">
        <v>27</v>
      </c>
      <c r="B27" s="20">
        <f>2*B28</f>
        <v>78.85275439069963</v>
      </c>
    </row>
    <row r="28" spans="1:7" x14ac:dyDescent="0.25">
      <c r="A28" t="s">
        <v>131</v>
      </c>
      <c r="B28" s="20">
        <f>B65*TAN(RADIANS(B63))</f>
        <v>39.426377195349815</v>
      </c>
    </row>
    <row r="30" spans="1:7" ht="18.75" x14ac:dyDescent="0.25">
      <c r="A30" s="3" t="s">
        <v>68</v>
      </c>
      <c r="B30" s="10" t="s">
        <v>66</v>
      </c>
      <c r="C30" s="10" t="s">
        <v>67</v>
      </c>
      <c r="F30" s="7"/>
      <c r="G30" s="7"/>
    </row>
    <row r="31" spans="1:7" x14ac:dyDescent="0.25">
      <c r="A31" s="9" t="s">
        <v>10</v>
      </c>
    </row>
    <row r="32" spans="1:7" x14ac:dyDescent="0.25">
      <c r="A32" s="17" t="s">
        <v>76</v>
      </c>
      <c r="B32">
        <v>25</v>
      </c>
      <c r="C32">
        <v>25</v>
      </c>
    </row>
    <row r="33" spans="1:5" x14ac:dyDescent="0.25">
      <c r="A33" s="17" t="s">
        <v>77</v>
      </c>
      <c r="B33">
        <v>72</v>
      </c>
      <c r="C33">
        <v>72</v>
      </c>
    </row>
    <row r="34" spans="1:5" x14ac:dyDescent="0.25">
      <c r="A34" s="5" t="s">
        <v>124</v>
      </c>
      <c r="B34" s="20">
        <f>B38/B39</f>
        <v>0.30070326520293006</v>
      </c>
    </row>
    <row r="35" spans="1:5" x14ac:dyDescent="0.25">
      <c r="A35" s="17" t="s">
        <v>69</v>
      </c>
      <c r="B35">
        <v>2</v>
      </c>
      <c r="C35">
        <v>2</v>
      </c>
    </row>
    <row r="36" spans="1:5" x14ac:dyDescent="0.25">
      <c r="A36" s="17" t="s">
        <v>162</v>
      </c>
      <c r="B36" s="20">
        <f>SQRT(3)/2</f>
        <v>0.8660254037844386</v>
      </c>
      <c r="C36" s="20">
        <f>SQRT(3)/2</f>
        <v>0.8660254037844386</v>
      </c>
    </row>
    <row r="37" spans="1:5" x14ac:dyDescent="0.25">
      <c r="A37" t="s">
        <v>164</v>
      </c>
      <c r="B37" s="20">
        <f>B35*B36</f>
        <v>1.7320508075688772</v>
      </c>
      <c r="C37" s="20">
        <f>C35*C36</f>
        <v>1.7320508075688772</v>
      </c>
    </row>
    <row r="38" spans="1:5" x14ac:dyDescent="0.25">
      <c r="A38" s="5" t="s">
        <v>70</v>
      </c>
      <c r="B38" s="20">
        <f>B35*B32*B36</f>
        <v>43.301270189221931</v>
      </c>
      <c r="C38" s="20">
        <f>C35*C32*C36</f>
        <v>43.301270189221931</v>
      </c>
    </row>
    <row r="39" spans="1:5" x14ac:dyDescent="0.25">
      <c r="A39" s="5" t="s">
        <v>71</v>
      </c>
      <c r="B39">
        <f>B35*B33</f>
        <v>144</v>
      </c>
      <c r="C39">
        <f>C35*C33</f>
        <v>144</v>
      </c>
      <c r="E39" s="7"/>
    </row>
    <row r="40" spans="1:5" x14ac:dyDescent="0.25">
      <c r="A40" s="8" t="s">
        <v>72</v>
      </c>
      <c r="E40" s="7"/>
    </row>
    <row r="41" spans="1:5" x14ac:dyDescent="0.25">
      <c r="A41" s="17" t="s">
        <v>74</v>
      </c>
      <c r="B41">
        <v>240</v>
      </c>
      <c r="C41">
        <v>317</v>
      </c>
      <c r="E41" s="7"/>
    </row>
    <row r="42" spans="1:5" x14ac:dyDescent="0.25">
      <c r="A42" s="17" t="s">
        <v>75</v>
      </c>
      <c r="B42">
        <v>317</v>
      </c>
      <c r="C42">
        <v>420</v>
      </c>
      <c r="E42" s="7"/>
    </row>
    <row r="43" spans="1:5" x14ac:dyDescent="0.25">
      <c r="A43" s="5" t="s">
        <v>64</v>
      </c>
      <c r="B43">
        <f>AVERAGE(B41:B42)</f>
        <v>278.5</v>
      </c>
      <c r="C43">
        <f>AVERAGE(C41:C42)</f>
        <v>368.5</v>
      </c>
      <c r="E43" s="7"/>
    </row>
    <row r="44" spans="1:5" x14ac:dyDescent="0.25">
      <c r="A44" s="5" t="s">
        <v>106</v>
      </c>
      <c r="B44">
        <f>B42-B41</f>
        <v>77</v>
      </c>
      <c r="C44">
        <f>C42-C41</f>
        <v>103</v>
      </c>
      <c r="E44" s="7"/>
    </row>
    <row r="45" spans="1:5" x14ac:dyDescent="0.25">
      <c r="A45" s="5" t="s">
        <v>79</v>
      </c>
      <c r="B45" t="s">
        <v>80</v>
      </c>
      <c r="C45" t="s">
        <v>80</v>
      </c>
      <c r="E45" s="7"/>
    </row>
    <row r="46" spans="1:5" x14ac:dyDescent="0.25">
      <c r="A46" s="17" t="s">
        <v>87</v>
      </c>
      <c r="B46">
        <v>-1</v>
      </c>
      <c r="C46">
        <v>-1</v>
      </c>
      <c r="E46" s="7"/>
    </row>
    <row r="47" spans="1:5" x14ac:dyDescent="0.25">
      <c r="A47" t="s">
        <v>182</v>
      </c>
      <c r="B47" s="20">
        <f>B43/(B44/B33)</f>
        <v>260.41558441558442</v>
      </c>
      <c r="C47" s="20">
        <f>C43/(C44/C33)</f>
        <v>257.59223300970871</v>
      </c>
    </row>
    <row r="48" spans="1:5" x14ac:dyDescent="0.25">
      <c r="A48" s="5" t="s">
        <v>184</v>
      </c>
      <c r="B48" s="20">
        <f>B41/B47</f>
        <v>0.92160383004189106</v>
      </c>
      <c r="C48" s="20">
        <f>C41/C47</f>
        <v>1.2306271671943316</v>
      </c>
    </row>
    <row r="49" spans="1:4" x14ac:dyDescent="0.25">
      <c r="A49" s="17" t="s">
        <v>179</v>
      </c>
      <c r="B49">
        <v>2</v>
      </c>
      <c r="C49">
        <v>2</v>
      </c>
    </row>
    <row r="50" spans="1:4" x14ac:dyDescent="0.25">
      <c r="A50" t="s">
        <v>133</v>
      </c>
      <c r="B50">
        <f>B37/(B49*B42/1000)</f>
        <v>2.7319413368594279</v>
      </c>
      <c r="C50">
        <f>C37/(C49*C42/1000)</f>
        <v>2.0619652471058063</v>
      </c>
      <c r="D50" s="18" t="s">
        <v>173</v>
      </c>
    </row>
    <row r="51" spans="1:4" x14ac:dyDescent="0.25">
      <c r="A51" s="5"/>
    </row>
    <row r="52" spans="1:4" x14ac:dyDescent="0.25">
      <c r="A52" s="15" t="s">
        <v>118</v>
      </c>
      <c r="B52" s="10" t="s">
        <v>66</v>
      </c>
      <c r="C52" s="10" t="s">
        <v>67</v>
      </c>
    </row>
    <row r="53" spans="1:4" x14ac:dyDescent="0.25">
      <c r="A53" s="17" t="s">
        <v>126</v>
      </c>
      <c r="B53">
        <v>1</v>
      </c>
      <c r="C53">
        <v>1</v>
      </c>
    </row>
    <row r="54" spans="1:4" x14ac:dyDescent="0.25">
      <c r="A54" s="17" t="s">
        <v>127</v>
      </c>
      <c r="B54">
        <v>-1</v>
      </c>
      <c r="C54">
        <v>-1</v>
      </c>
    </row>
    <row r="55" spans="1:4" ht="30" x14ac:dyDescent="0.25">
      <c r="A55" s="17" t="s">
        <v>187</v>
      </c>
      <c r="B55">
        <v>125</v>
      </c>
      <c r="C55">
        <v>300</v>
      </c>
      <c r="D55" s="18" t="s">
        <v>139</v>
      </c>
    </row>
    <row r="56" spans="1:4" x14ac:dyDescent="0.25">
      <c r="A56" s="17" t="s">
        <v>117</v>
      </c>
      <c r="B56">
        <v>13</v>
      </c>
      <c r="C56">
        <v>43</v>
      </c>
      <c r="D56" s="18" t="s">
        <v>138</v>
      </c>
    </row>
    <row r="57" spans="1:4" x14ac:dyDescent="0.25">
      <c r="A57" t="s">
        <v>93</v>
      </c>
      <c r="B57" s="20">
        <f>B55/COS(RADIANS(B56))</f>
        <v>128.28801347417394</v>
      </c>
      <c r="C57" s="20">
        <f>C55/COS(RADIANS(C56))</f>
        <v>410.1982383295786</v>
      </c>
      <c r="D57" s="18" t="s">
        <v>188</v>
      </c>
    </row>
    <row r="58" spans="1:4" ht="30" x14ac:dyDescent="0.25">
      <c r="A58" s="5" t="s">
        <v>120</v>
      </c>
      <c r="B58" s="20">
        <f>DEGREES(ASIN((B$46*B43*B$67 + B$53*SIN(RADIANS(B$56)))/B$54))</f>
        <v>48.083733714288122</v>
      </c>
      <c r="C58" s="20">
        <f>DEGREES(ASIN((C$46*C43*C$67 + C$53*SIN(RADIANS(C$56)))/C$54))</f>
        <v>7.8923133542521322</v>
      </c>
      <c r="D58" s="18" t="s">
        <v>195</v>
      </c>
    </row>
    <row r="59" spans="1:4" x14ac:dyDescent="0.25">
      <c r="A59" s="5" t="s">
        <v>120</v>
      </c>
      <c r="B59" s="20">
        <f>DEGREES(ASIN((B$46*B41*B$67 + B$53*SIN(RADIANS(B$56)))/B$54))</f>
        <v>37.600835264109193</v>
      </c>
      <c r="C59" s="20">
        <f>DEGREES(ASIN((C$46*C41*C$67 + C$53*SIN(RADIANS(C$56)))/C$54))</f>
        <v>1.3069361378300088</v>
      </c>
      <c r="D59" s="18" t="s">
        <v>196</v>
      </c>
    </row>
    <row r="60" spans="1:4" x14ac:dyDescent="0.25">
      <c r="A60" s="5" t="s">
        <v>120</v>
      </c>
      <c r="B60" s="20">
        <f>DEGREES(ASIN((B$46*B42*B$67 + B$53*SIN(RADIANS(B$56)))/B$54))</f>
        <v>61.412468150357718</v>
      </c>
      <c r="C60" s="20">
        <f>DEGREES(ASIN((C$46*C42*C$67 + C$53*SIN(RADIANS(C$56)))/C$54))</f>
        <v>14.58493824284484</v>
      </c>
      <c r="D60" s="18" t="s">
        <v>197</v>
      </c>
    </row>
    <row r="61" spans="1:4" x14ac:dyDescent="0.25">
      <c r="A61" s="5" t="s">
        <v>114</v>
      </c>
      <c r="B61" s="20">
        <f>B55*B50</f>
        <v>341.49266710742847</v>
      </c>
      <c r="C61" s="20">
        <f>C55*C50</f>
        <v>618.58957413174187</v>
      </c>
    </row>
    <row r="62" spans="1:4" x14ac:dyDescent="0.25">
      <c r="A62" s="5" t="s">
        <v>129</v>
      </c>
      <c r="B62" s="20">
        <f>2*B61</f>
        <v>682.98533421485695</v>
      </c>
      <c r="C62" s="20">
        <f>2*C61</f>
        <v>1237.1791482634837</v>
      </c>
    </row>
    <row r="63" spans="1:4" x14ac:dyDescent="0.25">
      <c r="A63" s="5" t="s">
        <v>174</v>
      </c>
      <c r="B63" s="20">
        <f>DEGREES(ATAN(B32/2*B37/B61))</f>
        <v>3.6276970381930309</v>
      </c>
      <c r="C63" s="20">
        <f>DEGREES(ATAN(C32/2*C37/C61))</f>
        <v>2.0045340321059042</v>
      </c>
    </row>
    <row r="64" spans="1:4" x14ac:dyDescent="0.25">
      <c r="A64" s="5" t="s">
        <v>175</v>
      </c>
      <c r="B64" s="20">
        <f>DEGREES(ATAN(B33/2*B35/B61))</f>
        <v>11.905816531672592</v>
      </c>
      <c r="C64" s="20">
        <f>DEGREES(ATAN(C33/2*C35/C61))</f>
        <v>6.6390012002412089</v>
      </c>
    </row>
    <row r="65" spans="1:4" x14ac:dyDescent="0.25">
      <c r="A65" s="5" t="s">
        <v>90</v>
      </c>
      <c r="B65" s="20">
        <f>B55/(2*TAN($B18))</f>
        <v>621.86714819163751</v>
      </c>
      <c r="C65" s="20">
        <f>C55/(2*TAN($B18))</f>
        <v>1492.48115565993</v>
      </c>
    </row>
    <row r="66" spans="1:4" x14ac:dyDescent="0.25">
      <c r="A66" s="5" t="s">
        <v>128</v>
      </c>
      <c r="B66" s="20">
        <f>2*B65</f>
        <v>1243.734296383275</v>
      </c>
      <c r="C66" s="20">
        <f>2*C65</f>
        <v>2984.96231131986</v>
      </c>
    </row>
    <row r="67" spans="1:4" ht="30" x14ac:dyDescent="0.25">
      <c r="A67" s="5" t="s">
        <v>119</v>
      </c>
      <c r="B67" s="24">
        <v>3.4796157011039285E-3</v>
      </c>
      <c r="C67" s="24">
        <v>2.2233650496906385E-3</v>
      </c>
      <c r="D67" s="18" t="s">
        <v>181</v>
      </c>
    </row>
    <row r="68" spans="1:4" x14ac:dyDescent="0.25">
      <c r="A68" s="5" t="s">
        <v>176</v>
      </c>
      <c r="B68" s="22">
        <f>DEGREES(ASIN((B46*B42*B67+B53*SIN(RADIANS(B56)))/B54) - ASIN((B46*B41*B67+B53*SIN(RADIANS(B56)))/B54))</f>
        <v>23.811632886248525</v>
      </c>
      <c r="C68" s="22">
        <f>DEGREES(ASIN((C46*C42*C67+C53*SIN(RADIANS(C56)))/C54) - ASIN((C46*C41*C67+C53*SIN(RADIANS(C56)))/C54))</f>
        <v>13.278002105014831</v>
      </c>
      <c r="D68" s="18" t="s">
        <v>137</v>
      </c>
    </row>
    <row r="69" spans="1:4" x14ac:dyDescent="0.25">
      <c r="A69" s="5" t="s">
        <v>177</v>
      </c>
      <c r="B69" s="23">
        <f>B68-2*B64</f>
        <v>-1.7709665911525008E-7</v>
      </c>
      <c r="C69" s="23">
        <f>C68-2*C64</f>
        <v>-2.9546758639753534E-7</v>
      </c>
      <c r="D69" s="18" t="s">
        <v>180</v>
      </c>
    </row>
    <row r="70" spans="1:4" ht="30" x14ac:dyDescent="0.25">
      <c r="A70" s="5" t="s">
        <v>83</v>
      </c>
      <c r="B70" s="20">
        <f>ABS(B46)*B67*1000*B57</f>
        <v>446.39298594816796</v>
      </c>
      <c r="C70" s="20">
        <f>ABS(C46)*C67*1000*COS(RADIANS(C56))*C55</f>
        <v>487.81987774258175</v>
      </c>
      <c r="D70" s="18" t="s">
        <v>183</v>
      </c>
    </row>
    <row r="71" spans="1:4" x14ac:dyDescent="0.25">
      <c r="A71" s="5"/>
    </row>
    <row r="72" spans="1:4" x14ac:dyDescent="0.25">
      <c r="A72" s="8" t="s">
        <v>178</v>
      </c>
      <c r="B72" s="10" t="s">
        <v>66</v>
      </c>
      <c r="C72" s="10" t="s">
        <v>67</v>
      </c>
    </row>
    <row r="73" spans="1:4" ht="30" x14ac:dyDescent="0.25">
      <c r="A73" s="14" t="s">
        <v>130</v>
      </c>
      <c r="B73" s="20">
        <f>2*B$61*TAN(RADIANS(B63))</f>
        <v>43.301270189221931</v>
      </c>
      <c r="C73" s="20">
        <f>2*C$61*TAN(RADIANS(C63))</f>
        <v>43.301270189221938</v>
      </c>
      <c r="D73" s="18" t="s">
        <v>185</v>
      </c>
    </row>
    <row r="74" spans="1:4" ht="30" x14ac:dyDescent="0.25">
      <c r="A74" s="14" t="s">
        <v>47</v>
      </c>
      <c r="B74">
        <f>2*B$61*TAN(RADIANS(B64))</f>
        <v>144</v>
      </c>
      <c r="C74">
        <f>2*C$61*TAN(RADIANS(C64))</f>
        <v>144</v>
      </c>
      <c r="D74" s="18" t="s">
        <v>186</v>
      </c>
    </row>
    <row r="75" spans="1:4" ht="30" x14ac:dyDescent="0.25">
      <c r="A75" s="5" t="s">
        <v>132</v>
      </c>
      <c r="B75" s="20">
        <f>B$61/(B$57*COS(RADIANS(B59)))</f>
        <v>3.3598214552059855</v>
      </c>
      <c r="C75" s="20">
        <f>C$61/(C$57*COS(RADIANS(C59)))</f>
        <v>1.508418322805638</v>
      </c>
      <c r="D75" s="18" t="s">
        <v>193</v>
      </c>
    </row>
    <row r="76" spans="1:4" ht="30" x14ac:dyDescent="0.25">
      <c r="A76" s="5" t="s">
        <v>132</v>
      </c>
      <c r="B76" s="20">
        <f>B$61/(B$57*COS(RADIANS(B60)))</f>
        <v>5.563045916349985</v>
      </c>
      <c r="C76" s="20">
        <f>C$61/(C$57*COS(RADIANS(C60)))</f>
        <v>1.5582395621369149</v>
      </c>
      <c r="D76" s="18" t="s">
        <v>194</v>
      </c>
    </row>
    <row r="77" spans="1:4" x14ac:dyDescent="0.25">
      <c r="A77" s="5" t="s">
        <v>133</v>
      </c>
      <c r="B77" s="20">
        <f>B61/B55</f>
        <v>2.7319413368594279</v>
      </c>
      <c r="C77" s="20">
        <f>C61/C55</f>
        <v>2.0619652471058063</v>
      </c>
      <c r="D77" s="18" t="s">
        <v>189</v>
      </c>
    </row>
    <row r="78" spans="1:4" ht="30" x14ac:dyDescent="0.25">
      <c r="A78" s="5" t="s">
        <v>134</v>
      </c>
      <c r="B78" s="20">
        <f>B75*B41/1000</f>
        <v>0.80635714924943647</v>
      </c>
      <c r="C78" s="20">
        <f>C75*C41/1000</f>
        <v>0.47816860832938729</v>
      </c>
      <c r="D78" s="18" t="s">
        <v>168</v>
      </c>
    </row>
    <row r="79" spans="1:4" x14ac:dyDescent="0.25">
      <c r="A79" s="5" t="s">
        <v>134</v>
      </c>
      <c r="B79" s="20">
        <f>B76*B42/1000</f>
        <v>1.7634855554829454</v>
      </c>
      <c r="C79" s="20">
        <f>C75*C42/1000</f>
        <v>0.63353569557836797</v>
      </c>
      <c r="D79" s="18" t="s">
        <v>169</v>
      </c>
    </row>
    <row r="80" spans="1:4" x14ac:dyDescent="0.25">
      <c r="A80" s="5" t="s">
        <v>165</v>
      </c>
      <c r="B80" s="20">
        <f>B$35/B78</f>
        <v>2.4802905286591872</v>
      </c>
      <c r="C80" s="20">
        <f>C$35/C78</f>
        <v>4.18262505141763</v>
      </c>
      <c r="D80" s="18" t="s">
        <v>166</v>
      </c>
    </row>
    <row r="81" spans="1:4" x14ac:dyDescent="0.25">
      <c r="A81" s="5" t="s">
        <v>165</v>
      </c>
      <c r="B81" s="20">
        <f>B$35/B79</f>
        <v>1.1341175967002934</v>
      </c>
      <c r="C81" s="20">
        <f>C$35/C79</f>
        <v>3.1568860507128305</v>
      </c>
      <c r="D81" s="18" t="s">
        <v>167</v>
      </c>
    </row>
    <row r="82" spans="1:4" ht="30" x14ac:dyDescent="0.25">
      <c r="A82" s="5" t="s">
        <v>135</v>
      </c>
      <c r="B82" s="20">
        <f>B77*B41/1000</f>
        <v>0.65566592084626263</v>
      </c>
      <c r="C82" s="20">
        <f>C77*C41/1000</f>
        <v>0.65364298333254056</v>
      </c>
      <c r="D82" s="18" t="s">
        <v>170</v>
      </c>
    </row>
    <row r="83" spans="1:4" x14ac:dyDescent="0.25">
      <c r="A83" s="5" t="s">
        <v>135</v>
      </c>
      <c r="B83" s="20">
        <f>B77*B42/1000</f>
        <v>0.8660254037844386</v>
      </c>
      <c r="C83" s="20">
        <f>C77*C42/1000</f>
        <v>0.8660254037844386</v>
      </c>
      <c r="D83" s="18" t="s">
        <v>169</v>
      </c>
    </row>
    <row r="84" spans="1:4" x14ac:dyDescent="0.25">
      <c r="A84" s="5" t="s">
        <v>171</v>
      </c>
      <c r="B84" s="20">
        <f>B$37/B82</f>
        <v>2.6416666666666666</v>
      </c>
      <c r="C84" s="20">
        <f>C$37/C82</f>
        <v>2.6498422712933754</v>
      </c>
      <c r="D84" s="18" t="s">
        <v>166</v>
      </c>
    </row>
    <row r="85" spans="1:4" x14ac:dyDescent="0.25">
      <c r="A85" s="5" t="s">
        <v>171</v>
      </c>
      <c r="B85">
        <f>B$37/B83</f>
        <v>2</v>
      </c>
      <c r="C85">
        <f>C$37/C83</f>
        <v>2</v>
      </c>
      <c r="D85" s="18" t="s">
        <v>167</v>
      </c>
    </row>
    <row r="86" spans="1:4" x14ac:dyDescent="0.25">
      <c r="A86" s="5"/>
    </row>
    <row r="87" spans="1:4" x14ac:dyDescent="0.25">
      <c r="A87" s="5"/>
    </row>
    <row r="88" spans="1:4" x14ac:dyDescent="0.25">
      <c r="A88" s="5"/>
    </row>
    <row r="89" spans="1:4" x14ac:dyDescent="0.25">
      <c r="A89" s="5"/>
    </row>
    <row r="90" spans="1:4" x14ac:dyDescent="0.25">
      <c r="A90" s="5"/>
    </row>
    <row r="91" spans="1:4" x14ac:dyDescent="0.25">
      <c r="A91" s="5"/>
    </row>
    <row r="92" spans="1:4" x14ac:dyDescent="0.25">
      <c r="A92" s="5"/>
    </row>
    <row r="93" spans="1:4" x14ac:dyDescent="0.25">
      <c r="A93" s="5"/>
    </row>
    <row r="94" spans="1:4" x14ac:dyDescent="0.25">
      <c r="A94" s="5"/>
    </row>
    <row r="95" spans="1:4" x14ac:dyDescent="0.25">
      <c r="A95" s="5"/>
    </row>
    <row r="96" spans="1:4" x14ac:dyDescent="0.25">
      <c r="A96" s="5"/>
    </row>
    <row r="97" spans="1:2" x14ac:dyDescent="0.25">
      <c r="A97" s="5"/>
    </row>
    <row r="98" spans="1:2" x14ac:dyDescent="0.25">
      <c r="A98" s="5"/>
    </row>
    <row r="99" spans="1:2" x14ac:dyDescent="0.25">
      <c r="A99" s="5"/>
    </row>
    <row r="100" spans="1:2" ht="15.75" x14ac:dyDescent="0.25">
      <c r="A100" s="4"/>
    </row>
    <row r="106" spans="1:2" x14ac:dyDescent="0.25">
      <c r="B106" s="6"/>
    </row>
    <row r="107" spans="1:2" x14ac:dyDescent="0.25">
      <c r="B107" s="6"/>
    </row>
    <row r="109" spans="1:2" ht="18.75" x14ac:dyDescent="0.25">
      <c r="A109" s="3"/>
    </row>
  </sheetData>
  <mergeCells count="1">
    <mergeCell ref="A1:C1"/>
  </mergeCells>
  <conditionalFormatting sqref="B9">
    <cfRule type="cellIs" dxfId="22" priority="23" operator="greaterThan">
      <formula>$B$4</formula>
    </cfRule>
  </conditionalFormatting>
  <conditionalFormatting sqref="B70">
    <cfRule type="cellIs" dxfId="21" priority="17" operator="lessThan">
      <formula>$B$47</formula>
    </cfRule>
    <cfRule type="cellIs" dxfId="20" priority="18" operator="greaterThanOrEqual">
      <formula>$B$47</formula>
    </cfRule>
  </conditionalFormatting>
  <conditionalFormatting sqref="C70">
    <cfRule type="cellIs" dxfId="19" priority="15" operator="greaterThanOrEqual">
      <formula>$C$47</formula>
    </cfRule>
    <cfRule type="cellIs" dxfId="18" priority="16" operator="lessThan">
      <formula>$C$47</formula>
    </cfRule>
  </conditionalFormatting>
  <conditionalFormatting sqref="C69">
    <cfRule type="cellIs" dxfId="17" priority="13" operator="notBetween">
      <formula>-0.000001</formula>
      <formula>0.000001</formula>
    </cfRule>
  </conditionalFormatting>
  <conditionalFormatting sqref="B58:C60">
    <cfRule type="cellIs" dxfId="16" priority="12" operator="lessThan">
      <formula>0</formula>
    </cfRule>
  </conditionalFormatting>
  <conditionalFormatting sqref="B69">
    <cfRule type="cellIs" dxfId="15" priority="8" operator="notBetween">
      <formula>-0.000001</formula>
      <formula>0.000001</formula>
    </cfRule>
  </conditionalFormatting>
  <conditionalFormatting sqref="B73">
    <cfRule type="cellIs" dxfId="14" priority="21" operator="greaterThan">
      <formula>$B$38</formula>
    </cfRule>
    <cfRule type="cellIs" dxfId="13" priority="22" operator="lessThanOrEqual">
      <formula>$B$38</formula>
    </cfRule>
  </conditionalFormatting>
  <conditionalFormatting sqref="C73">
    <cfRule type="cellIs" dxfId="12" priority="6" operator="lessThanOrEqual">
      <formula>$C$38</formula>
    </cfRule>
    <cfRule type="cellIs" dxfId="11" priority="7" operator="greaterThan">
      <formula>$C$38</formula>
    </cfRule>
  </conditionalFormatting>
  <conditionalFormatting sqref="B74">
    <cfRule type="cellIs" dxfId="10" priority="3" operator="lessThanOrEqual">
      <formula>$B$39</formula>
    </cfRule>
    <cfRule type="cellIs" dxfId="9" priority="5" operator="greaterThan">
      <formula>$B$39</formula>
    </cfRule>
  </conditionalFormatting>
  <conditionalFormatting sqref="C74">
    <cfRule type="cellIs" dxfId="8" priority="1" operator="lessThanOrEqual">
      <formula>$C$39</formula>
    </cfRule>
    <cfRule type="cellIs" dxfId="7" priority="2" operator="greaterThan">
      <formula>$C$39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21114-5532-43B0-9918-4B46D681EE83}">
  <dimension ref="A1:G99"/>
  <sheetViews>
    <sheetView workbookViewId="0">
      <selection activeCell="B51" sqref="B51"/>
    </sheetView>
  </sheetViews>
  <sheetFormatPr defaultRowHeight="15" x14ac:dyDescent="0.25"/>
  <cols>
    <col min="1" max="1" width="34.7109375" bestFit="1" customWidth="1"/>
    <col min="2" max="2" width="13.5703125" bestFit="1" customWidth="1"/>
    <col min="3" max="3" width="20.7109375" bestFit="1" customWidth="1"/>
    <col min="4" max="4" width="77.85546875" style="18" customWidth="1"/>
    <col min="6" max="6" width="11.42578125" bestFit="1" customWidth="1"/>
    <col min="7" max="7" width="14.140625" bestFit="1" customWidth="1"/>
    <col min="8" max="8" width="14" bestFit="1" customWidth="1"/>
  </cols>
  <sheetData>
    <row r="1" spans="1:4" ht="21" x14ac:dyDescent="0.35">
      <c r="A1" s="29" t="s">
        <v>53</v>
      </c>
      <c r="B1" s="29"/>
      <c r="C1" s="29"/>
    </row>
    <row r="2" spans="1:4" ht="18.75" x14ac:dyDescent="0.25">
      <c r="A2" s="3" t="s">
        <v>1</v>
      </c>
      <c r="B2" s="10" t="s">
        <v>66</v>
      </c>
      <c r="C2" s="10" t="s">
        <v>67</v>
      </c>
      <c r="D2" t="s">
        <v>73</v>
      </c>
    </row>
    <row r="3" spans="1:4" x14ac:dyDescent="0.25">
      <c r="A3" s="9" t="s">
        <v>10</v>
      </c>
      <c r="B3" s="10"/>
      <c r="C3" s="2"/>
    </row>
    <row r="4" spans="1:4" x14ac:dyDescent="0.25">
      <c r="A4" s="16" t="s">
        <v>108</v>
      </c>
      <c r="B4" s="12">
        <v>2000</v>
      </c>
      <c r="C4" s="12">
        <v>2000</v>
      </c>
      <c r="D4" s="18" t="s">
        <v>157</v>
      </c>
    </row>
    <row r="5" spans="1:4" x14ac:dyDescent="0.25">
      <c r="A5" t="s">
        <v>109</v>
      </c>
      <c r="B5">
        <f>2*'Telescope Design'!D4</f>
        <v>530</v>
      </c>
      <c r="C5">
        <f>2*'Telescope Design'!D4</f>
        <v>530</v>
      </c>
      <c r="D5" s="18" t="s">
        <v>136</v>
      </c>
    </row>
    <row r="6" spans="1:4" ht="30" x14ac:dyDescent="0.25">
      <c r="A6" s="16" t="s">
        <v>14</v>
      </c>
      <c r="B6" s="12">
        <v>650</v>
      </c>
      <c r="C6" s="12">
        <v>650</v>
      </c>
      <c r="D6" s="18" t="s">
        <v>205</v>
      </c>
    </row>
    <row r="7" spans="1:4" x14ac:dyDescent="0.25">
      <c r="A7" s="9"/>
      <c r="B7" s="2"/>
      <c r="C7" s="2"/>
    </row>
    <row r="8" spans="1:4" x14ac:dyDescent="0.25">
      <c r="A8" s="9" t="s">
        <v>72</v>
      </c>
      <c r="B8" s="2"/>
      <c r="C8" s="2"/>
    </row>
    <row r="9" spans="1:4" ht="30" x14ac:dyDescent="0.25">
      <c r="A9" s="16" t="s">
        <v>0</v>
      </c>
      <c r="B9">
        <v>2000</v>
      </c>
      <c r="C9">
        <v>2000</v>
      </c>
      <c r="D9" s="18" t="s">
        <v>156</v>
      </c>
    </row>
    <row r="10" spans="1:4" x14ac:dyDescent="0.25">
      <c r="A10" s="16" t="s">
        <v>74</v>
      </c>
      <c r="B10">
        <v>240</v>
      </c>
      <c r="C10">
        <v>317</v>
      </c>
    </row>
    <row r="11" spans="1:4" x14ac:dyDescent="0.25">
      <c r="A11" s="16" t="s">
        <v>75</v>
      </c>
      <c r="B11">
        <v>317</v>
      </c>
      <c r="C11">
        <v>420</v>
      </c>
    </row>
    <row r="12" spans="1:4" ht="30" x14ac:dyDescent="0.25">
      <c r="A12" t="s">
        <v>111</v>
      </c>
      <c r="B12">
        <f>B11/(1000*B9)</f>
        <v>1.585E-4</v>
      </c>
      <c r="C12">
        <f>C11/(1000*C9)</f>
        <v>2.1000000000000001E-4</v>
      </c>
      <c r="D12" s="18" t="s">
        <v>203</v>
      </c>
    </row>
    <row r="13" spans="1:4" x14ac:dyDescent="0.25">
      <c r="A13" s="16" t="s">
        <v>107</v>
      </c>
      <c r="B13">
        <v>10000</v>
      </c>
      <c r="D13" s="18" t="s">
        <v>158</v>
      </c>
    </row>
    <row r="14" spans="1:4" x14ac:dyDescent="0.25">
      <c r="A14" s="16" t="s">
        <v>153</v>
      </c>
      <c r="B14">
        <v>-4000</v>
      </c>
      <c r="D14" s="18" t="s">
        <v>154</v>
      </c>
    </row>
    <row r="15" spans="1:4" x14ac:dyDescent="0.25">
      <c r="A15" t="s">
        <v>155</v>
      </c>
      <c r="B15">
        <f>'Telescope Design'!J4</f>
        <v>-1413.3333333333335</v>
      </c>
    </row>
    <row r="16" spans="1:4" x14ac:dyDescent="0.25">
      <c r="A16" t="s">
        <v>3</v>
      </c>
      <c r="B16">
        <f>B13/B9</f>
        <v>5</v>
      </c>
    </row>
    <row r="17" spans="1:7" x14ac:dyDescent="0.25">
      <c r="A17" t="s">
        <v>94</v>
      </c>
      <c r="B17">
        <f>ASIN(1/(2*B16))</f>
        <v>0.1001674211615598</v>
      </c>
    </row>
    <row r="18" spans="1:7" ht="30" x14ac:dyDescent="0.25">
      <c r="A18" t="s">
        <v>112</v>
      </c>
      <c r="B18">
        <f>DEGREES(B31/2*B12)*2</f>
        <v>0.25881936000547112</v>
      </c>
      <c r="C18">
        <f>DEGREES(C31/2*C12)*2</f>
        <v>0.2586904445015667</v>
      </c>
      <c r="D18" s="18" t="s">
        <v>204</v>
      </c>
    </row>
    <row r="19" spans="1:7" x14ac:dyDescent="0.25">
      <c r="A19" t="s">
        <v>116</v>
      </c>
      <c r="B19">
        <f>2*B13*TAN(RADIANS(B18))</f>
        <v>90.34561451808068</v>
      </c>
      <c r="C19">
        <f>2*B13*TAN(RADIANS(C18))</f>
        <v>90.300613600275852</v>
      </c>
    </row>
    <row r="20" spans="1:7" x14ac:dyDescent="0.25">
      <c r="A20" t="s">
        <v>131</v>
      </c>
      <c r="B20">
        <f>B19/2</f>
        <v>45.17280725904034</v>
      </c>
      <c r="C20">
        <f>C19/2</f>
        <v>45.150306800137926</v>
      </c>
    </row>
    <row r="21" spans="1:7" x14ac:dyDescent="0.25">
      <c r="A21" t="s">
        <v>110</v>
      </c>
      <c r="B21">
        <f>100*(B5/B9)^2</f>
        <v>7.0225000000000009</v>
      </c>
    </row>
    <row r="23" spans="1:7" ht="18.75" x14ac:dyDescent="0.25">
      <c r="A23" s="3" t="s">
        <v>78</v>
      </c>
    </row>
    <row r="24" spans="1:7" x14ac:dyDescent="0.25">
      <c r="A24" t="s">
        <v>79</v>
      </c>
      <c r="B24" t="s">
        <v>81</v>
      </c>
    </row>
    <row r="25" spans="1:7" x14ac:dyDescent="0.25">
      <c r="A25" s="16" t="s">
        <v>89</v>
      </c>
      <c r="B25">
        <v>1</v>
      </c>
      <c r="D25" s="18" t="s">
        <v>159</v>
      </c>
    </row>
    <row r="26" spans="1:7" x14ac:dyDescent="0.25">
      <c r="A26" t="s">
        <v>27</v>
      </c>
      <c r="B26">
        <f>B25*B19</f>
        <v>90.34561451808068</v>
      </c>
    </row>
    <row r="27" spans="1:7" x14ac:dyDescent="0.25">
      <c r="A27" t="s">
        <v>131</v>
      </c>
      <c r="B27">
        <f>B26/2</f>
        <v>45.17280725904034</v>
      </c>
    </row>
    <row r="29" spans="1:7" ht="18.75" x14ac:dyDescent="0.25">
      <c r="A29" s="3" t="s">
        <v>68</v>
      </c>
      <c r="B29" s="10" t="s">
        <v>66</v>
      </c>
      <c r="C29" s="10" t="s">
        <v>67</v>
      </c>
      <c r="F29" s="7"/>
      <c r="G29" s="7"/>
    </row>
    <row r="30" spans="1:7" x14ac:dyDescent="0.25">
      <c r="A30" s="9" t="s">
        <v>10</v>
      </c>
    </row>
    <row r="31" spans="1:7" x14ac:dyDescent="0.25">
      <c r="A31" s="17" t="s">
        <v>76</v>
      </c>
      <c r="B31">
        <v>28.5</v>
      </c>
      <c r="C31">
        <v>21.5</v>
      </c>
    </row>
    <row r="32" spans="1:7" x14ac:dyDescent="0.25">
      <c r="A32" s="17" t="s">
        <v>77</v>
      </c>
      <c r="B32">
        <v>72</v>
      </c>
      <c r="C32">
        <v>72</v>
      </c>
    </row>
    <row r="33" spans="1:5" x14ac:dyDescent="0.25">
      <c r="A33" s="5" t="s">
        <v>124</v>
      </c>
      <c r="B33">
        <f>B37/B38</f>
        <v>0.34280172233134026</v>
      </c>
      <c r="C33">
        <f>C37/C38</f>
        <v>0.25860480807451985</v>
      </c>
    </row>
    <row r="34" spans="1:5" x14ac:dyDescent="0.25">
      <c r="A34" s="17" t="s">
        <v>69</v>
      </c>
      <c r="B34">
        <v>2.2999999999999998</v>
      </c>
      <c r="C34">
        <v>3.05</v>
      </c>
    </row>
    <row r="35" spans="1:5" x14ac:dyDescent="0.25">
      <c r="A35" s="17" t="s">
        <v>162</v>
      </c>
      <c r="B35">
        <f>SQRT(3)/2</f>
        <v>0.8660254037844386</v>
      </c>
      <c r="C35">
        <f>SQRT(3)/2</f>
        <v>0.8660254037844386</v>
      </c>
    </row>
    <row r="36" spans="1:5" x14ac:dyDescent="0.25">
      <c r="A36" t="s">
        <v>164</v>
      </c>
      <c r="B36">
        <f>B34*B35</f>
        <v>1.9918584287042087</v>
      </c>
      <c r="C36">
        <f>C34*C35</f>
        <v>2.6413774815425377</v>
      </c>
    </row>
    <row r="37" spans="1:5" x14ac:dyDescent="0.25">
      <c r="A37" s="5" t="s">
        <v>70</v>
      </c>
      <c r="B37">
        <f>B34*B31*B35</f>
        <v>56.767965218069946</v>
      </c>
      <c r="C37">
        <f>C34*C31*C35</f>
        <v>56.789615853164563</v>
      </c>
    </row>
    <row r="38" spans="1:5" x14ac:dyDescent="0.25">
      <c r="A38" s="5" t="s">
        <v>71</v>
      </c>
      <c r="B38">
        <f>B34*B32</f>
        <v>165.6</v>
      </c>
      <c r="C38">
        <f>C34*C32</f>
        <v>219.6</v>
      </c>
      <c r="E38" s="7"/>
    </row>
    <row r="39" spans="1:5" x14ac:dyDescent="0.25">
      <c r="A39" s="8" t="s">
        <v>72</v>
      </c>
      <c r="E39" s="7"/>
    </row>
    <row r="40" spans="1:5" x14ac:dyDescent="0.25">
      <c r="A40" t="s">
        <v>74</v>
      </c>
      <c r="B40">
        <f>B10</f>
        <v>240</v>
      </c>
      <c r="C40">
        <f>C10</f>
        <v>317</v>
      </c>
      <c r="E40" s="7"/>
    </row>
    <row r="41" spans="1:5" x14ac:dyDescent="0.25">
      <c r="A41" t="s">
        <v>75</v>
      </c>
      <c r="B41">
        <f>B11</f>
        <v>317</v>
      </c>
      <c r="C41">
        <f>C11</f>
        <v>420</v>
      </c>
      <c r="E41" s="7"/>
    </row>
    <row r="42" spans="1:5" x14ac:dyDescent="0.25">
      <c r="A42" s="5" t="s">
        <v>64</v>
      </c>
      <c r="B42">
        <f>AVERAGE(B40:B41)</f>
        <v>278.5</v>
      </c>
      <c r="C42">
        <f>AVERAGE(C40:C41)</f>
        <v>368.5</v>
      </c>
      <c r="E42" s="7"/>
    </row>
    <row r="43" spans="1:5" x14ac:dyDescent="0.25">
      <c r="A43" s="5" t="s">
        <v>106</v>
      </c>
      <c r="B43">
        <f>B41-B40</f>
        <v>77</v>
      </c>
      <c r="C43">
        <f>C41-C40</f>
        <v>103</v>
      </c>
      <c r="E43" s="7"/>
    </row>
    <row r="44" spans="1:5" x14ac:dyDescent="0.25">
      <c r="A44" s="5" t="s">
        <v>79</v>
      </c>
      <c r="B44" t="s">
        <v>80</v>
      </c>
      <c r="C44" t="s">
        <v>80</v>
      </c>
      <c r="E44" s="7"/>
    </row>
    <row r="45" spans="1:5" x14ac:dyDescent="0.25">
      <c r="A45" s="17" t="s">
        <v>87</v>
      </c>
      <c r="B45">
        <v>-1</v>
      </c>
      <c r="C45">
        <v>-1</v>
      </c>
      <c r="E45" s="7"/>
    </row>
    <row r="46" spans="1:5" ht="30" x14ac:dyDescent="0.25">
      <c r="A46" t="s">
        <v>83</v>
      </c>
      <c r="B46">
        <f>ABS(B45)*B54*1000*B51</f>
        <v>486.8655067421995</v>
      </c>
      <c r="C46">
        <f>ABS(C45)*C54*1000*C51</f>
        <v>340.98953981435432</v>
      </c>
      <c r="D46" s="18" t="s">
        <v>199</v>
      </c>
    </row>
    <row r="47" spans="1:5" ht="45" x14ac:dyDescent="0.25">
      <c r="A47" s="5" t="s">
        <v>113</v>
      </c>
      <c r="B47">
        <f>B40/B46</f>
        <v>0.49294927793494842</v>
      </c>
      <c r="C47">
        <f>C40/C46</f>
        <v>0.9296472852879446</v>
      </c>
      <c r="D47" s="18" t="s">
        <v>115</v>
      </c>
    </row>
    <row r="48" spans="1:5" x14ac:dyDescent="0.25">
      <c r="A48" s="15" t="s">
        <v>118</v>
      </c>
    </row>
    <row r="49" spans="1:4" x14ac:dyDescent="0.25">
      <c r="A49" s="17" t="s">
        <v>126</v>
      </c>
      <c r="B49">
        <v>1</v>
      </c>
      <c r="C49">
        <v>1</v>
      </c>
    </row>
    <row r="50" spans="1:4" x14ac:dyDescent="0.25">
      <c r="A50" s="17" t="s">
        <v>127</v>
      </c>
      <c r="B50">
        <v>-1</v>
      </c>
      <c r="C50">
        <v>-1</v>
      </c>
    </row>
    <row r="51" spans="1:4" x14ac:dyDescent="0.25">
      <c r="A51" s="17" t="s">
        <v>119</v>
      </c>
      <c r="B51">
        <v>3.5300000000000002E-3</v>
      </c>
      <c r="C51">
        <v>2.6580000000000002E-3</v>
      </c>
      <c r="D51" s="18" t="s">
        <v>138</v>
      </c>
    </row>
    <row r="52" spans="1:4" ht="30" x14ac:dyDescent="0.25">
      <c r="A52" s="17" t="s">
        <v>198</v>
      </c>
      <c r="B52">
        <v>125</v>
      </c>
      <c r="C52">
        <v>125</v>
      </c>
      <c r="D52" s="18" t="s">
        <v>139</v>
      </c>
    </row>
    <row r="53" spans="1:4" x14ac:dyDescent="0.25">
      <c r="A53" s="17" t="s">
        <v>117</v>
      </c>
      <c r="B53">
        <v>25</v>
      </c>
      <c r="C53">
        <v>13</v>
      </c>
      <c r="D53" s="18" t="s">
        <v>138</v>
      </c>
    </row>
    <row r="54" spans="1:4" x14ac:dyDescent="0.25">
      <c r="A54" t="s">
        <v>200</v>
      </c>
      <c r="B54" s="27">
        <f>B52/COS(RADIANS(B53))</f>
        <v>137.92223987031147</v>
      </c>
      <c r="C54" s="27">
        <f>C52/COS(RADIANS(C53))</f>
        <v>128.28801347417394</v>
      </c>
    </row>
    <row r="55" spans="1:4" x14ac:dyDescent="0.25">
      <c r="A55" s="5" t="s">
        <v>120</v>
      </c>
      <c r="B55" s="27">
        <f>DEGREES(ASIN((B$45*B$40*B$51 + B$49*SIN(RADIANS(B$53)))/B$50))</f>
        <v>25.124191682088405</v>
      </c>
      <c r="C55" s="27">
        <f>DEGREES(ASIN((C45*C40*C51 + C49*SIN(RADIANS(C53)))/C50))</f>
        <v>38.143630623771593</v>
      </c>
    </row>
    <row r="56" spans="1:4" x14ac:dyDescent="0.25">
      <c r="A56" s="5" t="s">
        <v>120</v>
      </c>
      <c r="B56" s="27">
        <f>DEGREES(ASIN((B$45*B$41*B$51 + B$49*SIN(RADIANS(B$53)))/B$50))</f>
        <v>44.138224768694421</v>
      </c>
      <c r="C56" s="27">
        <f>DEGREES(ASIN((C$45*C$41*C$51 + C$49*SIN(RADIANS(C$53)))/C$50))</f>
        <v>63.050831780852853</v>
      </c>
    </row>
    <row r="57" spans="1:4" x14ac:dyDescent="0.25">
      <c r="A57" s="5" t="s">
        <v>90</v>
      </c>
      <c r="B57" s="27">
        <f>B52/(2*TAN(ASIN(1/(2*$B16))))</f>
        <v>621.86714819163751</v>
      </c>
      <c r="C57" s="27">
        <f>C52/(2*TAN(ASIN(1/(2*$B16))))</f>
        <v>621.86714819163751</v>
      </c>
    </row>
    <row r="58" spans="1:4" x14ac:dyDescent="0.25">
      <c r="A58" s="5" t="s">
        <v>128</v>
      </c>
      <c r="B58" s="27">
        <f>2*B57</f>
        <v>1243.734296383275</v>
      </c>
      <c r="C58" s="27">
        <f>2*C57</f>
        <v>1243.734296383275</v>
      </c>
    </row>
    <row r="59" spans="1:4" x14ac:dyDescent="0.25">
      <c r="A59" s="5" t="s">
        <v>121</v>
      </c>
      <c r="B59" s="27">
        <f>DEGREES(ASIN((B45*B41*B51+B49*SIN(RADIANS(B53)))/B50) - ASIN((B45*B40*B51+B49*SIN(RADIANS(B53)))/B50))</f>
        <v>19.014033086606016</v>
      </c>
      <c r="C59" s="27">
        <f>DEGREES(ASIN((C45*C41*C51+C49*SIN(RADIANS(C53)))/C50) - ASIN((C45*C40*C51+C49*SIN(RADIANS(C53)))/C50))</f>
        <v>24.907201157081264</v>
      </c>
      <c r="D59" s="18" t="s">
        <v>137</v>
      </c>
    </row>
    <row r="60" spans="1:4" x14ac:dyDescent="0.25">
      <c r="A60" s="5" t="s">
        <v>122</v>
      </c>
      <c r="B60" s="27">
        <f>2*DEGREES(ATAN($B$27/B57))</f>
        <v>8.3094056426406713</v>
      </c>
      <c r="C60" s="27">
        <f>2*DEGREES(ATAN($B$27/C57))</f>
        <v>8.3094056426406713</v>
      </c>
    </row>
    <row r="61" spans="1:4" ht="30" x14ac:dyDescent="0.25">
      <c r="A61" s="5" t="s">
        <v>123</v>
      </c>
      <c r="B61" s="27">
        <f>B60/B59</f>
        <v>0.4370143674828269</v>
      </c>
      <c r="C61" s="27">
        <f>C60/C59</f>
        <v>0.3336145876140828</v>
      </c>
      <c r="D61" s="18" t="s">
        <v>140</v>
      </c>
    </row>
    <row r="62" spans="1:4" x14ac:dyDescent="0.25">
      <c r="A62" s="5" t="s">
        <v>114</v>
      </c>
      <c r="B62" s="27">
        <f>B38/(2*TAN(RADIANS(B59/2)))</f>
        <v>494.42133064453361</v>
      </c>
      <c r="C62" s="27">
        <f>C38/(2*TAN(RADIANS(C59/2)))</f>
        <v>497.18085166898203</v>
      </c>
      <c r="D62" s="18" t="s">
        <v>125</v>
      </c>
    </row>
    <row r="63" spans="1:4" x14ac:dyDescent="0.25">
      <c r="A63" s="5" t="s">
        <v>129</v>
      </c>
      <c r="B63" s="27">
        <f>2*B62</f>
        <v>988.84266128906722</v>
      </c>
      <c r="C63" s="27">
        <f>2*C62</f>
        <v>994.36170333796406</v>
      </c>
    </row>
    <row r="64" spans="1:4" ht="45" x14ac:dyDescent="0.25">
      <c r="A64" s="14" t="s">
        <v>130</v>
      </c>
      <c r="B64" s="27">
        <f>2*B62*TAN(RADIANS(B60/2))</f>
        <v>71.830131367804938</v>
      </c>
      <c r="C64" s="27">
        <f>2*C62*TAN(RADIANS(C60/2))</f>
        <v>72.231037933547057</v>
      </c>
      <c r="D64" s="18" t="s">
        <v>163</v>
      </c>
    </row>
    <row r="65" spans="1:4" x14ac:dyDescent="0.25">
      <c r="A65" s="5" t="s">
        <v>202</v>
      </c>
      <c r="B65" s="27">
        <f>B$62/(B$54*COS(RADIANS(B55)))</f>
        <v>3.9593818761998865</v>
      </c>
      <c r="C65" s="27">
        <f>C$62/(C$54*COS(RADIANS(C55)))</f>
        <v>4.9277532915231186</v>
      </c>
    </row>
    <row r="66" spans="1:4" x14ac:dyDescent="0.25">
      <c r="A66" s="5" t="s">
        <v>201</v>
      </c>
      <c r="B66" s="27">
        <f>B$62/(B$54*COS(RADIANS(B56)))</f>
        <v>4.9950866983560793</v>
      </c>
      <c r="C66" s="27">
        <f>C$62/(C$54*COS(RADIANS(C56)))</f>
        <v>8.5514265429060892</v>
      </c>
    </row>
    <row r="67" spans="1:4" x14ac:dyDescent="0.25">
      <c r="A67" s="5" t="s">
        <v>133</v>
      </c>
      <c r="B67" s="27">
        <f>B62/B52</f>
        <v>3.9553706451562687</v>
      </c>
      <c r="C67" s="27">
        <f>C62/C52</f>
        <v>3.9774468133518561</v>
      </c>
    </row>
    <row r="68" spans="1:4" ht="30" x14ac:dyDescent="0.25">
      <c r="A68" s="5" t="s">
        <v>134</v>
      </c>
      <c r="B68" s="27">
        <f>B65*B40/1000</f>
        <v>0.95025165028797276</v>
      </c>
      <c r="C68" s="27">
        <f>C65*C40/1000</f>
        <v>1.5620977934128286</v>
      </c>
      <c r="D68" s="18" t="s">
        <v>168</v>
      </c>
    </row>
    <row r="69" spans="1:4" x14ac:dyDescent="0.25">
      <c r="A69" s="5" t="s">
        <v>134</v>
      </c>
      <c r="B69" s="27">
        <f>B66*B41/1000</f>
        <v>1.5834424833788772</v>
      </c>
      <c r="C69" s="27">
        <f>C66*C41/1000</f>
        <v>3.5915991480205576</v>
      </c>
      <c r="D69" s="18" t="s">
        <v>169</v>
      </c>
    </row>
    <row r="70" spans="1:4" x14ac:dyDescent="0.25">
      <c r="A70" s="5" t="s">
        <v>165</v>
      </c>
      <c r="B70" s="27">
        <f>B$34/B68</f>
        <v>2.4204114765841105</v>
      </c>
      <c r="C70" s="27">
        <f>C$34/C68</f>
        <v>1.9525025980200914</v>
      </c>
      <c r="D70" s="18" t="s">
        <v>166</v>
      </c>
    </row>
    <row r="71" spans="1:4" x14ac:dyDescent="0.25">
      <c r="A71" s="5" t="s">
        <v>165</v>
      </c>
      <c r="B71" s="27">
        <f>B$34/B69</f>
        <v>1.4525314459746428</v>
      </c>
      <c r="C71" s="27">
        <f>C$34/C69</f>
        <v>0.84920389895986859</v>
      </c>
      <c r="D71" s="18" t="s">
        <v>167</v>
      </c>
    </row>
    <row r="72" spans="1:4" ht="30" x14ac:dyDescent="0.25">
      <c r="A72" s="5" t="s">
        <v>135</v>
      </c>
      <c r="B72" s="27">
        <f>B67*B40/1000</f>
        <v>0.94928895483750442</v>
      </c>
      <c r="C72" s="27">
        <f>C67*C40/1000</f>
        <v>1.2608506398325385</v>
      </c>
      <c r="D72" s="18" t="s">
        <v>170</v>
      </c>
    </row>
    <row r="73" spans="1:4" x14ac:dyDescent="0.25">
      <c r="A73" s="5" t="s">
        <v>135</v>
      </c>
      <c r="B73" s="27">
        <f>B67*B41/1000</f>
        <v>1.2538524945145373</v>
      </c>
      <c r="C73" s="27">
        <f>C67*C41/1000</f>
        <v>1.6705276616077795</v>
      </c>
      <c r="D73" s="18" t="s">
        <v>169</v>
      </c>
    </row>
    <row r="74" spans="1:4" x14ac:dyDescent="0.25">
      <c r="A74" s="5" t="s">
        <v>171</v>
      </c>
      <c r="B74" s="27">
        <f>B$36/B72</f>
        <v>2.098263567224552</v>
      </c>
      <c r="C74" s="27">
        <f>C$36/C72</f>
        <v>2.0949170330701148</v>
      </c>
      <c r="D74" s="18" t="s">
        <v>166</v>
      </c>
    </row>
    <row r="75" spans="1:4" x14ac:dyDescent="0.25">
      <c r="A75" s="5" t="s">
        <v>171</v>
      </c>
      <c r="B75" s="27">
        <f>B$36/B73</f>
        <v>1.5885907133561274</v>
      </c>
      <c r="C75" s="27">
        <f>C$36/C73</f>
        <v>1.5811635701981583</v>
      </c>
      <c r="D75" s="18" t="s">
        <v>167</v>
      </c>
    </row>
    <row r="76" spans="1:4" x14ac:dyDescent="0.25">
      <c r="A76" s="5"/>
    </row>
    <row r="77" spans="1:4" x14ac:dyDescent="0.25">
      <c r="A77" s="5"/>
    </row>
    <row r="78" spans="1:4" x14ac:dyDescent="0.25">
      <c r="A78" s="5"/>
    </row>
    <row r="79" spans="1:4" x14ac:dyDescent="0.25">
      <c r="A79" s="5"/>
    </row>
    <row r="80" spans="1:4" x14ac:dyDescent="0.25">
      <c r="A80" s="5"/>
    </row>
    <row r="81" spans="1:2" x14ac:dyDescent="0.25">
      <c r="A81" s="5"/>
    </row>
    <row r="82" spans="1:2" x14ac:dyDescent="0.25">
      <c r="A82" s="5"/>
    </row>
    <row r="83" spans="1:2" x14ac:dyDescent="0.25">
      <c r="A83" s="5"/>
    </row>
    <row r="84" spans="1:2" x14ac:dyDescent="0.25">
      <c r="A84" s="5"/>
    </row>
    <row r="85" spans="1:2" x14ac:dyDescent="0.25">
      <c r="A85" s="5"/>
    </row>
    <row r="86" spans="1:2" x14ac:dyDescent="0.25">
      <c r="A86" s="5"/>
    </row>
    <row r="87" spans="1:2" x14ac:dyDescent="0.25">
      <c r="A87" s="5"/>
    </row>
    <row r="88" spans="1:2" x14ac:dyDescent="0.25">
      <c r="A88" s="5"/>
    </row>
    <row r="89" spans="1:2" x14ac:dyDescent="0.25">
      <c r="A89" s="5"/>
    </row>
    <row r="90" spans="1:2" ht="15.75" x14ac:dyDescent="0.25">
      <c r="A90" s="4"/>
    </row>
    <row r="96" spans="1:2" x14ac:dyDescent="0.25">
      <c r="B96" s="6"/>
    </row>
    <row r="97" spans="1:2" x14ac:dyDescent="0.25">
      <c r="B97" s="6"/>
    </row>
    <row r="99" spans="1:2" ht="18.75" x14ac:dyDescent="0.25">
      <c r="A99" s="3"/>
    </row>
  </sheetData>
  <mergeCells count="1">
    <mergeCell ref="A1:C1"/>
  </mergeCells>
  <conditionalFormatting sqref="B61:C61">
    <cfRule type="cellIs" dxfId="6" priority="6" operator="notBetween">
      <formula>$B$33-0.01*$B$33</formula>
      <formula>$B$33+0.01*$B$33</formula>
    </cfRule>
    <cfRule type="cellIs" dxfId="5" priority="7" operator="between">
      <formula>$B$33-0.01*$B$33</formula>
      <formula>$B$33+0.01*$B$33</formula>
    </cfRule>
  </conditionalFormatting>
  <conditionalFormatting sqref="B9">
    <cfRule type="cellIs" dxfId="4" priority="5" operator="greaterThan">
      <formula>$B$4</formula>
    </cfRule>
  </conditionalFormatting>
  <conditionalFormatting sqref="B64">
    <cfRule type="cellIs" dxfId="3" priority="3" operator="greaterThan">
      <formula>$B$37</formula>
    </cfRule>
    <cfRule type="cellIs" dxfId="2" priority="4" operator="lessThan">
      <formula>$B$37</formula>
    </cfRule>
  </conditionalFormatting>
  <conditionalFormatting sqref="C64">
    <cfRule type="cellIs" dxfId="1" priority="1" operator="lessThan">
      <formula>$C$37</formula>
    </cfRule>
    <cfRule type="cellIs" dxfId="0" priority="2" operator="greaterThan">
      <formula>$C$37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4E056-D7D8-41EA-9DB4-084BA6D7CE92}">
  <dimension ref="A1:J22"/>
  <sheetViews>
    <sheetView workbookViewId="0">
      <selection activeCell="F4" sqref="F4"/>
    </sheetView>
  </sheetViews>
  <sheetFormatPr defaultRowHeight="15" x14ac:dyDescent="0.25"/>
  <cols>
    <col min="1" max="1" width="46.5703125" bestFit="1" customWidth="1"/>
    <col min="2" max="2" width="12.7109375" bestFit="1" customWidth="1"/>
    <col min="3" max="5" width="11.140625" customWidth="1"/>
    <col min="6" max="6" width="12.7109375" bestFit="1" customWidth="1"/>
  </cols>
  <sheetData>
    <row r="1" spans="1:10" x14ac:dyDescent="0.25">
      <c r="A1" s="9" t="s">
        <v>62</v>
      </c>
      <c r="B1" t="s">
        <v>104</v>
      </c>
      <c r="C1" t="s">
        <v>98</v>
      </c>
      <c r="D1" t="s">
        <v>99</v>
      </c>
      <c r="F1" t="s">
        <v>105</v>
      </c>
      <c r="G1" t="s">
        <v>100</v>
      </c>
      <c r="H1" t="s">
        <v>101</v>
      </c>
      <c r="I1" t="s">
        <v>100</v>
      </c>
      <c r="J1" t="s">
        <v>101</v>
      </c>
    </row>
    <row r="2" spans="1:10" x14ac:dyDescent="0.25">
      <c r="A2" t="s">
        <v>63</v>
      </c>
      <c r="B2">
        <f>'F Lambda Specs'!B42-'F Lambda Specs'!B41</f>
        <v>77</v>
      </c>
      <c r="C2">
        <f>B2</f>
        <v>77</v>
      </c>
      <c r="D2">
        <f>B2</f>
        <v>77</v>
      </c>
      <c r="F2">
        <f>'F Lambda Specs'!C42-'F Lambda Specs'!C41</f>
        <v>103</v>
      </c>
      <c r="G2">
        <f>F2</f>
        <v>103</v>
      </c>
      <c r="H2">
        <f t="shared" ref="H2:J2" si="0">G2</f>
        <v>103</v>
      </c>
      <c r="I2">
        <f t="shared" si="0"/>
        <v>103</v>
      </c>
      <c r="J2">
        <f t="shared" si="0"/>
        <v>103</v>
      </c>
    </row>
    <row r="3" spans="1:10" x14ac:dyDescent="0.25">
      <c r="A3" t="s">
        <v>64</v>
      </c>
      <c r="B3">
        <f>('F Lambda Specs'!B42+'F Lambda Specs'!B41)/2</f>
        <v>278.5</v>
      </c>
      <c r="C3">
        <f>240</f>
        <v>240</v>
      </c>
      <c r="D3">
        <v>317</v>
      </c>
      <c r="F3">
        <f>('F Lambda Specs'!C42+'F Lambda Specs'!C41)/2</f>
        <v>368.5</v>
      </c>
      <c r="G3">
        <v>317</v>
      </c>
      <c r="H3">
        <v>420</v>
      </c>
      <c r="I3">
        <v>317</v>
      </c>
      <c r="J3">
        <v>420</v>
      </c>
    </row>
    <row r="4" spans="1:10" x14ac:dyDescent="0.25">
      <c r="A4" t="s">
        <v>65</v>
      </c>
      <c r="B4">
        <f>B3/'F Lambda Specs'!B47</f>
        <v>1.0694444444444444</v>
      </c>
      <c r="C4">
        <f>C3/'F Lambda Specs'!$B47</f>
        <v>0.92160383004189106</v>
      </c>
      <c r="D4">
        <f>D3/'F Lambda Specs'!$B47</f>
        <v>1.2172850588469979</v>
      </c>
      <c r="F4">
        <f>F3/'F Lambda Specs'!$C47</f>
        <v>1.4305555555555558</v>
      </c>
      <c r="G4">
        <f>G3/'F Lambda Specs'!$C47</f>
        <v>1.2306271671943316</v>
      </c>
      <c r="H4">
        <f>H3/'F Lambda Specs'!$C47</f>
        <v>1.63048394391678</v>
      </c>
      <c r="I4">
        <f>I3/'F Lambda Specs'!$C47</f>
        <v>1.2306271671943316</v>
      </c>
      <c r="J4">
        <f>J3/'F Lambda Specs'!$C47</f>
        <v>1.63048394391678</v>
      </c>
    </row>
    <row r="5" spans="1:10" x14ac:dyDescent="0.25">
      <c r="A5" s="13" t="s">
        <v>87</v>
      </c>
      <c r="B5">
        <v>1</v>
      </c>
      <c r="C5">
        <f>B5</f>
        <v>1</v>
      </c>
      <c r="D5">
        <f>B5</f>
        <v>1</v>
      </c>
      <c r="F5">
        <v>1</v>
      </c>
      <c r="G5">
        <f>F5</f>
        <v>1</v>
      </c>
      <c r="H5">
        <f>F5</f>
        <v>1</v>
      </c>
      <c r="I5">
        <v>2</v>
      </c>
      <c r="J5">
        <v>2</v>
      </c>
    </row>
    <row r="6" spans="1:10" x14ac:dyDescent="0.25">
      <c r="A6" s="13" t="s">
        <v>84</v>
      </c>
      <c r="B6">
        <v>11</v>
      </c>
      <c r="C6">
        <f>B6</f>
        <v>11</v>
      </c>
      <c r="D6">
        <f>B6</f>
        <v>11</v>
      </c>
      <c r="F6">
        <v>20</v>
      </c>
      <c r="G6">
        <f>F6</f>
        <v>20</v>
      </c>
      <c r="H6">
        <f>F6</f>
        <v>20</v>
      </c>
      <c r="I6">
        <f t="shared" ref="I6:J7" si="1">G6</f>
        <v>20</v>
      </c>
      <c r="J6">
        <f t="shared" si="1"/>
        <v>20</v>
      </c>
    </row>
    <row r="7" spans="1:10" x14ac:dyDescent="0.25">
      <c r="A7" s="13" t="s">
        <v>35</v>
      </c>
      <c r="B7">
        <v>3.5000000000000001E-3</v>
      </c>
      <c r="C7">
        <f>B7</f>
        <v>3.5000000000000001E-3</v>
      </c>
      <c r="D7">
        <f>B7</f>
        <v>3.5000000000000001E-3</v>
      </c>
      <c r="F7">
        <v>1.5E-3</v>
      </c>
      <c r="G7">
        <f>F7</f>
        <v>1.5E-3</v>
      </c>
      <c r="H7">
        <f>F7</f>
        <v>1.5E-3</v>
      </c>
      <c r="I7">
        <f t="shared" si="1"/>
        <v>1.5E-3</v>
      </c>
      <c r="J7">
        <f t="shared" si="1"/>
        <v>1.5E-3</v>
      </c>
    </row>
    <row r="8" spans="1:10" x14ac:dyDescent="0.25">
      <c r="A8" t="s">
        <v>85</v>
      </c>
      <c r="B8">
        <f>ASIN(SIN(RADIANS(B6))-B5*B7*B3)*180/PI()</f>
        <v>-51.622839948676457</v>
      </c>
      <c r="C8">
        <f>ASIN(SIN(RADIANS(C6))-C5*C7*C3)*180/PI()</f>
        <v>-40.480634825182776</v>
      </c>
      <c r="D8">
        <f>ASIN(SIN(RADIANS(D6))-D5*D7*D3)*180/PI()</f>
        <v>-66.735459789885041</v>
      </c>
      <c r="F8">
        <f>ASIN(SIN(RADIANS(F6))-F5*F7*F3)*180/PI()</f>
        <v>-12.165127129492888</v>
      </c>
      <c r="G8">
        <f>ASIN(SIN(RADIANS(G6))-G5*G7*G3)*180/PI()</f>
        <v>-7.6707265477615758</v>
      </c>
      <c r="H8">
        <f>ASIN(SIN(RADIANS(H6))-H5*H7*H3)*180/PI()</f>
        <v>-16.737051574192375</v>
      </c>
      <c r="I8">
        <f>ASIN(SIN(RADIANS(I6))-I5*I7*I3)*180/PI()</f>
        <v>-37.515776458156438</v>
      </c>
      <c r="J8">
        <f>ASIN(SIN(RADIANS(J6))-J5*J7*J3)*180/PI()</f>
        <v>-66.632514973334494</v>
      </c>
    </row>
    <row r="9" spans="1:10" x14ac:dyDescent="0.25">
      <c r="A9" t="s">
        <v>86</v>
      </c>
      <c r="B9">
        <f>B6+B8</f>
        <v>-40.622839948676457</v>
      </c>
      <c r="C9">
        <f t="shared" ref="C9:D9" si="2">C6+C8</f>
        <v>-29.480634825182776</v>
      </c>
      <c r="D9">
        <f t="shared" si="2"/>
        <v>-55.735459789885041</v>
      </c>
      <c r="F9">
        <f>F6+F8</f>
        <v>7.8348728705071125</v>
      </c>
      <c r="G9">
        <f t="shared" ref="G9:H9" si="3">G6+G8</f>
        <v>12.329273452238425</v>
      </c>
      <c r="H9">
        <f t="shared" si="3"/>
        <v>3.2629484258076253</v>
      </c>
      <c r="I9">
        <f t="shared" ref="I9:J9" si="4">I6+I8</f>
        <v>-17.515776458156438</v>
      </c>
      <c r="J9">
        <f t="shared" si="4"/>
        <v>-46.632514973334494</v>
      </c>
    </row>
    <row r="10" spans="1:10" x14ac:dyDescent="0.25">
      <c r="A10" t="s">
        <v>88</v>
      </c>
      <c r="B10">
        <f>('F Lambda Specs'!$B39*COS(RADIANS(B8)))/(B7*B2)</f>
        <v>331.7264818487248</v>
      </c>
      <c r="C10">
        <f>B10</f>
        <v>331.7264818487248</v>
      </c>
      <c r="D10">
        <f>B10</f>
        <v>331.7264818487248</v>
      </c>
      <c r="F10">
        <f>('F Lambda Specs'!$C39*COS(RADIANS(F8)))/(F7*F2)</f>
        <v>911.10928340018359</v>
      </c>
      <c r="G10">
        <f>F10</f>
        <v>911.10928340018359</v>
      </c>
      <c r="H10">
        <f>F10</f>
        <v>911.10928340018359</v>
      </c>
      <c r="I10">
        <f t="shared" ref="I10:J12" si="5">G10</f>
        <v>911.10928340018359</v>
      </c>
      <c r="J10">
        <f t="shared" si="5"/>
        <v>911.10928340018359</v>
      </c>
    </row>
    <row r="11" spans="1:10" x14ac:dyDescent="0.25">
      <c r="A11" s="13" t="s">
        <v>89</v>
      </c>
      <c r="B11">
        <v>1</v>
      </c>
      <c r="C11">
        <f>B11</f>
        <v>1</v>
      </c>
      <c r="D11">
        <f>B11</f>
        <v>1</v>
      </c>
      <c r="F11">
        <v>1</v>
      </c>
      <c r="G11">
        <f>F11</f>
        <v>1</v>
      </c>
      <c r="H11">
        <f>F11</f>
        <v>1</v>
      </c>
      <c r="I11">
        <f t="shared" si="5"/>
        <v>1</v>
      </c>
      <c r="J11">
        <f t="shared" si="5"/>
        <v>1</v>
      </c>
    </row>
    <row r="12" spans="1:10" x14ac:dyDescent="0.25">
      <c r="A12" t="s">
        <v>90</v>
      </c>
      <c r="B12">
        <f>B10*COS(RADIANS(B6))/(B11*COS(RADIANS(B8)))</f>
        <v>524.50580488483706</v>
      </c>
      <c r="C12">
        <f>B12</f>
        <v>524.50580488483706</v>
      </c>
      <c r="D12">
        <f>B12</f>
        <v>524.50580488483706</v>
      </c>
      <c r="F12">
        <f>F10*COS(RADIANS(F6))/(F11*COS(RADIANS(F8)))</f>
        <v>875.8300154897787</v>
      </c>
      <c r="G12">
        <f>F12</f>
        <v>875.8300154897787</v>
      </c>
      <c r="H12">
        <f>F12</f>
        <v>875.8300154897787</v>
      </c>
      <c r="I12">
        <f t="shared" si="5"/>
        <v>875.8300154897787</v>
      </c>
      <c r="J12">
        <f t="shared" si="5"/>
        <v>875.8300154897787</v>
      </c>
    </row>
    <row r="13" spans="1:10" x14ac:dyDescent="0.25">
      <c r="A13" t="s">
        <v>91</v>
      </c>
      <c r="B13">
        <f>B7*B4*B12/COS(RADIANS(B6))</f>
        <v>1.9999999999999996</v>
      </c>
      <c r="C13">
        <f>B13</f>
        <v>1.9999999999999996</v>
      </c>
      <c r="D13">
        <f>B13</f>
        <v>1.9999999999999996</v>
      </c>
      <c r="F13">
        <f>F7*F4*F12/COS(RADIANS(F6))</f>
        <v>2.0000000000000004</v>
      </c>
      <c r="G13">
        <f t="shared" ref="G13:H13" si="6">G7*G4*G12/COS(RADIANS(G6))</f>
        <v>1.7204884667571239</v>
      </c>
      <c r="H13">
        <f t="shared" si="6"/>
        <v>2.2795115332428773</v>
      </c>
      <c r="I13">
        <f t="shared" ref="I13:J13" si="7">I7*I4*I12/COS(RADIANS(I6))</f>
        <v>1.7204884667571239</v>
      </c>
      <c r="J13">
        <f t="shared" si="7"/>
        <v>2.2795115332428773</v>
      </c>
    </row>
    <row r="15" spans="1:10" x14ac:dyDescent="0.25">
      <c r="A15" s="9" t="s">
        <v>92</v>
      </c>
    </row>
    <row r="16" spans="1:10" x14ac:dyDescent="0.25">
      <c r="A16" s="13" t="s">
        <v>102</v>
      </c>
      <c r="B16">
        <v>3</v>
      </c>
      <c r="C16">
        <f>B16</f>
        <v>3</v>
      </c>
      <c r="D16">
        <f>B16</f>
        <v>3</v>
      </c>
      <c r="F16">
        <v>3</v>
      </c>
      <c r="G16">
        <f>F16</f>
        <v>3</v>
      </c>
      <c r="H16">
        <f>F16</f>
        <v>3</v>
      </c>
      <c r="I16">
        <f t="shared" ref="I16:J16" si="8">G16</f>
        <v>3</v>
      </c>
      <c r="J16">
        <f t="shared" si="8"/>
        <v>3</v>
      </c>
    </row>
    <row r="17" spans="1:10" x14ac:dyDescent="0.25">
      <c r="A17" s="11" t="s">
        <v>93</v>
      </c>
      <c r="B17">
        <f>B12/B16</f>
        <v>174.83526829494568</v>
      </c>
      <c r="C17">
        <f t="shared" ref="C17:D17" si="9">C12/C16</f>
        <v>174.83526829494568</v>
      </c>
      <c r="D17">
        <f t="shared" si="9"/>
        <v>174.83526829494568</v>
      </c>
      <c r="F17">
        <f>F12/F16</f>
        <v>291.9433384965929</v>
      </c>
      <c r="G17">
        <f t="shared" ref="G17:H17" si="10">G12/G16</f>
        <v>291.9433384965929</v>
      </c>
      <c r="H17">
        <f t="shared" si="10"/>
        <v>291.9433384965929</v>
      </c>
      <c r="I17">
        <f t="shared" ref="I17:J17" si="11">I12/I16</f>
        <v>291.9433384965929</v>
      </c>
      <c r="J17">
        <f t="shared" si="11"/>
        <v>291.9433384965929</v>
      </c>
    </row>
    <row r="18" spans="1:10" x14ac:dyDescent="0.25">
      <c r="A18" s="11" t="s">
        <v>103</v>
      </c>
      <c r="B18">
        <f>B10/(B17*COS(RADIANS(B8)))</f>
        <v>3.0561500848656427</v>
      </c>
      <c r="C18">
        <f>C10/(C17*COS(RADIANS(C8)))</f>
        <v>2.4944813388969957</v>
      </c>
      <c r="D18">
        <f t="shared" ref="D18" si="12">D10/(D17*COS(RADIANS(D8)))</f>
        <v>4.8037376526865314</v>
      </c>
      <c r="F18">
        <f>F10/(F17*COS(RADIANS(F8)))</f>
        <v>3.1925333174277362</v>
      </c>
      <c r="G18">
        <f>G10/(G17*COS(RADIANS(G8)))</f>
        <v>3.1490217983705171</v>
      </c>
      <c r="H18">
        <f t="shared" ref="H18:J18" si="13">H10/(H17*COS(RADIANS(H8)))</f>
        <v>3.2589014397669955</v>
      </c>
      <c r="I18">
        <f>I10/(I17*COS(RADIANS(I8)))</f>
        <v>3.9345677949671658</v>
      </c>
      <c r="J18">
        <f t="shared" si="13"/>
        <v>7.8684577804757119</v>
      </c>
    </row>
    <row r="19" spans="1:10" x14ac:dyDescent="0.25">
      <c r="A19" s="11" t="s">
        <v>94</v>
      </c>
      <c r="B19">
        <f>1/(2*B18)</f>
        <v>0.16360453057461066</v>
      </c>
      <c r="C19">
        <f t="shared" ref="C19:D19" si="14">1/(2*C18)</f>
        <v>0.20044246962420209</v>
      </c>
      <c r="D19">
        <f t="shared" si="14"/>
        <v>0.10408561752334054</v>
      </c>
      <c r="F19">
        <f>1/(2*F18)</f>
        <v>0.15661543679765141</v>
      </c>
      <c r="G19">
        <f t="shared" ref="G19:H19" si="15">1/(2*G18)</f>
        <v>0.15877946613730284</v>
      </c>
      <c r="H19">
        <f t="shared" si="15"/>
        <v>0.15342593485605657</v>
      </c>
      <c r="I19">
        <f t="shared" ref="I19:J19" si="16">1/(2*I18)</f>
        <v>0.12707876088437625</v>
      </c>
      <c r="J19">
        <f t="shared" si="16"/>
        <v>6.3544853890004721E-2</v>
      </c>
    </row>
    <row r="20" spans="1:10" x14ac:dyDescent="0.25">
      <c r="A20" s="11" t="s">
        <v>95</v>
      </c>
      <c r="B20">
        <f>DEGREES(ASIN(B19))</f>
        <v>9.4161784040492922</v>
      </c>
      <c r="C20">
        <f t="shared" ref="C20:D20" si="17">DEGREES(ASIN(C19))</f>
        <v>11.562834637669358</v>
      </c>
      <c r="D20">
        <f t="shared" si="17"/>
        <v>5.9744876413892474</v>
      </c>
      <c r="F20">
        <f>DEGREES(ASIN(F19))</f>
        <v>9.0104983201709938</v>
      </c>
      <c r="G20">
        <f t="shared" ref="G20:H20" si="18">DEGREES(ASIN(G19))</f>
        <v>9.1360591781255458</v>
      </c>
      <c r="H20">
        <f t="shared" si="18"/>
        <v>8.825517037693146</v>
      </c>
      <c r="I20">
        <f t="shared" ref="I20:J20" si="19">DEGREES(ASIN(I19))</f>
        <v>7.3008174930658951</v>
      </c>
      <c r="J20">
        <f t="shared" si="19"/>
        <v>3.643306662794592</v>
      </c>
    </row>
    <row r="21" spans="1:10" x14ac:dyDescent="0.25">
      <c r="A21" s="11" t="s">
        <v>96</v>
      </c>
      <c r="B21">
        <f>1.028*B3*B11*B2/(2*'F Lambda Specs'!$B39*1000*TAN(RADIANS(B20)))</f>
        <v>0.4615616987739467</v>
      </c>
      <c r="C21">
        <f>1.028*C3*C11*C2/(2*'F Lambda Specs'!$B39*1000*TAN(RADIANS(C20)))</f>
        <v>0.32240991088775373</v>
      </c>
      <c r="D21">
        <f>1.028*D3*D11*D2/(2*'F Lambda Specs'!$B39*1000*TAN(RADIANS(D20)))</f>
        <v>0.83251970503534667</v>
      </c>
      <c r="F21">
        <f>1.028*F3*F11*F2/(2*'F Lambda Specs'!$C39*1000*TAN(RADIANS(F20)))</f>
        <v>0.85437413801760664</v>
      </c>
      <c r="G21">
        <f>1.028*G3*G11*G2/(2*'F Lambda Specs'!$C39*1000*TAN(RADIANS(G20)))</f>
        <v>0.72469973812544619</v>
      </c>
      <c r="H21">
        <f>1.028*H3*H11*H2/(2*'F Lambda Specs'!$C39*1000*TAN(RADIANS(H20)))</f>
        <v>0.99452498871840611</v>
      </c>
      <c r="I21">
        <f>1.028*I3*I11*I2/(2*'F Lambda Specs'!$C39*1000*TAN(RADIANS(I20)))</f>
        <v>0.90968033301725726</v>
      </c>
      <c r="J21">
        <f>1.028*J3*J11*J2/(2*'F Lambda Specs'!$C39*1000*TAN(RADIANS(J20)))</f>
        <v>2.4250916267360467</v>
      </c>
    </row>
    <row r="22" spans="1:10" x14ac:dyDescent="0.25">
      <c r="A22" s="11" t="s">
        <v>97</v>
      </c>
      <c r="B22">
        <f>0.84*B3*COS(RADIANS(B6))/(2*B7*TAN(RADIANS(B20))*B12*1000)</f>
        <v>0.37715158265575416</v>
      </c>
      <c r="C22">
        <f t="shared" ref="C22:D22" si="20">0.84*C3*COS(RADIANS(C6))/(2*C7*TAN(RADIANS(C20))*C12*1000)</f>
        <v>0.26344778710672484</v>
      </c>
      <c r="D22">
        <f t="shared" si="20"/>
        <v>0.68026901967868791</v>
      </c>
      <c r="F22">
        <f>0.84*F3*COS(RADIANS(F6))/(2*F7*TAN(RADIANS(F20))*F12*1000)</f>
        <v>0.69812672756302474</v>
      </c>
      <c r="G22">
        <f>0.84*G3*COS(RADIANS(G6))/(2*G7*TAN(RADIANS(G20))*G12*1000)</f>
        <v>0.59216710119199878</v>
      </c>
      <c r="H22">
        <f>0.84*H3*COS(RADIANS(H6))/(2*H7*TAN(RADIANS(H20))*H12*1000)</f>
        <v>0.81264687794111012</v>
      </c>
      <c r="I22">
        <f>0.84*I3*COS(RADIANS(I6))/(2*I7*TAN(RADIANS(I20))*I12*1000)</f>
        <v>0.74331856005301156</v>
      </c>
      <c r="J22">
        <f>0.84*J3*COS(RADIANS(J6))/(2*J7*TAN(RADIANS(J20))*J12*1000)</f>
        <v>1.9815923798232293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BC1A-9204-4998-A370-164D2EA3BD77}">
  <dimension ref="A1:H58"/>
  <sheetViews>
    <sheetView topLeftCell="A22" workbookViewId="0">
      <selection activeCell="B23" sqref="B23"/>
    </sheetView>
  </sheetViews>
  <sheetFormatPr defaultRowHeight="15" x14ac:dyDescent="0.25"/>
  <cols>
    <col min="1" max="1" width="32.85546875" customWidth="1"/>
    <col min="2" max="2" width="13.5703125" bestFit="1" customWidth="1"/>
    <col min="3" max="3" width="20.7109375" bestFit="1" customWidth="1"/>
    <col min="4" max="4" width="12" bestFit="1" customWidth="1"/>
    <col min="6" max="6" width="11.42578125" bestFit="1" customWidth="1"/>
    <col min="7" max="7" width="14.140625" bestFit="1" customWidth="1"/>
    <col min="8" max="8" width="14" bestFit="1" customWidth="1"/>
  </cols>
  <sheetData>
    <row r="1" spans="1:8" ht="21" x14ac:dyDescent="0.35">
      <c r="A1" s="29" t="s">
        <v>53</v>
      </c>
      <c r="B1" s="29"/>
      <c r="C1" s="29"/>
      <c r="D1" s="1"/>
    </row>
    <row r="2" spans="1:8" ht="21" x14ac:dyDescent="0.35">
      <c r="A2" s="3" t="s">
        <v>1</v>
      </c>
      <c r="B2" s="2"/>
      <c r="C2" s="2" t="s">
        <v>4</v>
      </c>
      <c r="D2" s="1"/>
    </row>
    <row r="3" spans="1:8" x14ac:dyDescent="0.25">
      <c r="A3" t="s">
        <v>0</v>
      </c>
      <c r="C3">
        <v>2000</v>
      </c>
    </row>
    <row r="4" spans="1:8" x14ac:dyDescent="0.25">
      <c r="A4" t="s">
        <v>3</v>
      </c>
      <c r="B4">
        <f>B5/C3</f>
        <v>3.5</v>
      </c>
    </row>
    <row r="5" spans="1:8" x14ac:dyDescent="0.25">
      <c r="A5" t="s">
        <v>26</v>
      </c>
      <c r="B5">
        <v>7000</v>
      </c>
    </row>
    <row r="6" spans="1:8" x14ac:dyDescent="0.25">
      <c r="A6" t="s">
        <v>27</v>
      </c>
      <c r="B6">
        <f>2*B5*TAN(RADIANS(C15)/2)</f>
        <v>27.562393169224144</v>
      </c>
    </row>
    <row r="7" spans="1:8" x14ac:dyDescent="0.25">
      <c r="A7" t="s">
        <v>8</v>
      </c>
      <c r="B7">
        <v>240</v>
      </c>
      <c r="C7">
        <v>317</v>
      </c>
    </row>
    <row r="8" spans="1:8" x14ac:dyDescent="0.25">
      <c r="A8" t="s">
        <v>8</v>
      </c>
      <c r="B8">
        <v>317</v>
      </c>
      <c r="C8">
        <v>420</v>
      </c>
    </row>
    <row r="9" spans="1:8" x14ac:dyDescent="0.25">
      <c r="A9" t="s">
        <v>28</v>
      </c>
      <c r="B9">
        <v>1</v>
      </c>
    </row>
    <row r="10" spans="1:8" x14ac:dyDescent="0.25">
      <c r="A10" t="s">
        <v>14</v>
      </c>
      <c r="B10">
        <v>800</v>
      </c>
    </row>
    <row r="12" spans="1:8" ht="18.75" x14ac:dyDescent="0.25">
      <c r="A12" s="3" t="s">
        <v>2</v>
      </c>
      <c r="B12" s="30" t="s">
        <v>29</v>
      </c>
      <c r="C12" s="30"/>
      <c r="D12">
        <v>1.5</v>
      </c>
      <c r="F12" s="30" t="s">
        <v>57</v>
      </c>
      <c r="G12" s="30"/>
    </row>
    <row r="13" spans="1:8" x14ac:dyDescent="0.25">
      <c r="A13" s="5" t="s">
        <v>55</v>
      </c>
      <c r="B13">
        <f>$B$31/(D12*B7/1000)</f>
        <v>5.5555555555555554</v>
      </c>
      <c r="C13">
        <f>$C$31/(D12*C7/1000)</f>
        <v>4.2060988433228186</v>
      </c>
      <c r="D13" s="7"/>
      <c r="F13" t="s">
        <v>58</v>
      </c>
      <c r="G13" t="s">
        <v>59</v>
      </c>
      <c r="H13" t="s">
        <v>60</v>
      </c>
    </row>
    <row r="14" spans="1:8" x14ac:dyDescent="0.25">
      <c r="A14" s="5" t="s">
        <v>56</v>
      </c>
      <c r="B14">
        <f>$B$31/($D$12*B8/1000)</f>
        <v>4.2060988433228186</v>
      </c>
      <c r="C14">
        <f>$C$31/($D$12*C8/1000)</f>
        <v>3.1746031746031744</v>
      </c>
      <c r="D14" s="7"/>
      <c r="F14">
        <v>0</v>
      </c>
      <c r="G14">
        <f>$B$22*TAN(RADIANS(F14))</f>
        <v>0</v>
      </c>
      <c r="H14">
        <f>$C$22*TAN(RADIANS(F14))</f>
        <v>0</v>
      </c>
    </row>
    <row r="15" spans="1:8" x14ac:dyDescent="0.25">
      <c r="A15" s="5" t="s">
        <v>41</v>
      </c>
      <c r="B15">
        <f>ATAN(B18/2/B16)*180/PI()</f>
        <v>0.2043302074581366</v>
      </c>
      <c r="C15">
        <f>ATAN(C18/2/C16)*180/PI()</f>
        <v>0.22560096593883994</v>
      </c>
      <c r="D15" s="7"/>
      <c r="F15">
        <v>0.124</v>
      </c>
      <c r="G15">
        <f>$B$22*TAN(RADIANS(F15))</f>
        <v>17.551756492721747</v>
      </c>
      <c r="H15">
        <f t="shared" ref="H15:H18" si="0">$C$22*TAN(RADIANS(F15))</f>
        <v>18.027883056026159</v>
      </c>
    </row>
    <row r="16" spans="1:8" x14ac:dyDescent="0.25">
      <c r="A16" s="5" t="s">
        <v>26</v>
      </c>
      <c r="B16">
        <f>B14*C3</f>
        <v>8412.1976866456371</v>
      </c>
      <c r="C16">
        <f>C14*C3</f>
        <v>6349.2063492063489</v>
      </c>
      <c r="D16" s="7"/>
      <c r="F16">
        <f>F15*2</f>
        <v>0.248</v>
      </c>
      <c r="G16">
        <f t="shared" ref="G16:G18" si="1">$B$22*TAN(RADIANS(F16))</f>
        <v>35.10367740447149</v>
      </c>
      <c r="H16">
        <f t="shared" si="0"/>
        <v>36.055934991275898</v>
      </c>
    </row>
    <row r="17" spans="1:8" x14ac:dyDescent="0.25">
      <c r="A17" s="5" t="s">
        <v>30</v>
      </c>
      <c r="B17">
        <f>ATAN(B8/1000/$C$3)*180/PI()</f>
        <v>9.0813809767753082E-3</v>
      </c>
      <c r="C17">
        <f>ATAN(C7/1000/$C$3)*180/PI()</f>
        <v>9.0813809767753082E-3</v>
      </c>
      <c r="D17" s="7" t="s">
        <v>61</v>
      </c>
      <c r="F17">
        <f>F15*-1</f>
        <v>-0.124</v>
      </c>
      <c r="G17">
        <f t="shared" si="1"/>
        <v>-17.551756492721747</v>
      </c>
      <c r="H17">
        <f t="shared" si="0"/>
        <v>-18.027883056026159</v>
      </c>
    </row>
    <row r="18" spans="1:8" x14ac:dyDescent="0.25">
      <c r="A18" s="5" t="s">
        <v>45</v>
      </c>
      <c r="B18">
        <f>B29*B31</f>
        <v>60</v>
      </c>
      <c r="C18">
        <f>C29*C31</f>
        <v>50</v>
      </c>
      <c r="D18" s="7">
        <f>B18/2</f>
        <v>30</v>
      </c>
      <c r="E18" s="7">
        <f>C18/2</f>
        <v>25</v>
      </c>
      <c r="F18">
        <f>F17*2</f>
        <v>-0.248</v>
      </c>
      <c r="G18">
        <f t="shared" si="1"/>
        <v>-35.10367740447149</v>
      </c>
      <c r="H18">
        <f t="shared" si="0"/>
        <v>-36.055934991275898</v>
      </c>
    </row>
    <row r="19" spans="1:8" x14ac:dyDescent="0.25">
      <c r="A19" s="5" t="s">
        <v>46</v>
      </c>
      <c r="B19">
        <f>B30*B31</f>
        <v>144</v>
      </c>
      <c r="C19">
        <f>C30*C31</f>
        <v>144</v>
      </c>
      <c r="D19" s="7">
        <f>B19/2</f>
        <v>72</v>
      </c>
      <c r="E19" s="7">
        <f>C19/2</f>
        <v>72</v>
      </c>
    </row>
    <row r="20" spans="1:8" x14ac:dyDescent="0.25">
      <c r="A20" s="8" t="s">
        <v>43</v>
      </c>
      <c r="D20" s="7"/>
    </row>
    <row r="21" spans="1:8" x14ac:dyDescent="0.25">
      <c r="A21" s="5" t="s">
        <v>3</v>
      </c>
      <c r="B21">
        <v>4.37</v>
      </c>
      <c r="C21">
        <v>3.64</v>
      </c>
      <c r="D21" s="7"/>
    </row>
    <row r="22" spans="1:8" x14ac:dyDescent="0.25">
      <c r="A22" s="5" t="s">
        <v>26</v>
      </c>
      <c r="B22">
        <v>8110</v>
      </c>
      <c r="C22">
        <v>8330</v>
      </c>
      <c r="D22" s="7"/>
      <c r="E22">
        <f>B22/C3</f>
        <v>4.0549999999999997</v>
      </c>
    </row>
    <row r="23" spans="1:8" x14ac:dyDescent="0.25">
      <c r="A23" s="5" t="s">
        <v>42</v>
      </c>
      <c r="B23">
        <f>DEGREES(ATAN(B18/2/B22))</f>
        <v>0.21194396366507745</v>
      </c>
      <c r="C23">
        <f>DEGREES(ATAN(C18/2/C22))</f>
        <v>0.17195560470912674</v>
      </c>
      <c r="D23" s="7">
        <f>C23/2</f>
        <v>8.5977802354563371E-2</v>
      </c>
    </row>
    <row r="24" spans="1:8" x14ac:dyDescent="0.25">
      <c r="A24" s="5"/>
      <c r="D24" s="7"/>
    </row>
    <row r="25" spans="1:8" ht="15.75" x14ac:dyDescent="0.25">
      <c r="A25" s="4" t="s">
        <v>10</v>
      </c>
    </row>
    <row r="26" spans="1:8" ht="18.75" x14ac:dyDescent="0.25">
      <c r="A26" s="3"/>
      <c r="B26" t="s">
        <v>5</v>
      </c>
      <c r="C26" t="s">
        <v>6</v>
      </c>
    </row>
    <row r="27" spans="1:8" x14ac:dyDescent="0.25">
      <c r="A27" t="s">
        <v>7</v>
      </c>
      <c r="B27">
        <v>419</v>
      </c>
      <c r="C27">
        <v>669</v>
      </c>
    </row>
    <row r="28" spans="1:8" x14ac:dyDescent="0.25">
      <c r="A28" t="s">
        <v>18</v>
      </c>
    </row>
    <row r="29" spans="1:8" x14ac:dyDescent="0.25">
      <c r="A29" s="5" t="s">
        <v>37</v>
      </c>
      <c r="B29">
        <v>30</v>
      </c>
      <c r="C29">
        <v>25</v>
      </c>
    </row>
    <row r="30" spans="1:8" x14ac:dyDescent="0.25">
      <c r="A30" s="5" t="s">
        <v>38</v>
      </c>
      <c r="B30">
        <v>72</v>
      </c>
      <c r="C30">
        <v>72</v>
      </c>
    </row>
    <row r="31" spans="1:8" x14ac:dyDescent="0.25">
      <c r="A31" s="5" t="s">
        <v>15</v>
      </c>
      <c r="B31">
        <v>2</v>
      </c>
      <c r="C31">
        <v>2</v>
      </c>
    </row>
    <row r="32" spans="1:8" x14ac:dyDescent="0.25">
      <c r="A32" s="5" t="s">
        <v>33</v>
      </c>
      <c r="B32">
        <v>1</v>
      </c>
      <c r="C32">
        <v>1</v>
      </c>
    </row>
    <row r="33" spans="1:3" x14ac:dyDescent="0.25">
      <c r="A33" s="5" t="s">
        <v>49</v>
      </c>
      <c r="B33">
        <v>65.596000000000004</v>
      </c>
      <c r="C33">
        <v>75.263999999999996</v>
      </c>
    </row>
    <row r="34" spans="1:3" x14ac:dyDescent="0.25">
      <c r="A34" s="5" t="s">
        <v>32</v>
      </c>
      <c r="B34">
        <f>B33*2*B35*1000</f>
        <v>524.76800000000003</v>
      </c>
      <c r="C34">
        <f>C33*2*C35*1000</f>
        <v>489.21599999999995</v>
      </c>
    </row>
    <row r="35" spans="1:3" x14ac:dyDescent="0.25">
      <c r="A35" s="5" t="s">
        <v>35</v>
      </c>
      <c r="B35">
        <v>4.0000000000000001E-3</v>
      </c>
      <c r="C35">
        <v>3.2499999999999999E-3</v>
      </c>
    </row>
    <row r="36" spans="1:3" x14ac:dyDescent="0.25">
      <c r="A36" s="5" t="s">
        <v>36</v>
      </c>
      <c r="B36">
        <f>B33/B34*1000</f>
        <v>125</v>
      </c>
      <c r="C36">
        <f>C33/C34*1000</f>
        <v>153.84615384615387</v>
      </c>
    </row>
    <row r="37" spans="1:3" x14ac:dyDescent="0.25">
      <c r="A37" s="5" t="s">
        <v>39</v>
      </c>
      <c r="B37">
        <v>30</v>
      </c>
      <c r="C37">
        <v>35</v>
      </c>
    </row>
    <row r="38" spans="1:3" x14ac:dyDescent="0.25">
      <c r="A38" s="5" t="s">
        <v>40</v>
      </c>
      <c r="B38">
        <f>ASIN(SIN(RADIANS(B37))-B32*B7*B35)*180/PI()-ASIN(SIN(RADIANS(B37))-B32*B8*B35)*180/PI()</f>
        <v>22.787521236564015</v>
      </c>
      <c r="C38">
        <f>ASIN(SIN(RADIANS(C37))-C32*C7*C35)*180/PI()-ASIN(SIN(RADIANS(C37))-C32*C8*C35)*180/PI()</f>
        <v>25.146079373933173</v>
      </c>
    </row>
    <row r="39" spans="1:3" x14ac:dyDescent="0.25">
      <c r="A39" s="5" t="s">
        <v>54</v>
      </c>
    </row>
    <row r="40" spans="1:3" x14ac:dyDescent="0.25">
      <c r="A40" s="5" t="s">
        <v>44</v>
      </c>
      <c r="B40">
        <v>450</v>
      </c>
      <c r="C40">
        <v>325</v>
      </c>
    </row>
    <row r="41" spans="1:3" x14ac:dyDescent="0.25">
      <c r="A41" s="5" t="s">
        <v>48</v>
      </c>
      <c r="B41">
        <f>ASIN(SIN(RADIANS(B37))-B32*B8*B35)*180/PI()</f>
        <v>-50.174628739217923</v>
      </c>
      <c r="C41">
        <f>ASIN(SIN(RADIANS(C37))-C32*C8*C35)*180/PI()</f>
        <v>-52.318745434843741</v>
      </c>
    </row>
    <row r="42" spans="1:3" x14ac:dyDescent="0.25">
      <c r="A42" s="5" t="s">
        <v>47</v>
      </c>
      <c r="B42">
        <f>B40*TAN(RADIANS(B38/2))*2</f>
        <v>181.36984200164463</v>
      </c>
      <c r="C42">
        <f>C40*TAN(RADIANS(C38/2))*2</f>
        <v>144.97111081477917</v>
      </c>
    </row>
    <row r="43" spans="1:3" x14ac:dyDescent="0.25">
      <c r="A43" s="5" t="s">
        <v>50</v>
      </c>
      <c r="B43">
        <f>B40/(2*COS(RADIANS(B41))*$B$33)</f>
        <v>5.3557468141770652</v>
      </c>
      <c r="C43">
        <f>C40/(2*COS(RADIANS(C41))*$B$33)</f>
        <v>4.0526980308760416</v>
      </c>
    </row>
    <row r="44" spans="1:3" x14ac:dyDescent="0.25">
      <c r="A44" s="5" t="s">
        <v>34</v>
      </c>
      <c r="B44">
        <f>B7/B32</f>
        <v>240</v>
      </c>
      <c r="C44">
        <f>C8/C32</f>
        <v>420</v>
      </c>
    </row>
    <row r="45" spans="1:3" x14ac:dyDescent="0.25">
      <c r="A45" s="5" t="s">
        <v>21</v>
      </c>
    </row>
    <row r="46" spans="1:3" x14ac:dyDescent="0.25">
      <c r="A46" s="5" t="s">
        <v>22</v>
      </c>
      <c r="B46">
        <f>2*B5*TAN(B15/2*PI()/180)</f>
        <v>24.963670627393729</v>
      </c>
      <c r="C46">
        <f>2*B5*TAN(C15/2*PI()/180)</f>
        <v>27.562393169224144</v>
      </c>
    </row>
    <row r="47" spans="1:3" x14ac:dyDescent="0.25">
      <c r="A47" s="5" t="s">
        <v>23</v>
      </c>
      <c r="B47">
        <f>2*B4*B7/1000</f>
        <v>1.68</v>
      </c>
      <c r="C47">
        <f>2*B4*C7/1000</f>
        <v>2.2189999999999999</v>
      </c>
    </row>
    <row r="48" spans="1:3" ht="15.75" x14ac:dyDescent="0.25">
      <c r="A48" s="4" t="s">
        <v>11</v>
      </c>
    </row>
    <row r="49" spans="1:3" x14ac:dyDescent="0.25">
      <c r="A49" t="s">
        <v>9</v>
      </c>
    </row>
    <row r="50" spans="1:3" x14ac:dyDescent="0.25">
      <c r="A50" t="s">
        <v>20</v>
      </c>
    </row>
    <row r="51" spans="1:3" x14ac:dyDescent="0.25">
      <c r="A51" t="s">
        <v>12</v>
      </c>
    </row>
    <row r="52" spans="1:3" x14ac:dyDescent="0.25">
      <c r="A52" t="s">
        <v>31</v>
      </c>
      <c r="B52">
        <f>B34*B32</f>
        <v>524.76800000000003</v>
      </c>
      <c r="C52">
        <f>C34*C32</f>
        <v>489.21599999999995</v>
      </c>
    </row>
    <row r="53" spans="1:3" x14ac:dyDescent="0.25">
      <c r="A53" t="s">
        <v>13</v>
      </c>
    </row>
    <row r="54" spans="1:3" x14ac:dyDescent="0.25">
      <c r="A54" t="s">
        <v>19</v>
      </c>
      <c r="B54" s="6">
        <v>2.5000000000000001E-2</v>
      </c>
    </row>
    <row r="55" spans="1:3" x14ac:dyDescent="0.25">
      <c r="A55" t="s">
        <v>51</v>
      </c>
      <c r="B55" s="6" t="s">
        <v>52</v>
      </c>
    </row>
    <row r="57" spans="1:3" ht="18.75" x14ac:dyDescent="0.25">
      <c r="A57" s="3" t="s">
        <v>24</v>
      </c>
      <c r="B57" t="s">
        <v>17</v>
      </c>
      <c r="C57" t="s">
        <v>16</v>
      </c>
    </row>
    <row r="58" spans="1:3" x14ac:dyDescent="0.25">
      <c r="A58" t="s">
        <v>25</v>
      </c>
      <c r="B58">
        <f>C58/60</f>
        <v>0.16666666666666666</v>
      </c>
      <c r="C58">
        <v>10</v>
      </c>
    </row>
  </sheetData>
  <mergeCells count="3">
    <mergeCell ref="A1:C1"/>
    <mergeCell ref="B12:C12"/>
    <mergeCell ref="F12:G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Spectrometer Design</vt:lpstr>
      <vt:lpstr>Telescope Design</vt:lpstr>
      <vt:lpstr>F Lambda Specs</vt:lpstr>
      <vt:lpstr>ResPow Specs</vt:lpstr>
      <vt:lpstr>Ibsen Spectrometer Design</vt:lpstr>
      <vt:lpstr>Old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OptAI</dc:creator>
  <cp:lastModifiedBy>Isaac</cp:lastModifiedBy>
  <dcterms:created xsi:type="dcterms:W3CDTF">2018-12-19T13:58:21Z</dcterms:created>
  <dcterms:modified xsi:type="dcterms:W3CDTF">2019-12-12T05:42:45Z</dcterms:modified>
</cp:coreProperties>
</file>