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99f7067dc2a9a5/Documents/R/Working Directory/Data_Science_MSc/Dissertation_Bayes_MR/MSc_Thesis/MSc_Thesis_Split/Data/Citations_Datasets/"/>
    </mc:Choice>
  </mc:AlternateContent>
  <xr:revisionPtr revIDLastSave="0" documentId="8_{22C4E43D-6371-4515-9FCB-E71DF9F4DBB0}" xr6:coauthVersionLast="47" xr6:coauthVersionMax="47" xr10:uidLastSave="{00000000-0000-0000-0000-000000000000}"/>
  <bookViews>
    <workbookView xWindow="2280" yWindow="2280" windowWidth="19180" windowHeight="11170" xr2:uid="{8A3BB852-7168-48D5-AFAC-CE153936FD9B}"/>
  </bookViews>
  <sheets>
    <sheet name="Table004 (Page 7-8)" sheetId="2" r:id="rId1"/>
    <sheet name="Sheet1" sheetId="1" r:id="rId2"/>
  </sheets>
  <definedNames>
    <definedName name="ExternalData_1" localSheetId="0" hidden="1">'Table004 (Page 7-8)'!$A$1:$O$72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Y55" i="2"/>
  <c r="Z55" i="2"/>
  <c r="AA55" i="2"/>
  <c r="Y56" i="2"/>
  <c r="Z56" i="2"/>
  <c r="AA56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Z71" i="2"/>
  <c r="AA71" i="2"/>
  <c r="Y72" i="2"/>
  <c r="Z72" i="2"/>
  <c r="AA72" i="2"/>
  <c r="Z3" i="2"/>
  <c r="AA3" i="2"/>
  <c r="Y3" i="2"/>
  <c r="S4" i="2"/>
  <c r="T4" i="2" s="1"/>
  <c r="V4" i="2" s="1"/>
  <c r="U4" i="2"/>
  <c r="S5" i="2"/>
  <c r="T5" i="2" s="1"/>
  <c r="U5" i="2"/>
  <c r="V5" i="2" s="1"/>
  <c r="S6" i="2"/>
  <c r="T6" i="2" s="1"/>
  <c r="V6" i="2" s="1"/>
  <c r="U6" i="2"/>
  <c r="S7" i="2"/>
  <c r="T7" i="2" s="1"/>
  <c r="U7" i="2"/>
  <c r="V7" i="2" s="1"/>
  <c r="S8" i="2"/>
  <c r="T8" i="2" s="1"/>
  <c r="V8" i="2" s="1"/>
  <c r="U8" i="2"/>
  <c r="S9" i="2"/>
  <c r="T9" i="2"/>
  <c r="V9" i="2" s="1"/>
  <c r="U9" i="2"/>
  <c r="S10" i="2"/>
  <c r="T10" i="2"/>
  <c r="V10" i="2" s="1"/>
  <c r="U10" i="2"/>
  <c r="S11" i="2"/>
  <c r="T11" i="2"/>
  <c r="V11" i="2" s="1"/>
  <c r="U11" i="2"/>
  <c r="S12" i="2"/>
  <c r="T12" i="2" s="1"/>
  <c r="V12" i="2" s="1"/>
  <c r="U12" i="2"/>
  <c r="S13" i="2"/>
  <c r="T13" i="2"/>
  <c r="V13" i="2" s="1"/>
  <c r="U13" i="2"/>
  <c r="S14" i="2"/>
  <c r="T14" i="2"/>
  <c r="U14" i="2"/>
  <c r="V14" i="2"/>
  <c r="S15" i="2"/>
  <c r="T15" i="2"/>
  <c r="U15" i="2"/>
  <c r="V15" i="2"/>
  <c r="S16" i="2"/>
  <c r="T16" i="2"/>
  <c r="V16" i="2" s="1"/>
  <c r="U16" i="2"/>
  <c r="S17" i="2"/>
  <c r="T17" i="2"/>
  <c r="V17" i="2" s="1"/>
  <c r="U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V21" i="2" s="1"/>
  <c r="U21" i="2"/>
  <c r="S22" i="2"/>
  <c r="T22" i="2"/>
  <c r="V22" i="2" s="1"/>
  <c r="U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V26" i="2" s="1"/>
  <c r="U26" i="2"/>
  <c r="S27" i="2"/>
  <c r="T27" i="2"/>
  <c r="V27" i="2" s="1"/>
  <c r="U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V31" i="2" s="1"/>
  <c r="U31" i="2"/>
  <c r="S32" i="2"/>
  <c r="T32" i="2"/>
  <c r="V32" i="2" s="1"/>
  <c r="U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V36" i="2" s="1"/>
  <c r="U36" i="2"/>
  <c r="S37" i="2"/>
  <c r="T37" i="2"/>
  <c r="V37" i="2" s="1"/>
  <c r="U37" i="2"/>
  <c r="S38" i="2"/>
  <c r="T38" i="2" s="1"/>
  <c r="V38" i="2" s="1"/>
  <c r="U38" i="2"/>
  <c r="S39" i="2"/>
  <c r="T39" i="2"/>
  <c r="U39" i="2"/>
  <c r="V39" i="2"/>
  <c r="S40" i="2"/>
  <c r="T40" i="2" s="1"/>
  <c r="V40" i="2" s="1"/>
  <c r="U40" i="2"/>
  <c r="S41" i="2"/>
  <c r="T41" i="2"/>
  <c r="V41" i="2" s="1"/>
  <c r="U41" i="2"/>
  <c r="S42" i="2"/>
  <c r="T42" i="2" s="1"/>
  <c r="V42" i="2" s="1"/>
  <c r="U42" i="2"/>
  <c r="S43" i="2"/>
  <c r="T43" i="2" s="1"/>
  <c r="V43" i="2" s="1"/>
  <c r="U43" i="2"/>
  <c r="S44" i="2"/>
  <c r="T44" i="2"/>
  <c r="U44" i="2"/>
  <c r="V44" i="2"/>
  <c r="S45" i="2"/>
  <c r="T45" i="2"/>
  <c r="U45" i="2"/>
  <c r="V45" i="2"/>
  <c r="S46" i="2"/>
  <c r="T46" i="2"/>
  <c r="V46" i="2" s="1"/>
  <c r="U46" i="2"/>
  <c r="S47" i="2"/>
  <c r="T47" i="2"/>
  <c r="V47" i="2" s="1"/>
  <c r="U47" i="2"/>
  <c r="S48" i="2"/>
  <c r="T48" i="2" s="1"/>
  <c r="V48" i="2" s="1"/>
  <c r="U48" i="2"/>
  <c r="S49" i="2"/>
  <c r="T49" i="2"/>
  <c r="U49" i="2"/>
  <c r="V49" i="2"/>
  <c r="S50" i="2"/>
  <c r="T50" i="2" s="1"/>
  <c r="V50" i="2" s="1"/>
  <c r="U50" i="2"/>
  <c r="S51" i="2"/>
  <c r="T51" i="2"/>
  <c r="V51" i="2" s="1"/>
  <c r="U51" i="2"/>
  <c r="S52" i="2"/>
  <c r="T52" i="2" s="1"/>
  <c r="V52" i="2" s="1"/>
  <c r="U52" i="2"/>
  <c r="S53" i="2"/>
  <c r="T53" i="2" s="1"/>
  <c r="V53" i="2" s="1"/>
  <c r="U53" i="2"/>
  <c r="S54" i="2"/>
  <c r="T54" i="2"/>
  <c r="U54" i="2"/>
  <c r="V54" i="2"/>
  <c r="S55" i="2"/>
  <c r="T55" i="2"/>
  <c r="U55" i="2"/>
  <c r="V55" i="2"/>
  <c r="S56" i="2"/>
  <c r="T56" i="2"/>
  <c r="V56" i="2" s="1"/>
  <c r="U56" i="2"/>
  <c r="S57" i="2"/>
  <c r="T57" i="2" s="1"/>
  <c r="V57" i="2" s="1"/>
  <c r="U57" i="2"/>
  <c r="S58" i="2"/>
  <c r="T58" i="2" s="1"/>
  <c r="V58" i="2" s="1"/>
  <c r="U58" i="2"/>
  <c r="S59" i="2"/>
  <c r="T59" i="2"/>
  <c r="U59" i="2"/>
  <c r="V59" i="2"/>
  <c r="S60" i="2"/>
  <c r="T60" i="2" s="1"/>
  <c r="V60" i="2" s="1"/>
  <c r="U60" i="2"/>
  <c r="S61" i="2"/>
  <c r="T61" i="2"/>
  <c r="V61" i="2" s="1"/>
  <c r="U61" i="2"/>
  <c r="S62" i="2"/>
  <c r="T62" i="2" s="1"/>
  <c r="V62" i="2" s="1"/>
  <c r="U62" i="2"/>
  <c r="S63" i="2"/>
  <c r="T63" i="2" s="1"/>
  <c r="V63" i="2" s="1"/>
  <c r="U63" i="2"/>
  <c r="S64" i="2"/>
  <c r="T64" i="2"/>
  <c r="U64" i="2"/>
  <c r="V64" i="2"/>
  <c r="S65" i="2"/>
  <c r="T65" i="2" s="1"/>
  <c r="V65" i="2" s="1"/>
  <c r="U65" i="2"/>
  <c r="S66" i="2"/>
  <c r="T66" i="2"/>
  <c r="V66" i="2" s="1"/>
  <c r="U66" i="2"/>
  <c r="S67" i="2"/>
  <c r="T67" i="2" s="1"/>
  <c r="V67" i="2" s="1"/>
  <c r="U67" i="2"/>
  <c r="S68" i="2"/>
  <c r="T68" i="2" s="1"/>
  <c r="V68" i="2" s="1"/>
  <c r="U68" i="2"/>
  <c r="S69" i="2"/>
  <c r="T69" i="2" s="1"/>
  <c r="V69" i="2" s="1"/>
  <c r="U69" i="2"/>
  <c r="S70" i="2"/>
  <c r="T70" i="2" s="1"/>
  <c r="V70" i="2" s="1"/>
  <c r="U70" i="2"/>
  <c r="S71" i="2"/>
  <c r="T71" i="2" s="1"/>
  <c r="V71" i="2" s="1"/>
  <c r="U71" i="2"/>
  <c r="S72" i="2"/>
  <c r="T72" i="2" s="1"/>
  <c r="V72" i="2" s="1"/>
  <c r="U72" i="2"/>
  <c r="V3" i="2"/>
  <c r="T3" i="2"/>
  <c r="U3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3" i="2"/>
  <c r="H54" i="2"/>
  <c r="H45" i="2"/>
  <c r="H12" i="2"/>
  <c r="H11" i="2"/>
  <c r="H53" i="2"/>
  <c r="H52" i="2"/>
  <c r="H51" i="2"/>
  <c r="H44" i="2"/>
  <c r="H43" i="2"/>
  <c r="H3" i="2"/>
  <c r="H42" i="2"/>
  <c r="H24" i="2"/>
  <c r="H19" i="2"/>
  <c r="H33" i="2"/>
  <c r="H18" i="2"/>
  <c r="H9" i="2"/>
  <c r="H72" i="2"/>
  <c r="H71" i="2"/>
  <c r="H50" i="2"/>
  <c r="H21" i="2"/>
  <c r="H16" i="2"/>
  <c r="H8" i="2"/>
  <c r="H70" i="2"/>
  <c r="H69" i="2"/>
  <c r="H68" i="2"/>
  <c r="H67" i="2"/>
  <c r="H41" i="2"/>
  <c r="H20" i="2"/>
  <c r="H13" i="2"/>
  <c r="H6" i="2"/>
  <c r="H4" i="2"/>
  <c r="H66" i="2"/>
  <c r="H65" i="2"/>
  <c r="H64" i="2"/>
  <c r="H63" i="2"/>
  <c r="H62" i="2"/>
  <c r="H49" i="2"/>
  <c r="H48" i="2"/>
  <c r="H40" i="2"/>
  <c r="H32" i="2"/>
  <c r="H31" i="2"/>
  <c r="H30" i="2"/>
  <c r="H27" i="2"/>
  <c r="H10" i="2"/>
  <c r="H7" i="2"/>
  <c r="H61" i="2"/>
  <c r="H60" i="2"/>
  <c r="H59" i="2"/>
  <c r="H58" i="2"/>
  <c r="H57" i="2"/>
  <c r="H56" i="2"/>
  <c r="H55" i="2"/>
  <c r="H47" i="2"/>
  <c r="H46" i="2"/>
  <c r="H39" i="2"/>
  <c r="H38" i="2"/>
  <c r="H37" i="2"/>
  <c r="H36" i="2"/>
  <c r="H35" i="2"/>
  <c r="H34" i="2"/>
  <c r="H29" i="2"/>
  <c r="H28" i="2"/>
  <c r="H26" i="2"/>
  <c r="H25" i="2"/>
  <c r="H23" i="2"/>
  <c r="H22" i="2"/>
  <c r="H17" i="2"/>
  <c r="H15" i="2"/>
  <c r="H14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F8EB12-0545-42D1-A9F7-8159DFC5699A}" keepAlive="1" name="Query - Table004 (Page 7-8)" description="Connection to the 'Table004 (Page 7-8)' query in the workbook." type="5" refreshedVersion="8" background="1" saveData="1">
    <dbPr connection="Provider=Microsoft.Mashup.OleDb.1;Data Source=$Workbook$;Location=&quot;Table004 (Page 7-8)&quot;;Extended Properties=&quot;&quot;" command="SELECT * FROM [Table004 (Page 7-8)]"/>
  </connection>
</connections>
</file>

<file path=xl/sharedStrings.xml><?xml version="1.0" encoding="utf-8"?>
<sst xmlns="http://schemas.openxmlformats.org/spreadsheetml/2006/main" count="737" uniqueCount="335">
  <si>
    <t>BMI-Associated</t>
  </si>
  <si>
    <t>Nearest</t>
  </si>
  <si>
    <t>Chr</t>
  </si>
  <si>
    <t>BMI</t>
  </si>
  <si>
    <t>Allele</t>
  </si>
  <si>
    <t>Column6</t>
  </si>
  <si>
    <t>Effect</t>
  </si>
  <si>
    <t>p-value^{a}</t>
  </si>
  <si>
    <t>OR^{b}</t>
  </si>
  <si>
    <t>Lower</t>
  </si>
  <si>
    <t>Upper</t>
  </si>
  <si>
    <t>p-value^{b}</t>
  </si>
  <si>
    <t>Study^{b}</t>
  </si>
  <si>
    <t>ProxySNP</t>
  </si>
  <si>
    <t>r^{2c}</t>
  </si>
  <si>
    <t>SNP</t>
  </si>
  <si>
    <t>Gene(s)</t>
  </si>
  <si>
    <t>Increasing
Allele</t>
  </si>
  <si>
    <t>Frequency</t>
  </si>
  <si>
    <t>a</t>
  </si>
  <si>
    <t>on
BMI^{a}</t>
  </si>
  <si>
    <t>95%
CI^{b}</t>
  </si>
  <si>
    <t>rs1558902</t>
  </si>
  <si>
    <t>FTO</t>
  </si>
  <si>
    <t>A</t>
  </si>
  <si>
    <t>0.42</t>
  </si>
  <si>
    <t>0.082</t>
  </si>
  <si>
    <t>0.97</t>
  </si>
  <si>
    <t>1.04</t>
  </si>
  <si>
    <t>0.87</t>
  </si>
  <si>
    <t>Immunochip</t>
  </si>
  <si>
    <t>NA</t>
  </si>
  <si>
    <t>rs6567160</t>
  </si>
  <si>
    <t>MC4R</t>
  </si>
  <si>
    <t>C</t>
  </si>
  <si>
    <t>0.24</t>
  </si>
  <si>
    <t>0.056</t>
  </si>
  <si>
    <t>0.96</t>
  </si>
  <si>
    <t>rs17782313</t>
  </si>
  <si>
    <t>rs13021737</t>
  </si>
  <si>
    <t>TMEM18</t>
  </si>
  <si>
    <t>G</t>
  </si>
  <si>
    <t>0.83</t>
  </si>
  <si>
    <t>0.060</t>
  </si>
  <si>
    <t>1.01</t>
  </si>
  <si>
    <t>1.10</t>
  </si>
  <si>
    <t>0.016</t>
  </si>
  <si>
    <t>rs6548238</t>
  </si>
  <si>
    <t>rs10938397</t>
  </si>
  <si>
    <t>GNPDA2</t>
  </si>
  <si>
    <t>0.43</t>
  </si>
  <si>
    <t>0.040</t>
  </si>
  <si>
    <t>0.99</t>
  </si>
  <si>
    <t>1.05</t>
  </si>
  <si>
    <t>0.28</t>
  </si>
  <si>
    <t>rs543874</t>
  </si>
  <si>
    <t>SEC16B</t>
  </si>
  <si>
    <t>0.19</t>
  </si>
  <si>
    <t>0.048</t>
  </si>
  <si>
    <t>0.86</t>
  </si>
  <si>
    <t>WTCCC2</t>
  </si>
  <si>
    <t>rs633715</t>
  </si>
  <si>
    <t>rs2207139</t>
  </si>
  <si>
    <t>TFAP2B</t>
  </si>
  <si>
    <t>0.18</t>
  </si>
  <si>
    <t>0.045</t>
  </si>
  <si>
    <t>1.08</t>
  </si>
  <si>
    <t>0.11</t>
  </si>
  <si>
    <t>rs987237</t>
  </si>
  <si>
    <t>rs11030104</t>
  </si>
  <si>
    <t>BDNF</t>
  </si>
  <si>
    <t>0.79</t>
  </si>
  <si>
    <t>0.041</t>
  </si>
  <si>
    <t>0.16</t>
  </si>
  <si>
    <t>rs3101336</t>
  </si>
  <si>
    <t>NEGR1</t>
  </si>
  <si>
    <t>0.61</t>
  </si>
  <si>
    <t>0.033</t>
  </si>
  <si>
    <t>1.03</t>
  </si>
  <si>
    <t>0.73</t>
  </si>
  <si>
    <t>rs2815752</t>
  </si>
  <si>
    <t>rs7138803</t>
  </si>
  <si>
    <t>BCDIN3D</t>
  </si>
  <si>
    <t>0.38</t>
  </si>
  <si>
    <t>0.032</t>
  </si>
  <si>
    <t>0.98</t>
  </si>
  <si>
    <t>1.06</t>
  </si>
  <si>
    <t>0.31</t>
  </si>
  <si>
    <t>rs10182181</t>
  </si>
  <si>
    <t>ADCY3</t>
  </si>
  <si>
    <t>0.46</t>
  </si>
  <si>
    <t>0.031</t>
  </si>
  <si>
    <t>1.02</t>
  </si>
  <si>
    <t>1.09</t>
  </si>
  <si>
    <t>8.8x10^{−4}</t>
  </si>
  <si>
    <t>rs3888190</t>
  </si>
  <si>
    <t>ATP2A1</t>
  </si>
  <si>
    <t>0.40</t>
  </si>
  <si>
    <t>0.69</t>
  </si>
  <si>
    <t>rs1516725</t>
  </si>
  <si>
    <t>ETV5</t>
  </si>
  <si>
    <t>0.41</t>
  </si>
  <si>
    <t>rs6809651</t>
  </si>
  <si>
    <t>rs12446632</t>
  </si>
  <si>
    <t>GPRC5B</t>
  </si>
  <si>
    <t>1.00</t>
  </si>
  <si>
    <t>1.12</t>
  </si>
  <si>
    <t>0.038</t>
  </si>
  <si>
    <t>rs2287019</t>
  </si>
  <si>
    <t>QPCTL</t>
  </si>
  <si>
    <t>0.80</t>
  </si>
  <si>
    <t>0.036</t>
  </si>
  <si>
    <t>0.037</t>
  </si>
  <si>
    <t>rs16951275</t>
  </si>
  <si>
    <t>MAP2K5</t>
  </si>
  <si>
    <t>T</t>
  </si>
  <si>
    <t>0.78</t>
  </si>
  <si>
    <t>0.95</t>
  </si>
  <si>
    <t>0.53</t>
  </si>
  <si>
    <t>rs28670272</t>
  </si>
  <si>
    <t>rs3817334</t>
  </si>
  <si>
    <t>MTCH2</t>
  </si>
  <si>
    <t>0.026</t>
  </si>
  <si>
    <t>0.94</t>
  </si>
  <si>
    <t>0.14</t>
  </si>
  <si>
    <t>rs7124681</t>
  </si>
  <si>
    <t>rs2112347</t>
  </si>
  <si>
    <t>POC5</t>
  </si>
  <si>
    <t>0.63</t>
  </si>
  <si>
    <t>rs34358</t>
  </si>
  <si>
    <t>rs12566985</t>
  </si>
  <si>
    <t>FPGT-TNNI3K</t>
  </si>
  <si>
    <t>0.45</t>
  </si>
  <si>
    <t>0.024</t>
  </si>
  <si>
    <t>0.76</t>
  </si>
  <si>
    <t>rs6604872</t>
  </si>
  <si>
    <t>rs3810291</t>
  </si>
  <si>
    <t>ZC3H4</t>
  </si>
  <si>
    <t>0.67</t>
  </si>
  <si>
    <t>0.028</t>
  </si>
  <si>
    <t>rs10408163</t>
  </si>
  <si>
    <t>rs7141420</t>
  </si>
  <si>
    <t>NRXN3</t>
  </si>
  <si>
    <t>0.21</t>
  </si>
  <si>
    <t>rs13078960</t>
  </si>
  <si>
    <t>CADM2</t>
  </si>
  <si>
    <t>0.20</t>
  </si>
  <si>
    <t>0.030</t>
  </si>
  <si>
    <t>rs7622475</t>
  </si>
  <si>
    <t>rs10968576</t>
  </si>
  <si>
    <t>LINGO2</t>
  </si>
  <si>
    <t>0.32</t>
  </si>
  <si>
    <t>0.025</t>
  </si>
  <si>
    <t>0.54</t>
  </si>
  <si>
    <t>rs12429545</t>
  </si>
  <si>
    <t>OLFM4</t>
  </si>
  <si>
    <t>0.13</t>
  </si>
  <si>
    <t>rs12286929</t>
  </si>
  <si>
    <t>CADM1</t>
  </si>
  <si>
    <t>0.52</t>
  </si>
  <si>
    <t>0.022</t>
  </si>
  <si>
    <t>0.57</t>
  </si>
  <si>
    <t>rs12421648</t>
  </si>
  <si>
    <t>rs11165643</t>
  </si>
  <si>
    <t>PTBP2</t>
  </si>
  <si>
    <t>0.58</t>
  </si>
  <si>
    <t>rs7903146</t>
  </si>
  <si>
    <t>TCF7L2</t>
  </si>
  <si>
    <t>0.71</t>
  </si>
  <si>
    <t>0.023</t>
  </si>
  <si>
    <t>0.35</t>
  </si>
  <si>
    <t>rs10132280</t>
  </si>
  <si>
    <t>STXBP6</t>
  </si>
  <si>
    <t>0.68</t>
  </si>
  <si>
    <t>0.84</t>
  </si>
  <si>
    <t>rs12432376</t>
  </si>
  <si>
    <t>rs17405819</t>
  </si>
  <si>
    <t>HNF4G</t>
  </si>
  <si>
    <t>0.70</t>
  </si>
  <si>
    <t>rs2977345</t>
  </si>
  <si>
    <t>rs1016287</t>
  </si>
  <si>
    <t>LINC01122</t>
  </si>
  <si>
    <t>0.29</t>
  </si>
  <si>
    <t>1.07</t>
  </si>
  <si>
    <t>rs759250</t>
  </si>
  <si>
    <t>rs4256980</t>
  </si>
  <si>
    <t>TRIM66</t>
  </si>
  <si>
    <t>0.65</t>
  </si>
  <si>
    <t>0.021</t>
  </si>
  <si>
    <t>rs2316901</t>
  </si>
  <si>
    <t>rs17094222</t>
  </si>
  <si>
    <t>HIF1AN</t>
  </si>
  <si>
    <t>rs17113301</t>
  </si>
  <si>
    <t>rs12401738</t>
  </si>
  <si>
    <t>FUBP1</t>
  </si>
  <si>
    <t>rs4130548</t>
  </si>
  <si>
    <t>rs7599312</t>
  </si>
  <si>
    <t>ERBB4</t>
  </si>
  <si>
    <t>0.72</t>
  </si>
  <si>
    <t>rs2365389</t>
  </si>
  <si>
    <t>FHIT</t>
  </si>
  <si>
    <t>0.020</t>
  </si>
  <si>
    <t>rs7629340</t>
  </si>
  <si>
    <t>rs205262</t>
  </si>
  <si>
    <t>C6orf106</t>
  </si>
  <si>
    <t>0.27</t>
  </si>
  <si>
    <t>0.62</t>
  </si>
  <si>
    <t>rs2820292</t>
  </si>
  <si>
    <t>NAV1</t>
  </si>
  <si>
    <t>0.56</t>
  </si>
  <si>
    <t>rs1032524</t>
  </si>
  <si>
    <t>rs12885454</t>
  </si>
  <si>
    <t>PRKD1</t>
  </si>
  <si>
    <t>0.64</t>
  </si>
  <si>
    <t>rs1307813</t>
  </si>
  <si>
    <t>rs12016871</t>
  </si>
  <si>
    <t>MTIF3</t>
  </si>
  <si>
    <t>rs1885989</t>
  </si>
  <si>
    <t>rs16851483</t>
  </si>
  <si>
    <t>RASA2</t>
  </si>
  <si>
    <t>0.07</t>
  </si>
  <si>
    <t>rs2640017</t>
  </si>
  <si>
    <t>rs1167827</t>
  </si>
  <si>
    <t>HIP1</t>
  </si>
  <si>
    <t>0.55</t>
  </si>
  <si>
    <t>0.93</t>
  </si>
  <si>
    <t>rs758747</t>
  </si>
  <si>
    <t>NLRC3</t>
  </si>
  <si>
    <t>rs1928295</t>
  </si>
  <si>
    <t>TLR4</t>
  </si>
  <si>
    <t>0.019</t>
  </si>
  <si>
    <t>0.25</t>
  </si>
  <si>
    <t>rs9925964</t>
  </si>
  <si>
    <t>KAT8</t>
  </si>
  <si>
    <t>0.36</t>
  </si>
  <si>
    <t>rs11126666</t>
  </si>
  <si>
    <t>KCNK3</t>
  </si>
  <si>
    <t>rs2650492</t>
  </si>
  <si>
    <t>SBK1</t>
  </si>
  <si>
    <t>0.30</t>
  </si>
  <si>
    <t>rs6804842</t>
  </si>
  <si>
    <t>RARB</t>
  </si>
  <si>
    <t>0.15</t>
  </si>
  <si>
    <t>rs12940622</t>
  </si>
  <si>
    <t>RPTOR</t>
  </si>
  <si>
    <t>0.018</t>
  </si>
  <si>
    <t>rs4740619</t>
  </si>
  <si>
    <t>C9orf93</t>
  </si>
  <si>
    <t>rs13191362</t>
  </si>
  <si>
    <t>PARK2</t>
  </si>
  <si>
    <t>0.88</t>
  </si>
  <si>
    <t>rs13202339</t>
  </si>
  <si>
    <t>rs3736485</t>
  </si>
  <si>
    <t>DMXL2</t>
  </si>
  <si>
    <t>rs4775961</t>
  </si>
  <si>
    <t>rs17001654</t>
  </si>
  <si>
    <t>SCARB2</t>
  </si>
  <si>
    <t>0.089</t>
  </si>
  <si>
    <t>rs17001561</t>
  </si>
  <si>
    <t>rs11191560</t>
  </si>
  <si>
    <t>NT5C2</t>
  </si>
  <si>
    <t>0.09</t>
  </si>
  <si>
    <t>rs1528435</t>
  </si>
  <si>
    <t>UBE2E3</t>
  </si>
  <si>
    <t>rs6727573</t>
  </si>
  <si>
    <t>rs2075650</t>
  </si>
  <si>
    <t>TOMM40</t>
  </si>
  <si>
    <t>0.85</t>
  </si>
  <si>
    <t>rs1000940</t>
  </si>
  <si>
    <t>RABEP1</t>
  </si>
  <si>
    <t>rs11583200</t>
  </si>
  <si>
    <t>ELAVL4</t>
  </si>
  <si>
    <t>0.48</t>
  </si>
  <si>
    <t>rs9400239</t>
  </si>
  <si>
    <t>FOXO3</t>
  </si>
  <si>
    <t>rs2153960</t>
  </si>
  <si>
    <t>rs10733682</t>
  </si>
  <si>
    <t>LMX1B</t>
  </si>
  <si>
    <t>0.017</t>
  </si>
  <si>
    <t>rs11688816</t>
  </si>
  <si>
    <t>EHBP1</t>
  </si>
  <si>
    <t>rs360791</t>
  </si>
  <si>
    <t>rs11057405</t>
  </si>
  <si>
    <t>CLIP1</t>
  </si>
  <si>
    <t>0.90</t>
  </si>
  <si>
    <t>1.11</t>
  </si>
  <si>
    <t>0.074</t>
  </si>
  <si>
    <t>rs2121279</t>
  </si>
  <si>
    <t>LRP1B</t>
  </si>
  <si>
    <t>0.12</t>
  </si>
  <si>
    <t>rs6714473</t>
  </si>
  <si>
    <t>rs29941</t>
  </si>
  <si>
    <t>KCTD15</t>
  </si>
  <si>
    <t>rs3849570</t>
  </si>
  <si>
    <t>GBE1</t>
  </si>
  <si>
    <t>rs3860595</t>
  </si>
  <si>
    <t>rs6477694</t>
  </si>
  <si>
    <t>EPB41L4B</t>
  </si>
  <si>
    <t>0.37</t>
  </si>
  <si>
    <t>0.33</t>
  </si>
  <si>
    <t>rs2176598</t>
  </si>
  <si>
    <t>HSD17B12</t>
  </si>
  <si>
    <t>rs7110437</t>
  </si>
  <si>
    <t>rs7899106</t>
  </si>
  <si>
    <t>GRID1</t>
  </si>
  <si>
    <t>0.05</t>
  </si>
  <si>
    <t>1.15</t>
  </si>
  <si>
    <t>rs11201714</t>
  </si>
  <si>
    <t>rs17724992</t>
  </si>
  <si>
    <t>PGPEP1</t>
  </si>
  <si>
    <t>0.75</t>
  </si>
  <si>
    <t>0.34</t>
  </si>
  <si>
    <t>rs7243357</t>
  </si>
  <si>
    <t>GRP</t>
  </si>
  <si>
    <t>0.81</t>
  </si>
  <si>
    <t>rs9961404</t>
  </si>
  <si>
    <t>rs1808579</t>
  </si>
  <si>
    <t>C18orf8</t>
  </si>
  <si>
    <t>0.91</t>
  </si>
  <si>
    <t>rs2033732</t>
  </si>
  <si>
    <t>RALYL</t>
  </si>
  <si>
    <t>rs733594</t>
  </si>
  <si>
    <t>pval</t>
  </si>
  <si>
    <t>df</t>
  </si>
  <si>
    <t>tval</t>
  </si>
  <si>
    <t>beta</t>
  </si>
  <si>
    <t>beta/abs(tval)</t>
  </si>
  <si>
    <t>abs(tval)</t>
  </si>
  <si>
    <t>https://stats.stackexchange.com/questions/337070/compute-standard-error-from-beta-p-value-sample-size-and-the-number-of-regres</t>
  </si>
  <si>
    <t>EXPOSURE</t>
  </si>
  <si>
    <t>SE</t>
  </si>
  <si>
    <t>OUTCOME</t>
  </si>
  <si>
    <t>Beta</t>
  </si>
  <si>
    <t>Low_CI</t>
  </si>
  <si>
    <t>Upp_CI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</si>
</sst>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F097AC-11DD-4355-9B27-2D1FAD3B8477}" autoFormatId="16" applyNumberFormats="0" applyBorderFormats="0" applyFontFormats="0" applyPatternFormats="0" applyAlignmentFormats="0" applyWidthHeightFormats="0">
  <queryTableRefresh nextId="16">
    <queryTableFields count="15">
      <queryTableField id="1" name="BMI-Associated" tableColumnId="1"/>
      <queryTableField id="2" name="Nearest" tableColumnId="2"/>
      <queryTableField id="3" name="Chr" tableColumnId="3"/>
      <queryTableField id="4" name="BMI" tableColumnId="4"/>
      <queryTableField id="5" name="Allele" tableColumnId="5"/>
      <queryTableField id="6" name="Column6" tableColumnId="6"/>
      <queryTableField id="7" name="Effect" tableColumnId="7"/>
      <queryTableField id="8" name="p-value^{a}" tableColumnId="8"/>
      <queryTableField id="9" name="OR^{b}" tableColumnId="9"/>
      <queryTableField id="10" name="Lower" tableColumnId="10"/>
      <queryTableField id="11" name="Upper" tableColumnId="11"/>
      <queryTableField id="12" name="p-value^{b}" tableColumnId="12"/>
      <queryTableField id="13" name="Study^{b}" tableColumnId="13"/>
      <queryTableField id="14" name="ProxySNP" tableColumnId="14"/>
      <queryTableField id="15" name="r^{2c}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9FB45-7E7E-4D79-B00A-C97968ADEE5C}" name="Table004__Page_7_8" displayName="Table004__Page_7_8" ref="A1:O72" tableType="queryTable" totalsRowShown="0">
  <autoFilter ref="A1:O72" xr:uid="{91D9FB45-7E7E-4D79-B00A-C97968ADEE5C}"/>
  <tableColumns count="15">
    <tableColumn id="1" xr3:uid="{35E0FB24-3411-40A3-B26C-6EDAD8D63C77}" uniqueName="1" name="BMI-Associated" queryTableFieldId="1" dataDxfId="11"/>
    <tableColumn id="2" xr3:uid="{0AC8F83D-535A-4157-A7CB-422CD0D2ADFE}" uniqueName="2" name="Nearest" queryTableFieldId="2" dataDxfId="10"/>
    <tableColumn id="3" xr3:uid="{AAFED64C-05EC-4DDA-847B-C615240A57A9}" uniqueName="3" name="Chr" queryTableFieldId="3"/>
    <tableColumn id="4" xr3:uid="{AD566CF5-F50C-43DE-B868-861F915B0C06}" uniqueName="4" name="BMI" queryTableFieldId="4" dataDxfId="9"/>
    <tableColumn id="5" xr3:uid="{A6C2C2B7-48EC-448F-98BA-D77E7F3D11F1}" uniqueName="5" name="Allele" queryTableFieldId="5" dataDxfId="8"/>
    <tableColumn id="6" xr3:uid="{B39B9C32-E5E1-4350-8852-279DC0B1799C}" uniqueName="6" name="Column6" queryTableFieldId="6" dataDxfId="7"/>
    <tableColumn id="7" xr3:uid="{F895EAAB-75DB-447F-89E4-79E7A93E748E}" uniqueName="7" name="Effect" queryTableFieldId="7" dataDxfId="6"/>
    <tableColumn id="8" xr3:uid="{043E1A84-A425-474A-BD59-A222ABB6B2E4}" uniqueName="8" name="p-value^{a}" queryTableFieldId="8" dataDxfId="5"/>
    <tableColumn id="9" xr3:uid="{4F0B2B80-038E-450A-805E-4F12BF454F37}" uniqueName="9" name="OR^{b}" queryTableFieldId="9"/>
    <tableColumn id="10" xr3:uid="{F4D5B522-4EAD-49B2-9C44-3BE3F6FDAE06}" uniqueName="10" name="Lower" queryTableFieldId="10" dataDxfId="4"/>
    <tableColumn id="11" xr3:uid="{AEA1DE8A-D9F6-4517-9E84-5C9C91B146E7}" uniqueName="11" name="Upper" queryTableFieldId="11" dataDxfId="3"/>
    <tableColumn id="12" xr3:uid="{96BD9B04-5790-47C4-9032-D353548400BF}" uniqueName="12" name="p-value^{b}" queryTableFieldId="12" dataDxfId="2"/>
    <tableColumn id="13" xr3:uid="{1417B85A-E6E3-40A7-85A5-674EE8372312}" uniqueName="13" name="Study^{b}" queryTableFieldId="13" dataDxfId="1"/>
    <tableColumn id="14" xr3:uid="{AD22BA0B-9E65-48EF-BA40-77FA8F557C43}" uniqueName="14" name="ProxySNP" queryTableFieldId="14" dataDxfId="0"/>
    <tableColumn id="15" xr3:uid="{85107487-9273-43E4-B70B-5E5D36CB5236}" uniqueName="15" name="r^{2c}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CFF7-C1EB-4801-B550-02DC019036B8}">
  <dimension ref="A1:AB72"/>
  <sheetViews>
    <sheetView tabSelected="1" topLeftCell="F1" workbookViewId="0">
      <selection activeCell="Y3" sqref="Y3:Y72"/>
    </sheetView>
  </sheetViews>
  <sheetFormatPr defaultRowHeight="14.5" x14ac:dyDescent="0.35"/>
  <cols>
    <col min="1" max="1" width="16.08984375" bestFit="1" customWidth="1"/>
    <col min="2" max="2" width="11.6328125" bestFit="1" customWidth="1"/>
    <col min="3" max="3" width="6.08984375" bestFit="1" customWidth="1"/>
    <col min="4" max="4" width="14.54296875" bestFit="1" customWidth="1"/>
    <col min="5" max="5" width="9.26953125" bestFit="1" customWidth="1"/>
    <col min="6" max="6" width="10.7265625" bestFit="1" customWidth="1"/>
    <col min="7" max="7" width="9.7265625" bestFit="1" customWidth="1"/>
    <col min="8" max="8" width="12.6328125" bestFit="1" customWidth="1"/>
    <col min="9" max="9" width="8.90625" bestFit="1" customWidth="1"/>
    <col min="10" max="11" width="10" bestFit="1" customWidth="1"/>
    <col min="12" max="12" width="12.7265625" bestFit="1" customWidth="1"/>
    <col min="13" max="13" width="11.26953125" bestFit="1" customWidth="1"/>
    <col min="14" max="14" width="11.08984375" bestFit="1" customWidth="1"/>
    <col min="15" max="15" width="8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328</v>
      </c>
      <c r="S1" s="1" t="s">
        <v>329</v>
      </c>
      <c r="V1" s="1" t="s">
        <v>330</v>
      </c>
      <c r="Y1" s="1" t="s">
        <v>331</v>
      </c>
    </row>
    <row r="2" spans="1:28" x14ac:dyDescent="0.35">
      <c r="A2" t="s">
        <v>15</v>
      </c>
      <c r="B2" t="s">
        <v>16</v>
      </c>
      <c r="D2" t="s">
        <v>17</v>
      </c>
      <c r="E2" t="s">
        <v>18</v>
      </c>
      <c r="F2" t="s">
        <v>19</v>
      </c>
      <c r="G2" t="s">
        <v>20</v>
      </c>
      <c r="J2" t="s">
        <v>21</v>
      </c>
      <c r="K2" t="s">
        <v>21</v>
      </c>
      <c r="Q2" s="1" t="s">
        <v>322</v>
      </c>
      <c r="R2" s="1" t="s">
        <v>323</v>
      </c>
      <c r="S2" s="1" t="s">
        <v>324</v>
      </c>
      <c r="T2" s="1" t="s">
        <v>327</v>
      </c>
      <c r="U2" s="1" t="s">
        <v>325</v>
      </c>
      <c r="V2" s="1" t="s">
        <v>326</v>
      </c>
      <c r="Y2" s="1" t="s">
        <v>332</v>
      </c>
      <c r="Z2" s="1" t="s">
        <v>333</v>
      </c>
      <c r="AA2" s="1" t="s">
        <v>334</v>
      </c>
      <c r="AB2" s="1" t="s">
        <v>330</v>
      </c>
    </row>
    <row r="3" spans="1:28" x14ac:dyDescent="0.35">
      <c r="A3" t="s">
        <v>22</v>
      </c>
      <c r="B3" t="s">
        <v>23</v>
      </c>
      <c r="C3">
        <v>16</v>
      </c>
      <c r="D3" t="s">
        <v>24</v>
      </c>
      <c r="E3" t="s">
        <v>25</v>
      </c>
      <c r="G3" t="s">
        <v>26</v>
      </c>
      <c r="H3">
        <f>7.5*POWER(10,-153)</f>
        <v>7.5E-153</v>
      </c>
      <c r="I3">
        <v>1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</v>
      </c>
      <c r="Q3">
        <f>Table004__Page_7_8[[#This Row],[p-value^{a}]]</f>
        <v>7.5E-153</v>
      </c>
      <c r="R3">
        <v>322035</v>
      </c>
      <c r="S3">
        <f>_xlfn.T.INV.2T(Q3,R3)</f>
        <v>47.934957081276565</v>
      </c>
      <c r="T3">
        <f>ABS(S3)</f>
        <v>47.934957081276565</v>
      </c>
      <c r="U3" t="str">
        <f>Table004__Page_7_8[[#This Row],[Effect]]</f>
        <v>0.082</v>
      </c>
      <c r="V3">
        <f>U3/T3</f>
        <v>1.7106513699587575E-3</v>
      </c>
      <c r="Y3">
        <f>EXP(Table004__Page_7_8[[#This Row],[OR^{b}]])</f>
        <v>2.7182818284590451</v>
      </c>
      <c r="Z3">
        <f>EXP(Table004__Page_7_8[[#This Row],[Lower]])</f>
        <v>2.6379444593541526</v>
      </c>
      <c r="AA3">
        <f>EXP(Table004__Page_7_8[[#This Row],[Upper]])</f>
        <v>2.8292170143515598</v>
      </c>
      <c r="AB3">
        <f>(Y3-Z3)/1.96</f>
        <v>4.0988453624945166E-2</v>
      </c>
    </row>
    <row r="4" spans="1:28" x14ac:dyDescent="0.35">
      <c r="A4" t="s">
        <v>32</v>
      </c>
      <c r="B4" t="s">
        <v>33</v>
      </c>
      <c r="C4">
        <v>18</v>
      </c>
      <c r="D4" t="s">
        <v>34</v>
      </c>
      <c r="E4" t="s">
        <v>35</v>
      </c>
      <c r="G4" t="s">
        <v>36</v>
      </c>
      <c r="H4">
        <f>3.9*POWER(10,-53)</f>
        <v>3.9000000000000002E-53</v>
      </c>
      <c r="I4">
        <v>1</v>
      </c>
      <c r="J4" t="s">
        <v>37</v>
      </c>
      <c r="K4" t="s">
        <v>28</v>
      </c>
      <c r="L4" t="s">
        <v>27</v>
      </c>
      <c r="M4" t="s">
        <v>30</v>
      </c>
      <c r="N4" t="s">
        <v>38</v>
      </c>
      <c r="O4">
        <v>0.99</v>
      </c>
      <c r="Q4">
        <f>Table004__Page_7_8[[#This Row],[p-value^{a}]]</f>
        <v>3.9000000000000002E-53</v>
      </c>
      <c r="R4">
        <v>322035</v>
      </c>
      <c r="S4">
        <f t="shared" ref="S4:S67" si="0">_xlfn.T.INV.2T(Q4,R4)</f>
        <v>15.346566587025071</v>
      </c>
      <c r="T4">
        <f t="shared" ref="T4:T67" si="1">ABS(S4)</f>
        <v>15.346566587025071</v>
      </c>
      <c r="U4" t="str">
        <f>Table004__Page_7_8[[#This Row],[Effect]]</f>
        <v>0.056</v>
      </c>
      <c r="V4">
        <f t="shared" ref="V4:V67" si="2">U4/T4</f>
        <v>3.649024665057384E-3</v>
      </c>
      <c r="Y4">
        <f>EXP(Table004__Page_7_8[[#This Row],[OR^{b}]])</f>
        <v>2.7182818284590451</v>
      </c>
      <c r="Z4">
        <f>EXP(Table004__Page_7_8[[#This Row],[Lower]])</f>
        <v>2.6116964734231178</v>
      </c>
      <c r="AA4">
        <f>EXP(Table004__Page_7_8[[#This Row],[Upper]])</f>
        <v>2.8292170143515598</v>
      </c>
      <c r="AB4">
        <f t="shared" ref="AB4:AB67" si="3">(Y4-Z4)/1.96</f>
        <v>5.4380283181595539E-2</v>
      </c>
    </row>
    <row r="5" spans="1:28" x14ac:dyDescent="0.35">
      <c r="A5" t="s">
        <v>39</v>
      </c>
      <c r="B5" t="s">
        <v>40</v>
      </c>
      <c r="C5">
        <v>2</v>
      </c>
      <c r="D5" t="s">
        <v>41</v>
      </c>
      <c r="E5" t="s">
        <v>42</v>
      </c>
      <c r="G5" t="s">
        <v>43</v>
      </c>
      <c r="H5">
        <f>1.1*POWER(10,-50)</f>
        <v>1.0999999999999999E-50</v>
      </c>
      <c r="I5">
        <v>1.05</v>
      </c>
      <c r="J5" t="s">
        <v>44</v>
      </c>
      <c r="K5" t="s">
        <v>45</v>
      </c>
      <c r="L5" t="s">
        <v>46</v>
      </c>
      <c r="M5" t="s">
        <v>30</v>
      </c>
      <c r="N5" t="s">
        <v>47</v>
      </c>
      <c r="O5">
        <v>0.99</v>
      </c>
      <c r="Q5">
        <f>Table004__Page_7_8[[#This Row],[p-value^{a}]]</f>
        <v>1.0999999999999999E-50</v>
      </c>
      <c r="R5">
        <v>322035</v>
      </c>
      <c r="S5">
        <f t="shared" si="0"/>
        <v>14.975759526545684</v>
      </c>
      <c r="T5">
        <f t="shared" si="1"/>
        <v>14.975759526545684</v>
      </c>
      <c r="U5" t="str">
        <f>Table004__Page_7_8[[#This Row],[Effect]]</f>
        <v>0.060</v>
      </c>
      <c r="V5">
        <f t="shared" si="2"/>
        <v>4.0064745893953089E-3</v>
      </c>
      <c r="Y5">
        <f>EXP(Table004__Page_7_8[[#This Row],[OR^{b}]])</f>
        <v>2.8576511180631639</v>
      </c>
      <c r="Z5">
        <f>EXP(Table004__Page_7_8[[#This Row],[Lower]])</f>
        <v>2.7456010150169163</v>
      </c>
      <c r="AA5">
        <f>EXP(Table004__Page_7_8[[#This Row],[Upper]])</f>
        <v>3.0041660239464334</v>
      </c>
      <c r="AB5">
        <f t="shared" si="3"/>
        <v>5.7168419921554858E-2</v>
      </c>
    </row>
    <row r="6" spans="1:28" x14ac:dyDescent="0.35">
      <c r="A6" t="s">
        <v>48</v>
      </c>
      <c r="B6" t="s">
        <v>49</v>
      </c>
      <c r="C6">
        <v>4</v>
      </c>
      <c r="D6" t="s">
        <v>41</v>
      </c>
      <c r="E6" t="s">
        <v>50</v>
      </c>
      <c r="G6" t="s">
        <v>51</v>
      </c>
      <c r="H6">
        <f>3.2*POWER(10,-38)</f>
        <v>3.2000000000000003E-38</v>
      </c>
      <c r="I6">
        <v>1.02</v>
      </c>
      <c r="J6" t="s">
        <v>52</v>
      </c>
      <c r="K6" t="s">
        <v>53</v>
      </c>
      <c r="L6" t="s">
        <v>54</v>
      </c>
      <c r="M6" t="s">
        <v>30</v>
      </c>
      <c r="N6" t="s">
        <v>31</v>
      </c>
      <c r="O6">
        <v>1</v>
      </c>
      <c r="Q6">
        <f>Table004__Page_7_8[[#This Row],[p-value^{a}]]</f>
        <v>3.2000000000000003E-38</v>
      </c>
      <c r="R6">
        <v>322035</v>
      </c>
      <c r="S6">
        <f t="shared" si="0"/>
        <v>12.927949522695524</v>
      </c>
      <c r="T6">
        <f t="shared" si="1"/>
        <v>12.927949522695524</v>
      </c>
      <c r="U6" t="str">
        <f>Table004__Page_7_8[[#This Row],[Effect]]</f>
        <v>0.040</v>
      </c>
      <c r="V6">
        <f t="shared" si="2"/>
        <v>3.0940714867255959E-3</v>
      </c>
      <c r="Y6">
        <f>EXP(Table004__Page_7_8[[#This Row],[OR^{b}]])</f>
        <v>2.7731947639642978</v>
      </c>
      <c r="Z6">
        <f>EXP(Table004__Page_7_8[[#This Row],[Lower]])</f>
        <v>2.6912344723492621</v>
      </c>
      <c r="AA6">
        <f>EXP(Table004__Page_7_8[[#This Row],[Upper]])</f>
        <v>2.8576511180631639</v>
      </c>
      <c r="AB6">
        <f t="shared" si="3"/>
        <v>4.1816475313793726E-2</v>
      </c>
    </row>
    <row r="7" spans="1:28" x14ac:dyDescent="0.35">
      <c r="A7" t="s">
        <v>55</v>
      </c>
      <c r="B7" t="s">
        <v>56</v>
      </c>
      <c r="C7">
        <v>1</v>
      </c>
      <c r="D7" t="s">
        <v>41</v>
      </c>
      <c r="E7" t="s">
        <v>57</v>
      </c>
      <c r="G7" t="s">
        <v>58</v>
      </c>
      <c r="H7">
        <f>2.6*POWER(10,-35)</f>
        <v>2.6E-35</v>
      </c>
      <c r="I7">
        <v>1</v>
      </c>
      <c r="J7" t="s">
        <v>37</v>
      </c>
      <c r="K7" t="s">
        <v>53</v>
      </c>
      <c r="L7" t="s">
        <v>59</v>
      </c>
      <c r="M7" t="s">
        <v>60</v>
      </c>
      <c r="N7" t="s">
        <v>61</v>
      </c>
      <c r="O7">
        <v>0.95</v>
      </c>
      <c r="Q7">
        <f>Table004__Page_7_8[[#This Row],[p-value^{a}]]</f>
        <v>2.6E-35</v>
      </c>
      <c r="R7">
        <v>322035</v>
      </c>
      <c r="S7">
        <f t="shared" si="0"/>
        <v>12.401896943785703</v>
      </c>
      <c r="T7">
        <f t="shared" si="1"/>
        <v>12.401896943785703</v>
      </c>
      <c r="U7" t="str">
        <f>Table004__Page_7_8[[#This Row],[Effect]]</f>
        <v>0.048</v>
      </c>
      <c r="V7">
        <f t="shared" si="2"/>
        <v>3.8703756544317736E-3</v>
      </c>
      <c r="Y7">
        <f>EXP(Table004__Page_7_8[[#This Row],[OR^{b}]])</f>
        <v>2.7182818284590451</v>
      </c>
      <c r="Z7">
        <f>EXP(Table004__Page_7_8[[#This Row],[Lower]])</f>
        <v>2.6116964734231178</v>
      </c>
      <c r="AA7">
        <f>EXP(Table004__Page_7_8[[#This Row],[Upper]])</f>
        <v>2.8576511180631639</v>
      </c>
      <c r="AB7">
        <f t="shared" si="3"/>
        <v>5.4380283181595539E-2</v>
      </c>
    </row>
    <row r="8" spans="1:28" x14ac:dyDescent="0.35">
      <c r="A8" t="s">
        <v>62</v>
      </c>
      <c r="B8" t="s">
        <v>63</v>
      </c>
      <c r="C8">
        <v>6</v>
      </c>
      <c r="D8" t="s">
        <v>41</v>
      </c>
      <c r="E8" t="s">
        <v>64</v>
      </c>
      <c r="G8" t="s">
        <v>65</v>
      </c>
      <c r="H8">
        <f>4.1*POWER(10,-29)</f>
        <v>4.0999999999999998E-29</v>
      </c>
      <c r="I8">
        <v>1.04</v>
      </c>
      <c r="J8" t="s">
        <v>52</v>
      </c>
      <c r="K8" t="s">
        <v>66</v>
      </c>
      <c r="L8" t="s">
        <v>67</v>
      </c>
      <c r="M8" t="s">
        <v>30</v>
      </c>
      <c r="N8" t="s">
        <v>68</v>
      </c>
      <c r="O8">
        <v>0.92</v>
      </c>
      <c r="Q8">
        <f>Table004__Page_7_8[[#This Row],[p-value^{a}]]</f>
        <v>4.0999999999999998E-29</v>
      </c>
      <c r="R8">
        <v>322035</v>
      </c>
      <c r="S8">
        <f t="shared" si="0"/>
        <v>11.200608205011065</v>
      </c>
      <c r="T8">
        <f t="shared" si="1"/>
        <v>11.200608205011065</v>
      </c>
      <c r="U8" t="str">
        <f>Table004__Page_7_8[[#This Row],[Effect]]</f>
        <v>0.045</v>
      </c>
      <c r="V8">
        <f t="shared" si="2"/>
        <v>4.017638968914862E-3</v>
      </c>
      <c r="Y8">
        <f>EXP(Table004__Page_7_8[[#This Row],[OR^{b}]])</f>
        <v>2.8292170143515598</v>
      </c>
      <c r="Z8">
        <f>EXP(Table004__Page_7_8[[#This Row],[Lower]])</f>
        <v>2.6912344723492621</v>
      </c>
      <c r="AA8">
        <f>EXP(Table004__Page_7_8[[#This Row],[Upper]])</f>
        <v>2.9446795510655241</v>
      </c>
      <c r="AB8">
        <f t="shared" si="3"/>
        <v>7.0399256123621301E-2</v>
      </c>
    </row>
    <row r="9" spans="1:28" x14ac:dyDescent="0.35">
      <c r="A9" t="s">
        <v>69</v>
      </c>
      <c r="B9" t="s">
        <v>70</v>
      </c>
      <c r="C9">
        <v>11</v>
      </c>
      <c r="D9" t="s">
        <v>24</v>
      </c>
      <c r="E9" t="s">
        <v>71</v>
      </c>
      <c r="G9" t="s">
        <v>72</v>
      </c>
      <c r="H9">
        <f>5.6*POWER(10,-28)</f>
        <v>5.6000000000000005E-28</v>
      </c>
      <c r="I9">
        <v>1.03</v>
      </c>
      <c r="J9" t="s">
        <v>52</v>
      </c>
      <c r="K9" t="s">
        <v>66</v>
      </c>
      <c r="L9" t="s">
        <v>73</v>
      </c>
      <c r="M9" t="s">
        <v>60</v>
      </c>
      <c r="N9" t="s">
        <v>31</v>
      </c>
      <c r="O9">
        <v>1</v>
      </c>
      <c r="Q9">
        <f>Table004__Page_7_8[[#This Row],[p-value^{a}]]</f>
        <v>5.6000000000000005E-28</v>
      </c>
      <c r="R9">
        <v>322035</v>
      </c>
      <c r="S9">
        <f t="shared" si="0"/>
        <v>10.966516360447049</v>
      </c>
      <c r="T9">
        <f t="shared" si="1"/>
        <v>10.966516360447049</v>
      </c>
      <c r="U9" t="str">
        <f>Table004__Page_7_8[[#This Row],[Effect]]</f>
        <v>0.041</v>
      </c>
      <c r="V9">
        <f t="shared" si="2"/>
        <v>3.7386530646937952E-3</v>
      </c>
      <c r="Y9">
        <f>EXP(Table004__Page_7_8[[#This Row],[OR^{b}]])</f>
        <v>2.8010658346990791</v>
      </c>
      <c r="Z9">
        <f>EXP(Table004__Page_7_8[[#This Row],[Lower]])</f>
        <v>2.6912344723492621</v>
      </c>
      <c r="AA9">
        <f>EXP(Table004__Page_7_8[[#This Row],[Upper]])</f>
        <v>2.9446795510655241</v>
      </c>
      <c r="AB9">
        <f t="shared" si="3"/>
        <v>5.6036409362151561E-2</v>
      </c>
    </row>
    <row r="10" spans="1:28" x14ac:dyDescent="0.35">
      <c r="A10" t="s">
        <v>74</v>
      </c>
      <c r="B10" t="s">
        <v>75</v>
      </c>
      <c r="C10">
        <v>1</v>
      </c>
      <c r="D10" t="s">
        <v>34</v>
      </c>
      <c r="E10" t="s">
        <v>76</v>
      </c>
      <c r="G10" t="s">
        <v>77</v>
      </c>
      <c r="H10">
        <f>2.7*POWER(10,-26)</f>
        <v>2.6999999999999998E-26</v>
      </c>
      <c r="I10">
        <v>0.99</v>
      </c>
      <c r="J10" t="s">
        <v>37</v>
      </c>
      <c r="K10" t="s">
        <v>78</v>
      </c>
      <c r="L10" t="s">
        <v>79</v>
      </c>
      <c r="M10" t="s">
        <v>30</v>
      </c>
      <c r="N10" t="s">
        <v>80</v>
      </c>
      <c r="O10">
        <v>1</v>
      </c>
      <c r="Q10">
        <f>Table004__Page_7_8[[#This Row],[p-value^{a}]]</f>
        <v>2.6999999999999998E-26</v>
      </c>
      <c r="R10">
        <v>322035</v>
      </c>
      <c r="S10">
        <f t="shared" si="0"/>
        <v>10.610153082859199</v>
      </c>
      <c r="T10">
        <f t="shared" si="1"/>
        <v>10.610153082859199</v>
      </c>
      <c r="U10" t="str">
        <f>Table004__Page_7_8[[#This Row],[Effect]]</f>
        <v>0.033</v>
      </c>
      <c r="V10">
        <f t="shared" si="2"/>
        <v>3.1102284521522887E-3</v>
      </c>
      <c r="Y10">
        <f>EXP(Table004__Page_7_8[[#This Row],[OR^{b}]])</f>
        <v>2.6912344723492621</v>
      </c>
      <c r="Z10">
        <f>EXP(Table004__Page_7_8[[#This Row],[Lower]])</f>
        <v>2.6116964734231178</v>
      </c>
      <c r="AA10">
        <f>EXP(Table004__Page_7_8[[#This Row],[Upper]])</f>
        <v>2.8010658346990791</v>
      </c>
      <c r="AB10">
        <f t="shared" si="3"/>
        <v>4.0580611697012353E-2</v>
      </c>
    </row>
    <row r="11" spans="1:28" x14ac:dyDescent="0.35">
      <c r="A11" t="s">
        <v>81</v>
      </c>
      <c r="B11" t="s">
        <v>82</v>
      </c>
      <c r="C11">
        <v>12</v>
      </c>
      <c r="D11" t="s">
        <v>24</v>
      </c>
      <c r="E11" t="s">
        <v>83</v>
      </c>
      <c r="G11" t="s">
        <v>84</v>
      </c>
      <c r="H11">
        <f>8.2*POWER(10,-24)</f>
        <v>8.2000000000000003E-24</v>
      </c>
      <c r="I11">
        <v>1.02</v>
      </c>
      <c r="J11" t="s">
        <v>85</v>
      </c>
      <c r="K11" t="s">
        <v>86</v>
      </c>
      <c r="L11" t="s">
        <v>87</v>
      </c>
      <c r="M11" t="s">
        <v>60</v>
      </c>
      <c r="N11" t="s">
        <v>31</v>
      </c>
      <c r="O11">
        <v>1</v>
      </c>
      <c r="Q11">
        <f>Table004__Page_7_8[[#This Row],[p-value^{a}]]</f>
        <v>8.2000000000000003E-24</v>
      </c>
      <c r="R11">
        <v>322035</v>
      </c>
      <c r="S11">
        <f t="shared" si="0"/>
        <v>10.061989823836852</v>
      </c>
      <c r="T11">
        <f t="shared" si="1"/>
        <v>10.061989823836852</v>
      </c>
      <c r="U11" t="str">
        <f>Table004__Page_7_8[[#This Row],[Effect]]</f>
        <v>0.032</v>
      </c>
      <c r="V11">
        <f t="shared" si="2"/>
        <v>3.1802854664185814E-3</v>
      </c>
      <c r="Y11">
        <f>EXP(Table004__Page_7_8[[#This Row],[OR^{b}]])</f>
        <v>2.7731947639642978</v>
      </c>
      <c r="Z11">
        <f>EXP(Table004__Page_7_8[[#This Row],[Lower]])</f>
        <v>2.6644562419294169</v>
      </c>
      <c r="AA11">
        <f>EXP(Table004__Page_7_8[[#This Row],[Upper]])</f>
        <v>2.8863709892679585</v>
      </c>
      <c r="AB11">
        <f t="shared" si="3"/>
        <v>5.5478837772898408E-2</v>
      </c>
    </row>
    <row r="12" spans="1:28" x14ac:dyDescent="0.35">
      <c r="A12" t="s">
        <v>88</v>
      </c>
      <c r="B12" t="s">
        <v>89</v>
      </c>
      <c r="C12">
        <v>2</v>
      </c>
      <c r="D12" t="s">
        <v>41</v>
      </c>
      <c r="E12" t="s">
        <v>90</v>
      </c>
      <c r="G12" t="s">
        <v>91</v>
      </c>
      <c r="H12">
        <f>8.8*POWER(10,-24)</f>
        <v>8.8000000000000015E-24</v>
      </c>
      <c r="I12">
        <v>1.06</v>
      </c>
      <c r="J12" t="s">
        <v>92</v>
      </c>
      <c r="K12" t="s">
        <v>93</v>
      </c>
      <c r="L12" t="s">
        <v>94</v>
      </c>
      <c r="M12" t="s">
        <v>30</v>
      </c>
      <c r="N12" t="s">
        <v>31</v>
      </c>
      <c r="O12">
        <v>1</v>
      </c>
      <c r="Q12">
        <f>Table004__Page_7_8[[#This Row],[p-value^{a}]]</f>
        <v>8.8000000000000015E-24</v>
      </c>
      <c r="R12">
        <v>322035</v>
      </c>
      <c r="S12">
        <f t="shared" si="0"/>
        <v>10.055034391620797</v>
      </c>
      <c r="T12">
        <f t="shared" si="1"/>
        <v>10.055034391620797</v>
      </c>
      <c r="U12" t="str">
        <f>Table004__Page_7_8[[#This Row],[Effect]]</f>
        <v>0.031</v>
      </c>
      <c r="V12">
        <f t="shared" si="2"/>
        <v>3.0830327170072495E-3</v>
      </c>
      <c r="Y12">
        <f>EXP(Table004__Page_7_8[[#This Row],[OR^{b}]])</f>
        <v>2.8863709892679585</v>
      </c>
      <c r="Z12">
        <f>EXP(Table004__Page_7_8[[#This Row],[Lower]])</f>
        <v>2.7731947639642978</v>
      </c>
      <c r="AA12">
        <f>EXP(Table004__Page_7_8[[#This Row],[Upper]])</f>
        <v>2.9742740725630656</v>
      </c>
      <c r="AB12">
        <f t="shared" si="3"/>
        <v>5.7742972093704485E-2</v>
      </c>
    </row>
    <row r="13" spans="1:28" x14ac:dyDescent="0.35">
      <c r="A13" t="s">
        <v>95</v>
      </c>
      <c r="B13" t="s">
        <v>96</v>
      </c>
      <c r="C13">
        <v>16</v>
      </c>
      <c r="D13" t="s">
        <v>24</v>
      </c>
      <c r="E13" t="s">
        <v>97</v>
      </c>
      <c r="G13" t="s">
        <v>91</v>
      </c>
      <c r="H13">
        <f>3.1*POWER(10,-23)</f>
        <v>3.1000000000000005E-23</v>
      </c>
      <c r="I13">
        <v>1.01</v>
      </c>
      <c r="J13" t="s">
        <v>27</v>
      </c>
      <c r="K13" t="s">
        <v>28</v>
      </c>
      <c r="L13" t="s">
        <v>98</v>
      </c>
      <c r="M13" t="s">
        <v>30</v>
      </c>
      <c r="N13" t="s">
        <v>31</v>
      </c>
      <c r="O13">
        <v>1</v>
      </c>
      <c r="Q13">
        <f>Table004__Page_7_8[[#This Row],[p-value^{a}]]</f>
        <v>3.1000000000000005E-23</v>
      </c>
      <c r="R13">
        <v>322035</v>
      </c>
      <c r="S13">
        <f t="shared" si="0"/>
        <v>9.9302050389766965</v>
      </c>
      <c r="T13">
        <f t="shared" si="1"/>
        <v>9.9302050389766965</v>
      </c>
      <c r="U13" t="str">
        <f>Table004__Page_7_8[[#This Row],[Effect]]</f>
        <v>0.031</v>
      </c>
      <c r="V13">
        <f t="shared" si="2"/>
        <v>3.1217885107430307E-3</v>
      </c>
      <c r="Y13">
        <f>EXP(Table004__Page_7_8[[#This Row],[OR^{b}]])</f>
        <v>2.7456010150169163</v>
      </c>
      <c r="Z13">
        <f>EXP(Table004__Page_7_8[[#This Row],[Lower]])</f>
        <v>2.6379444593541526</v>
      </c>
      <c r="AA13">
        <f>EXP(Table004__Page_7_8[[#This Row],[Upper]])</f>
        <v>2.8292170143515598</v>
      </c>
      <c r="AB13">
        <f t="shared" si="3"/>
        <v>5.4926814113654986E-2</v>
      </c>
    </row>
    <row r="14" spans="1:28" x14ac:dyDescent="0.35">
      <c r="A14" t="s">
        <v>99</v>
      </c>
      <c r="B14" t="s">
        <v>100</v>
      </c>
      <c r="C14">
        <v>3</v>
      </c>
      <c r="D14" t="s">
        <v>41</v>
      </c>
      <c r="E14" t="s">
        <v>29</v>
      </c>
      <c r="G14" t="s">
        <v>65</v>
      </c>
      <c r="H14">
        <f>1.9*POWER(10,-22)</f>
        <v>1.9000000000000001E-22</v>
      </c>
      <c r="I14">
        <v>1.02</v>
      </c>
      <c r="J14" t="s">
        <v>27</v>
      </c>
      <c r="K14" t="s">
        <v>66</v>
      </c>
      <c r="L14" t="s">
        <v>101</v>
      </c>
      <c r="M14" t="s">
        <v>60</v>
      </c>
      <c r="N14" t="s">
        <v>102</v>
      </c>
      <c r="O14">
        <v>0.99</v>
      </c>
      <c r="Q14">
        <f>Table004__Page_7_8[[#This Row],[p-value^{a}]]</f>
        <v>1.9000000000000001E-22</v>
      </c>
      <c r="R14">
        <v>322035</v>
      </c>
      <c r="S14">
        <f t="shared" si="0"/>
        <v>9.7477265303512048</v>
      </c>
      <c r="T14">
        <f t="shared" si="1"/>
        <v>9.7477265303512048</v>
      </c>
      <c r="U14" t="str">
        <f>Table004__Page_7_8[[#This Row],[Effect]]</f>
        <v>0.045</v>
      </c>
      <c r="V14">
        <f t="shared" si="2"/>
        <v>4.6164610650375592E-3</v>
      </c>
      <c r="Y14">
        <f>EXP(Table004__Page_7_8[[#This Row],[OR^{b}]])</f>
        <v>2.7731947639642978</v>
      </c>
      <c r="Z14">
        <f>EXP(Table004__Page_7_8[[#This Row],[Lower]])</f>
        <v>2.6379444593541526</v>
      </c>
      <c r="AA14">
        <f>EXP(Table004__Page_7_8[[#This Row],[Upper]])</f>
        <v>2.9446795510655241</v>
      </c>
      <c r="AB14">
        <f t="shared" si="3"/>
        <v>6.9005257454155713E-2</v>
      </c>
    </row>
    <row r="15" spans="1:28" x14ac:dyDescent="0.35">
      <c r="A15" t="s">
        <v>103</v>
      </c>
      <c r="B15" t="s">
        <v>104</v>
      </c>
      <c r="C15">
        <v>16</v>
      </c>
      <c r="D15" t="s">
        <v>41</v>
      </c>
      <c r="E15" t="s">
        <v>29</v>
      </c>
      <c r="G15" t="s">
        <v>51</v>
      </c>
      <c r="H15">
        <f>1.5*POWER(10,-18)</f>
        <v>1.5000000000000001E-18</v>
      </c>
      <c r="I15">
        <v>1.06</v>
      </c>
      <c r="J15" t="s">
        <v>105</v>
      </c>
      <c r="K15" t="s">
        <v>106</v>
      </c>
      <c r="L15" t="s">
        <v>107</v>
      </c>
      <c r="M15" t="s">
        <v>60</v>
      </c>
      <c r="N15" t="s">
        <v>31</v>
      </c>
      <c r="O15">
        <v>1</v>
      </c>
      <c r="Q15">
        <f>Table004__Page_7_8[[#This Row],[p-value^{a}]]</f>
        <v>1.5000000000000001E-18</v>
      </c>
      <c r="R15">
        <v>322035</v>
      </c>
      <c r="S15">
        <f t="shared" si="0"/>
        <v>8.7902039595882453</v>
      </c>
      <c r="T15">
        <f t="shared" si="1"/>
        <v>8.7902039595882453</v>
      </c>
      <c r="U15" t="str">
        <f>Table004__Page_7_8[[#This Row],[Effect]]</f>
        <v>0.040</v>
      </c>
      <c r="V15">
        <f t="shared" si="2"/>
        <v>4.5505201226154141E-3</v>
      </c>
      <c r="Y15">
        <f>EXP(Table004__Page_7_8[[#This Row],[OR^{b}]])</f>
        <v>2.8863709892679585</v>
      </c>
      <c r="Z15">
        <f>EXP(Table004__Page_7_8[[#This Row],[Lower]])</f>
        <v>2.7182818284590451</v>
      </c>
      <c r="AA15">
        <f>EXP(Table004__Page_7_8[[#This Row],[Upper]])</f>
        <v>3.0648542032930024</v>
      </c>
      <c r="AB15">
        <f t="shared" si="3"/>
        <v>8.5759775922915032E-2</v>
      </c>
    </row>
    <row r="16" spans="1:28" x14ac:dyDescent="0.35">
      <c r="A16" t="s">
        <v>108</v>
      </c>
      <c r="B16" t="s">
        <v>109</v>
      </c>
      <c r="C16">
        <v>19</v>
      </c>
      <c r="D16" t="s">
        <v>34</v>
      </c>
      <c r="E16" t="s">
        <v>110</v>
      </c>
      <c r="G16" t="s">
        <v>111</v>
      </c>
      <c r="H16">
        <f>4.6*POWER(10,-18)</f>
        <v>4.6000000000000002E-18</v>
      </c>
      <c r="I16">
        <v>1.05</v>
      </c>
      <c r="J16" t="s">
        <v>105</v>
      </c>
      <c r="K16" t="s">
        <v>93</v>
      </c>
      <c r="L16" t="s">
        <v>112</v>
      </c>
      <c r="M16" t="s">
        <v>60</v>
      </c>
      <c r="N16" t="s">
        <v>31</v>
      </c>
      <c r="O16">
        <v>1</v>
      </c>
      <c r="Q16">
        <f>Table004__Page_7_8[[#This Row],[p-value^{a}]]</f>
        <v>4.6000000000000002E-18</v>
      </c>
      <c r="R16">
        <v>322035</v>
      </c>
      <c r="S16">
        <f t="shared" si="0"/>
        <v>8.6633895928441209</v>
      </c>
      <c r="T16">
        <f t="shared" si="1"/>
        <v>8.6633895928441209</v>
      </c>
      <c r="U16" t="str">
        <f>Table004__Page_7_8[[#This Row],[Effect]]</f>
        <v>0.036</v>
      </c>
      <c r="V16">
        <f t="shared" si="2"/>
        <v>4.1554174164966174E-3</v>
      </c>
      <c r="Y16">
        <f>EXP(Table004__Page_7_8[[#This Row],[OR^{b}]])</f>
        <v>2.8576511180631639</v>
      </c>
      <c r="Z16">
        <f>EXP(Table004__Page_7_8[[#This Row],[Lower]])</f>
        <v>2.7182818284590451</v>
      </c>
      <c r="AA16">
        <f>EXP(Table004__Page_7_8[[#This Row],[Upper]])</f>
        <v>2.9742740725630656</v>
      </c>
      <c r="AB16">
        <f t="shared" si="3"/>
        <v>7.1106780410264678E-2</v>
      </c>
    </row>
    <row r="17" spans="1:28" x14ac:dyDescent="0.35">
      <c r="A17" t="s">
        <v>113</v>
      </c>
      <c r="B17" t="s">
        <v>114</v>
      </c>
      <c r="C17">
        <v>15</v>
      </c>
      <c r="D17" t="s">
        <v>115</v>
      </c>
      <c r="E17" t="s">
        <v>116</v>
      </c>
      <c r="G17" t="s">
        <v>91</v>
      </c>
      <c r="H17">
        <f>1.9*POWER(10,-17)</f>
        <v>1.9000000000000001E-17</v>
      </c>
      <c r="I17">
        <v>0.99</v>
      </c>
      <c r="J17" t="s">
        <v>117</v>
      </c>
      <c r="K17" t="s">
        <v>78</v>
      </c>
      <c r="L17" t="s">
        <v>118</v>
      </c>
      <c r="M17" t="s">
        <v>30</v>
      </c>
      <c r="N17" t="s">
        <v>119</v>
      </c>
      <c r="O17">
        <v>0.98</v>
      </c>
      <c r="Q17">
        <f>Table004__Page_7_8[[#This Row],[p-value^{a}]]</f>
        <v>1.9000000000000001E-17</v>
      </c>
      <c r="R17">
        <v>322035</v>
      </c>
      <c r="S17">
        <f t="shared" si="0"/>
        <v>8.5002329922129043</v>
      </c>
      <c r="T17">
        <f t="shared" si="1"/>
        <v>8.5002329922129043</v>
      </c>
      <c r="U17" t="str">
        <f>Table004__Page_7_8[[#This Row],[Effect]]</f>
        <v>0.031</v>
      </c>
      <c r="V17">
        <f t="shared" si="2"/>
        <v>3.6469588572924081E-3</v>
      </c>
      <c r="Y17">
        <f>EXP(Table004__Page_7_8[[#This Row],[OR^{b}]])</f>
        <v>2.6912344723492621</v>
      </c>
      <c r="Z17">
        <f>EXP(Table004__Page_7_8[[#This Row],[Lower]])</f>
        <v>2.585709659315846</v>
      </c>
      <c r="AA17">
        <f>EXP(Table004__Page_7_8[[#This Row],[Upper]])</f>
        <v>2.8010658346990791</v>
      </c>
      <c r="AB17">
        <f t="shared" si="3"/>
        <v>5.3839190323171478E-2</v>
      </c>
    </row>
    <row r="18" spans="1:28" x14ac:dyDescent="0.35">
      <c r="A18" t="s">
        <v>120</v>
      </c>
      <c r="B18" t="s">
        <v>121</v>
      </c>
      <c r="C18">
        <v>11</v>
      </c>
      <c r="D18" t="s">
        <v>115</v>
      </c>
      <c r="E18" t="s">
        <v>101</v>
      </c>
      <c r="G18" t="s">
        <v>122</v>
      </c>
      <c r="H18">
        <f>5.2*POWER(10,-17)</f>
        <v>5.2000000000000007E-17</v>
      </c>
      <c r="I18">
        <v>0.97</v>
      </c>
      <c r="J18" t="s">
        <v>123</v>
      </c>
      <c r="K18" t="s">
        <v>44</v>
      </c>
      <c r="L18" t="s">
        <v>124</v>
      </c>
      <c r="M18" t="s">
        <v>60</v>
      </c>
      <c r="N18" t="s">
        <v>125</v>
      </c>
      <c r="O18">
        <v>0.99</v>
      </c>
      <c r="Q18">
        <f>Table004__Page_7_8[[#This Row],[p-value^{a}]]</f>
        <v>5.2000000000000007E-17</v>
      </c>
      <c r="R18">
        <v>322035</v>
      </c>
      <c r="S18">
        <f t="shared" si="0"/>
        <v>8.3825447783817371</v>
      </c>
      <c r="T18">
        <f t="shared" si="1"/>
        <v>8.3825447783817371</v>
      </c>
      <c r="U18" t="str">
        <f>Table004__Page_7_8[[#This Row],[Effect]]</f>
        <v>0.026</v>
      </c>
      <c r="V18">
        <f t="shared" si="2"/>
        <v>3.1016834013285568E-3</v>
      </c>
      <c r="Y18">
        <f>EXP(Table004__Page_7_8[[#This Row],[OR^{b}]])</f>
        <v>2.6379444593541526</v>
      </c>
      <c r="Z18">
        <f>EXP(Table004__Page_7_8[[#This Row],[Lower]])</f>
        <v>2.5599814183292713</v>
      </c>
      <c r="AA18">
        <f>EXP(Table004__Page_7_8[[#This Row],[Upper]])</f>
        <v>2.7456010150169163</v>
      </c>
      <c r="AB18">
        <f t="shared" si="3"/>
        <v>3.9777061747388404E-2</v>
      </c>
    </row>
    <row r="19" spans="1:28" x14ac:dyDescent="0.35">
      <c r="A19" t="s">
        <v>126</v>
      </c>
      <c r="B19" t="s">
        <v>127</v>
      </c>
      <c r="C19">
        <v>5</v>
      </c>
      <c r="D19" t="s">
        <v>115</v>
      </c>
      <c r="E19" t="s">
        <v>128</v>
      </c>
      <c r="G19" t="s">
        <v>122</v>
      </c>
      <c r="H19">
        <f>6.2*POWER(10,-17)</f>
        <v>6.2000000000000009E-17</v>
      </c>
      <c r="I19">
        <v>1.02</v>
      </c>
      <c r="J19" t="s">
        <v>85</v>
      </c>
      <c r="K19" t="s">
        <v>53</v>
      </c>
      <c r="L19" t="s">
        <v>83</v>
      </c>
      <c r="M19" t="s">
        <v>30</v>
      </c>
      <c r="N19" t="s">
        <v>129</v>
      </c>
      <c r="O19">
        <v>0.85</v>
      </c>
      <c r="Q19">
        <f>Table004__Page_7_8[[#This Row],[p-value^{a}]]</f>
        <v>6.2000000000000009E-17</v>
      </c>
      <c r="R19">
        <v>322035</v>
      </c>
      <c r="S19">
        <f t="shared" si="0"/>
        <v>8.3618190600452404</v>
      </c>
      <c r="T19">
        <f t="shared" si="1"/>
        <v>8.3618190600452404</v>
      </c>
      <c r="U19" t="str">
        <f>Table004__Page_7_8[[#This Row],[Effect]]</f>
        <v>0.026</v>
      </c>
      <c r="V19">
        <f t="shared" si="2"/>
        <v>3.1093712759504904E-3</v>
      </c>
      <c r="Y19">
        <f>EXP(Table004__Page_7_8[[#This Row],[OR^{b}]])</f>
        <v>2.7731947639642978</v>
      </c>
      <c r="Z19">
        <f>EXP(Table004__Page_7_8[[#This Row],[Lower]])</f>
        <v>2.6644562419294169</v>
      </c>
      <c r="AA19">
        <f>EXP(Table004__Page_7_8[[#This Row],[Upper]])</f>
        <v>2.8576511180631639</v>
      </c>
      <c r="AB19">
        <f t="shared" si="3"/>
        <v>5.5478837772898408E-2</v>
      </c>
    </row>
    <row r="20" spans="1:28" x14ac:dyDescent="0.35">
      <c r="A20" t="s">
        <v>130</v>
      </c>
      <c r="B20" t="s">
        <v>131</v>
      </c>
      <c r="C20">
        <v>1</v>
      </c>
      <c r="D20" t="s">
        <v>41</v>
      </c>
      <c r="E20" t="s">
        <v>132</v>
      </c>
      <c r="G20" t="s">
        <v>133</v>
      </c>
      <c r="H20">
        <f>3.3*POWER(10,-15)</f>
        <v>3.3E-15</v>
      </c>
      <c r="I20">
        <v>0.99</v>
      </c>
      <c r="J20" t="s">
        <v>37</v>
      </c>
      <c r="K20" t="s">
        <v>78</v>
      </c>
      <c r="L20" t="s">
        <v>134</v>
      </c>
      <c r="M20" t="s">
        <v>60</v>
      </c>
      <c r="N20" t="s">
        <v>135</v>
      </c>
      <c r="O20">
        <v>1</v>
      </c>
      <c r="Q20">
        <f>Table004__Page_7_8[[#This Row],[p-value^{a}]]</f>
        <v>3.3E-15</v>
      </c>
      <c r="R20">
        <v>322035</v>
      </c>
      <c r="S20">
        <f t="shared" si="0"/>
        <v>7.8793901949978205</v>
      </c>
      <c r="T20">
        <f t="shared" si="1"/>
        <v>7.8793901949978205</v>
      </c>
      <c r="U20" t="str">
        <f>Table004__Page_7_8[[#This Row],[Effect]]</f>
        <v>0.024</v>
      </c>
      <c r="V20">
        <f t="shared" si="2"/>
        <v>3.0459209921138621E-3</v>
      </c>
      <c r="Y20">
        <f>EXP(Table004__Page_7_8[[#This Row],[OR^{b}]])</f>
        <v>2.6912344723492621</v>
      </c>
      <c r="Z20">
        <f>EXP(Table004__Page_7_8[[#This Row],[Lower]])</f>
        <v>2.6116964734231178</v>
      </c>
      <c r="AA20">
        <f>EXP(Table004__Page_7_8[[#This Row],[Upper]])</f>
        <v>2.8010658346990791</v>
      </c>
      <c r="AB20">
        <f t="shared" si="3"/>
        <v>4.0580611697012353E-2</v>
      </c>
    </row>
    <row r="21" spans="1:28" x14ac:dyDescent="0.35">
      <c r="A21" t="s">
        <v>136</v>
      </c>
      <c r="B21" t="s">
        <v>137</v>
      </c>
      <c r="C21">
        <v>19</v>
      </c>
      <c r="D21" t="s">
        <v>24</v>
      </c>
      <c r="E21" t="s">
        <v>138</v>
      </c>
      <c r="G21" t="s">
        <v>139</v>
      </c>
      <c r="H21">
        <f>4.8*POWER(10,-15)</f>
        <v>4.7999999999999999E-15</v>
      </c>
      <c r="I21">
        <v>0.97</v>
      </c>
      <c r="J21" t="s">
        <v>123</v>
      </c>
      <c r="K21" t="s">
        <v>44</v>
      </c>
      <c r="L21" t="s">
        <v>67</v>
      </c>
      <c r="M21" t="s">
        <v>30</v>
      </c>
      <c r="N21" t="s">
        <v>140</v>
      </c>
      <c r="O21">
        <v>1</v>
      </c>
      <c r="Q21">
        <f>Table004__Page_7_8[[#This Row],[p-value^{a}]]</f>
        <v>4.7999999999999999E-15</v>
      </c>
      <c r="R21">
        <v>322035</v>
      </c>
      <c r="S21">
        <f t="shared" si="0"/>
        <v>7.8324234422662933</v>
      </c>
      <c r="T21">
        <f t="shared" si="1"/>
        <v>7.8324234422662933</v>
      </c>
      <c r="U21" t="str">
        <f>Table004__Page_7_8[[#This Row],[Effect]]</f>
        <v>0.028</v>
      </c>
      <c r="V21">
        <f t="shared" si="2"/>
        <v>3.5748833303499571E-3</v>
      </c>
      <c r="Y21">
        <f>EXP(Table004__Page_7_8[[#This Row],[OR^{b}]])</f>
        <v>2.6379444593541526</v>
      </c>
      <c r="Z21">
        <f>EXP(Table004__Page_7_8[[#This Row],[Lower]])</f>
        <v>2.5599814183292713</v>
      </c>
      <c r="AA21">
        <f>EXP(Table004__Page_7_8[[#This Row],[Upper]])</f>
        <v>2.7456010150169163</v>
      </c>
      <c r="AB21">
        <f t="shared" si="3"/>
        <v>3.9777061747388404E-2</v>
      </c>
    </row>
    <row r="22" spans="1:28" x14ac:dyDescent="0.35">
      <c r="A22" t="s">
        <v>141</v>
      </c>
      <c r="B22" t="s">
        <v>142</v>
      </c>
      <c r="C22">
        <v>14</v>
      </c>
      <c r="D22" t="s">
        <v>115</v>
      </c>
      <c r="E22" t="s">
        <v>118</v>
      </c>
      <c r="G22" t="s">
        <v>133</v>
      </c>
      <c r="H22">
        <f>1.2*POWER(10,-14)</f>
        <v>1.1999999999999999E-14</v>
      </c>
      <c r="I22">
        <v>1.02</v>
      </c>
      <c r="J22" t="s">
        <v>52</v>
      </c>
      <c r="K22" t="s">
        <v>86</v>
      </c>
      <c r="L22" t="s">
        <v>143</v>
      </c>
      <c r="M22" t="s">
        <v>60</v>
      </c>
      <c r="N22" t="s">
        <v>31</v>
      </c>
      <c r="O22">
        <v>1</v>
      </c>
      <c r="Q22">
        <f>Table004__Page_7_8[[#This Row],[p-value^{a}]]</f>
        <v>1.1999999999999999E-14</v>
      </c>
      <c r="R22">
        <v>322035</v>
      </c>
      <c r="S22">
        <f t="shared" si="0"/>
        <v>7.7164022812987518</v>
      </c>
      <c r="T22">
        <f t="shared" si="1"/>
        <v>7.7164022812987518</v>
      </c>
      <c r="U22" t="str">
        <f>Table004__Page_7_8[[#This Row],[Effect]]</f>
        <v>0.024</v>
      </c>
      <c r="V22">
        <f t="shared" si="2"/>
        <v>3.1102577503204702E-3</v>
      </c>
      <c r="Y22">
        <f>EXP(Table004__Page_7_8[[#This Row],[OR^{b}]])</f>
        <v>2.7731947639642978</v>
      </c>
      <c r="Z22">
        <f>EXP(Table004__Page_7_8[[#This Row],[Lower]])</f>
        <v>2.6912344723492621</v>
      </c>
      <c r="AA22">
        <f>EXP(Table004__Page_7_8[[#This Row],[Upper]])</f>
        <v>2.8863709892679585</v>
      </c>
      <c r="AB22">
        <f t="shared" si="3"/>
        <v>4.1816475313793726E-2</v>
      </c>
    </row>
    <row r="23" spans="1:28" x14ac:dyDescent="0.35">
      <c r="A23" t="s">
        <v>144</v>
      </c>
      <c r="B23" t="s">
        <v>145</v>
      </c>
      <c r="C23">
        <v>3</v>
      </c>
      <c r="D23" t="s">
        <v>41</v>
      </c>
      <c r="E23" t="s">
        <v>146</v>
      </c>
      <c r="G23" t="s">
        <v>147</v>
      </c>
      <c r="H23">
        <f>1.7*POWER(10,-14)</f>
        <v>1.7E-14</v>
      </c>
      <c r="I23">
        <v>0.99</v>
      </c>
      <c r="J23" t="s">
        <v>117</v>
      </c>
      <c r="K23" t="s">
        <v>28</v>
      </c>
      <c r="L23" t="s">
        <v>98</v>
      </c>
      <c r="M23" t="s">
        <v>60</v>
      </c>
      <c r="N23" t="s">
        <v>148</v>
      </c>
      <c r="O23">
        <v>0.99</v>
      </c>
      <c r="Q23">
        <f>Table004__Page_7_8[[#This Row],[p-value^{a}]]</f>
        <v>1.7E-14</v>
      </c>
      <c r="R23">
        <v>322035</v>
      </c>
      <c r="S23">
        <f t="shared" si="0"/>
        <v>7.6718538047627751</v>
      </c>
      <c r="T23">
        <f t="shared" si="1"/>
        <v>7.6718538047627751</v>
      </c>
      <c r="U23" t="str">
        <f>Table004__Page_7_8[[#This Row],[Effect]]</f>
        <v>0.030</v>
      </c>
      <c r="V23">
        <f t="shared" si="2"/>
        <v>3.9103977687082164E-3</v>
      </c>
      <c r="Y23">
        <f>EXP(Table004__Page_7_8[[#This Row],[OR^{b}]])</f>
        <v>2.6912344723492621</v>
      </c>
      <c r="Z23">
        <f>EXP(Table004__Page_7_8[[#This Row],[Lower]])</f>
        <v>2.585709659315846</v>
      </c>
      <c r="AA23">
        <f>EXP(Table004__Page_7_8[[#This Row],[Upper]])</f>
        <v>2.8292170143515598</v>
      </c>
      <c r="AB23">
        <f t="shared" si="3"/>
        <v>5.3839190323171478E-2</v>
      </c>
    </row>
    <row r="24" spans="1:28" x14ac:dyDescent="0.35">
      <c r="A24" t="s">
        <v>149</v>
      </c>
      <c r="B24" t="s">
        <v>150</v>
      </c>
      <c r="C24">
        <v>9</v>
      </c>
      <c r="D24" t="s">
        <v>41</v>
      </c>
      <c r="E24" t="s">
        <v>151</v>
      </c>
      <c r="G24" t="s">
        <v>152</v>
      </c>
      <c r="H24">
        <f>6.6*POWER(10,-14)</f>
        <v>6.5999999999999996E-14</v>
      </c>
      <c r="I24">
        <v>1.01</v>
      </c>
      <c r="J24" t="s">
        <v>27</v>
      </c>
      <c r="K24" t="s">
        <v>53</v>
      </c>
      <c r="L24" t="s">
        <v>153</v>
      </c>
      <c r="M24" t="s">
        <v>60</v>
      </c>
      <c r="N24" t="s">
        <v>31</v>
      </c>
      <c r="O24">
        <v>1</v>
      </c>
      <c r="Q24">
        <f>Table004__Page_7_8[[#This Row],[p-value^{a}]]</f>
        <v>6.5999999999999996E-14</v>
      </c>
      <c r="R24">
        <v>322035</v>
      </c>
      <c r="S24">
        <f t="shared" si="0"/>
        <v>7.4959243490477654</v>
      </c>
      <c r="T24">
        <f t="shared" si="1"/>
        <v>7.4959243490477654</v>
      </c>
      <c r="U24" t="str">
        <f>Table004__Page_7_8[[#This Row],[Effect]]</f>
        <v>0.025</v>
      </c>
      <c r="V24">
        <f t="shared" si="2"/>
        <v>3.3351457186432043E-3</v>
      </c>
      <c r="Y24">
        <f>EXP(Table004__Page_7_8[[#This Row],[OR^{b}]])</f>
        <v>2.7456010150169163</v>
      </c>
      <c r="Z24">
        <f>EXP(Table004__Page_7_8[[#This Row],[Lower]])</f>
        <v>2.6379444593541526</v>
      </c>
      <c r="AA24">
        <f>EXP(Table004__Page_7_8[[#This Row],[Upper]])</f>
        <v>2.8576511180631639</v>
      </c>
      <c r="AB24">
        <f t="shared" si="3"/>
        <v>5.4926814113654986E-2</v>
      </c>
    </row>
    <row r="25" spans="1:28" x14ac:dyDescent="0.35">
      <c r="A25" t="s">
        <v>154</v>
      </c>
      <c r="B25" t="s">
        <v>155</v>
      </c>
      <c r="C25">
        <v>13</v>
      </c>
      <c r="D25" t="s">
        <v>24</v>
      </c>
      <c r="E25" t="s">
        <v>156</v>
      </c>
      <c r="G25" t="s">
        <v>77</v>
      </c>
      <c r="H25">
        <f>1.1*POWER(10,-12)</f>
        <v>1.1000000000000002E-12</v>
      </c>
      <c r="I25">
        <v>1.01</v>
      </c>
      <c r="J25" t="s">
        <v>37</v>
      </c>
      <c r="K25" t="s">
        <v>86</v>
      </c>
      <c r="L25" t="s">
        <v>71</v>
      </c>
      <c r="M25" t="s">
        <v>60</v>
      </c>
      <c r="N25" t="s">
        <v>31</v>
      </c>
      <c r="O25">
        <v>1</v>
      </c>
      <c r="Q25">
        <f>Table004__Page_7_8[[#This Row],[p-value^{a}]]</f>
        <v>1.1000000000000002E-12</v>
      </c>
      <c r="R25">
        <v>322035</v>
      </c>
      <c r="S25">
        <f t="shared" si="0"/>
        <v>7.1176628168309763</v>
      </c>
      <c r="T25">
        <f t="shared" si="1"/>
        <v>7.1176628168309763</v>
      </c>
      <c r="U25" t="str">
        <f>Table004__Page_7_8[[#This Row],[Effect]]</f>
        <v>0.033</v>
      </c>
      <c r="V25">
        <f t="shared" si="2"/>
        <v>4.6363533717789568E-3</v>
      </c>
      <c r="Y25">
        <f>EXP(Table004__Page_7_8[[#This Row],[OR^{b}]])</f>
        <v>2.7456010150169163</v>
      </c>
      <c r="Z25">
        <f>EXP(Table004__Page_7_8[[#This Row],[Lower]])</f>
        <v>2.6116964734231178</v>
      </c>
      <c r="AA25">
        <f>EXP(Table004__Page_7_8[[#This Row],[Upper]])</f>
        <v>2.8863709892679585</v>
      </c>
      <c r="AB25">
        <f t="shared" si="3"/>
        <v>6.8318643670305351E-2</v>
      </c>
    </row>
    <row r="26" spans="1:28" x14ac:dyDescent="0.35">
      <c r="A26" t="s">
        <v>157</v>
      </c>
      <c r="B26" t="s">
        <v>158</v>
      </c>
      <c r="C26">
        <v>11</v>
      </c>
      <c r="D26" t="s">
        <v>41</v>
      </c>
      <c r="E26" t="s">
        <v>159</v>
      </c>
      <c r="G26" t="s">
        <v>160</v>
      </c>
      <c r="H26">
        <f>1.3*POWER(10,-12)</f>
        <v>1.3000000000000001E-12</v>
      </c>
      <c r="I26">
        <v>0.99</v>
      </c>
      <c r="J26" t="s">
        <v>117</v>
      </c>
      <c r="K26" t="s">
        <v>78</v>
      </c>
      <c r="L26" t="s">
        <v>161</v>
      </c>
      <c r="M26" t="s">
        <v>60</v>
      </c>
      <c r="N26" t="s">
        <v>162</v>
      </c>
      <c r="O26">
        <v>0.84</v>
      </c>
      <c r="Q26">
        <f>Table004__Page_7_8[[#This Row],[p-value^{a}]]</f>
        <v>1.3000000000000001E-12</v>
      </c>
      <c r="R26">
        <v>322035</v>
      </c>
      <c r="S26">
        <f t="shared" si="0"/>
        <v>7.0945910382377226</v>
      </c>
      <c r="T26">
        <f t="shared" si="1"/>
        <v>7.0945910382377226</v>
      </c>
      <c r="U26" t="str">
        <f>Table004__Page_7_8[[#This Row],[Effect]]</f>
        <v>0.022</v>
      </c>
      <c r="V26">
        <f t="shared" si="2"/>
        <v>3.1009539353891694E-3</v>
      </c>
      <c r="Y26">
        <f>EXP(Table004__Page_7_8[[#This Row],[OR^{b}]])</f>
        <v>2.6912344723492621</v>
      </c>
      <c r="Z26">
        <f>EXP(Table004__Page_7_8[[#This Row],[Lower]])</f>
        <v>2.585709659315846</v>
      </c>
      <c r="AA26">
        <f>EXP(Table004__Page_7_8[[#This Row],[Upper]])</f>
        <v>2.8010658346990791</v>
      </c>
      <c r="AB26">
        <f t="shared" si="3"/>
        <v>5.3839190323171478E-2</v>
      </c>
    </row>
    <row r="27" spans="1:28" x14ac:dyDescent="0.35">
      <c r="A27" t="s">
        <v>163</v>
      </c>
      <c r="B27" t="s">
        <v>164</v>
      </c>
      <c r="C27">
        <v>1</v>
      </c>
      <c r="D27" t="s">
        <v>115</v>
      </c>
      <c r="E27" t="s">
        <v>165</v>
      </c>
      <c r="G27" t="s">
        <v>160</v>
      </c>
      <c r="H27">
        <f>2.1*POWER(10,-12)</f>
        <v>2.0999999999999999E-12</v>
      </c>
      <c r="I27">
        <v>1.01</v>
      </c>
      <c r="J27" t="s">
        <v>27</v>
      </c>
      <c r="K27" t="s">
        <v>53</v>
      </c>
      <c r="L27" t="s">
        <v>98</v>
      </c>
      <c r="M27" t="s">
        <v>60</v>
      </c>
      <c r="N27" t="s">
        <v>31</v>
      </c>
      <c r="O27">
        <v>1</v>
      </c>
      <c r="Q27">
        <f>Table004__Page_7_8[[#This Row],[p-value^{a}]]</f>
        <v>2.0999999999999999E-12</v>
      </c>
      <c r="R27">
        <v>322035</v>
      </c>
      <c r="S27">
        <f t="shared" si="0"/>
        <v>7.0279521307427375</v>
      </c>
      <c r="T27">
        <f t="shared" si="1"/>
        <v>7.0279521307427375</v>
      </c>
      <c r="U27" t="str">
        <f>Table004__Page_7_8[[#This Row],[Effect]]</f>
        <v>0.022</v>
      </c>
      <c r="V27">
        <f t="shared" si="2"/>
        <v>3.1303571212109218E-3</v>
      </c>
      <c r="Y27">
        <f>EXP(Table004__Page_7_8[[#This Row],[OR^{b}]])</f>
        <v>2.7456010150169163</v>
      </c>
      <c r="Z27">
        <f>EXP(Table004__Page_7_8[[#This Row],[Lower]])</f>
        <v>2.6379444593541526</v>
      </c>
      <c r="AA27">
        <f>EXP(Table004__Page_7_8[[#This Row],[Upper]])</f>
        <v>2.8576511180631639</v>
      </c>
      <c r="AB27">
        <f t="shared" si="3"/>
        <v>5.4926814113654986E-2</v>
      </c>
    </row>
    <row r="28" spans="1:28" x14ac:dyDescent="0.35">
      <c r="A28" t="s">
        <v>166</v>
      </c>
      <c r="B28" t="s">
        <v>167</v>
      </c>
      <c r="C28">
        <v>10</v>
      </c>
      <c r="D28" t="s">
        <v>34</v>
      </c>
      <c r="E28" t="s">
        <v>168</v>
      </c>
      <c r="G28" t="s">
        <v>169</v>
      </c>
      <c r="H28">
        <f>1.1*POWER(10,-11)</f>
        <v>1.1000000000000001E-11</v>
      </c>
      <c r="I28">
        <v>0.98</v>
      </c>
      <c r="J28" t="s">
        <v>117</v>
      </c>
      <c r="K28" t="s">
        <v>92</v>
      </c>
      <c r="L28" t="s">
        <v>170</v>
      </c>
      <c r="M28" t="s">
        <v>60</v>
      </c>
      <c r="N28" t="s">
        <v>31</v>
      </c>
      <c r="O28">
        <v>1</v>
      </c>
      <c r="Q28">
        <f>Table004__Page_7_8[[#This Row],[p-value^{a}]]</f>
        <v>1.1000000000000001E-11</v>
      </c>
      <c r="R28">
        <v>322035</v>
      </c>
      <c r="S28">
        <f t="shared" si="0"/>
        <v>6.7930194922262324</v>
      </c>
      <c r="T28">
        <f t="shared" si="1"/>
        <v>6.7930194922262324</v>
      </c>
      <c r="U28" t="str">
        <f>Table004__Page_7_8[[#This Row],[Effect]]</f>
        <v>0.023</v>
      </c>
      <c r="V28">
        <f t="shared" si="2"/>
        <v>3.3858286475286349E-3</v>
      </c>
      <c r="Y28">
        <f>EXP(Table004__Page_7_8[[#This Row],[OR^{b}]])</f>
        <v>2.6644562419294169</v>
      </c>
      <c r="Z28">
        <f>EXP(Table004__Page_7_8[[#This Row],[Lower]])</f>
        <v>2.585709659315846</v>
      </c>
      <c r="AA28">
        <f>EXP(Table004__Page_7_8[[#This Row],[Upper]])</f>
        <v>2.7731947639642978</v>
      </c>
      <c r="AB28">
        <f t="shared" si="3"/>
        <v>4.0176827864066803E-2</v>
      </c>
    </row>
    <row r="29" spans="1:28" x14ac:dyDescent="0.35">
      <c r="A29" t="s">
        <v>171</v>
      </c>
      <c r="B29" t="s">
        <v>172</v>
      </c>
      <c r="C29">
        <v>14</v>
      </c>
      <c r="D29" t="s">
        <v>34</v>
      </c>
      <c r="E29" t="s">
        <v>173</v>
      </c>
      <c r="G29" t="s">
        <v>169</v>
      </c>
      <c r="H29">
        <f>1.1*POWER(10,-11)</f>
        <v>1.1000000000000001E-11</v>
      </c>
      <c r="I29">
        <v>1</v>
      </c>
      <c r="J29" t="s">
        <v>37</v>
      </c>
      <c r="K29" t="s">
        <v>78</v>
      </c>
      <c r="L29" t="s">
        <v>174</v>
      </c>
      <c r="M29" t="s">
        <v>30</v>
      </c>
      <c r="N29" t="s">
        <v>175</v>
      </c>
      <c r="O29">
        <v>0.84</v>
      </c>
      <c r="Q29">
        <f>Table004__Page_7_8[[#This Row],[p-value^{a}]]</f>
        <v>1.1000000000000001E-11</v>
      </c>
      <c r="R29">
        <v>322035</v>
      </c>
      <c r="S29">
        <f t="shared" si="0"/>
        <v>6.7930194922262324</v>
      </c>
      <c r="T29">
        <f t="shared" si="1"/>
        <v>6.7930194922262324</v>
      </c>
      <c r="U29" t="str">
        <f>Table004__Page_7_8[[#This Row],[Effect]]</f>
        <v>0.023</v>
      </c>
      <c r="V29">
        <f t="shared" si="2"/>
        <v>3.3858286475286349E-3</v>
      </c>
      <c r="Y29">
        <f>EXP(Table004__Page_7_8[[#This Row],[OR^{b}]])</f>
        <v>2.7182818284590451</v>
      </c>
      <c r="Z29">
        <f>EXP(Table004__Page_7_8[[#This Row],[Lower]])</f>
        <v>2.6116964734231178</v>
      </c>
      <c r="AA29">
        <f>EXP(Table004__Page_7_8[[#This Row],[Upper]])</f>
        <v>2.8010658346990791</v>
      </c>
      <c r="AB29">
        <f t="shared" si="3"/>
        <v>5.4380283181595539E-2</v>
      </c>
    </row>
    <row r="30" spans="1:28" x14ac:dyDescent="0.35">
      <c r="A30" t="s">
        <v>176</v>
      </c>
      <c r="B30" t="s">
        <v>177</v>
      </c>
      <c r="C30">
        <v>8</v>
      </c>
      <c r="D30" t="s">
        <v>115</v>
      </c>
      <c r="E30" t="s">
        <v>178</v>
      </c>
      <c r="G30" t="s">
        <v>160</v>
      </c>
      <c r="H30">
        <f>2.1*POWER(10,-11)</f>
        <v>2.0999999999999999E-11</v>
      </c>
      <c r="I30">
        <v>0.99</v>
      </c>
      <c r="J30" t="s">
        <v>117</v>
      </c>
      <c r="K30" t="s">
        <v>78</v>
      </c>
      <c r="L30" t="s">
        <v>168</v>
      </c>
      <c r="M30" t="s">
        <v>60</v>
      </c>
      <c r="N30" t="s">
        <v>179</v>
      </c>
      <c r="O30">
        <v>0.97</v>
      </c>
      <c r="Q30">
        <f>Table004__Page_7_8[[#This Row],[p-value^{a}]]</f>
        <v>2.0999999999999999E-11</v>
      </c>
      <c r="R30">
        <v>322035</v>
      </c>
      <c r="S30">
        <f t="shared" si="0"/>
        <v>6.6991345608616975</v>
      </c>
      <c r="T30">
        <f t="shared" si="1"/>
        <v>6.6991345608616975</v>
      </c>
      <c r="U30" t="str">
        <f>Table004__Page_7_8[[#This Row],[Effect]]</f>
        <v>0.022</v>
      </c>
      <c r="V30">
        <f t="shared" si="2"/>
        <v>3.2840062847118239E-3</v>
      </c>
      <c r="Y30">
        <f>EXP(Table004__Page_7_8[[#This Row],[OR^{b}]])</f>
        <v>2.6912344723492621</v>
      </c>
      <c r="Z30">
        <f>EXP(Table004__Page_7_8[[#This Row],[Lower]])</f>
        <v>2.585709659315846</v>
      </c>
      <c r="AA30">
        <f>EXP(Table004__Page_7_8[[#This Row],[Upper]])</f>
        <v>2.8010658346990791</v>
      </c>
      <c r="AB30">
        <f t="shared" si="3"/>
        <v>5.3839190323171478E-2</v>
      </c>
    </row>
    <row r="31" spans="1:28" x14ac:dyDescent="0.35">
      <c r="A31" t="s">
        <v>180</v>
      </c>
      <c r="B31" t="s">
        <v>181</v>
      </c>
      <c r="C31">
        <v>2</v>
      </c>
      <c r="D31" t="s">
        <v>115</v>
      </c>
      <c r="E31" t="s">
        <v>182</v>
      </c>
      <c r="G31" t="s">
        <v>169</v>
      </c>
      <c r="H31">
        <f>2.3*POWER(10,-11)</f>
        <v>2.2999999999999998E-11</v>
      </c>
      <c r="I31">
        <v>1.03</v>
      </c>
      <c r="J31" t="s">
        <v>52</v>
      </c>
      <c r="K31" t="s">
        <v>183</v>
      </c>
      <c r="L31" t="s">
        <v>67</v>
      </c>
      <c r="M31" t="s">
        <v>60</v>
      </c>
      <c r="N31" t="s">
        <v>184</v>
      </c>
      <c r="O31">
        <v>1</v>
      </c>
      <c r="Q31">
        <f>Table004__Page_7_8[[#This Row],[p-value^{a}]]</f>
        <v>2.2999999999999998E-11</v>
      </c>
      <c r="R31">
        <v>322035</v>
      </c>
      <c r="S31">
        <f t="shared" si="0"/>
        <v>6.6858247087022784</v>
      </c>
      <c r="T31">
        <f t="shared" si="1"/>
        <v>6.6858247087022784</v>
      </c>
      <c r="U31" t="str">
        <f>Table004__Page_7_8[[#This Row],[Effect]]</f>
        <v>0.023</v>
      </c>
      <c r="V31">
        <f t="shared" si="2"/>
        <v>3.4401141223554918E-3</v>
      </c>
      <c r="Y31">
        <f>EXP(Table004__Page_7_8[[#This Row],[OR^{b}]])</f>
        <v>2.8010658346990791</v>
      </c>
      <c r="Z31">
        <f>EXP(Table004__Page_7_8[[#This Row],[Lower]])</f>
        <v>2.6912344723492621</v>
      </c>
      <c r="AA31">
        <f>EXP(Table004__Page_7_8[[#This Row],[Upper]])</f>
        <v>2.9153794999769969</v>
      </c>
      <c r="AB31">
        <f t="shared" si="3"/>
        <v>5.6036409362151561E-2</v>
      </c>
    </row>
    <row r="32" spans="1:28" x14ac:dyDescent="0.35">
      <c r="A32" t="s">
        <v>185</v>
      </c>
      <c r="B32" t="s">
        <v>186</v>
      </c>
      <c r="C32">
        <v>11</v>
      </c>
      <c r="D32" t="s">
        <v>41</v>
      </c>
      <c r="E32" t="s">
        <v>187</v>
      </c>
      <c r="G32" t="s">
        <v>188</v>
      </c>
      <c r="H32">
        <f>2.9*POWER(10,-11)</f>
        <v>2.8999999999999997E-11</v>
      </c>
      <c r="I32">
        <v>0.99</v>
      </c>
      <c r="J32" t="s">
        <v>117</v>
      </c>
      <c r="K32" t="s">
        <v>78</v>
      </c>
      <c r="L32" t="s">
        <v>98</v>
      </c>
      <c r="M32" t="s">
        <v>60</v>
      </c>
      <c r="N32" t="s">
        <v>189</v>
      </c>
      <c r="O32">
        <v>0.99</v>
      </c>
      <c r="Q32">
        <f>Table004__Page_7_8[[#This Row],[p-value^{a}]]</f>
        <v>2.8999999999999997E-11</v>
      </c>
      <c r="R32">
        <v>322035</v>
      </c>
      <c r="S32">
        <f t="shared" si="0"/>
        <v>6.6517949398799194</v>
      </c>
      <c r="T32">
        <f t="shared" si="1"/>
        <v>6.6517949398799194</v>
      </c>
      <c r="U32" t="str">
        <f>Table004__Page_7_8[[#This Row],[Effect]]</f>
        <v>0.021</v>
      </c>
      <c r="V32">
        <f t="shared" si="2"/>
        <v>3.1570426012529937E-3</v>
      </c>
      <c r="Y32">
        <f>EXP(Table004__Page_7_8[[#This Row],[OR^{b}]])</f>
        <v>2.6912344723492621</v>
      </c>
      <c r="Z32">
        <f>EXP(Table004__Page_7_8[[#This Row],[Lower]])</f>
        <v>2.585709659315846</v>
      </c>
      <c r="AA32">
        <f>EXP(Table004__Page_7_8[[#This Row],[Upper]])</f>
        <v>2.8010658346990791</v>
      </c>
      <c r="AB32">
        <f t="shared" si="3"/>
        <v>5.3839190323171478E-2</v>
      </c>
    </row>
    <row r="33" spans="1:28" x14ac:dyDescent="0.35">
      <c r="A33" t="s">
        <v>190</v>
      </c>
      <c r="B33" t="s">
        <v>191</v>
      </c>
      <c r="C33">
        <v>10</v>
      </c>
      <c r="D33" t="s">
        <v>34</v>
      </c>
      <c r="E33" t="s">
        <v>143</v>
      </c>
      <c r="G33" t="s">
        <v>152</v>
      </c>
      <c r="H33">
        <f>5.9*POWER(10,-11)</f>
        <v>5.9000000000000003E-11</v>
      </c>
      <c r="I33">
        <v>1.01</v>
      </c>
      <c r="J33" t="s">
        <v>27</v>
      </c>
      <c r="K33" t="s">
        <v>86</v>
      </c>
      <c r="L33" t="s">
        <v>165</v>
      </c>
      <c r="M33" t="s">
        <v>60</v>
      </c>
      <c r="N33" t="s">
        <v>192</v>
      </c>
      <c r="O33">
        <v>0.9</v>
      </c>
      <c r="Q33">
        <f>Table004__Page_7_8[[#This Row],[p-value^{a}]]</f>
        <v>5.9000000000000003E-11</v>
      </c>
      <c r="R33">
        <v>322035</v>
      </c>
      <c r="S33">
        <f t="shared" si="0"/>
        <v>6.5464723195128034</v>
      </c>
      <c r="T33">
        <f t="shared" si="1"/>
        <v>6.5464723195128034</v>
      </c>
      <c r="U33" t="str">
        <f>Table004__Page_7_8[[#This Row],[Effect]]</f>
        <v>0.025</v>
      </c>
      <c r="V33">
        <f t="shared" si="2"/>
        <v>3.8188506389133458E-3</v>
      </c>
      <c r="Y33">
        <f>EXP(Table004__Page_7_8[[#This Row],[OR^{b}]])</f>
        <v>2.7456010150169163</v>
      </c>
      <c r="Z33">
        <f>EXP(Table004__Page_7_8[[#This Row],[Lower]])</f>
        <v>2.6379444593541526</v>
      </c>
      <c r="AA33">
        <f>EXP(Table004__Page_7_8[[#This Row],[Upper]])</f>
        <v>2.8863709892679585</v>
      </c>
      <c r="AB33">
        <f t="shared" si="3"/>
        <v>5.4926814113654986E-2</v>
      </c>
    </row>
    <row r="34" spans="1:28" x14ac:dyDescent="0.35">
      <c r="A34" t="s">
        <v>193</v>
      </c>
      <c r="B34" t="s">
        <v>194</v>
      </c>
      <c r="C34">
        <v>1</v>
      </c>
      <c r="D34" t="s">
        <v>24</v>
      </c>
      <c r="E34" t="s">
        <v>170</v>
      </c>
      <c r="G34" t="s">
        <v>188</v>
      </c>
      <c r="H34">
        <f>1.2*POWER(10,-10)</f>
        <v>1.2E-10</v>
      </c>
      <c r="I34">
        <v>1.01</v>
      </c>
      <c r="J34" t="s">
        <v>27</v>
      </c>
      <c r="K34" t="s">
        <v>28</v>
      </c>
      <c r="L34" t="s">
        <v>128</v>
      </c>
      <c r="M34" t="s">
        <v>30</v>
      </c>
      <c r="N34" t="s">
        <v>195</v>
      </c>
      <c r="O34">
        <v>1</v>
      </c>
      <c r="Q34">
        <f>Table004__Page_7_8[[#This Row],[p-value^{a}]]</f>
        <v>1.2E-10</v>
      </c>
      <c r="R34">
        <v>322035</v>
      </c>
      <c r="S34">
        <f t="shared" si="0"/>
        <v>6.4395448635490462</v>
      </c>
      <c r="T34">
        <f t="shared" si="1"/>
        <v>6.4395448635490462</v>
      </c>
      <c r="U34" t="str">
        <f>Table004__Page_7_8[[#This Row],[Effect]]</f>
        <v>0.021</v>
      </c>
      <c r="V34">
        <f t="shared" si="2"/>
        <v>3.2611000381207386E-3</v>
      </c>
      <c r="Y34">
        <f>EXP(Table004__Page_7_8[[#This Row],[OR^{b}]])</f>
        <v>2.7456010150169163</v>
      </c>
      <c r="Z34">
        <f>EXP(Table004__Page_7_8[[#This Row],[Lower]])</f>
        <v>2.6379444593541526</v>
      </c>
      <c r="AA34">
        <f>EXP(Table004__Page_7_8[[#This Row],[Upper]])</f>
        <v>2.8292170143515598</v>
      </c>
      <c r="AB34">
        <f t="shared" si="3"/>
        <v>5.4926814113654986E-2</v>
      </c>
    </row>
    <row r="35" spans="1:28" x14ac:dyDescent="0.35">
      <c r="A35" t="s">
        <v>196</v>
      </c>
      <c r="B35" t="s">
        <v>197</v>
      </c>
      <c r="C35">
        <v>2</v>
      </c>
      <c r="D35" t="s">
        <v>41</v>
      </c>
      <c r="E35" t="s">
        <v>198</v>
      </c>
      <c r="G35" t="s">
        <v>160</v>
      </c>
      <c r="H35">
        <f>1.2*POWER(10,-10)</f>
        <v>1.2E-10</v>
      </c>
      <c r="I35">
        <v>1.02</v>
      </c>
      <c r="J35" t="s">
        <v>85</v>
      </c>
      <c r="K35" t="s">
        <v>183</v>
      </c>
      <c r="L35" t="s">
        <v>35</v>
      </c>
      <c r="M35" t="s">
        <v>60</v>
      </c>
      <c r="N35" t="s">
        <v>31</v>
      </c>
      <c r="O35">
        <v>1</v>
      </c>
      <c r="Q35">
        <f>Table004__Page_7_8[[#This Row],[p-value^{a}]]</f>
        <v>1.2E-10</v>
      </c>
      <c r="R35">
        <v>322035</v>
      </c>
      <c r="S35">
        <f t="shared" si="0"/>
        <v>6.4395448635490462</v>
      </c>
      <c r="T35">
        <f t="shared" si="1"/>
        <v>6.4395448635490462</v>
      </c>
      <c r="U35" t="str">
        <f>Table004__Page_7_8[[#This Row],[Effect]]</f>
        <v>0.022</v>
      </c>
      <c r="V35">
        <f t="shared" si="2"/>
        <v>3.4163905161264875E-3</v>
      </c>
      <c r="Y35">
        <f>EXP(Table004__Page_7_8[[#This Row],[OR^{b}]])</f>
        <v>2.7731947639642978</v>
      </c>
      <c r="Z35">
        <f>EXP(Table004__Page_7_8[[#This Row],[Lower]])</f>
        <v>2.6644562419294169</v>
      </c>
      <c r="AA35">
        <f>EXP(Table004__Page_7_8[[#This Row],[Upper]])</f>
        <v>2.9153794999769969</v>
      </c>
      <c r="AB35">
        <f t="shared" si="3"/>
        <v>5.5478837772898408E-2</v>
      </c>
    </row>
    <row r="36" spans="1:28" x14ac:dyDescent="0.35">
      <c r="A36" t="s">
        <v>199</v>
      </c>
      <c r="B36" t="s">
        <v>200</v>
      </c>
      <c r="C36">
        <v>3</v>
      </c>
      <c r="D36" t="s">
        <v>34</v>
      </c>
      <c r="E36" t="s">
        <v>165</v>
      </c>
      <c r="G36" t="s">
        <v>201</v>
      </c>
      <c r="H36">
        <f>1.6*POWER(10,-10)</f>
        <v>1.6000000000000002E-10</v>
      </c>
      <c r="I36">
        <v>0.98</v>
      </c>
      <c r="J36" t="s">
        <v>123</v>
      </c>
      <c r="K36" t="s">
        <v>92</v>
      </c>
      <c r="L36" t="s">
        <v>182</v>
      </c>
      <c r="M36" t="s">
        <v>60</v>
      </c>
      <c r="N36" t="s">
        <v>202</v>
      </c>
      <c r="O36">
        <v>0.98</v>
      </c>
      <c r="Q36">
        <f>Table004__Page_7_8[[#This Row],[p-value^{a}]]</f>
        <v>1.6000000000000002E-10</v>
      </c>
      <c r="R36">
        <v>322035</v>
      </c>
      <c r="S36">
        <f t="shared" si="0"/>
        <v>6.3957298605110475</v>
      </c>
      <c r="T36">
        <f t="shared" si="1"/>
        <v>6.3957298605110475</v>
      </c>
      <c r="U36" t="str">
        <f>Table004__Page_7_8[[#This Row],[Effect]]</f>
        <v>0.020</v>
      </c>
      <c r="V36">
        <f t="shared" si="2"/>
        <v>3.1270864211269097E-3</v>
      </c>
      <c r="Y36">
        <f>EXP(Table004__Page_7_8[[#This Row],[OR^{b}]])</f>
        <v>2.6644562419294169</v>
      </c>
      <c r="Z36">
        <f>EXP(Table004__Page_7_8[[#This Row],[Lower]])</f>
        <v>2.5599814183292713</v>
      </c>
      <c r="AA36">
        <f>EXP(Table004__Page_7_8[[#This Row],[Upper]])</f>
        <v>2.7731947639642978</v>
      </c>
      <c r="AB36">
        <f t="shared" si="3"/>
        <v>5.3303481428645709E-2</v>
      </c>
    </row>
    <row r="37" spans="1:28" x14ac:dyDescent="0.35">
      <c r="A37" t="s">
        <v>203</v>
      </c>
      <c r="B37" t="s">
        <v>204</v>
      </c>
      <c r="C37">
        <v>6</v>
      </c>
      <c r="D37" t="s">
        <v>41</v>
      </c>
      <c r="E37" t="s">
        <v>205</v>
      </c>
      <c r="G37" t="s">
        <v>160</v>
      </c>
      <c r="H37">
        <f>1.8*POWER(10,-10)</f>
        <v>1.8E-10</v>
      </c>
      <c r="I37">
        <v>1.01</v>
      </c>
      <c r="J37" t="s">
        <v>27</v>
      </c>
      <c r="K37" t="s">
        <v>53</v>
      </c>
      <c r="L37" t="s">
        <v>206</v>
      </c>
      <c r="M37" t="s">
        <v>30</v>
      </c>
      <c r="N37" t="s">
        <v>31</v>
      </c>
      <c r="O37">
        <v>1</v>
      </c>
      <c r="Q37">
        <f>Table004__Page_7_8[[#This Row],[p-value^{a}]]</f>
        <v>1.8E-10</v>
      </c>
      <c r="R37">
        <v>322035</v>
      </c>
      <c r="S37">
        <f t="shared" si="0"/>
        <v>6.3777080694374195</v>
      </c>
      <c r="T37">
        <f t="shared" si="1"/>
        <v>6.3777080694374195</v>
      </c>
      <c r="U37" t="str">
        <f>Table004__Page_7_8[[#This Row],[Effect]]</f>
        <v>0.022</v>
      </c>
      <c r="V37">
        <f t="shared" si="2"/>
        <v>3.4495150546990511E-3</v>
      </c>
      <c r="Y37">
        <f>EXP(Table004__Page_7_8[[#This Row],[OR^{b}]])</f>
        <v>2.7456010150169163</v>
      </c>
      <c r="Z37">
        <f>EXP(Table004__Page_7_8[[#This Row],[Lower]])</f>
        <v>2.6379444593541526</v>
      </c>
      <c r="AA37">
        <f>EXP(Table004__Page_7_8[[#This Row],[Upper]])</f>
        <v>2.8576511180631639</v>
      </c>
      <c r="AB37">
        <f t="shared" si="3"/>
        <v>5.4926814113654986E-2</v>
      </c>
    </row>
    <row r="38" spans="1:28" x14ac:dyDescent="0.35">
      <c r="A38" t="s">
        <v>207</v>
      </c>
      <c r="B38" t="s">
        <v>208</v>
      </c>
      <c r="C38">
        <v>1</v>
      </c>
      <c r="D38" t="s">
        <v>34</v>
      </c>
      <c r="E38" t="s">
        <v>209</v>
      </c>
      <c r="G38" t="s">
        <v>201</v>
      </c>
      <c r="H38">
        <f>1.8*POWER(10,-10)</f>
        <v>1.8E-10</v>
      </c>
      <c r="I38">
        <v>1.03</v>
      </c>
      <c r="J38" t="s">
        <v>52</v>
      </c>
      <c r="K38" t="s">
        <v>183</v>
      </c>
      <c r="L38" t="s">
        <v>67</v>
      </c>
      <c r="M38" t="s">
        <v>60</v>
      </c>
      <c r="N38" t="s">
        <v>210</v>
      </c>
      <c r="O38">
        <v>0.93</v>
      </c>
      <c r="Q38">
        <f>Table004__Page_7_8[[#This Row],[p-value^{a}]]</f>
        <v>1.8E-10</v>
      </c>
      <c r="R38">
        <v>322035</v>
      </c>
      <c r="S38">
        <f t="shared" si="0"/>
        <v>6.3777080694374195</v>
      </c>
      <c r="T38">
        <f t="shared" si="1"/>
        <v>6.3777080694374195</v>
      </c>
      <c r="U38" t="str">
        <f>Table004__Page_7_8[[#This Row],[Effect]]</f>
        <v>0.020</v>
      </c>
      <c r="V38">
        <f t="shared" si="2"/>
        <v>3.1359227769991375E-3</v>
      </c>
      <c r="Y38">
        <f>EXP(Table004__Page_7_8[[#This Row],[OR^{b}]])</f>
        <v>2.8010658346990791</v>
      </c>
      <c r="Z38">
        <f>EXP(Table004__Page_7_8[[#This Row],[Lower]])</f>
        <v>2.6912344723492621</v>
      </c>
      <c r="AA38">
        <f>EXP(Table004__Page_7_8[[#This Row],[Upper]])</f>
        <v>2.9153794999769969</v>
      </c>
      <c r="AB38">
        <f t="shared" si="3"/>
        <v>5.6036409362151561E-2</v>
      </c>
    </row>
    <row r="39" spans="1:28" x14ac:dyDescent="0.35">
      <c r="A39" t="s">
        <v>211</v>
      </c>
      <c r="B39" t="s">
        <v>212</v>
      </c>
      <c r="C39">
        <v>14</v>
      </c>
      <c r="D39" t="s">
        <v>34</v>
      </c>
      <c r="E39" t="s">
        <v>213</v>
      </c>
      <c r="G39" t="s">
        <v>188</v>
      </c>
      <c r="H39">
        <f>1.9*POWER(10,-10)</f>
        <v>1.8999999999999999E-10</v>
      </c>
      <c r="I39">
        <v>1.01</v>
      </c>
      <c r="J39" t="s">
        <v>85</v>
      </c>
      <c r="K39" t="s">
        <v>53</v>
      </c>
      <c r="L39" t="s">
        <v>25</v>
      </c>
      <c r="M39" t="s">
        <v>60</v>
      </c>
      <c r="N39" t="s">
        <v>214</v>
      </c>
      <c r="O39">
        <v>1</v>
      </c>
      <c r="Q39">
        <f>Table004__Page_7_8[[#This Row],[p-value^{a}]]</f>
        <v>1.8999999999999999E-10</v>
      </c>
      <c r="R39">
        <v>322035</v>
      </c>
      <c r="S39">
        <f t="shared" si="0"/>
        <v>6.3694190124274899</v>
      </c>
      <c r="T39">
        <f t="shared" si="1"/>
        <v>6.3694190124274899</v>
      </c>
      <c r="U39" t="str">
        <f>Table004__Page_7_8[[#This Row],[Effect]]</f>
        <v>0.021</v>
      </c>
      <c r="V39">
        <f t="shared" si="2"/>
        <v>3.2970040060210383E-3</v>
      </c>
      <c r="Y39">
        <f>EXP(Table004__Page_7_8[[#This Row],[OR^{b}]])</f>
        <v>2.7456010150169163</v>
      </c>
      <c r="Z39">
        <f>EXP(Table004__Page_7_8[[#This Row],[Lower]])</f>
        <v>2.6644562419294169</v>
      </c>
      <c r="AA39">
        <f>EXP(Table004__Page_7_8[[#This Row],[Upper]])</f>
        <v>2.8576511180631639</v>
      </c>
      <c r="AB39">
        <f t="shared" si="3"/>
        <v>4.140039443239768E-2</v>
      </c>
    </row>
    <row r="40" spans="1:28" x14ac:dyDescent="0.35">
      <c r="A40" t="s">
        <v>215</v>
      </c>
      <c r="B40" t="s">
        <v>216</v>
      </c>
      <c r="C40">
        <v>13</v>
      </c>
      <c r="D40" t="s">
        <v>115</v>
      </c>
      <c r="E40" t="s">
        <v>146</v>
      </c>
      <c r="G40" t="s">
        <v>147</v>
      </c>
      <c r="H40">
        <f>2.3*POWER(10,-10)</f>
        <v>2.2999999999999998E-10</v>
      </c>
      <c r="I40">
        <v>1.01</v>
      </c>
      <c r="J40" t="s">
        <v>27</v>
      </c>
      <c r="K40" t="s">
        <v>86</v>
      </c>
      <c r="L40" t="s">
        <v>165</v>
      </c>
      <c r="M40" t="s">
        <v>60</v>
      </c>
      <c r="N40" t="s">
        <v>217</v>
      </c>
      <c r="O40">
        <v>0.82</v>
      </c>
      <c r="Q40">
        <f>Table004__Page_7_8[[#This Row],[p-value^{a}]]</f>
        <v>2.2999999999999998E-10</v>
      </c>
      <c r="R40">
        <v>322035</v>
      </c>
      <c r="S40">
        <f t="shared" si="0"/>
        <v>6.340045359132751</v>
      </c>
      <c r="T40">
        <f t="shared" si="1"/>
        <v>6.340045359132751</v>
      </c>
      <c r="U40" t="str">
        <f>Table004__Page_7_8[[#This Row],[Effect]]</f>
        <v>0.030</v>
      </c>
      <c r="V40">
        <f t="shared" si="2"/>
        <v>4.731827345175914E-3</v>
      </c>
      <c r="Y40">
        <f>EXP(Table004__Page_7_8[[#This Row],[OR^{b}]])</f>
        <v>2.7456010150169163</v>
      </c>
      <c r="Z40">
        <f>EXP(Table004__Page_7_8[[#This Row],[Lower]])</f>
        <v>2.6379444593541526</v>
      </c>
      <c r="AA40">
        <f>EXP(Table004__Page_7_8[[#This Row],[Upper]])</f>
        <v>2.8863709892679585</v>
      </c>
      <c r="AB40">
        <f t="shared" si="3"/>
        <v>5.4926814113654986E-2</v>
      </c>
    </row>
    <row r="41" spans="1:28" x14ac:dyDescent="0.35">
      <c r="A41" t="s">
        <v>218</v>
      </c>
      <c r="B41" t="s">
        <v>219</v>
      </c>
      <c r="C41">
        <v>3</v>
      </c>
      <c r="D41" t="s">
        <v>115</v>
      </c>
      <c r="E41" t="s">
        <v>220</v>
      </c>
      <c r="G41" t="s">
        <v>58</v>
      </c>
      <c r="H41">
        <f>3.6*POWER(10,-10)</f>
        <v>3.6E-10</v>
      </c>
      <c r="I41">
        <v>1.02</v>
      </c>
      <c r="J41" t="s">
        <v>117</v>
      </c>
      <c r="K41" t="s">
        <v>93</v>
      </c>
      <c r="L41" t="s">
        <v>128</v>
      </c>
      <c r="M41" t="s">
        <v>60</v>
      </c>
      <c r="N41" t="s">
        <v>221</v>
      </c>
      <c r="O41">
        <v>0.99</v>
      </c>
      <c r="Q41">
        <f>Table004__Page_7_8[[#This Row],[p-value^{a}]]</f>
        <v>3.6E-10</v>
      </c>
      <c r="R41">
        <v>322035</v>
      </c>
      <c r="S41">
        <f t="shared" si="0"/>
        <v>6.2706489260383682</v>
      </c>
      <c r="T41">
        <f t="shared" si="1"/>
        <v>6.2706489260383682</v>
      </c>
      <c r="U41" t="str">
        <f>Table004__Page_7_8[[#This Row],[Effect]]</f>
        <v>0.048</v>
      </c>
      <c r="V41">
        <f t="shared" si="2"/>
        <v>7.6547101529929129E-3</v>
      </c>
      <c r="Y41">
        <f>EXP(Table004__Page_7_8[[#This Row],[OR^{b}]])</f>
        <v>2.7731947639642978</v>
      </c>
      <c r="Z41">
        <f>EXP(Table004__Page_7_8[[#This Row],[Lower]])</f>
        <v>2.585709659315846</v>
      </c>
      <c r="AA41">
        <f>EXP(Table004__Page_7_8[[#This Row],[Upper]])</f>
        <v>2.9742740725630656</v>
      </c>
      <c r="AB41">
        <f t="shared" si="3"/>
        <v>9.5655665636965204E-2</v>
      </c>
    </row>
    <row r="42" spans="1:28" x14ac:dyDescent="0.35">
      <c r="A42" t="s">
        <v>222</v>
      </c>
      <c r="B42" t="s">
        <v>223</v>
      </c>
      <c r="C42">
        <v>7</v>
      </c>
      <c r="D42" t="s">
        <v>41</v>
      </c>
      <c r="E42" t="s">
        <v>224</v>
      </c>
      <c r="G42" t="s">
        <v>201</v>
      </c>
      <c r="H42">
        <f>6.3*POWER(10,-10)</f>
        <v>6.3E-10</v>
      </c>
      <c r="I42">
        <v>1</v>
      </c>
      <c r="J42" t="s">
        <v>27</v>
      </c>
      <c r="K42" t="s">
        <v>28</v>
      </c>
      <c r="L42" t="s">
        <v>225</v>
      </c>
      <c r="M42" t="s">
        <v>30</v>
      </c>
      <c r="N42" t="s">
        <v>31</v>
      </c>
      <c r="O42">
        <v>1</v>
      </c>
      <c r="Q42">
        <f>Table004__Page_7_8[[#This Row],[p-value^{a}]]</f>
        <v>6.3E-10</v>
      </c>
      <c r="R42">
        <v>322035</v>
      </c>
      <c r="S42">
        <f t="shared" si="0"/>
        <v>6.1829243421716544</v>
      </c>
      <c r="T42">
        <f t="shared" si="1"/>
        <v>6.1829243421716544</v>
      </c>
      <c r="U42" t="str">
        <f>Table004__Page_7_8[[#This Row],[Effect]]</f>
        <v>0.020</v>
      </c>
      <c r="V42">
        <f t="shared" si="2"/>
        <v>3.2347153051164972E-3</v>
      </c>
      <c r="Y42">
        <f>EXP(Table004__Page_7_8[[#This Row],[OR^{b}]])</f>
        <v>2.7182818284590451</v>
      </c>
      <c r="Z42">
        <f>EXP(Table004__Page_7_8[[#This Row],[Lower]])</f>
        <v>2.6379444593541526</v>
      </c>
      <c r="AA42">
        <f>EXP(Table004__Page_7_8[[#This Row],[Upper]])</f>
        <v>2.8292170143515598</v>
      </c>
      <c r="AB42">
        <f t="shared" si="3"/>
        <v>4.0988453624945166E-2</v>
      </c>
    </row>
    <row r="43" spans="1:28" x14ac:dyDescent="0.35">
      <c r="A43" t="s">
        <v>226</v>
      </c>
      <c r="B43" t="s">
        <v>227</v>
      </c>
      <c r="C43">
        <v>16</v>
      </c>
      <c r="D43" t="s">
        <v>115</v>
      </c>
      <c r="E43" t="s">
        <v>205</v>
      </c>
      <c r="G43" t="s">
        <v>169</v>
      </c>
      <c r="H43">
        <f>7.5*POWER(10,-10)</f>
        <v>7.5E-10</v>
      </c>
      <c r="I43">
        <v>1.03</v>
      </c>
      <c r="J43" t="s">
        <v>52</v>
      </c>
      <c r="K43" t="s">
        <v>183</v>
      </c>
      <c r="L43" t="s">
        <v>73</v>
      </c>
      <c r="M43" t="s">
        <v>60</v>
      </c>
      <c r="N43" t="s">
        <v>31</v>
      </c>
      <c r="O43">
        <v>1</v>
      </c>
      <c r="Q43">
        <f>Table004__Page_7_8[[#This Row],[p-value^{a}]]</f>
        <v>7.5E-10</v>
      </c>
      <c r="R43">
        <v>322035</v>
      </c>
      <c r="S43">
        <f t="shared" si="0"/>
        <v>6.1553494845296379</v>
      </c>
      <c r="T43">
        <f t="shared" si="1"/>
        <v>6.1553494845296379</v>
      </c>
      <c r="U43" t="str">
        <f>Table004__Page_7_8[[#This Row],[Effect]]</f>
        <v>0.023</v>
      </c>
      <c r="V43">
        <f t="shared" si="2"/>
        <v>3.7365871844980301E-3</v>
      </c>
      <c r="Y43">
        <f>EXP(Table004__Page_7_8[[#This Row],[OR^{b}]])</f>
        <v>2.8010658346990791</v>
      </c>
      <c r="Z43">
        <f>EXP(Table004__Page_7_8[[#This Row],[Lower]])</f>
        <v>2.6912344723492621</v>
      </c>
      <c r="AA43">
        <f>EXP(Table004__Page_7_8[[#This Row],[Upper]])</f>
        <v>2.9153794999769969</v>
      </c>
      <c r="AB43">
        <f t="shared" si="3"/>
        <v>5.6036409362151561E-2</v>
      </c>
    </row>
    <row r="44" spans="1:28" x14ac:dyDescent="0.35">
      <c r="A44" t="s">
        <v>228</v>
      </c>
      <c r="B44" t="s">
        <v>229</v>
      </c>
      <c r="C44">
        <v>9</v>
      </c>
      <c r="D44" t="s">
        <v>115</v>
      </c>
      <c r="E44" t="s">
        <v>224</v>
      </c>
      <c r="G44" t="s">
        <v>230</v>
      </c>
      <c r="H44">
        <f>7.9*POWER(10,-10)</f>
        <v>7.9000000000000006E-10</v>
      </c>
      <c r="I44">
        <v>1.02</v>
      </c>
      <c r="J44" t="s">
        <v>52</v>
      </c>
      <c r="K44" t="s">
        <v>86</v>
      </c>
      <c r="L44" t="s">
        <v>231</v>
      </c>
      <c r="M44" t="s">
        <v>60</v>
      </c>
      <c r="N44" t="s">
        <v>31</v>
      </c>
      <c r="O44">
        <v>1</v>
      </c>
      <c r="Q44">
        <f>Table004__Page_7_8[[#This Row],[p-value^{a}]]</f>
        <v>7.9000000000000006E-10</v>
      </c>
      <c r="R44">
        <v>322035</v>
      </c>
      <c r="S44">
        <f t="shared" si="0"/>
        <v>6.1471089968641293</v>
      </c>
      <c r="T44">
        <f t="shared" si="1"/>
        <v>6.1471089968641293</v>
      </c>
      <c r="U44" t="str">
        <f>Table004__Page_7_8[[#This Row],[Effect]]</f>
        <v>0.019</v>
      </c>
      <c r="V44">
        <f t="shared" si="2"/>
        <v>3.0908838625917667E-3</v>
      </c>
      <c r="Y44">
        <f>EXP(Table004__Page_7_8[[#This Row],[OR^{b}]])</f>
        <v>2.7731947639642978</v>
      </c>
      <c r="Z44">
        <f>EXP(Table004__Page_7_8[[#This Row],[Lower]])</f>
        <v>2.6912344723492621</v>
      </c>
      <c r="AA44">
        <f>EXP(Table004__Page_7_8[[#This Row],[Upper]])</f>
        <v>2.8863709892679585</v>
      </c>
      <c r="AB44">
        <f t="shared" si="3"/>
        <v>4.1816475313793726E-2</v>
      </c>
    </row>
    <row r="45" spans="1:28" x14ac:dyDescent="0.35">
      <c r="A45" t="s">
        <v>232</v>
      </c>
      <c r="B45" t="s">
        <v>233</v>
      </c>
      <c r="C45">
        <v>16</v>
      </c>
      <c r="D45" t="s">
        <v>24</v>
      </c>
      <c r="E45" t="s">
        <v>206</v>
      </c>
      <c r="G45" t="s">
        <v>230</v>
      </c>
      <c r="H45">
        <f>8.1*POWER(10,-10)</f>
        <v>8.0999999999999999E-10</v>
      </c>
      <c r="I45">
        <v>1.02</v>
      </c>
      <c r="J45" t="s">
        <v>85</v>
      </c>
      <c r="K45" t="s">
        <v>53</v>
      </c>
      <c r="L45" t="s">
        <v>234</v>
      </c>
      <c r="M45" t="s">
        <v>30</v>
      </c>
      <c r="N45" t="s">
        <v>31</v>
      </c>
      <c r="O45">
        <v>1</v>
      </c>
      <c r="Q45">
        <f>Table004__Page_7_8[[#This Row],[p-value^{a}]]</f>
        <v>8.0999999999999999E-10</v>
      </c>
      <c r="R45">
        <v>322035</v>
      </c>
      <c r="S45">
        <f t="shared" si="0"/>
        <v>6.1431401949026156</v>
      </c>
      <c r="T45">
        <f t="shared" si="1"/>
        <v>6.1431401949026156</v>
      </c>
      <c r="U45" t="str">
        <f>Table004__Page_7_8[[#This Row],[Effect]]</f>
        <v>0.019</v>
      </c>
      <c r="V45">
        <f t="shared" si="2"/>
        <v>3.0928807413129855E-3</v>
      </c>
      <c r="Y45">
        <f>EXP(Table004__Page_7_8[[#This Row],[OR^{b}]])</f>
        <v>2.7731947639642978</v>
      </c>
      <c r="Z45">
        <f>EXP(Table004__Page_7_8[[#This Row],[Lower]])</f>
        <v>2.6644562419294169</v>
      </c>
      <c r="AA45">
        <f>EXP(Table004__Page_7_8[[#This Row],[Upper]])</f>
        <v>2.8576511180631639</v>
      </c>
      <c r="AB45">
        <f t="shared" si="3"/>
        <v>5.5478837772898408E-2</v>
      </c>
    </row>
    <row r="46" spans="1:28" x14ac:dyDescent="0.35">
      <c r="A46" t="s">
        <v>235</v>
      </c>
      <c r="B46" t="s">
        <v>236</v>
      </c>
      <c r="C46">
        <v>2</v>
      </c>
      <c r="D46" t="s">
        <v>24</v>
      </c>
      <c r="E46" t="s">
        <v>54</v>
      </c>
      <c r="G46" t="s">
        <v>188</v>
      </c>
      <c r="H46">
        <f>1.3*POWER(10,-9)</f>
        <v>1.3000000000000001E-9</v>
      </c>
      <c r="I46">
        <v>1.02</v>
      </c>
      <c r="J46" t="s">
        <v>52</v>
      </c>
      <c r="K46" t="s">
        <v>86</v>
      </c>
      <c r="L46" t="s">
        <v>231</v>
      </c>
      <c r="M46" t="s">
        <v>30</v>
      </c>
      <c r="N46" t="s">
        <v>31</v>
      </c>
      <c r="O46">
        <v>1</v>
      </c>
      <c r="Q46">
        <f>Table004__Page_7_8[[#This Row],[p-value^{a}]]</f>
        <v>1.3000000000000001E-9</v>
      </c>
      <c r="R46">
        <v>322035</v>
      </c>
      <c r="S46">
        <f t="shared" si="0"/>
        <v>6.0675750325558413</v>
      </c>
      <c r="T46">
        <f t="shared" si="1"/>
        <v>6.0675750325558413</v>
      </c>
      <c r="U46" t="str">
        <f>Table004__Page_7_8[[#This Row],[Effect]]</f>
        <v>0.021</v>
      </c>
      <c r="V46">
        <f t="shared" si="2"/>
        <v>3.4610202407590472E-3</v>
      </c>
      <c r="Y46">
        <f>EXP(Table004__Page_7_8[[#This Row],[OR^{b}]])</f>
        <v>2.7731947639642978</v>
      </c>
      <c r="Z46">
        <f>EXP(Table004__Page_7_8[[#This Row],[Lower]])</f>
        <v>2.6912344723492621</v>
      </c>
      <c r="AA46">
        <f>EXP(Table004__Page_7_8[[#This Row],[Upper]])</f>
        <v>2.8863709892679585</v>
      </c>
      <c r="AB46">
        <f t="shared" si="3"/>
        <v>4.1816475313793726E-2</v>
      </c>
    </row>
    <row r="47" spans="1:28" x14ac:dyDescent="0.35">
      <c r="A47" t="s">
        <v>237</v>
      </c>
      <c r="B47" t="s">
        <v>238</v>
      </c>
      <c r="C47">
        <v>16</v>
      </c>
      <c r="D47" t="s">
        <v>24</v>
      </c>
      <c r="E47" t="s">
        <v>239</v>
      </c>
      <c r="G47" t="s">
        <v>188</v>
      </c>
      <c r="H47">
        <f>1.9*POWER(10,-9)</f>
        <v>1.9000000000000001E-9</v>
      </c>
      <c r="I47">
        <v>1.01</v>
      </c>
      <c r="J47" t="s">
        <v>85</v>
      </c>
      <c r="K47" t="s">
        <v>53</v>
      </c>
      <c r="L47" t="s">
        <v>165</v>
      </c>
      <c r="M47" t="s">
        <v>30</v>
      </c>
      <c r="N47" t="s">
        <v>31</v>
      </c>
      <c r="O47">
        <v>1</v>
      </c>
      <c r="Q47">
        <f>Table004__Page_7_8[[#This Row],[p-value^{a}]]</f>
        <v>1.9000000000000001E-9</v>
      </c>
      <c r="R47">
        <v>322035</v>
      </c>
      <c r="S47">
        <f t="shared" si="0"/>
        <v>6.0063061656672128</v>
      </c>
      <c r="T47">
        <f t="shared" si="1"/>
        <v>6.0063061656672128</v>
      </c>
      <c r="U47" t="str">
        <f>Table004__Page_7_8[[#This Row],[Effect]]</f>
        <v>0.021</v>
      </c>
      <c r="V47">
        <f t="shared" si="2"/>
        <v>3.4963252656081026E-3</v>
      </c>
      <c r="Y47">
        <f>EXP(Table004__Page_7_8[[#This Row],[OR^{b}]])</f>
        <v>2.7456010150169163</v>
      </c>
      <c r="Z47">
        <f>EXP(Table004__Page_7_8[[#This Row],[Lower]])</f>
        <v>2.6644562419294169</v>
      </c>
      <c r="AA47">
        <f>EXP(Table004__Page_7_8[[#This Row],[Upper]])</f>
        <v>2.8576511180631639</v>
      </c>
      <c r="AB47">
        <f t="shared" si="3"/>
        <v>4.140039443239768E-2</v>
      </c>
    </row>
    <row r="48" spans="1:28" x14ac:dyDescent="0.35">
      <c r="A48" t="s">
        <v>240</v>
      </c>
      <c r="B48" t="s">
        <v>241</v>
      </c>
      <c r="C48">
        <v>3</v>
      </c>
      <c r="D48" t="s">
        <v>41</v>
      </c>
      <c r="E48" t="s">
        <v>165</v>
      </c>
      <c r="G48" t="s">
        <v>230</v>
      </c>
      <c r="H48">
        <f>2.5*POWER(10,-9)</f>
        <v>2.5000000000000001E-9</v>
      </c>
      <c r="I48">
        <v>1.03</v>
      </c>
      <c r="J48" t="s">
        <v>52</v>
      </c>
      <c r="K48" t="s">
        <v>183</v>
      </c>
      <c r="L48" t="s">
        <v>242</v>
      </c>
      <c r="M48" t="s">
        <v>60</v>
      </c>
      <c r="N48" t="s">
        <v>31</v>
      </c>
      <c r="O48">
        <v>1</v>
      </c>
      <c r="Q48">
        <f>Table004__Page_7_8[[#This Row],[p-value^{a}]]</f>
        <v>2.5000000000000001E-9</v>
      </c>
      <c r="R48">
        <v>322035</v>
      </c>
      <c r="S48">
        <f t="shared" si="0"/>
        <v>5.961625260760786</v>
      </c>
      <c r="T48">
        <f t="shared" si="1"/>
        <v>5.961625260760786</v>
      </c>
      <c r="U48" t="str">
        <f>Table004__Page_7_8[[#This Row],[Effect]]</f>
        <v>0.019</v>
      </c>
      <c r="V48">
        <f t="shared" si="2"/>
        <v>3.187050371155891E-3</v>
      </c>
      <c r="Y48">
        <f>EXP(Table004__Page_7_8[[#This Row],[OR^{b}]])</f>
        <v>2.8010658346990791</v>
      </c>
      <c r="Z48">
        <f>EXP(Table004__Page_7_8[[#This Row],[Lower]])</f>
        <v>2.6912344723492621</v>
      </c>
      <c r="AA48">
        <f>EXP(Table004__Page_7_8[[#This Row],[Upper]])</f>
        <v>2.9153794999769969</v>
      </c>
      <c r="AB48">
        <f t="shared" si="3"/>
        <v>5.6036409362151561E-2</v>
      </c>
    </row>
    <row r="49" spans="1:28" x14ac:dyDescent="0.35">
      <c r="A49" t="s">
        <v>243</v>
      </c>
      <c r="B49" t="s">
        <v>244</v>
      </c>
      <c r="C49">
        <v>17</v>
      </c>
      <c r="D49" t="s">
        <v>41</v>
      </c>
      <c r="E49" t="s">
        <v>165</v>
      </c>
      <c r="G49" t="s">
        <v>245</v>
      </c>
      <c r="H49">
        <f>2.5*POWER(10,-9)</f>
        <v>2.5000000000000001E-9</v>
      </c>
      <c r="I49">
        <v>1.01</v>
      </c>
      <c r="J49" t="s">
        <v>27</v>
      </c>
      <c r="K49" t="s">
        <v>53</v>
      </c>
      <c r="L49" t="s">
        <v>165</v>
      </c>
      <c r="M49" t="s">
        <v>60</v>
      </c>
      <c r="N49" t="s">
        <v>31</v>
      </c>
      <c r="O49">
        <v>1</v>
      </c>
      <c r="Q49">
        <f>Table004__Page_7_8[[#This Row],[p-value^{a}]]</f>
        <v>2.5000000000000001E-9</v>
      </c>
      <c r="R49">
        <v>322035</v>
      </c>
      <c r="S49">
        <f t="shared" si="0"/>
        <v>5.961625260760786</v>
      </c>
      <c r="T49">
        <f t="shared" si="1"/>
        <v>5.961625260760786</v>
      </c>
      <c r="U49" t="str">
        <f>Table004__Page_7_8[[#This Row],[Effect]]</f>
        <v>0.018</v>
      </c>
      <c r="V49">
        <f t="shared" si="2"/>
        <v>3.0193108779371599E-3</v>
      </c>
      <c r="Y49">
        <f>EXP(Table004__Page_7_8[[#This Row],[OR^{b}]])</f>
        <v>2.7456010150169163</v>
      </c>
      <c r="Z49">
        <f>EXP(Table004__Page_7_8[[#This Row],[Lower]])</f>
        <v>2.6379444593541526</v>
      </c>
      <c r="AA49">
        <f>EXP(Table004__Page_7_8[[#This Row],[Upper]])</f>
        <v>2.8576511180631639</v>
      </c>
      <c r="AB49">
        <f t="shared" si="3"/>
        <v>5.4926814113654986E-2</v>
      </c>
    </row>
    <row r="50" spans="1:28" x14ac:dyDescent="0.35">
      <c r="A50" t="s">
        <v>246</v>
      </c>
      <c r="B50" t="s">
        <v>247</v>
      </c>
      <c r="C50">
        <v>9</v>
      </c>
      <c r="D50" t="s">
        <v>115</v>
      </c>
      <c r="E50" t="s">
        <v>153</v>
      </c>
      <c r="G50" t="s">
        <v>245</v>
      </c>
      <c r="H50">
        <f>4.6*POWER(10,-9)</f>
        <v>4.5999999999999998E-9</v>
      </c>
      <c r="I50">
        <v>1</v>
      </c>
      <c r="J50" t="s">
        <v>37</v>
      </c>
      <c r="K50" t="s">
        <v>28</v>
      </c>
      <c r="L50" t="s">
        <v>59</v>
      </c>
      <c r="M50" t="s">
        <v>60</v>
      </c>
      <c r="N50" t="s">
        <v>31</v>
      </c>
      <c r="O50">
        <v>1</v>
      </c>
      <c r="Q50">
        <f>Table004__Page_7_8[[#This Row],[p-value^{a}]]</f>
        <v>4.5999999999999998E-9</v>
      </c>
      <c r="R50">
        <v>322035</v>
      </c>
      <c r="S50">
        <f t="shared" si="0"/>
        <v>5.8611926054727039</v>
      </c>
      <c r="T50">
        <f t="shared" si="1"/>
        <v>5.8611926054727039</v>
      </c>
      <c r="U50" t="str">
        <f>Table004__Page_7_8[[#This Row],[Effect]]</f>
        <v>0.018</v>
      </c>
      <c r="V50">
        <f t="shared" si="2"/>
        <v>3.071047346779402E-3</v>
      </c>
      <c r="Y50">
        <f>EXP(Table004__Page_7_8[[#This Row],[OR^{b}]])</f>
        <v>2.7182818284590451</v>
      </c>
      <c r="Z50">
        <f>EXP(Table004__Page_7_8[[#This Row],[Lower]])</f>
        <v>2.6116964734231178</v>
      </c>
      <c r="AA50">
        <f>EXP(Table004__Page_7_8[[#This Row],[Upper]])</f>
        <v>2.8292170143515598</v>
      </c>
      <c r="AB50">
        <f t="shared" si="3"/>
        <v>5.4380283181595539E-2</v>
      </c>
    </row>
    <row r="51" spans="1:28" x14ac:dyDescent="0.35">
      <c r="A51" t="s">
        <v>248</v>
      </c>
      <c r="B51" t="s">
        <v>249</v>
      </c>
      <c r="C51">
        <v>6</v>
      </c>
      <c r="D51" t="s">
        <v>24</v>
      </c>
      <c r="E51" t="s">
        <v>250</v>
      </c>
      <c r="G51" t="s">
        <v>139</v>
      </c>
      <c r="H51">
        <f>7.3*POWER(10,-9)</f>
        <v>7.3E-9</v>
      </c>
      <c r="I51">
        <v>1.01</v>
      </c>
      <c r="J51" t="s">
        <v>117</v>
      </c>
      <c r="K51" t="s">
        <v>183</v>
      </c>
      <c r="L51" t="s">
        <v>42</v>
      </c>
      <c r="M51" t="s">
        <v>60</v>
      </c>
      <c r="N51" t="s">
        <v>251</v>
      </c>
      <c r="O51">
        <v>0.98</v>
      </c>
      <c r="Q51">
        <f>Table004__Page_7_8[[#This Row],[p-value^{a}]]</f>
        <v>7.3E-9</v>
      </c>
      <c r="R51">
        <v>322035</v>
      </c>
      <c r="S51">
        <f t="shared" si="0"/>
        <v>5.7840278464188097</v>
      </c>
      <c r="T51">
        <f t="shared" si="1"/>
        <v>5.7840278464188097</v>
      </c>
      <c r="U51" t="str">
        <f>Table004__Page_7_8[[#This Row],[Effect]]</f>
        <v>0.028</v>
      </c>
      <c r="V51">
        <f t="shared" si="2"/>
        <v>4.8409172195352148E-3</v>
      </c>
      <c r="Y51">
        <f>EXP(Table004__Page_7_8[[#This Row],[OR^{b}]])</f>
        <v>2.7456010150169163</v>
      </c>
      <c r="Z51">
        <f>EXP(Table004__Page_7_8[[#This Row],[Lower]])</f>
        <v>2.585709659315846</v>
      </c>
      <c r="AA51">
        <f>EXP(Table004__Page_7_8[[#This Row],[Upper]])</f>
        <v>2.9153794999769969</v>
      </c>
      <c r="AB51">
        <f t="shared" si="3"/>
        <v>8.1577222296464483E-2</v>
      </c>
    </row>
    <row r="52" spans="1:28" x14ac:dyDescent="0.35">
      <c r="A52" t="s">
        <v>252</v>
      </c>
      <c r="B52" t="s">
        <v>253</v>
      </c>
      <c r="C52">
        <v>15</v>
      </c>
      <c r="D52" t="s">
        <v>24</v>
      </c>
      <c r="E52" t="s">
        <v>132</v>
      </c>
      <c r="G52" t="s">
        <v>245</v>
      </c>
      <c r="H52">
        <f>7.4*POWER(10,-9)</f>
        <v>7.4000000000000009E-9</v>
      </c>
      <c r="I52">
        <v>0.97</v>
      </c>
      <c r="J52" t="s">
        <v>123</v>
      </c>
      <c r="K52" t="s">
        <v>105</v>
      </c>
      <c r="L52" t="s">
        <v>67</v>
      </c>
      <c r="M52" t="s">
        <v>30</v>
      </c>
      <c r="N52" t="s">
        <v>254</v>
      </c>
      <c r="O52">
        <v>0.88</v>
      </c>
      <c r="Q52">
        <f>Table004__Page_7_8[[#This Row],[p-value^{a}]]</f>
        <v>7.4000000000000009E-9</v>
      </c>
      <c r="R52">
        <v>322035</v>
      </c>
      <c r="S52">
        <f t="shared" si="0"/>
        <v>5.7817396920574868</v>
      </c>
      <c r="T52">
        <f t="shared" si="1"/>
        <v>5.7817396920574868</v>
      </c>
      <c r="U52" t="str">
        <f>Table004__Page_7_8[[#This Row],[Effect]]</f>
        <v>0.018</v>
      </c>
      <c r="V52">
        <f t="shared" si="2"/>
        <v>3.1132498103861412E-3</v>
      </c>
      <c r="Y52">
        <f>EXP(Table004__Page_7_8[[#This Row],[OR^{b}]])</f>
        <v>2.6379444593541526</v>
      </c>
      <c r="Z52">
        <f>EXP(Table004__Page_7_8[[#This Row],[Lower]])</f>
        <v>2.5599814183292713</v>
      </c>
      <c r="AA52">
        <f>EXP(Table004__Page_7_8[[#This Row],[Upper]])</f>
        <v>2.7182818284590451</v>
      </c>
      <c r="AB52">
        <f t="shared" si="3"/>
        <v>3.9777061747388404E-2</v>
      </c>
    </row>
    <row r="53" spans="1:28" x14ac:dyDescent="0.35">
      <c r="A53" t="s">
        <v>255</v>
      </c>
      <c r="B53" t="s">
        <v>256</v>
      </c>
      <c r="C53">
        <v>4</v>
      </c>
      <c r="D53" t="s">
        <v>41</v>
      </c>
      <c r="E53" t="s">
        <v>242</v>
      </c>
      <c r="G53" t="s">
        <v>91</v>
      </c>
      <c r="H53">
        <f>7.7*POWER(10,-9)</f>
        <v>7.7000000000000011E-9</v>
      </c>
      <c r="I53">
        <v>1.04</v>
      </c>
      <c r="J53" t="s">
        <v>105</v>
      </c>
      <c r="K53" t="s">
        <v>93</v>
      </c>
      <c r="L53" t="s">
        <v>257</v>
      </c>
      <c r="M53" t="s">
        <v>30</v>
      </c>
      <c r="N53" t="s">
        <v>258</v>
      </c>
      <c r="O53">
        <v>0.95</v>
      </c>
      <c r="Q53">
        <f>Table004__Page_7_8[[#This Row],[p-value^{a}]]</f>
        <v>7.7000000000000011E-9</v>
      </c>
      <c r="R53">
        <v>322035</v>
      </c>
      <c r="S53">
        <f t="shared" si="0"/>
        <v>5.7750513750095394</v>
      </c>
      <c r="T53">
        <f t="shared" si="1"/>
        <v>5.7750513750095394</v>
      </c>
      <c r="U53" t="str">
        <f>Table004__Page_7_8[[#This Row],[Effect]]</f>
        <v>0.031</v>
      </c>
      <c r="V53">
        <f t="shared" si="2"/>
        <v>5.3679176144036979E-3</v>
      </c>
      <c r="Y53">
        <f>EXP(Table004__Page_7_8[[#This Row],[OR^{b}]])</f>
        <v>2.8292170143515598</v>
      </c>
      <c r="Z53">
        <f>EXP(Table004__Page_7_8[[#This Row],[Lower]])</f>
        <v>2.7182818284590451</v>
      </c>
      <c r="AA53">
        <f>EXP(Table004__Page_7_8[[#This Row],[Upper]])</f>
        <v>2.9742740725630656</v>
      </c>
      <c r="AB53">
        <f t="shared" si="3"/>
        <v>5.6599584639038122E-2</v>
      </c>
    </row>
    <row r="54" spans="1:28" x14ac:dyDescent="0.35">
      <c r="A54" t="s">
        <v>259</v>
      </c>
      <c r="B54" t="s">
        <v>260</v>
      </c>
      <c r="C54">
        <v>10</v>
      </c>
      <c r="D54" t="s">
        <v>34</v>
      </c>
      <c r="E54" t="s">
        <v>261</v>
      </c>
      <c r="G54" t="s">
        <v>91</v>
      </c>
      <c r="H54">
        <f>8.5*POWER(10,-9)</f>
        <v>8.5E-9</v>
      </c>
      <c r="I54">
        <v>0.98</v>
      </c>
      <c r="J54" t="s">
        <v>225</v>
      </c>
      <c r="K54" t="s">
        <v>28</v>
      </c>
      <c r="L54" t="s">
        <v>165</v>
      </c>
      <c r="M54" t="s">
        <v>30</v>
      </c>
      <c r="N54" t="s">
        <v>31</v>
      </c>
      <c r="O54">
        <v>1</v>
      </c>
      <c r="Q54">
        <f>Table004__Page_7_8[[#This Row],[p-value^{a}]]</f>
        <v>8.5E-9</v>
      </c>
      <c r="R54">
        <v>322035</v>
      </c>
      <c r="S54">
        <f t="shared" si="0"/>
        <v>5.7583836636245875</v>
      </c>
      <c r="T54">
        <f t="shared" si="1"/>
        <v>5.7583836636245875</v>
      </c>
      <c r="U54" t="str">
        <f>Table004__Page_7_8[[#This Row],[Effect]]</f>
        <v>0.031</v>
      </c>
      <c r="V54">
        <f t="shared" si="2"/>
        <v>5.3834551170713757E-3</v>
      </c>
      <c r="Y54">
        <f>EXP(Table004__Page_7_8[[#This Row],[OR^{b}]])</f>
        <v>2.6644562419294169</v>
      </c>
      <c r="Z54">
        <f>EXP(Table004__Page_7_8[[#This Row],[Lower]])</f>
        <v>2.534509177617855</v>
      </c>
      <c r="AA54">
        <f>EXP(Table004__Page_7_8[[#This Row],[Upper]])</f>
        <v>2.8292170143515598</v>
      </c>
      <c r="AB54">
        <f t="shared" si="3"/>
        <v>6.629952260793974E-2</v>
      </c>
    </row>
    <row r="55" spans="1:28" x14ac:dyDescent="0.35">
      <c r="A55" t="s">
        <v>262</v>
      </c>
      <c r="B55" t="s">
        <v>263</v>
      </c>
      <c r="C55">
        <v>2</v>
      </c>
      <c r="D55" t="s">
        <v>115</v>
      </c>
      <c r="E55" t="s">
        <v>128</v>
      </c>
      <c r="G55" t="s">
        <v>245</v>
      </c>
      <c r="H55">
        <f>1.2*POWER(10,-8)</f>
        <v>1.2E-8</v>
      </c>
      <c r="I55">
        <v>1</v>
      </c>
      <c r="J55" t="s">
        <v>27</v>
      </c>
      <c r="K55" t="s">
        <v>28</v>
      </c>
      <c r="L55" t="s">
        <v>42</v>
      </c>
      <c r="M55" t="s">
        <v>60</v>
      </c>
      <c r="N55" t="s">
        <v>264</v>
      </c>
      <c r="O55">
        <v>0.95</v>
      </c>
      <c r="Q55">
        <f>Table004__Page_7_8[[#This Row],[p-value^{a}]]</f>
        <v>1.2E-8</v>
      </c>
      <c r="R55">
        <v>322035</v>
      </c>
      <c r="S55">
        <f t="shared" si="0"/>
        <v>5.6998743785876611</v>
      </c>
      <c r="T55">
        <f t="shared" si="1"/>
        <v>5.6998743785876611</v>
      </c>
      <c r="U55" t="str">
        <f>Table004__Page_7_8[[#This Row],[Effect]]</f>
        <v>0.018</v>
      </c>
      <c r="V55">
        <f t="shared" si="2"/>
        <v>3.157964334726288E-3</v>
      </c>
      <c r="Y55">
        <f>EXP(Table004__Page_7_8[[#This Row],[OR^{b}]])</f>
        <v>2.7182818284590451</v>
      </c>
      <c r="Z55">
        <f>EXP(Table004__Page_7_8[[#This Row],[Lower]])</f>
        <v>2.6379444593541526</v>
      </c>
      <c r="AA55">
        <f>EXP(Table004__Page_7_8[[#This Row],[Upper]])</f>
        <v>2.8292170143515598</v>
      </c>
      <c r="AB55">
        <f t="shared" si="3"/>
        <v>4.0988453624945166E-2</v>
      </c>
    </row>
    <row r="56" spans="1:28" x14ac:dyDescent="0.35">
      <c r="A56" t="s">
        <v>265</v>
      </c>
      <c r="B56" t="s">
        <v>266</v>
      </c>
      <c r="C56">
        <v>19</v>
      </c>
      <c r="D56" t="s">
        <v>24</v>
      </c>
      <c r="E56" t="s">
        <v>267</v>
      </c>
      <c r="G56" t="s">
        <v>122</v>
      </c>
      <c r="H56">
        <f>1.3*POWER(10,-8)</f>
        <v>1.3000000000000001E-8</v>
      </c>
      <c r="I56">
        <v>1.03</v>
      </c>
      <c r="J56" t="s">
        <v>85</v>
      </c>
      <c r="K56" t="s">
        <v>66</v>
      </c>
      <c r="L56" t="s">
        <v>143</v>
      </c>
      <c r="M56" t="s">
        <v>30</v>
      </c>
      <c r="N56" t="s">
        <v>31</v>
      </c>
      <c r="O56">
        <v>1</v>
      </c>
      <c r="Q56">
        <f>Table004__Page_7_8[[#This Row],[p-value^{a}]]</f>
        <v>1.3000000000000001E-8</v>
      </c>
      <c r="R56">
        <v>322035</v>
      </c>
      <c r="S56">
        <f t="shared" si="0"/>
        <v>5.686212044222442</v>
      </c>
      <c r="T56">
        <f t="shared" si="1"/>
        <v>5.686212044222442</v>
      </c>
      <c r="U56" t="str">
        <f>Table004__Page_7_8[[#This Row],[Effect]]</f>
        <v>0.026</v>
      </c>
      <c r="V56">
        <f t="shared" si="2"/>
        <v>4.5724640231131859E-3</v>
      </c>
      <c r="Y56">
        <f>EXP(Table004__Page_7_8[[#This Row],[OR^{b}]])</f>
        <v>2.8010658346990791</v>
      </c>
      <c r="Z56">
        <f>EXP(Table004__Page_7_8[[#This Row],[Lower]])</f>
        <v>2.6644562419294169</v>
      </c>
      <c r="AA56">
        <f>EXP(Table004__Page_7_8[[#This Row],[Upper]])</f>
        <v>2.9446795510655241</v>
      </c>
      <c r="AB56">
        <f t="shared" si="3"/>
        <v>6.9698771821256236E-2</v>
      </c>
    </row>
    <row r="57" spans="1:28" x14ac:dyDescent="0.35">
      <c r="A57" t="s">
        <v>268</v>
      </c>
      <c r="B57" t="s">
        <v>269</v>
      </c>
      <c r="C57">
        <v>17</v>
      </c>
      <c r="D57" t="s">
        <v>41</v>
      </c>
      <c r="E57" t="s">
        <v>151</v>
      </c>
      <c r="G57" t="s">
        <v>230</v>
      </c>
      <c r="H57">
        <f>1.3*POWER(10,-8)</f>
        <v>1.3000000000000001E-8</v>
      </c>
      <c r="I57">
        <v>1.01</v>
      </c>
      <c r="J57" t="s">
        <v>27</v>
      </c>
      <c r="K57" t="s">
        <v>53</v>
      </c>
      <c r="L57" t="s">
        <v>213</v>
      </c>
      <c r="M57" t="s">
        <v>60</v>
      </c>
      <c r="N57" t="s">
        <v>31</v>
      </c>
      <c r="O57">
        <v>1</v>
      </c>
      <c r="Q57">
        <f>Table004__Page_7_8[[#This Row],[p-value^{a}]]</f>
        <v>1.3000000000000001E-8</v>
      </c>
      <c r="R57">
        <v>322035</v>
      </c>
      <c r="S57">
        <f t="shared" si="0"/>
        <v>5.686212044222442</v>
      </c>
      <c r="T57">
        <f t="shared" si="1"/>
        <v>5.686212044222442</v>
      </c>
      <c r="U57" t="str">
        <f>Table004__Page_7_8[[#This Row],[Effect]]</f>
        <v>0.019</v>
      </c>
      <c r="V57">
        <f t="shared" si="2"/>
        <v>3.3414160168904051E-3</v>
      </c>
      <c r="Y57">
        <f>EXP(Table004__Page_7_8[[#This Row],[OR^{b}]])</f>
        <v>2.7456010150169163</v>
      </c>
      <c r="Z57">
        <f>EXP(Table004__Page_7_8[[#This Row],[Lower]])</f>
        <v>2.6379444593541526</v>
      </c>
      <c r="AA57">
        <f>EXP(Table004__Page_7_8[[#This Row],[Upper]])</f>
        <v>2.8576511180631639</v>
      </c>
      <c r="AB57">
        <f t="shared" si="3"/>
        <v>5.4926814113654986E-2</v>
      </c>
    </row>
    <row r="58" spans="1:28" x14ac:dyDescent="0.35">
      <c r="A58" t="s">
        <v>270</v>
      </c>
      <c r="B58" t="s">
        <v>271</v>
      </c>
      <c r="C58">
        <v>1</v>
      </c>
      <c r="D58" t="s">
        <v>34</v>
      </c>
      <c r="E58" t="s">
        <v>97</v>
      </c>
      <c r="G58" t="s">
        <v>245</v>
      </c>
      <c r="H58">
        <f>1.5*POWER(10,-8)</f>
        <v>1.5000000000000002E-8</v>
      </c>
      <c r="I58">
        <v>1.01</v>
      </c>
      <c r="J58" t="s">
        <v>85</v>
      </c>
      <c r="K58" t="s">
        <v>53</v>
      </c>
      <c r="L58" t="s">
        <v>272</v>
      </c>
      <c r="M58" t="s">
        <v>60</v>
      </c>
      <c r="N58" t="s">
        <v>31</v>
      </c>
      <c r="O58">
        <v>1</v>
      </c>
      <c r="Q58">
        <f>Table004__Page_7_8[[#This Row],[p-value^{a}]]</f>
        <v>1.5000000000000002E-8</v>
      </c>
      <c r="R58">
        <v>322035</v>
      </c>
      <c r="S58">
        <f t="shared" si="0"/>
        <v>5.6617087540058337</v>
      </c>
      <c r="T58">
        <f t="shared" si="1"/>
        <v>5.6617087540058337</v>
      </c>
      <c r="U58" t="str">
        <f>Table004__Page_7_8[[#This Row],[Effect]]</f>
        <v>0.018</v>
      </c>
      <c r="V58">
        <f t="shared" si="2"/>
        <v>3.1792521978924546E-3</v>
      </c>
      <c r="Y58">
        <f>EXP(Table004__Page_7_8[[#This Row],[OR^{b}]])</f>
        <v>2.7456010150169163</v>
      </c>
      <c r="Z58">
        <f>EXP(Table004__Page_7_8[[#This Row],[Lower]])</f>
        <v>2.6644562419294169</v>
      </c>
      <c r="AA58">
        <f>EXP(Table004__Page_7_8[[#This Row],[Upper]])</f>
        <v>2.8576511180631639</v>
      </c>
      <c r="AB58">
        <f t="shared" si="3"/>
        <v>4.140039443239768E-2</v>
      </c>
    </row>
    <row r="59" spans="1:28" x14ac:dyDescent="0.35">
      <c r="A59" t="s">
        <v>273</v>
      </c>
      <c r="B59" t="s">
        <v>274</v>
      </c>
      <c r="C59">
        <v>6</v>
      </c>
      <c r="D59" t="s">
        <v>34</v>
      </c>
      <c r="E59" t="s">
        <v>98</v>
      </c>
      <c r="G59" t="s">
        <v>230</v>
      </c>
      <c r="H59">
        <f>1.6*POWER(10,-8)</f>
        <v>1.6000000000000001E-8</v>
      </c>
      <c r="I59">
        <v>0.97</v>
      </c>
      <c r="J59" t="s">
        <v>225</v>
      </c>
      <c r="K59" t="s">
        <v>44</v>
      </c>
      <c r="L59" t="s">
        <v>242</v>
      </c>
      <c r="M59" t="s">
        <v>60</v>
      </c>
      <c r="N59" t="s">
        <v>275</v>
      </c>
      <c r="O59">
        <v>0.93</v>
      </c>
      <c r="Q59">
        <f>Table004__Page_7_8[[#This Row],[p-value^{a}]]</f>
        <v>1.6000000000000001E-8</v>
      </c>
      <c r="R59">
        <v>322035</v>
      </c>
      <c r="S59">
        <f t="shared" si="0"/>
        <v>5.6506248972167992</v>
      </c>
      <c r="T59">
        <f t="shared" si="1"/>
        <v>5.6506248972167992</v>
      </c>
      <c r="U59" t="str">
        <f>Table004__Page_7_8[[#This Row],[Effect]]</f>
        <v>0.019</v>
      </c>
      <c r="V59">
        <f t="shared" si="2"/>
        <v>3.3624599660399333E-3</v>
      </c>
      <c r="Y59">
        <f>EXP(Table004__Page_7_8[[#This Row],[OR^{b}]])</f>
        <v>2.6379444593541526</v>
      </c>
      <c r="Z59">
        <f>EXP(Table004__Page_7_8[[#This Row],[Lower]])</f>
        <v>2.534509177617855</v>
      </c>
      <c r="AA59">
        <f>EXP(Table004__Page_7_8[[#This Row],[Upper]])</f>
        <v>2.7456010150169163</v>
      </c>
      <c r="AB59">
        <f t="shared" si="3"/>
        <v>5.2773102926682434E-2</v>
      </c>
    </row>
    <row r="60" spans="1:28" x14ac:dyDescent="0.35">
      <c r="A60" t="s">
        <v>276</v>
      </c>
      <c r="B60" t="s">
        <v>277</v>
      </c>
      <c r="C60">
        <v>9</v>
      </c>
      <c r="D60" t="s">
        <v>24</v>
      </c>
      <c r="E60" t="s">
        <v>272</v>
      </c>
      <c r="G60" t="s">
        <v>278</v>
      </c>
      <c r="H60">
        <f>1.8*POWER(10,-8)</f>
        <v>1.8000000000000002E-8</v>
      </c>
      <c r="I60">
        <v>1</v>
      </c>
      <c r="J60" t="s">
        <v>27</v>
      </c>
      <c r="K60" t="s">
        <v>28</v>
      </c>
      <c r="L60" t="s">
        <v>37</v>
      </c>
      <c r="M60" t="s">
        <v>60</v>
      </c>
      <c r="N60" t="s">
        <v>31</v>
      </c>
      <c r="O60">
        <v>1</v>
      </c>
      <c r="Q60">
        <f>Table004__Page_7_8[[#This Row],[p-value^{a}]]</f>
        <v>1.8000000000000002E-8</v>
      </c>
      <c r="R60">
        <v>322035</v>
      </c>
      <c r="S60">
        <f t="shared" si="0"/>
        <v>5.6303436654398791</v>
      </c>
      <c r="T60">
        <f t="shared" si="1"/>
        <v>5.6303436654398791</v>
      </c>
      <c r="U60" t="str">
        <f>Table004__Page_7_8[[#This Row],[Effect]]</f>
        <v>0.017</v>
      </c>
      <c r="V60">
        <f t="shared" si="2"/>
        <v>3.0193538814245456E-3</v>
      </c>
      <c r="Y60">
        <f>EXP(Table004__Page_7_8[[#This Row],[OR^{b}]])</f>
        <v>2.7182818284590451</v>
      </c>
      <c r="Z60">
        <f>EXP(Table004__Page_7_8[[#This Row],[Lower]])</f>
        <v>2.6379444593541526</v>
      </c>
      <c r="AA60">
        <f>EXP(Table004__Page_7_8[[#This Row],[Upper]])</f>
        <v>2.8292170143515598</v>
      </c>
      <c r="AB60">
        <f t="shared" si="3"/>
        <v>4.0988453624945166E-2</v>
      </c>
    </row>
    <row r="61" spans="1:28" x14ac:dyDescent="0.35">
      <c r="A61" t="s">
        <v>279</v>
      </c>
      <c r="B61" t="s">
        <v>280</v>
      </c>
      <c r="C61">
        <v>2</v>
      </c>
      <c r="D61" t="s">
        <v>41</v>
      </c>
      <c r="E61" t="s">
        <v>118</v>
      </c>
      <c r="G61" t="s">
        <v>278</v>
      </c>
      <c r="H61">
        <f>1.9*POWER(10,-8)</f>
        <v>1.8999999999999998E-8</v>
      </c>
      <c r="I61">
        <v>1.02</v>
      </c>
      <c r="J61" t="s">
        <v>52</v>
      </c>
      <c r="K61" t="s">
        <v>86</v>
      </c>
      <c r="L61" t="s">
        <v>143</v>
      </c>
      <c r="M61" t="s">
        <v>60</v>
      </c>
      <c r="N61" t="s">
        <v>281</v>
      </c>
      <c r="O61">
        <v>0.82</v>
      </c>
      <c r="Q61">
        <f>Table004__Page_7_8[[#This Row],[p-value^{a}]]</f>
        <v>1.8999999999999998E-8</v>
      </c>
      <c r="R61">
        <v>322035</v>
      </c>
      <c r="S61">
        <f t="shared" si="0"/>
        <v>5.6210105994114441</v>
      </c>
      <c r="T61">
        <f t="shared" si="1"/>
        <v>5.6210105994114441</v>
      </c>
      <c r="U61" t="str">
        <f>Table004__Page_7_8[[#This Row],[Effect]]</f>
        <v>0.017</v>
      </c>
      <c r="V61">
        <f t="shared" si="2"/>
        <v>3.0243671843956333E-3</v>
      </c>
      <c r="Y61">
        <f>EXP(Table004__Page_7_8[[#This Row],[OR^{b}]])</f>
        <v>2.7731947639642978</v>
      </c>
      <c r="Z61">
        <f>EXP(Table004__Page_7_8[[#This Row],[Lower]])</f>
        <v>2.6912344723492621</v>
      </c>
      <c r="AA61">
        <f>EXP(Table004__Page_7_8[[#This Row],[Upper]])</f>
        <v>2.8863709892679585</v>
      </c>
      <c r="AB61">
        <f t="shared" si="3"/>
        <v>4.1816475313793726E-2</v>
      </c>
    </row>
    <row r="62" spans="1:28" x14ac:dyDescent="0.35">
      <c r="A62" t="s">
        <v>282</v>
      </c>
      <c r="B62" t="s">
        <v>283</v>
      </c>
      <c r="C62">
        <v>12</v>
      </c>
      <c r="D62" t="s">
        <v>41</v>
      </c>
      <c r="E62" t="s">
        <v>284</v>
      </c>
      <c r="G62" t="s">
        <v>91</v>
      </c>
      <c r="H62">
        <f>2*POWER(10,-8)</f>
        <v>2E-8</v>
      </c>
      <c r="I62">
        <v>1.05</v>
      </c>
      <c r="J62" t="s">
        <v>52</v>
      </c>
      <c r="K62" t="s">
        <v>285</v>
      </c>
      <c r="L62" t="s">
        <v>286</v>
      </c>
      <c r="M62" t="s">
        <v>30</v>
      </c>
      <c r="N62" t="s">
        <v>31</v>
      </c>
      <c r="O62">
        <v>1</v>
      </c>
      <c r="Q62">
        <f>Table004__Page_7_8[[#This Row],[p-value^{a}]]</f>
        <v>2E-8</v>
      </c>
      <c r="R62">
        <v>322035</v>
      </c>
      <c r="S62">
        <f t="shared" si="0"/>
        <v>5.6121428153331925</v>
      </c>
      <c r="T62">
        <f t="shared" si="1"/>
        <v>5.6121428153331925</v>
      </c>
      <c r="U62" t="str">
        <f>Table004__Page_7_8[[#This Row],[Effect]]</f>
        <v>0.031</v>
      </c>
      <c r="V62">
        <f t="shared" si="2"/>
        <v>5.5237368363655111E-3</v>
      </c>
      <c r="Y62">
        <f>EXP(Table004__Page_7_8[[#This Row],[OR^{b}]])</f>
        <v>2.8576511180631639</v>
      </c>
      <c r="Z62">
        <f>EXP(Table004__Page_7_8[[#This Row],[Lower]])</f>
        <v>2.6912344723492621</v>
      </c>
      <c r="AA62">
        <f>EXP(Table004__Page_7_8[[#This Row],[Upper]])</f>
        <v>3.0343583944356758</v>
      </c>
      <c r="AB62">
        <f t="shared" si="3"/>
        <v>8.4906451894847856E-2</v>
      </c>
    </row>
    <row r="63" spans="1:28" x14ac:dyDescent="0.35">
      <c r="A63" t="s">
        <v>287</v>
      </c>
      <c r="B63" t="s">
        <v>288</v>
      </c>
      <c r="C63">
        <v>2</v>
      </c>
      <c r="D63" t="s">
        <v>115</v>
      </c>
      <c r="E63" t="s">
        <v>289</v>
      </c>
      <c r="G63" t="s">
        <v>152</v>
      </c>
      <c r="H63">
        <f>2.3*POWER(10,-8)</f>
        <v>2.2999999999999998E-8</v>
      </c>
      <c r="I63">
        <v>1.02</v>
      </c>
      <c r="J63" t="s">
        <v>37</v>
      </c>
      <c r="K63" t="s">
        <v>66</v>
      </c>
      <c r="L63" t="s">
        <v>118</v>
      </c>
      <c r="M63" t="s">
        <v>60</v>
      </c>
      <c r="N63" t="s">
        <v>290</v>
      </c>
      <c r="O63">
        <v>0.8</v>
      </c>
      <c r="Q63">
        <f>Table004__Page_7_8[[#This Row],[p-value^{a}]]</f>
        <v>2.2999999999999998E-8</v>
      </c>
      <c r="R63">
        <v>322035</v>
      </c>
      <c r="S63">
        <f t="shared" si="0"/>
        <v>5.5879127940557272</v>
      </c>
      <c r="T63">
        <f t="shared" si="1"/>
        <v>5.5879127940557272</v>
      </c>
      <c r="U63" t="str">
        <f>Table004__Page_7_8[[#This Row],[Effect]]</f>
        <v>0.025</v>
      </c>
      <c r="V63">
        <f t="shared" si="2"/>
        <v>4.4739424041467394E-3</v>
      </c>
      <c r="Y63">
        <f>EXP(Table004__Page_7_8[[#This Row],[OR^{b}]])</f>
        <v>2.7731947639642978</v>
      </c>
      <c r="Z63">
        <f>EXP(Table004__Page_7_8[[#This Row],[Lower]])</f>
        <v>2.6116964734231178</v>
      </c>
      <c r="AA63">
        <f>EXP(Table004__Page_7_8[[#This Row],[Upper]])</f>
        <v>2.9446795510655241</v>
      </c>
      <c r="AB63">
        <f t="shared" si="3"/>
        <v>8.2397087010806086E-2</v>
      </c>
    </row>
    <row r="64" spans="1:28" x14ac:dyDescent="0.35">
      <c r="A64" t="s">
        <v>291</v>
      </c>
      <c r="B64" t="s">
        <v>292</v>
      </c>
      <c r="C64">
        <v>19</v>
      </c>
      <c r="D64" t="s">
        <v>41</v>
      </c>
      <c r="E64" t="s">
        <v>138</v>
      </c>
      <c r="G64" t="s">
        <v>245</v>
      </c>
      <c r="H64">
        <f>2.4*POWER(10,-8)</f>
        <v>2.4E-8</v>
      </c>
      <c r="I64">
        <v>1</v>
      </c>
      <c r="J64" t="s">
        <v>27</v>
      </c>
      <c r="K64" t="s">
        <v>28</v>
      </c>
      <c r="L64" t="s">
        <v>59</v>
      </c>
      <c r="M64" t="s">
        <v>30</v>
      </c>
      <c r="N64" t="s">
        <v>31</v>
      </c>
      <c r="O64">
        <v>1</v>
      </c>
      <c r="Q64">
        <f>Table004__Page_7_8[[#This Row],[p-value^{a}]]</f>
        <v>2.4E-8</v>
      </c>
      <c r="R64">
        <v>322035</v>
      </c>
      <c r="S64">
        <f t="shared" si="0"/>
        <v>5.5805146601333213</v>
      </c>
      <c r="T64">
        <f t="shared" si="1"/>
        <v>5.5805146601333213</v>
      </c>
      <c r="U64" t="str">
        <f>Table004__Page_7_8[[#This Row],[Effect]]</f>
        <v>0.018</v>
      </c>
      <c r="V64">
        <f t="shared" si="2"/>
        <v>3.2255089532494787E-3</v>
      </c>
      <c r="Y64">
        <f>EXP(Table004__Page_7_8[[#This Row],[OR^{b}]])</f>
        <v>2.7182818284590451</v>
      </c>
      <c r="Z64">
        <f>EXP(Table004__Page_7_8[[#This Row],[Lower]])</f>
        <v>2.6379444593541526</v>
      </c>
      <c r="AA64">
        <f>EXP(Table004__Page_7_8[[#This Row],[Upper]])</f>
        <v>2.8292170143515598</v>
      </c>
      <c r="AB64">
        <f t="shared" si="3"/>
        <v>4.0988453624945166E-2</v>
      </c>
    </row>
    <row r="65" spans="1:28" x14ac:dyDescent="0.35">
      <c r="A65" t="s">
        <v>293</v>
      </c>
      <c r="B65" t="s">
        <v>294</v>
      </c>
      <c r="C65">
        <v>3</v>
      </c>
      <c r="D65" t="s">
        <v>24</v>
      </c>
      <c r="E65" t="s">
        <v>234</v>
      </c>
      <c r="G65" t="s">
        <v>230</v>
      </c>
      <c r="H65">
        <f>2.6*POWER(10,-8)</f>
        <v>2.6000000000000001E-8</v>
      </c>
      <c r="I65">
        <v>1</v>
      </c>
      <c r="J65" t="s">
        <v>37</v>
      </c>
      <c r="K65" t="s">
        <v>78</v>
      </c>
      <c r="L65" t="s">
        <v>59</v>
      </c>
      <c r="M65" t="s">
        <v>30</v>
      </c>
      <c r="N65" t="s">
        <v>295</v>
      </c>
      <c r="O65">
        <v>0.88</v>
      </c>
      <c r="Q65">
        <f>Table004__Page_7_8[[#This Row],[p-value^{a}]]</f>
        <v>2.6000000000000001E-8</v>
      </c>
      <c r="R65">
        <v>322035</v>
      </c>
      <c r="S65">
        <f t="shared" si="0"/>
        <v>5.5665757041762127</v>
      </c>
      <c r="T65">
        <f t="shared" si="1"/>
        <v>5.5665757041762127</v>
      </c>
      <c r="U65" t="str">
        <f>Table004__Page_7_8[[#This Row],[Effect]]</f>
        <v>0.019</v>
      </c>
      <c r="V65">
        <f t="shared" si="2"/>
        <v>3.413229426799249E-3</v>
      </c>
      <c r="Y65">
        <f>EXP(Table004__Page_7_8[[#This Row],[OR^{b}]])</f>
        <v>2.7182818284590451</v>
      </c>
      <c r="Z65">
        <f>EXP(Table004__Page_7_8[[#This Row],[Lower]])</f>
        <v>2.6116964734231178</v>
      </c>
      <c r="AA65">
        <f>EXP(Table004__Page_7_8[[#This Row],[Upper]])</f>
        <v>2.8010658346990791</v>
      </c>
      <c r="AB65">
        <f t="shared" si="3"/>
        <v>5.4380283181595539E-2</v>
      </c>
    </row>
    <row r="66" spans="1:28" x14ac:dyDescent="0.35">
      <c r="A66" t="s">
        <v>296</v>
      </c>
      <c r="B66" t="s">
        <v>297</v>
      </c>
      <c r="C66">
        <v>9</v>
      </c>
      <c r="D66" t="s">
        <v>34</v>
      </c>
      <c r="E66" t="s">
        <v>298</v>
      </c>
      <c r="G66" t="s">
        <v>278</v>
      </c>
      <c r="H66">
        <f>2.7*POWER(10,-8)</f>
        <v>2.7000000000000004E-8</v>
      </c>
      <c r="I66">
        <v>1.02</v>
      </c>
      <c r="J66" t="s">
        <v>85</v>
      </c>
      <c r="K66" t="s">
        <v>53</v>
      </c>
      <c r="L66" t="s">
        <v>299</v>
      </c>
      <c r="M66" t="s">
        <v>30</v>
      </c>
      <c r="N66" t="s">
        <v>31</v>
      </c>
      <c r="O66">
        <v>1</v>
      </c>
      <c r="Q66">
        <f>Table004__Page_7_8[[#This Row],[p-value^{a}]]</f>
        <v>2.7000000000000004E-8</v>
      </c>
      <c r="R66">
        <v>322035</v>
      </c>
      <c r="S66">
        <f t="shared" si="0"/>
        <v>5.5599920127420184</v>
      </c>
      <c r="T66">
        <f t="shared" si="1"/>
        <v>5.5599920127420184</v>
      </c>
      <c r="U66" t="str">
        <f>Table004__Page_7_8[[#This Row],[Effect]]</f>
        <v>0.017</v>
      </c>
      <c r="V66">
        <f t="shared" si="2"/>
        <v>3.0575583491919659E-3</v>
      </c>
      <c r="Y66">
        <f>EXP(Table004__Page_7_8[[#This Row],[OR^{b}]])</f>
        <v>2.7731947639642978</v>
      </c>
      <c r="Z66">
        <f>EXP(Table004__Page_7_8[[#This Row],[Lower]])</f>
        <v>2.6644562419294169</v>
      </c>
      <c r="AA66">
        <f>EXP(Table004__Page_7_8[[#This Row],[Upper]])</f>
        <v>2.8576511180631639</v>
      </c>
      <c r="AB66">
        <f t="shared" si="3"/>
        <v>5.5478837772898408E-2</v>
      </c>
    </row>
    <row r="67" spans="1:28" x14ac:dyDescent="0.35">
      <c r="A67" t="s">
        <v>300</v>
      </c>
      <c r="B67" t="s">
        <v>301</v>
      </c>
      <c r="C67">
        <v>11</v>
      </c>
      <c r="D67" t="s">
        <v>115</v>
      </c>
      <c r="E67" t="s">
        <v>231</v>
      </c>
      <c r="G67" t="s">
        <v>201</v>
      </c>
      <c r="H67">
        <f>3*POWER(10,-8)</f>
        <v>3.0000000000000004E-8</v>
      </c>
      <c r="I67">
        <v>1.03</v>
      </c>
      <c r="J67" t="s">
        <v>52</v>
      </c>
      <c r="K67" t="s">
        <v>183</v>
      </c>
      <c r="L67" t="s">
        <v>73</v>
      </c>
      <c r="M67" t="s">
        <v>60</v>
      </c>
      <c r="N67" t="s">
        <v>302</v>
      </c>
      <c r="O67">
        <v>0.81</v>
      </c>
      <c r="Q67">
        <f>Table004__Page_7_8[[#This Row],[p-value^{a}]]</f>
        <v>3.0000000000000004E-8</v>
      </c>
      <c r="R67">
        <v>322035</v>
      </c>
      <c r="S67">
        <f t="shared" si="0"/>
        <v>5.5415731179516623</v>
      </c>
      <c r="T67">
        <f t="shared" si="1"/>
        <v>5.5415731179516623</v>
      </c>
      <c r="U67" t="str">
        <f>Table004__Page_7_8[[#This Row],[Effect]]</f>
        <v>0.020</v>
      </c>
      <c r="V67">
        <f t="shared" si="2"/>
        <v>3.609083481225025E-3</v>
      </c>
      <c r="Y67">
        <f>EXP(Table004__Page_7_8[[#This Row],[OR^{b}]])</f>
        <v>2.8010658346990791</v>
      </c>
      <c r="Z67">
        <f>EXP(Table004__Page_7_8[[#This Row],[Lower]])</f>
        <v>2.6912344723492621</v>
      </c>
      <c r="AA67">
        <f>EXP(Table004__Page_7_8[[#This Row],[Upper]])</f>
        <v>2.9153794999769969</v>
      </c>
      <c r="AB67">
        <f t="shared" si="3"/>
        <v>5.6036409362151561E-2</v>
      </c>
    </row>
    <row r="68" spans="1:28" x14ac:dyDescent="0.35">
      <c r="A68" t="s">
        <v>303</v>
      </c>
      <c r="B68" t="s">
        <v>304</v>
      </c>
      <c r="C68">
        <v>10</v>
      </c>
      <c r="D68" t="s">
        <v>41</v>
      </c>
      <c r="E68" t="s">
        <v>305</v>
      </c>
      <c r="G68" t="s">
        <v>51</v>
      </c>
      <c r="H68">
        <f>3*POWER(10,-8)</f>
        <v>3.0000000000000004E-8</v>
      </c>
      <c r="I68">
        <v>1.06</v>
      </c>
      <c r="J68" t="s">
        <v>85</v>
      </c>
      <c r="K68" t="s">
        <v>306</v>
      </c>
      <c r="L68" t="s">
        <v>242</v>
      </c>
      <c r="M68" t="s">
        <v>60</v>
      </c>
      <c r="N68" t="s">
        <v>307</v>
      </c>
      <c r="O68">
        <v>1</v>
      </c>
      <c r="Q68">
        <f>Table004__Page_7_8[[#This Row],[p-value^{a}]]</f>
        <v>3.0000000000000004E-8</v>
      </c>
      <c r="R68">
        <v>322035</v>
      </c>
      <c r="S68">
        <f t="shared" ref="S68:S72" si="4">_xlfn.T.INV.2T(Q68,R68)</f>
        <v>5.5415731179516623</v>
      </c>
      <c r="T68">
        <f t="shared" ref="T68:T72" si="5">ABS(S68)</f>
        <v>5.5415731179516623</v>
      </c>
      <c r="U68" t="str">
        <f>Table004__Page_7_8[[#This Row],[Effect]]</f>
        <v>0.040</v>
      </c>
      <c r="V68">
        <f t="shared" ref="V68:V72" si="6">U68/T68</f>
        <v>7.21816696245005E-3</v>
      </c>
      <c r="Y68">
        <f>EXP(Table004__Page_7_8[[#This Row],[OR^{b}]])</f>
        <v>2.8863709892679585</v>
      </c>
      <c r="Z68">
        <f>EXP(Table004__Page_7_8[[#This Row],[Lower]])</f>
        <v>2.6644562419294169</v>
      </c>
      <c r="AA68">
        <f>EXP(Table004__Page_7_8[[#This Row],[Upper]])</f>
        <v>3.1581929096897672</v>
      </c>
      <c r="AB68">
        <f t="shared" ref="AB68:AB72" si="7">(Y68-Z68)/1.96</f>
        <v>0.11322180986660289</v>
      </c>
    </row>
    <row r="69" spans="1:28" x14ac:dyDescent="0.35">
      <c r="A69" t="s">
        <v>308</v>
      </c>
      <c r="B69" t="s">
        <v>309</v>
      </c>
      <c r="C69">
        <v>19</v>
      </c>
      <c r="D69" t="s">
        <v>24</v>
      </c>
      <c r="E69" t="s">
        <v>310</v>
      </c>
      <c r="G69" t="s">
        <v>230</v>
      </c>
      <c r="H69">
        <f>3.4*POWER(10,-8)</f>
        <v>3.4E-8</v>
      </c>
      <c r="I69">
        <v>1.02</v>
      </c>
      <c r="J69" t="s">
        <v>85</v>
      </c>
      <c r="K69" t="s">
        <v>86</v>
      </c>
      <c r="L69" t="s">
        <v>311</v>
      </c>
      <c r="M69" t="s">
        <v>60</v>
      </c>
      <c r="N69" t="s">
        <v>31</v>
      </c>
      <c r="O69">
        <v>1</v>
      </c>
      <c r="Q69">
        <f>Table004__Page_7_8[[#This Row],[p-value^{a}]]</f>
        <v>3.4E-8</v>
      </c>
      <c r="R69">
        <v>322035</v>
      </c>
      <c r="S69">
        <f t="shared" si="4"/>
        <v>5.5196170398503144</v>
      </c>
      <c r="T69">
        <f t="shared" si="5"/>
        <v>5.5196170398503144</v>
      </c>
      <c r="U69" t="str">
        <f>Table004__Page_7_8[[#This Row],[Effect]]</f>
        <v>0.019</v>
      </c>
      <c r="V69">
        <f t="shared" si="6"/>
        <v>3.4422677991651496E-3</v>
      </c>
      <c r="Y69">
        <f>EXP(Table004__Page_7_8[[#This Row],[OR^{b}]])</f>
        <v>2.7731947639642978</v>
      </c>
      <c r="Z69">
        <f>EXP(Table004__Page_7_8[[#This Row],[Lower]])</f>
        <v>2.6644562419294169</v>
      </c>
      <c r="AA69">
        <f>EXP(Table004__Page_7_8[[#This Row],[Upper]])</f>
        <v>2.8863709892679585</v>
      </c>
      <c r="AB69">
        <f t="shared" si="7"/>
        <v>5.5478837772898408E-2</v>
      </c>
    </row>
    <row r="70" spans="1:28" x14ac:dyDescent="0.35">
      <c r="A70" t="s">
        <v>312</v>
      </c>
      <c r="B70" t="s">
        <v>313</v>
      </c>
      <c r="C70">
        <v>18</v>
      </c>
      <c r="D70" t="s">
        <v>115</v>
      </c>
      <c r="E70" t="s">
        <v>314</v>
      </c>
      <c r="G70" t="s">
        <v>160</v>
      </c>
      <c r="H70">
        <f>3.9*POWER(10,-8)</f>
        <v>3.8999999999999998E-8</v>
      </c>
      <c r="I70">
        <v>0.99</v>
      </c>
      <c r="J70" t="s">
        <v>117</v>
      </c>
      <c r="K70" t="s">
        <v>28</v>
      </c>
      <c r="L70" t="s">
        <v>178</v>
      </c>
      <c r="M70" t="s">
        <v>60</v>
      </c>
      <c r="N70" t="s">
        <v>315</v>
      </c>
      <c r="O70">
        <v>0.9</v>
      </c>
      <c r="Q70">
        <f>Table004__Page_7_8[[#This Row],[p-value^{a}]]</f>
        <v>3.8999999999999998E-8</v>
      </c>
      <c r="R70">
        <v>322035</v>
      </c>
      <c r="S70">
        <f t="shared" si="4"/>
        <v>5.49545425854319</v>
      </c>
      <c r="T70">
        <f t="shared" si="5"/>
        <v>5.49545425854319</v>
      </c>
      <c r="U70" t="str">
        <f>Table004__Page_7_8[[#This Row],[Effect]]</f>
        <v>0.022</v>
      </c>
      <c r="V70">
        <f t="shared" si="6"/>
        <v>4.0033087284456915E-3</v>
      </c>
      <c r="Y70">
        <f>EXP(Table004__Page_7_8[[#This Row],[OR^{b}]])</f>
        <v>2.6912344723492621</v>
      </c>
      <c r="Z70">
        <f>EXP(Table004__Page_7_8[[#This Row],[Lower]])</f>
        <v>2.585709659315846</v>
      </c>
      <c r="AA70">
        <f>EXP(Table004__Page_7_8[[#This Row],[Upper]])</f>
        <v>2.8292170143515598</v>
      </c>
      <c r="AB70">
        <f t="shared" si="7"/>
        <v>5.3839190323171478E-2</v>
      </c>
    </row>
    <row r="71" spans="1:28" x14ac:dyDescent="0.35">
      <c r="A71" t="s">
        <v>316</v>
      </c>
      <c r="B71" t="s">
        <v>317</v>
      </c>
      <c r="C71">
        <v>18</v>
      </c>
      <c r="D71" t="s">
        <v>34</v>
      </c>
      <c r="E71" t="s">
        <v>118</v>
      </c>
      <c r="G71" t="s">
        <v>278</v>
      </c>
      <c r="H71">
        <f>4.2*POWER(10,-8)</f>
        <v>4.2000000000000006E-8</v>
      </c>
      <c r="I71">
        <v>1</v>
      </c>
      <c r="J71" t="s">
        <v>37</v>
      </c>
      <c r="K71" t="s">
        <v>28</v>
      </c>
      <c r="L71" t="s">
        <v>318</v>
      </c>
      <c r="M71" t="s">
        <v>60</v>
      </c>
      <c r="N71" t="s">
        <v>31</v>
      </c>
      <c r="O71">
        <v>1</v>
      </c>
      <c r="Q71">
        <f>Table004__Page_7_8[[#This Row],[p-value^{a}]]</f>
        <v>4.2000000000000006E-8</v>
      </c>
      <c r="R71">
        <v>322035</v>
      </c>
      <c r="S71">
        <f t="shared" si="4"/>
        <v>5.4823612021473993</v>
      </c>
      <c r="T71">
        <f t="shared" si="5"/>
        <v>5.4823612021473993</v>
      </c>
      <c r="U71" t="str">
        <f>Table004__Page_7_8[[#This Row],[Effect]]</f>
        <v>0.017</v>
      </c>
      <c r="V71">
        <f t="shared" si="6"/>
        <v>3.1008536966410077E-3</v>
      </c>
      <c r="Y71">
        <f>EXP(Table004__Page_7_8[[#This Row],[OR^{b}]])</f>
        <v>2.7182818284590451</v>
      </c>
      <c r="Z71">
        <f>EXP(Table004__Page_7_8[[#This Row],[Lower]])</f>
        <v>2.6116964734231178</v>
      </c>
      <c r="AA71">
        <f>EXP(Table004__Page_7_8[[#This Row],[Upper]])</f>
        <v>2.8292170143515598</v>
      </c>
      <c r="AB71">
        <f t="shared" si="7"/>
        <v>5.4380283181595539E-2</v>
      </c>
    </row>
    <row r="72" spans="1:28" x14ac:dyDescent="0.35">
      <c r="A72" t="s">
        <v>319</v>
      </c>
      <c r="B72" t="s">
        <v>320</v>
      </c>
      <c r="C72">
        <v>8</v>
      </c>
      <c r="D72" t="s">
        <v>34</v>
      </c>
      <c r="E72" t="s">
        <v>310</v>
      </c>
      <c r="G72" t="s">
        <v>230</v>
      </c>
      <c r="H72">
        <f>4.9*POWER(10,-8)</f>
        <v>4.9000000000000002E-8</v>
      </c>
      <c r="I72">
        <v>1</v>
      </c>
      <c r="J72" t="s">
        <v>37</v>
      </c>
      <c r="K72" t="s">
        <v>28</v>
      </c>
      <c r="L72" t="s">
        <v>42</v>
      </c>
      <c r="M72" t="s">
        <v>60</v>
      </c>
      <c r="N72" t="s">
        <v>321</v>
      </c>
      <c r="O72">
        <v>0.91</v>
      </c>
      <c r="Q72">
        <f>Table004__Page_7_8[[#This Row],[p-value^{a}]]</f>
        <v>4.9000000000000002E-8</v>
      </c>
      <c r="R72">
        <v>322035</v>
      </c>
      <c r="S72">
        <f t="shared" si="4"/>
        <v>5.4550317441294514</v>
      </c>
      <c r="T72">
        <f t="shared" si="5"/>
        <v>5.4550317441294514</v>
      </c>
      <c r="U72" t="str">
        <f>Table004__Page_7_8[[#This Row],[Effect]]</f>
        <v>0.019</v>
      </c>
      <c r="V72">
        <f t="shared" si="6"/>
        <v>3.4830228110857933E-3</v>
      </c>
      <c r="Y72">
        <f>EXP(Table004__Page_7_8[[#This Row],[OR^{b}]])</f>
        <v>2.7182818284590451</v>
      </c>
      <c r="Z72">
        <f>EXP(Table004__Page_7_8[[#This Row],[Lower]])</f>
        <v>2.6116964734231178</v>
      </c>
      <c r="AA72">
        <f>EXP(Table004__Page_7_8[[#This Row],[Upper]])</f>
        <v>2.8292170143515598</v>
      </c>
      <c r="AB72">
        <f t="shared" si="7"/>
        <v>5.4380283181595539E-2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0338-A9EB-449D-8D4F-895A210927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5 K W 7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S l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p b t a d A w t d c g B A A B 5 A w A A E w A c A E Z v c m 1 1 b G F z L 1 N l Y 3 R p b 2 4 x L m 0 g o h g A K K A U A A A A A A A A A A A A A A A A A A A A A A A A A A A A b V F R b 5 s w G H y P l P 9 g O S 9 E I i j p q q x a x U M L m x Z p a a O Q a g 8 h Q Q Y + E q v G R r Z p i 1 D + + w x J 2 T T C C 3 B 3 3 3 3 n s 4 J E U 8 F R c H 7 P 7 o e D 4 U A d i Y Q U j f C G x A y m 0 1 t k r c g B 0 N f J 3 R g j F z H Q w w E y T y B K m Y B B V m n m t G J l / a A M H E 9 w D V w r C 3 v f w h c F U o W a 5 o K F z x x 8 S d 8 g 9 E V S 5 o 0 k X I e / h X y l / I B 8 K k 0 M I a v Q J 5 p E Q U K B J x A t g y T 0 q T I u m j Q h o 0 d S g Y q W 6 9 A w 0 e Y I i q p / P q O g Y F S 3 F q F H z y M q a n 4 V m H W 5 e J V V J G I j 1 V V 0 M 5 3 N n S L N 8 N h G 2 0 V e M G h C t T M u n j l f 8 G 5 s n 8 / a d e F e j l 1 v F 6 n b V Y R 3 p 2 2 z Y 3 e R j / B K i l x o 0 + N P I K l p o G m u V T s X 5 o J b n x Y m w Y V 5 Y C x I C C N S u V q W 0 G U Y Y e 9 I + M F 4 b q o C / h p u J O E q E z L 3 B C t z 3 p D K u p L A r m v 8 u F x M H p Q S C S W G w j b S R o 0 0 f O i T j W r 8 B O b u l e 7 h 3 l E a b M H 1 / N Z p / F v Q e P W E J j s w 6 M + 3 y e Y 9 / H u W m T v v w c X k j b A S 9 j U 5 9 b j n 9 b 6 O O 5 i X e Q y y J X 6 J d 5 A 9 + U t R X E G 7 B X F / Q a D L t L r K m E Y / q u B p 1 S P k v r 5 J / s 9 0 G g 8 H l F + 9 u v s / U E s B A i 0 A F A A C A A g A 5 K W 7 W p H 2 o K + l A A A A 9 g A A A B I A A A A A A A A A A A A A A A A A A A A A A E N v b m Z p Z y 9 Q Y W N r Y W d l L n h t b F B L A Q I t A B Q A A g A I A O S l u 1 o P y u m r p A A A A O k A A A A T A A A A A A A A A A A A A A A A A P E A A A B b Q 2 9 u d G V u d F 9 U e X B l c 1 0 u e G 1 s U E s B A i 0 A F A A C A A g A 5 K W 7 W n Q M L X X I A Q A A e Q M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M A A A A A A A D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Z m M D g 3 N S 1 i N j E 0 L T Q 2 M z U t Y m M 0 M y 1 m Y m E z N z Q 1 O W Q 1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N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Q 3 O j A 4 L j E w N z k x N z V a I i A v P j x F b n R y e S B U e X B l P S J G a W x s Q 2 9 s d W 1 u V H l w Z X M i I F Z h b H V l P S J z Q m d Z R E J n W U d C Z 1 l G Q m d Z R 0 J n W U Y i I C 8 + P E V u d H J 5 I F R 5 c G U 9 I k Z p b G x D b 2 x 1 b W 5 O Y W 1 l c y I g V m F s d W U 9 I n N b J n F 1 b 3 Q 7 Q k 1 J L U F z c 2 9 j a W F 0 Z W Q m c X V v d D s s J n F 1 b 3 Q 7 T m V h c m V z d C Z x d W 9 0 O y w m c X V v d D t D a H I m c X V v d D s s J n F 1 b 3 Q 7 Q k 1 J J n F 1 b 3 Q 7 L C Z x d W 9 0 O 0 F s b G V s Z S Z x d W 9 0 O y w m c X V v d D t D b 2 x 1 b W 4 2 J n F 1 b 3 Q 7 L C Z x d W 9 0 O 0 V m Z m V j d C Z x d W 9 0 O y w m c X V v d D t w L X Z h b H V l X n t h f S Z x d W 9 0 O y w m c X V v d D t P U l 5 7 Y n 0 m c X V v d D s s J n F 1 b 3 Q 7 T G 9 3 Z X I m c X V v d D s s J n F 1 b 3 Q 7 V X B w Z X I m c X V v d D s s J n F 1 b 3 Q 7 c C 1 2 Y W x 1 Z V 5 7 Y n 0 m c X V v d D s s J n F 1 b 3 Q 7 U 3 R 1 Z H l e e 2 J 9 J n F 1 b 3 Q 7 L C Z x d W 9 0 O 1 B y b 3 h 5 U 0 5 Q J n F 1 b 3 Q 7 L C Z x d W 9 0 O 3 J e e z J j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3 L T g p L 0 F 1 d G 9 S Z W 1 v d m V k Q 2 9 s d W 1 u c z E u e 0 J N S S 1 B c 3 N v Y 2 l h d G V k L D B 9 J n F 1 b 3 Q 7 L C Z x d W 9 0 O 1 N l Y 3 R p b 2 4 x L 1 R h Y m x l M D A 0 I C h Q Y W d l I D c t O C k v Q X V 0 b 1 J l b W 9 2 Z W R D b 2 x 1 b W 5 z M S 5 7 T m V h c m V z d C w x f S Z x d W 9 0 O y w m c X V v d D t T Z W N 0 a W 9 u M S 9 U Y W J s Z T A w N C A o U G F n Z S A 3 L T g p L 0 F 1 d G 9 S Z W 1 v d m V k Q 2 9 s d W 1 u c z E u e 0 N o c i w y f S Z x d W 9 0 O y w m c X V v d D t T Z W N 0 a W 9 u M S 9 U Y W J s Z T A w N C A o U G F n Z S A 3 L T g p L 0 F 1 d G 9 S Z W 1 v d m V k Q 2 9 s d W 1 u c z E u e 0 J N S S w z f S Z x d W 9 0 O y w m c X V v d D t T Z W N 0 a W 9 u M S 9 U Y W J s Z T A w N C A o U G F n Z S A 3 L T g p L 0 F 1 d G 9 S Z W 1 v d m V k Q 2 9 s d W 1 u c z E u e 0 F s b G V s Z S w 0 f S Z x d W 9 0 O y w m c X V v d D t T Z W N 0 a W 9 u M S 9 U Y W J s Z T A w N C A o U G F n Z S A 3 L T g p L 0 F 1 d G 9 S Z W 1 v d m V k Q 2 9 s d W 1 u c z E u e 0 N v b H V t b j Y s N X 0 m c X V v d D s s J n F 1 b 3 Q 7 U 2 V j d G l v b j E v V G F i b G U w M D Q g K F B h Z 2 U g N y 0 4 K S 9 B d X R v U m V t b 3 Z l Z E N v b H V t b n M x L n t F Z m Z l Y 3 Q s N n 0 m c X V v d D s s J n F 1 b 3 Q 7 U 2 V j d G l v b j E v V G F i b G U w M D Q g K F B h Z 2 U g N y 0 4 K S 9 B d X R v U m V t b 3 Z l Z E N v b H V t b n M x L n t w L X Z h b H V l X n t 7 Y X 0 s N 3 0 m c X V v d D s s J n F 1 b 3 Q 7 U 2 V j d G l v b j E v V G F i b G U w M D Q g K F B h Z 2 U g N y 0 4 K S 9 B d X R v U m V t b 3 Z l Z E N v b H V t b n M x L n t P U l 5 7 e 2 J 9 L D h 9 J n F 1 b 3 Q 7 L C Z x d W 9 0 O 1 N l Y 3 R p b 2 4 x L 1 R h Y m x l M D A 0 I C h Q Y W d l I D c t O C k v Q X V 0 b 1 J l b W 9 2 Z W R D b 2 x 1 b W 5 z M S 5 7 T G 9 3 Z X I s O X 0 m c X V v d D s s J n F 1 b 3 Q 7 U 2 V j d G l v b j E v V G F i b G U w M D Q g K F B h Z 2 U g N y 0 4 K S 9 B d X R v U m V t b 3 Z l Z E N v b H V t b n M x L n t V c H B l c i w x M H 0 m c X V v d D s s J n F 1 b 3 Q 7 U 2 V j d G l v b j E v V G F i b G U w M D Q g K F B h Z 2 U g N y 0 4 K S 9 B d X R v U m V t b 3 Z l Z E N v b H V t b n M x L n t w L X Z h b H V l X n t 7 Y n 0 s M T F 9 J n F 1 b 3 Q 7 L C Z x d W 9 0 O 1 N l Y 3 R p b 2 4 x L 1 R h Y m x l M D A 0 I C h Q Y W d l I D c t O C k v Q X V 0 b 1 J l b W 9 2 Z W R D b 2 x 1 b W 5 z M S 5 7 U 3 R 1 Z H l e e 3 t i f S w x M n 0 m c X V v d D s s J n F 1 b 3 Q 7 U 2 V j d G l v b j E v V G F i b G U w M D Q g K F B h Z 2 U g N y 0 4 K S 9 B d X R v U m V t b 3 Z l Z E N v b H V t b n M x L n t Q c m 9 4 e V N O U C w x M 3 0 m c X V v d D s s J n F 1 b 3 Q 7 U 2 V j d G l v b j E v V G F i b G U w M D Q g K F B h Z 2 U g N y 0 4 K S 9 B d X R v U m V t b 3 Z l Z E N v b H V t b n M x L n t y X n t 7 M m N 9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Q g K F B h Z 2 U g N y 0 4 K S 9 B d X R v U m V t b 3 Z l Z E N v b H V t b n M x L n t C T U k t Q X N z b 2 N p Y X R l Z C w w f S Z x d W 9 0 O y w m c X V v d D t T Z W N 0 a W 9 u M S 9 U Y W J s Z T A w N C A o U G F n Z S A 3 L T g p L 0 F 1 d G 9 S Z W 1 v d m V k Q 2 9 s d W 1 u c z E u e 0 5 l Y X J l c 3 Q s M X 0 m c X V v d D s s J n F 1 b 3 Q 7 U 2 V j d G l v b j E v V G F i b G U w M D Q g K F B h Z 2 U g N y 0 4 K S 9 B d X R v U m V t b 3 Z l Z E N v b H V t b n M x L n t D a H I s M n 0 m c X V v d D s s J n F 1 b 3 Q 7 U 2 V j d G l v b j E v V G F i b G U w M D Q g K F B h Z 2 U g N y 0 4 K S 9 B d X R v U m V t b 3 Z l Z E N v b H V t b n M x L n t C T U k s M 3 0 m c X V v d D s s J n F 1 b 3 Q 7 U 2 V j d G l v b j E v V G F i b G U w M D Q g K F B h Z 2 U g N y 0 4 K S 9 B d X R v U m V t b 3 Z l Z E N v b H V t b n M x L n t B b G x l b G U s N H 0 m c X V v d D s s J n F 1 b 3 Q 7 U 2 V j d G l v b j E v V G F i b G U w M D Q g K F B h Z 2 U g N y 0 4 K S 9 B d X R v U m V t b 3 Z l Z E N v b H V t b n M x L n t D b 2 x 1 b W 4 2 L D V 9 J n F 1 b 3 Q 7 L C Z x d W 9 0 O 1 N l Y 3 R p b 2 4 x L 1 R h Y m x l M D A 0 I C h Q Y W d l I D c t O C k v Q X V 0 b 1 J l b W 9 2 Z W R D b 2 x 1 b W 5 z M S 5 7 R W Z m Z W N 0 L D Z 9 J n F 1 b 3 Q 7 L C Z x d W 9 0 O 1 N l Y 3 R p b 2 4 x L 1 R h Y m x l M D A 0 I C h Q Y W d l I D c t O C k v Q X V 0 b 1 J l b W 9 2 Z W R D b 2 x 1 b W 5 z M S 5 7 c C 1 2 Y W x 1 Z V 5 7 e 2 F 9 L D d 9 J n F 1 b 3 Q 7 L C Z x d W 9 0 O 1 N l Y 3 R p b 2 4 x L 1 R h Y m x l M D A 0 I C h Q Y W d l I D c t O C k v Q X V 0 b 1 J l b W 9 2 Z W R D b 2 x 1 b W 5 z M S 5 7 T 1 J e e 3 t i f S w 4 f S Z x d W 9 0 O y w m c X V v d D t T Z W N 0 a W 9 u M S 9 U Y W J s Z T A w N C A o U G F n Z S A 3 L T g p L 0 F 1 d G 9 S Z W 1 v d m V k Q 2 9 s d W 1 u c z E u e 0 x v d 2 V y L D l 9 J n F 1 b 3 Q 7 L C Z x d W 9 0 O 1 N l Y 3 R p b 2 4 x L 1 R h Y m x l M D A 0 I C h Q Y W d l I D c t O C k v Q X V 0 b 1 J l b W 9 2 Z W R D b 2 x 1 b W 5 z M S 5 7 V X B w Z X I s M T B 9 J n F 1 b 3 Q 7 L C Z x d W 9 0 O 1 N l Y 3 R p b 2 4 x L 1 R h Y m x l M D A 0 I C h Q Y W d l I D c t O C k v Q X V 0 b 1 J l b W 9 2 Z W R D b 2 x 1 b W 5 z M S 5 7 c C 1 2 Y W x 1 Z V 5 7 e 2 J 9 L D E x f S Z x d W 9 0 O y w m c X V v d D t T Z W N 0 a W 9 u M S 9 U Y W J s Z T A w N C A o U G F n Z S A 3 L T g p L 0 F 1 d G 9 S Z W 1 v d m V k Q 2 9 s d W 1 u c z E u e 1 N 0 d W R 5 X n t 7 Y n 0 s M T J 9 J n F 1 b 3 Q 7 L C Z x d W 9 0 O 1 N l Y 3 R p b 2 4 x L 1 R h Y m x l M D A 0 I C h Q Y W d l I D c t O C k v Q X V 0 b 1 J l b W 9 2 Z W R D b 2 x 1 b W 5 z M S 5 7 U H J v e H l T T l A s M T N 9 J n F 1 b 3 Q 7 L C Z x d W 9 0 O 1 N l Y 3 R p b 2 4 x L 1 R h Y m x l M D A 0 I C h Q Y W d l I D c t O C k v Q X V 0 b 1 J l b W 9 2 Z W R D b 2 x 1 b W 5 z M S 5 7 c l 5 7 e z J j f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3 L T g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7 q i J R 2 L E u b A t y 4 l 9 g z g Q A A A A A C A A A A A A A Q Z g A A A A E A A C A A A A D C W k C u r 3 K 1 n f X V u z Y o X Z p j f a o t n z j Z Z g / 3 k v j D 6 q U 3 h g A A A A A O g A A A A A I A A C A A A A B D T 6 L 1 F I 1 y X v x z l 6 a s 9 o C z Q 1 t j O U N t j u z G X d y 0 U t g L H 1 A A A A B 1 H 6 7 N w c 4 X A 7 k Q p 8 d I X 0 X g F l S F z Q 3 g W n V 7 M a b C A 6 p m j K L E X j m O v 2 L 3 W e m o r r k Y b o + / x x D 3 z V c W q n F V N l 3 M K j j Q 1 0 Y L 1 + t f w D R x E 6 q H q E S C N 0 A A A A C L L K n X z h r 2 7 7 Y Y u c h C D O b L p u b P v G l V o y R m O C 4 z V 8 + f 4 h L t 0 5 s i 5 r C 6 r c N y d 1 7 9 P 0 U H 1 C J b o U N 1 e / j s V A 8 5 E + d m < / D a t a M a s h u p > 
</file>

<file path=customXml/itemProps1.xml><?xml version="1.0" encoding="utf-8"?>
<ds:datastoreItem xmlns:ds="http://schemas.openxmlformats.org/officeDocument/2006/customXml" ds:itemID="{F7689764-D652-4AA3-ABDD-FA5D91EA4A9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Table004 (Page 7-8)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OLD, Tim (GREAT WESTERN HOSPITALS NHS FOUNDATION TRUST)</dc:creator>
  <cp:lastModifiedBy>OLD, Tim (GREAT WESTERN HOSPITALS NHS FOUNDATION TRUST</cp:lastModifiedBy>
  <dcterms:created xsi:type="dcterms:W3CDTF">2025-05-27T19:46:17Z</dcterms:created>
  <dcterms:modified xsi:type="dcterms:W3CDTF">2025-05-27T21:02:15Z</dcterms:modified>
</cp:coreProperties>
</file>